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60" windowHeight="5715" activeTab="1"/>
  </bookViews>
  <sheets>
    <sheet name="flujo d caja van" sheetId="1" r:id="rId1"/>
    <sheet name="flujo proyect para var.precio" sheetId="2" r:id="rId2"/>
    <sheet name="Hoja2" sheetId="3" r:id="rId3"/>
    <sheet name="tasa d crecimiento de precios" sheetId="4" r:id="rId4"/>
  </sheets>
  <definedNames/>
  <calcPr fullCalcOnLoad="1"/>
</workbook>
</file>

<file path=xl/sharedStrings.xml><?xml version="1.0" encoding="utf-8"?>
<sst xmlns="http://schemas.openxmlformats.org/spreadsheetml/2006/main" count="135" uniqueCount="88">
  <si>
    <t>INVERSIÓN INICIAL</t>
  </si>
  <si>
    <t>TERRENO</t>
  </si>
  <si>
    <t>CONTRUCCION</t>
  </si>
  <si>
    <t>FERMENTADORAS</t>
  </si>
  <si>
    <t>CLASIFICADORA</t>
  </si>
  <si>
    <t>SECADORA</t>
  </si>
  <si>
    <t>RASTRILLOS</t>
  </si>
  <si>
    <t>PALETAS</t>
  </si>
  <si>
    <t xml:space="preserve">TOTAL </t>
  </si>
  <si>
    <t>COSTOS FIJOS</t>
  </si>
  <si>
    <t>Chofer</t>
  </si>
  <si>
    <t>Auxiliar General</t>
  </si>
  <si>
    <t>Energía</t>
  </si>
  <si>
    <t>Agua</t>
  </si>
  <si>
    <t>SERVICIOS BASICOS</t>
  </si>
  <si>
    <t>PERSONAL</t>
  </si>
  <si>
    <t>Auxiliar de Planta</t>
  </si>
  <si>
    <t>Total Salarios</t>
  </si>
  <si>
    <t>Total Serv. Básicos</t>
  </si>
  <si>
    <t>Teléfono</t>
  </si>
  <si>
    <t>VEHICULO</t>
  </si>
  <si>
    <t>ESTADO DE RESULTADO</t>
  </si>
  <si>
    <t>GASTOS</t>
  </si>
  <si>
    <t>SUELDOS</t>
  </si>
  <si>
    <t>GASTOS DE RECORRIDO</t>
  </si>
  <si>
    <t>GASTOS ADMINISTRATIVOS</t>
  </si>
  <si>
    <t>INGRESO POR VENTAS</t>
  </si>
  <si>
    <t>COMPRA DE MATERIA PRIMA</t>
  </si>
  <si>
    <t>COMBUSTIBLE</t>
  </si>
  <si>
    <t>MOVILIZACION</t>
  </si>
  <si>
    <t>ALIMENTACION</t>
  </si>
  <si>
    <t>GASTOS DE SECADO</t>
  </si>
  <si>
    <t xml:space="preserve">GAS </t>
  </si>
  <si>
    <t>OTROS GASTOS</t>
  </si>
  <si>
    <t>SAQUILLOS</t>
  </si>
  <si>
    <t>AGUJETAS</t>
  </si>
  <si>
    <t>PIOLAS</t>
  </si>
  <si>
    <t>INGRESOS</t>
  </si>
  <si>
    <t>(=)TOTAL DE INGRESOS</t>
  </si>
  <si>
    <t>XOCOALT CENTRO DE ACOPIO</t>
  </si>
  <si>
    <t>DEL 1 AL 31 DE AGOSTO DEL 2009</t>
  </si>
  <si>
    <t>UTILIDAD BRUTA EN VENTAS</t>
  </si>
  <si>
    <t>TOTAL GASTOS OPERACIONALES</t>
  </si>
  <si>
    <t>UTILIDAD ANTES DE IMPUESTOS</t>
  </si>
  <si>
    <t>PARTICIPACION DE TRABAJADORES 15%</t>
  </si>
  <si>
    <t>IMPUESTO A LA RENTA</t>
  </si>
  <si>
    <t>UTILIDAD NETA</t>
  </si>
  <si>
    <t xml:space="preserve">TASA DE CRECIMIENTO </t>
  </si>
  <si>
    <t>TASA DE RENDIMIENTO ESPERADA</t>
  </si>
  <si>
    <t>VAN</t>
  </si>
  <si>
    <t>UTILIZO LA TASA DEL BCO. COSTO BENEFICIO, MINIMO Q ESPERAS GANAR DE TU PROYECTO. TIENE Q POR LO MENOS Q SER IGUAL A O. XQ TIENE QUE SER IGUAL O MAYOR A LO GENERARA LA INVERSION EN EL BANCP</t>
  </si>
  <si>
    <t>TIR</t>
  </si>
  <si>
    <t>%</t>
  </si>
  <si>
    <t>ANUAL</t>
  </si>
  <si>
    <t>% promedio del precio de los ultimos 5 anos</t>
  </si>
  <si>
    <t>prom anual p=</t>
  </si>
  <si>
    <t>var precio anual=</t>
  </si>
  <si>
    <t>promedio</t>
  </si>
  <si>
    <t>PUBLICIDAD</t>
  </si>
  <si>
    <t>AÑO</t>
  </si>
  <si>
    <t>VARIACION %</t>
  </si>
  <si>
    <t>PROMEDIO ANUAL</t>
  </si>
  <si>
    <t>-</t>
  </si>
  <si>
    <t>PROMEDIO</t>
  </si>
  <si>
    <t>FLUJO DE CAJA PROYECTADO AL 2013</t>
  </si>
  <si>
    <t>INVERSIÓN</t>
  </si>
  <si>
    <t>INVERSION</t>
  </si>
  <si>
    <t>TIR/ CRE (5%)</t>
  </si>
  <si>
    <t>TIR/ CRE (10%)</t>
  </si>
  <si>
    <t>libras</t>
  </si>
  <si>
    <t xml:space="preserve">precio </t>
  </si>
  <si>
    <t xml:space="preserve">ingreso quincenal </t>
  </si>
  <si>
    <t>ing. Anual</t>
  </si>
  <si>
    <t xml:space="preserve">tir </t>
  </si>
  <si>
    <t xml:space="preserve">van </t>
  </si>
  <si>
    <t>Bajo el supuesto de que crece 0.03 anualmente</t>
  </si>
  <si>
    <t>PRECIO QQ</t>
  </si>
  <si>
    <t>INGRESO ANUAL</t>
  </si>
  <si>
    <t>ESCENARIO</t>
  </si>
  <si>
    <t>PESIMISTA</t>
  </si>
  <si>
    <t>PROBABLE</t>
  </si>
  <si>
    <t>OPTIMISTA</t>
  </si>
  <si>
    <t>x</t>
  </si>
  <si>
    <t>TABLA PARA SACAR LOS VALORES - ESTA RELACIONADA</t>
  </si>
  <si>
    <t>TIR/ CRE (3%)</t>
  </si>
  <si>
    <t>Variación TIR/ según Crecimiento e Inversión</t>
  </si>
  <si>
    <t xml:space="preserve"> TIR/VAN SEGÚN EL PRECIO</t>
  </si>
  <si>
    <t>Variación de la TIR/VAN según Variación de Precios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</si>
</sst>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  <numFmt numFmtId="167" formatCode="&quot;$&quot;\ #,##0"/>
    <numFmt numFmtId="168" formatCode="&quot;$&quot;\ #,##0.0"/>
    <numFmt numFmtId="169" formatCode="&quot;$&quot;\ #,##0.00"/>
    <numFmt numFmtId="170" formatCode="_ &quot;$&quot;\ * #,##0.000_ ;_ &quot;$&quot;\ * \-#,##0.000_ ;_ &quot;$&quot;\ * &quot;-&quot;??_ ;_ @_ "/>
    <numFmt numFmtId="171" formatCode="_ &quot;$&quot;\ * #,##0.0000_ ;_ &quot;$&quot;\ * \-#,##0.0000_ ;_ &quot;$&quot;\ * &quot;-&quot;??_ ;_ @_ "/>
    <numFmt numFmtId="172" formatCode="_ &quot;$&quot;\ * #,##0.00000_ ;_ &quot;$&quot;\ * \-#,##0.00000_ ;_ &quot;$&quot;\ * &quot;-&quot;??_ ;_ @_ "/>
    <numFmt numFmtId="173" formatCode="_ &quot;$&quot;\ * #,##0.000000_ ;_ &quot;$&quot;\ * \-#,##0.000000_ ;_ &quot;$&quot;\ * &quot;-&quot;??_ ;_ @_ "/>
    <numFmt numFmtId="174" formatCode="_ &quot;$&quot;\ * #,##0.0000000_ ;_ &quot;$&quot;\ * \-#,##0.0000000_ ;_ &quot;$&quot;\ * &quot;-&quot;??_ ;_ @_ "/>
    <numFmt numFmtId="175" formatCode="_ &quot;$&quot;\ * #,##0.00000000_ ;_ &quot;$&quot;\ * \-#,##0.00000000_ ;_ &quot;$&quot;\ * &quot;-&quot;??_ ;_ @_ "/>
    <numFmt numFmtId="176" formatCode="0.0%"/>
    <numFmt numFmtId="177" formatCode="#,##0.00_ ;\-#,##0.00\ "/>
  </numFmts>
  <fonts count="2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b/>
      <sz val="14.25"/>
      <name val="Arial"/>
      <family val="0"/>
    </font>
    <font>
      <sz val="8.25"/>
      <name val="Arial"/>
      <family val="0"/>
    </font>
    <font>
      <sz val="10.75"/>
      <name val="Arial"/>
      <family val="0"/>
    </font>
    <font>
      <sz val="9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44" fontId="2" fillId="0" borderId="2" xfId="19" applyFont="1" applyBorder="1" applyAlignment="1">
      <alignment/>
    </xf>
    <xf numFmtId="0" fontId="1" fillId="0" borderId="3" xfId="0" applyFont="1" applyBorder="1" applyAlignment="1">
      <alignment/>
    </xf>
    <xf numFmtId="44" fontId="1" fillId="2" borderId="4" xfId="19" applyFont="1" applyFill="1" applyBorder="1" applyAlignment="1">
      <alignment/>
    </xf>
    <xf numFmtId="44" fontId="2" fillId="0" borderId="5" xfId="19" applyFont="1" applyBorder="1" applyAlignment="1">
      <alignment/>
    </xf>
    <xf numFmtId="0" fontId="2" fillId="0" borderId="6" xfId="0" applyFont="1" applyBorder="1" applyAlignment="1">
      <alignment/>
    </xf>
    <xf numFmtId="44" fontId="2" fillId="0" borderId="7" xfId="19" applyFont="1" applyBorder="1" applyAlignment="1">
      <alignment/>
    </xf>
    <xf numFmtId="44" fontId="7" fillId="0" borderId="8" xfId="19" applyFont="1" applyBorder="1" applyAlignment="1">
      <alignment/>
    </xf>
    <xf numFmtId="44" fontId="7" fillId="0" borderId="9" xfId="19" applyFont="1" applyBorder="1" applyAlignment="1">
      <alignment/>
    </xf>
    <xf numFmtId="44" fontId="2" fillId="0" borderId="10" xfId="19" applyFont="1" applyBorder="1" applyAlignment="1">
      <alignment/>
    </xf>
    <xf numFmtId="0" fontId="2" fillId="0" borderId="11" xfId="0" applyFont="1" applyBorder="1" applyAlignment="1">
      <alignment/>
    </xf>
    <xf numFmtId="0" fontId="7" fillId="0" borderId="12" xfId="0" applyFont="1" applyBorder="1" applyAlignment="1">
      <alignment/>
    </xf>
    <xf numFmtId="44" fontId="0" fillId="0" borderId="0" xfId="0" applyNumberFormat="1" applyAlignment="1">
      <alignment/>
    </xf>
    <xf numFmtId="0" fontId="5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8" fillId="3" borderId="13" xfId="0" applyFont="1" applyFill="1" applyBorder="1" applyAlignment="1">
      <alignment/>
    </xf>
    <xf numFmtId="0" fontId="0" fillId="3" borderId="0" xfId="0" applyFill="1" applyBorder="1" applyAlignment="1">
      <alignment/>
    </xf>
    <xf numFmtId="44" fontId="5" fillId="3" borderId="0" xfId="19" applyFont="1" applyFill="1" applyBorder="1" applyAlignment="1">
      <alignment/>
    </xf>
    <xf numFmtId="44" fontId="0" fillId="3" borderId="8" xfId="19" applyFill="1" applyBorder="1" applyAlignment="1">
      <alignment/>
    </xf>
    <xf numFmtId="0" fontId="1" fillId="3" borderId="13" xfId="0" applyFont="1" applyFill="1" applyBorder="1" applyAlignment="1">
      <alignment/>
    </xf>
    <xf numFmtId="44" fontId="0" fillId="3" borderId="0" xfId="19" applyFill="1" applyBorder="1" applyAlignment="1">
      <alignment/>
    </xf>
    <xf numFmtId="44" fontId="1" fillId="3" borderId="8" xfId="19" applyFont="1" applyFill="1" applyBorder="1" applyAlignment="1">
      <alignment horizontal="left"/>
    </xf>
    <xf numFmtId="0" fontId="0" fillId="3" borderId="13" xfId="0" applyFill="1" applyBorder="1" applyAlignment="1">
      <alignment/>
    </xf>
    <xf numFmtId="44" fontId="0" fillId="3" borderId="8" xfId="19" applyFill="1" applyBorder="1" applyAlignment="1">
      <alignment horizontal="left"/>
    </xf>
    <xf numFmtId="0" fontId="8" fillId="3" borderId="0" xfId="0" applyFont="1" applyFill="1" applyBorder="1" applyAlignment="1">
      <alignment/>
    </xf>
    <xf numFmtId="44" fontId="8" fillId="3" borderId="0" xfId="19" applyFont="1" applyFill="1" applyBorder="1" applyAlignment="1">
      <alignment/>
    </xf>
    <xf numFmtId="0" fontId="9" fillId="3" borderId="13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44" fontId="1" fillId="3" borderId="14" xfId="19" applyFont="1" applyFill="1" applyBorder="1" applyAlignment="1">
      <alignment horizontal="left"/>
    </xf>
    <xf numFmtId="0" fontId="1" fillId="3" borderId="15" xfId="0" applyFont="1" applyFill="1" applyBorder="1" applyAlignment="1">
      <alignment/>
    </xf>
    <xf numFmtId="0" fontId="0" fillId="3" borderId="16" xfId="0" applyFill="1" applyBorder="1" applyAlignment="1">
      <alignment/>
    </xf>
    <xf numFmtId="44" fontId="0" fillId="3" borderId="16" xfId="19" applyFill="1" applyBorder="1" applyAlignment="1">
      <alignment/>
    </xf>
    <xf numFmtId="44" fontId="11" fillId="3" borderId="17" xfId="19" applyFont="1" applyFill="1" applyBorder="1" applyAlignment="1">
      <alignment/>
    </xf>
    <xf numFmtId="0" fontId="13" fillId="3" borderId="0" xfId="0" applyFont="1" applyFill="1" applyBorder="1" applyAlignment="1">
      <alignment horizontal="center"/>
    </xf>
    <xf numFmtId="44" fontId="1" fillId="0" borderId="0" xfId="0" applyNumberFormat="1" applyFont="1" applyAlignment="1">
      <alignment/>
    </xf>
    <xf numFmtId="0" fontId="14" fillId="3" borderId="13" xfId="0" applyFont="1" applyFill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44" fontId="1" fillId="3" borderId="0" xfId="19" applyFont="1" applyFill="1" applyBorder="1" applyAlignment="1">
      <alignment horizontal="left"/>
    </xf>
    <xf numFmtId="44" fontId="0" fillId="3" borderId="0" xfId="19" applyFill="1" applyBorder="1" applyAlignment="1">
      <alignment horizontal="left"/>
    </xf>
    <xf numFmtId="44" fontId="11" fillId="3" borderId="0" xfId="19" applyFont="1" applyFill="1" applyBorder="1" applyAlignment="1">
      <alignment/>
    </xf>
    <xf numFmtId="8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44" fontId="0" fillId="3" borderId="0" xfId="19" applyFont="1" applyFill="1" applyBorder="1" applyAlignment="1">
      <alignment horizontal="left"/>
    </xf>
    <xf numFmtId="15" fontId="0" fillId="0" borderId="0" xfId="0" applyNumberFormat="1" applyAlignment="1">
      <alignment/>
    </xf>
    <xf numFmtId="44" fontId="0" fillId="3" borderId="8" xfId="19" applyFill="1" applyBorder="1" applyAlignment="1">
      <alignment/>
    </xf>
    <xf numFmtId="44" fontId="0" fillId="3" borderId="0" xfId="19" applyFill="1" applyBorder="1" applyAlignment="1">
      <alignment/>
    </xf>
    <xf numFmtId="44" fontId="0" fillId="3" borderId="8" xfId="19" applyFill="1" applyBorder="1" applyAlignment="1">
      <alignment horizontal="left"/>
    </xf>
    <xf numFmtId="44" fontId="0" fillId="3" borderId="0" xfId="19" applyFill="1" applyBorder="1" applyAlignment="1">
      <alignment horizontal="left"/>
    </xf>
    <xf numFmtId="44" fontId="0" fillId="3" borderId="0" xfId="19" applyFont="1" applyFill="1" applyBorder="1" applyAlignment="1">
      <alignment horizontal="left"/>
    </xf>
    <xf numFmtId="44" fontId="0" fillId="3" borderId="16" xfId="19" applyFill="1" applyBorder="1" applyAlignment="1">
      <alignment/>
    </xf>
    <xf numFmtId="0" fontId="0" fillId="3" borderId="0" xfId="0" applyFill="1" applyAlignment="1">
      <alignment/>
    </xf>
    <xf numFmtId="9" fontId="0" fillId="3" borderId="0" xfId="0" applyNumberFormat="1" applyFill="1" applyAlignment="1">
      <alignment/>
    </xf>
    <xf numFmtId="44" fontId="0" fillId="3" borderId="8" xfId="0" applyNumberForma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17" xfId="0" applyFill="1" applyBorder="1" applyAlignment="1">
      <alignment/>
    </xf>
    <xf numFmtId="0" fontId="5" fillId="3" borderId="18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left"/>
    </xf>
    <xf numFmtId="44" fontId="0" fillId="3" borderId="18" xfId="19" applyFill="1" applyBorder="1" applyAlignment="1">
      <alignment/>
    </xf>
    <xf numFmtId="44" fontId="1" fillId="3" borderId="18" xfId="19" applyFont="1" applyFill="1" applyBorder="1" applyAlignment="1">
      <alignment horizontal="left"/>
    </xf>
    <xf numFmtId="44" fontId="0" fillId="3" borderId="18" xfId="19" applyFill="1" applyBorder="1" applyAlignment="1">
      <alignment horizontal="left"/>
    </xf>
    <xf numFmtId="44" fontId="0" fillId="3" borderId="18" xfId="19" applyFont="1" applyFill="1" applyBorder="1" applyAlignment="1">
      <alignment horizontal="left"/>
    </xf>
    <xf numFmtId="0" fontId="0" fillId="3" borderId="18" xfId="0" applyFill="1" applyBorder="1" applyAlignment="1">
      <alignment/>
    </xf>
    <xf numFmtId="44" fontId="11" fillId="3" borderId="18" xfId="19" applyFont="1" applyFill="1" applyBorder="1" applyAlignment="1">
      <alignment/>
    </xf>
    <xf numFmtId="0" fontId="0" fillId="3" borderId="19" xfId="0" applyFill="1" applyBorder="1" applyAlignment="1">
      <alignment/>
    </xf>
    <xf numFmtId="44" fontId="0" fillId="3" borderId="18" xfId="0" applyNumberFormat="1" applyFill="1" applyBorder="1" applyAlignment="1">
      <alignment/>
    </xf>
    <xf numFmtId="44" fontId="1" fillId="3" borderId="18" xfId="0" applyNumberFormat="1" applyFont="1" applyFill="1" applyBorder="1" applyAlignment="1">
      <alignment/>
    </xf>
    <xf numFmtId="44" fontId="2" fillId="3" borderId="18" xfId="0" applyNumberFormat="1" applyFont="1" applyFill="1" applyBorder="1" applyAlignment="1">
      <alignment/>
    </xf>
    <xf numFmtId="44" fontId="1" fillId="3" borderId="19" xfId="0" applyNumberFormat="1" applyFont="1" applyFill="1" applyBorder="1" applyAlignment="1">
      <alignment/>
    </xf>
    <xf numFmtId="44" fontId="1" fillId="3" borderId="8" xfId="0" applyNumberFormat="1" applyFont="1" applyFill="1" applyBorder="1" applyAlignment="1">
      <alignment/>
    </xf>
    <xf numFmtId="44" fontId="2" fillId="3" borderId="8" xfId="0" applyNumberFormat="1" applyFont="1" applyFill="1" applyBorder="1" applyAlignment="1">
      <alignment/>
    </xf>
    <xf numFmtId="44" fontId="1" fillId="3" borderId="17" xfId="0" applyNumberFormat="1" applyFont="1" applyFill="1" applyBorder="1" applyAlignment="1">
      <alignment/>
    </xf>
    <xf numFmtId="8" fontId="1" fillId="3" borderId="18" xfId="0" applyNumberFormat="1" applyFont="1" applyFill="1" applyBorder="1" applyAlignment="1">
      <alignment/>
    </xf>
    <xf numFmtId="9" fontId="0" fillId="3" borderId="19" xfId="0" applyNumberFormat="1" applyFill="1" applyBorder="1" applyAlignment="1">
      <alignment/>
    </xf>
    <xf numFmtId="44" fontId="2" fillId="3" borderId="18" xfId="19" applyFont="1" applyFill="1" applyBorder="1" applyAlignment="1">
      <alignment/>
    </xf>
    <xf numFmtId="44" fontId="2" fillId="3" borderId="8" xfId="19" applyFont="1" applyFill="1" applyBorder="1" applyAlignment="1">
      <alignment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0" fillId="0" borderId="0" xfId="0" applyBorder="1" applyAlignment="1">
      <alignment/>
    </xf>
    <xf numFmtId="2" fontId="0" fillId="3" borderId="18" xfId="0" applyNumberFormat="1" applyFill="1" applyBorder="1" applyAlignment="1">
      <alignment/>
    </xf>
    <xf numFmtId="169" fontId="0" fillId="3" borderId="0" xfId="0" applyNumberFormat="1" applyFill="1" applyBorder="1" applyAlignment="1">
      <alignment/>
    </xf>
    <xf numFmtId="44" fontId="1" fillId="3" borderId="20" xfId="0" applyNumberFormat="1" applyFont="1" applyFill="1" applyBorder="1" applyAlignment="1">
      <alignment horizontal="center"/>
    </xf>
    <xf numFmtId="169" fontId="0" fillId="3" borderId="20" xfId="0" applyNumberFormat="1" applyFill="1" applyBorder="1" applyAlignment="1">
      <alignment/>
    </xf>
    <xf numFmtId="9" fontId="1" fillId="3" borderId="20" xfId="0" applyNumberFormat="1" applyFont="1" applyFill="1" applyBorder="1" applyAlignment="1">
      <alignment horizontal="center"/>
    </xf>
    <xf numFmtId="0" fontId="0" fillId="0" borderId="20" xfId="0" applyFont="1" applyBorder="1" applyAlignment="1">
      <alignment/>
    </xf>
    <xf numFmtId="44" fontId="0" fillId="0" borderId="20" xfId="19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9" fontId="0" fillId="3" borderId="20" xfId="0" applyNumberFormat="1" applyFont="1" applyFill="1" applyBorder="1" applyAlignment="1">
      <alignment horizontal="center"/>
    </xf>
    <xf numFmtId="177" fontId="0" fillId="0" borderId="20" xfId="19" applyNumberFormat="1" applyFont="1" applyBorder="1" applyAlignment="1">
      <alignment/>
    </xf>
    <xf numFmtId="177" fontId="0" fillId="0" borderId="23" xfId="19" applyNumberFormat="1" applyFont="1" applyBorder="1" applyAlignment="1">
      <alignment/>
    </xf>
    <xf numFmtId="9" fontId="0" fillId="3" borderId="23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44" fontId="0" fillId="0" borderId="0" xfId="19" applyBorder="1" applyAlignment="1">
      <alignment/>
    </xf>
    <xf numFmtId="44" fontId="0" fillId="0" borderId="0" xfId="0" applyNumberFormat="1" applyBorder="1" applyAlignment="1">
      <alignment/>
    </xf>
    <xf numFmtId="44" fontId="2" fillId="0" borderId="0" xfId="19" applyFont="1" applyBorder="1" applyAlignment="1">
      <alignment/>
    </xf>
    <xf numFmtId="0" fontId="0" fillId="0" borderId="20" xfId="0" applyBorder="1" applyAlignment="1">
      <alignment/>
    </xf>
    <xf numFmtId="169" fontId="0" fillId="0" borderId="0" xfId="0" applyNumberFormat="1" applyFill="1" applyBorder="1" applyAlignment="1">
      <alignment/>
    </xf>
    <xf numFmtId="4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169" fontId="0" fillId="0" borderId="20" xfId="0" applyNumberForma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9" fontId="1" fillId="0" borderId="20" xfId="0" applyNumberFormat="1" applyFont="1" applyFill="1" applyBorder="1" applyAlignment="1">
      <alignment/>
    </xf>
    <xf numFmtId="8" fontId="1" fillId="0" borderId="20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167" fontId="1" fillId="0" borderId="20" xfId="0" applyNumberFormat="1" applyFont="1" applyFill="1" applyBorder="1" applyAlignment="1">
      <alignment/>
    </xf>
    <xf numFmtId="44" fontId="1" fillId="0" borderId="2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44" fontId="0" fillId="0" borderId="20" xfId="19" applyFont="1" applyFill="1" applyBorder="1" applyAlignment="1">
      <alignment/>
    </xf>
    <xf numFmtId="0" fontId="0" fillId="0" borderId="20" xfId="0" applyFont="1" applyFill="1" applyBorder="1" applyAlignment="1">
      <alignment/>
    </xf>
    <xf numFmtId="9" fontId="0" fillId="0" borderId="20" xfId="0" applyNumberFormat="1" applyFont="1" applyFill="1" applyBorder="1" applyAlignment="1">
      <alignment horizontal="center"/>
    </xf>
    <xf numFmtId="44" fontId="0" fillId="0" borderId="20" xfId="19" applyFont="1" applyFill="1" applyBorder="1" applyAlignment="1">
      <alignment horizontal="center"/>
    </xf>
    <xf numFmtId="0" fontId="9" fillId="3" borderId="13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13" fillId="3" borderId="13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3" borderId="1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69" fontId="1" fillId="3" borderId="1" xfId="0" applyNumberFormat="1" applyFont="1" applyFill="1" applyBorder="1" applyAlignment="1">
      <alignment/>
    </xf>
    <xf numFmtId="44" fontId="1" fillId="3" borderId="2" xfId="0" applyNumberFormat="1" applyFont="1" applyFill="1" applyBorder="1" applyAlignment="1">
      <alignment horizontal="center"/>
    </xf>
    <xf numFmtId="169" fontId="0" fillId="3" borderId="1" xfId="0" applyNumberFormat="1" applyFill="1" applyBorder="1" applyAlignment="1">
      <alignment/>
    </xf>
    <xf numFmtId="9" fontId="1" fillId="3" borderId="2" xfId="0" applyNumberFormat="1" applyFont="1" applyFill="1" applyBorder="1" applyAlignment="1">
      <alignment horizontal="center"/>
    </xf>
    <xf numFmtId="169" fontId="0" fillId="3" borderId="3" xfId="0" applyNumberFormat="1" applyFill="1" applyBorder="1" applyAlignment="1">
      <alignment/>
    </xf>
    <xf numFmtId="9" fontId="1" fillId="3" borderId="23" xfId="0" applyNumberFormat="1" applyFont="1" applyFill="1" applyBorder="1" applyAlignment="1">
      <alignment horizontal="center"/>
    </xf>
    <xf numFmtId="9" fontId="1" fillId="3" borderId="4" xfId="0" applyNumberFormat="1" applyFont="1" applyFill="1" applyBorder="1" applyAlignment="1">
      <alignment horizontal="center"/>
    </xf>
    <xf numFmtId="0" fontId="9" fillId="0" borderId="35" xfId="0" applyFont="1" applyBorder="1" applyAlignment="1">
      <alignment horizontal="center" vertical="center"/>
    </xf>
    <xf numFmtId="177" fontId="0" fillId="0" borderId="35" xfId="19" applyNumberFormat="1" applyFont="1" applyBorder="1" applyAlignment="1">
      <alignment/>
    </xf>
    <xf numFmtId="44" fontId="0" fillId="0" borderId="35" xfId="19" applyFont="1" applyBorder="1" applyAlignment="1">
      <alignment/>
    </xf>
    <xf numFmtId="0" fontId="0" fillId="0" borderId="35" xfId="0" applyFont="1" applyBorder="1" applyAlignment="1">
      <alignment/>
    </xf>
    <xf numFmtId="9" fontId="0" fillId="3" borderId="35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4" fontId="0" fillId="0" borderId="2" xfId="19" applyFont="1" applyFill="1" applyBorder="1" applyAlignment="1">
      <alignment/>
    </xf>
    <xf numFmtId="44" fontId="0" fillId="0" borderId="2" xfId="19" applyFont="1" applyFill="1" applyBorder="1" applyAlignment="1">
      <alignment horizontal="center"/>
    </xf>
    <xf numFmtId="0" fontId="1" fillId="0" borderId="0" xfId="0" applyFont="1" applyBorder="1" applyAlignment="1">
      <alignment/>
    </xf>
    <xf numFmtId="44" fontId="1" fillId="0" borderId="2" xfId="19" applyFont="1" applyFill="1" applyBorder="1" applyAlignment="1">
      <alignment/>
    </xf>
    <xf numFmtId="0" fontId="0" fillId="0" borderId="16" xfId="0" applyBorder="1" applyAlignment="1">
      <alignment/>
    </xf>
    <xf numFmtId="44" fontId="0" fillId="0" borderId="4" xfId="19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ANALISIS DE SENSIBILIDAD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'flujo proyect para var.precio'!$I$85</c:f>
              <c:strCache>
                <c:ptCount val="1"/>
                <c:pt idx="0">
                  <c:v>TIR/ CRE (3%)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'flujo proyect para var.precio'!$H$86:$H$88</c:f>
              <c:numCache/>
            </c:numRef>
          </c:cat>
          <c:val>
            <c:numRef>
              <c:f>'flujo proyect para var.precio'!$I$86:$I$88</c:f>
              <c:numCache/>
            </c:numRef>
          </c:val>
          <c:smooth val="0"/>
        </c:ser>
        <c:ser>
          <c:idx val="2"/>
          <c:order val="1"/>
          <c:tx>
            <c:strRef>
              <c:f>'flujo proyect para var.precio'!$J$85</c:f>
              <c:strCache>
                <c:ptCount val="1"/>
                <c:pt idx="0">
                  <c:v>TIR/ CRE (5%)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'flujo proyect para var.precio'!$H$86:$H$88</c:f>
              <c:numCache/>
            </c:numRef>
          </c:cat>
          <c:val>
            <c:numRef>
              <c:f>'flujo proyect para var.precio'!$J$86:$J$88</c:f>
              <c:numCache/>
            </c:numRef>
          </c:val>
          <c:smooth val="0"/>
        </c:ser>
        <c:ser>
          <c:idx val="3"/>
          <c:order val="2"/>
          <c:tx>
            <c:strRef>
              <c:f>'flujo proyect para var.precio'!$K$85</c:f>
              <c:strCache>
                <c:ptCount val="1"/>
                <c:pt idx="0">
                  <c:v>TIR/ CRE (10%)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'flujo proyect para var.precio'!$H$86:$H$88</c:f>
              <c:numCache/>
            </c:numRef>
          </c:cat>
          <c:val>
            <c:numRef>
              <c:f>'flujo proyect para var.precio'!$K$86:$K$88</c:f>
              <c:numCache/>
            </c:numRef>
          </c:val>
          <c:smooth val="0"/>
        </c:ser>
        <c:marker val="1"/>
        <c:axId val="45247044"/>
        <c:axId val="4570213"/>
      </c:lineChart>
      <c:catAx>
        <c:axId val="45247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0213"/>
        <c:crosses val="autoZero"/>
        <c:auto val="1"/>
        <c:lblOffset val="100"/>
        <c:noMultiLvlLbl val="0"/>
      </c:catAx>
      <c:valAx>
        <c:axId val="4570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TIR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47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ANALISIS DE SENSIBILIDAD -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PESIMISTA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'flujo proyect para var.precio'!$B$70:$B$75</c:f>
              <c:numCache/>
            </c:numRef>
          </c:cat>
          <c:val>
            <c:numRef>
              <c:f>'flujo proyect para var.precio'!$H$70:$H$71</c:f>
              <c:numCache/>
            </c:numRef>
          </c:val>
          <c:smooth val="0"/>
        </c:ser>
        <c:ser>
          <c:idx val="1"/>
          <c:order val="1"/>
          <c:tx>
            <c:v>PROBABLE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'flujo proyect para var.precio'!$B$70:$B$75</c:f>
              <c:numCache/>
            </c:numRef>
          </c:cat>
          <c:val>
            <c:numRef>
              <c:f>'flujo proyect para var.precio'!$H$72:$H$73</c:f>
              <c:numCache/>
            </c:numRef>
          </c:val>
          <c:smooth val="0"/>
        </c:ser>
        <c:ser>
          <c:idx val="2"/>
          <c:order val="2"/>
          <c:tx>
            <c:v>OPTIMISTA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25400">
                <a:solidFill>
                  <a:srgbClr val="FFFF00"/>
                </a:solidFill>
              </a:ln>
            </c:spPr>
            <c:marker>
              <c:symbol val="auto"/>
            </c:marker>
          </c:dPt>
          <c:cat>
            <c:numRef>
              <c:f>'flujo proyect para var.precio'!$B$70:$B$75</c:f>
              <c:numCache/>
            </c:numRef>
          </c:cat>
          <c:val>
            <c:numRef>
              <c:f>'flujo proyect para var.precio'!$H$74:$H$75</c:f>
              <c:numCache/>
            </c:numRef>
          </c:val>
          <c:smooth val="0"/>
        </c:ser>
        <c:marker val="1"/>
        <c:axId val="41131918"/>
        <c:axId val="34642943"/>
      </c:lineChart>
      <c:catAx>
        <c:axId val="41131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PRECIOS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42943"/>
        <c:crosses val="autoZero"/>
        <c:auto val="1"/>
        <c:lblOffset val="100"/>
        <c:noMultiLvlLbl val="0"/>
      </c:catAx>
      <c:valAx>
        <c:axId val="34642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TIR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319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ANALISIS DE SENSIBILIDAD - VAN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PESIMISTA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'flujo proyect para var.precio'!$B$70:$B$75</c:f>
              <c:numCache/>
            </c:numRef>
          </c:cat>
          <c:val>
            <c:numRef>
              <c:f>'flujo proyect para var.precio'!$I$70:$I$71</c:f>
              <c:numCache/>
            </c:numRef>
          </c:val>
          <c:smooth val="0"/>
        </c:ser>
        <c:ser>
          <c:idx val="1"/>
          <c:order val="1"/>
          <c:tx>
            <c:v>PROBABLE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'flujo proyect para var.precio'!$B$70:$B$75</c:f>
              <c:numCache/>
            </c:numRef>
          </c:cat>
          <c:val>
            <c:numRef>
              <c:f>'flujo proyect para var.precio'!$I$72:$I$73</c:f>
              <c:numCache/>
            </c:numRef>
          </c:val>
          <c:smooth val="0"/>
        </c:ser>
        <c:ser>
          <c:idx val="2"/>
          <c:order val="2"/>
          <c:tx>
            <c:v>OPTIMISTA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'flujo proyect para var.precio'!$B$70:$B$75</c:f>
              <c:numCache/>
            </c:numRef>
          </c:cat>
          <c:val>
            <c:numRef>
              <c:f>'flujo proyect para var.precio'!$I$74:$I$75</c:f>
              <c:numCache/>
            </c:numRef>
          </c:val>
          <c:smooth val="0"/>
        </c:ser>
        <c:marker val="1"/>
        <c:axId val="43351032"/>
        <c:axId val="54614969"/>
      </c:lineChart>
      <c:catAx>
        <c:axId val="43351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14969"/>
        <c:crosses val="autoZero"/>
        <c:auto val="1"/>
        <c:lblOffset val="100"/>
        <c:noMultiLvlLbl val="0"/>
      </c:catAx>
      <c:valAx>
        <c:axId val="54614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510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0.4945</cdr:y>
    </cdr:from>
    <cdr:to>
      <cdr:x>0.522</cdr:x>
      <cdr:y>0.53625</cdr:y>
    </cdr:to>
    <cdr:sp>
      <cdr:nvSpPr>
        <cdr:cNvPr id="1" name="TextBox 2"/>
        <cdr:cNvSpPr txBox="1">
          <a:spLocks noChangeArrowheads="1"/>
        </cdr:cNvSpPr>
      </cdr:nvSpPr>
      <cdr:spPr>
        <a:xfrm>
          <a:off x="3533775" y="2181225"/>
          <a:ext cx="114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|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0.49075</cdr:x>
      <cdr:y>0.4585</cdr:y>
    </cdr:from>
    <cdr:to>
      <cdr:x>0.5635</cdr:x>
      <cdr:y>0.5575</cdr:y>
    </cdr:to>
    <cdr:sp>
      <cdr:nvSpPr>
        <cdr:cNvPr id="1" name="TextBox 1"/>
        <cdr:cNvSpPr txBox="1">
          <a:spLocks noChangeArrowheads="1"/>
        </cdr:cNvSpPr>
      </cdr:nvSpPr>
      <cdr:spPr>
        <a:xfrm>
          <a:off x="2609850" y="1152525"/>
          <a:ext cx="3905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90</xdr:row>
      <xdr:rowOff>19050</xdr:rowOff>
    </xdr:from>
    <xdr:to>
      <xdr:col>13</xdr:col>
      <xdr:colOff>19050</xdr:colOff>
      <xdr:row>117</xdr:row>
      <xdr:rowOff>76200</xdr:rowOff>
    </xdr:to>
    <xdr:graphicFrame>
      <xdr:nvGraphicFramePr>
        <xdr:cNvPr id="1" name="Chart 1"/>
        <xdr:cNvGraphicFramePr/>
      </xdr:nvGraphicFramePr>
      <xdr:xfrm>
        <a:off x="1552575" y="14849475"/>
        <a:ext cx="70008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209550</xdr:colOff>
      <xdr:row>121</xdr:row>
      <xdr:rowOff>66675</xdr:rowOff>
    </xdr:from>
    <xdr:to>
      <xdr:col>17</xdr:col>
      <xdr:colOff>495300</xdr:colOff>
      <xdr:row>137</xdr:row>
      <xdr:rowOff>9525</xdr:rowOff>
    </xdr:to>
    <xdr:graphicFrame>
      <xdr:nvGraphicFramePr>
        <xdr:cNvPr id="2" name="Chart 2"/>
        <xdr:cNvGraphicFramePr/>
      </xdr:nvGraphicFramePr>
      <xdr:xfrm>
        <a:off x="6781800" y="19916775"/>
        <a:ext cx="53244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752475</xdr:colOff>
      <xdr:row>120</xdr:row>
      <xdr:rowOff>47625</xdr:rowOff>
    </xdr:from>
    <xdr:to>
      <xdr:col>11</xdr:col>
      <xdr:colOff>123825</xdr:colOff>
      <xdr:row>140</xdr:row>
      <xdr:rowOff>57150</xdr:rowOff>
    </xdr:to>
    <xdr:graphicFrame>
      <xdr:nvGraphicFramePr>
        <xdr:cNvPr id="3" name="Chart 4"/>
        <xdr:cNvGraphicFramePr/>
      </xdr:nvGraphicFramePr>
      <xdr:xfrm>
        <a:off x="752475" y="19735800"/>
        <a:ext cx="594360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45">
      <selection activeCell="E77" sqref="E77"/>
    </sheetView>
  </sheetViews>
  <sheetFormatPr defaultColWidth="11.421875" defaultRowHeight="12.75"/>
  <cols>
    <col min="2" max="2" width="18.7109375" style="0" customWidth="1"/>
    <col min="3" max="3" width="11.8515625" style="0" bestFit="1" customWidth="1"/>
    <col min="5" max="5" width="11.8515625" style="0" bestFit="1" customWidth="1"/>
    <col min="7" max="7" width="12.8515625" style="0" bestFit="1" customWidth="1"/>
    <col min="8" max="8" width="14.00390625" style="0" customWidth="1"/>
    <col min="9" max="9" width="15.140625" style="0" customWidth="1"/>
    <col min="10" max="10" width="14.28125" style="0" customWidth="1"/>
    <col min="11" max="11" width="15.140625" style="0" customWidth="1"/>
    <col min="12" max="12" width="11.8515625" style="0" bestFit="1" customWidth="1"/>
  </cols>
  <sheetData>
    <row r="1" spans="2:12" ht="12.75">
      <c r="B1" s="131" t="s">
        <v>0</v>
      </c>
      <c r="C1" s="132"/>
      <c r="H1" s="80"/>
      <c r="I1" s="80"/>
      <c r="J1" s="80"/>
      <c r="K1" s="80"/>
      <c r="L1" s="80"/>
    </row>
    <row r="2" spans="2:12" ht="12.75">
      <c r="B2" s="1" t="s">
        <v>1</v>
      </c>
      <c r="C2" s="2">
        <v>10275.93</v>
      </c>
      <c r="H2" s="80"/>
      <c r="I2" s="80"/>
      <c r="J2" s="80"/>
      <c r="K2" s="80"/>
      <c r="L2" s="80"/>
    </row>
    <row r="3" spans="2:12" ht="12.75">
      <c r="B3" s="1" t="s">
        <v>2</v>
      </c>
      <c r="C3" s="2">
        <v>37540.49</v>
      </c>
      <c r="H3" s="80"/>
      <c r="I3" s="80"/>
      <c r="J3" s="80"/>
      <c r="K3" s="80"/>
      <c r="L3" s="80"/>
    </row>
    <row r="4" spans="2:12" ht="12.75">
      <c r="B4" s="1" t="s">
        <v>20</v>
      </c>
      <c r="C4" s="2">
        <v>6000</v>
      </c>
      <c r="H4" s="80"/>
      <c r="I4" s="95"/>
      <c r="J4" s="80"/>
      <c r="K4" s="80"/>
      <c r="L4" s="96"/>
    </row>
    <row r="5" spans="2:12" ht="12.75">
      <c r="B5" s="1" t="s">
        <v>3</v>
      </c>
      <c r="C5" s="2">
        <v>911.5</v>
      </c>
      <c r="H5" s="80"/>
      <c r="I5" s="97"/>
      <c r="J5" s="80"/>
      <c r="K5" s="80"/>
      <c r="L5" s="80"/>
    </row>
    <row r="6" spans="2:12" ht="12.75">
      <c r="B6" s="1" t="s">
        <v>4</v>
      </c>
      <c r="C6" s="2">
        <v>1800</v>
      </c>
      <c r="H6" s="80"/>
      <c r="I6" s="97"/>
      <c r="J6" s="80"/>
      <c r="K6" s="80"/>
      <c r="L6" s="80"/>
    </row>
    <row r="7" spans="2:12" ht="12.75">
      <c r="B7" s="1" t="s">
        <v>5</v>
      </c>
      <c r="C7" s="2">
        <v>1300</v>
      </c>
      <c r="H7" s="80"/>
      <c r="I7" s="97"/>
      <c r="J7" s="80"/>
      <c r="K7" s="80"/>
      <c r="L7" s="80"/>
    </row>
    <row r="8" spans="2:12" ht="12.75">
      <c r="B8" s="1" t="s">
        <v>6</v>
      </c>
      <c r="C8" s="2">
        <v>40</v>
      </c>
      <c r="H8" s="80"/>
      <c r="I8" s="96"/>
      <c r="J8" s="80"/>
      <c r="K8" s="80"/>
      <c r="L8" s="96"/>
    </row>
    <row r="9" spans="2:12" ht="12.75">
      <c r="B9" s="1" t="s">
        <v>7</v>
      </c>
      <c r="C9" s="2">
        <v>40</v>
      </c>
      <c r="H9" s="80"/>
      <c r="I9" s="96"/>
      <c r="J9" s="80"/>
      <c r="K9" s="80"/>
      <c r="L9" s="80"/>
    </row>
    <row r="10" spans="2:12" ht="13.5" thickBot="1">
      <c r="B10" s="3" t="s">
        <v>8</v>
      </c>
      <c r="C10" s="4">
        <f>SUM(C2:C9)</f>
        <v>57907.92</v>
      </c>
      <c r="H10" s="80"/>
      <c r="I10" s="96"/>
      <c r="J10" s="80"/>
      <c r="K10" s="80"/>
      <c r="L10" s="96"/>
    </row>
    <row r="13" ht="13.5" thickBot="1"/>
    <row r="14" spans="2:3" ht="12.75">
      <c r="B14" s="133" t="s">
        <v>9</v>
      </c>
      <c r="C14" s="134"/>
    </row>
    <row r="15" spans="2:3" ht="12.75">
      <c r="B15" s="108" t="s">
        <v>15</v>
      </c>
      <c r="C15" s="136"/>
    </row>
    <row r="16" spans="2:3" ht="12.75">
      <c r="B16" s="1" t="s">
        <v>10</v>
      </c>
      <c r="C16" s="2">
        <v>220</v>
      </c>
    </row>
    <row r="17" spans="2:3" ht="12.75">
      <c r="B17" s="1" t="s">
        <v>11</v>
      </c>
      <c r="C17" s="2">
        <v>240</v>
      </c>
    </row>
    <row r="18" spans="2:3" ht="13.5" thickBot="1">
      <c r="B18" s="11" t="s">
        <v>16</v>
      </c>
      <c r="C18" s="5">
        <v>220</v>
      </c>
    </row>
    <row r="19" spans="2:3" ht="14.25" thickBot="1" thickTop="1">
      <c r="B19" s="12" t="s">
        <v>17</v>
      </c>
      <c r="C19" s="8">
        <f>SUM(C16:C18)</f>
        <v>680</v>
      </c>
    </row>
    <row r="20" spans="2:3" ht="13.5" thickBot="1">
      <c r="B20" s="135" t="s">
        <v>14</v>
      </c>
      <c r="C20" s="107"/>
    </row>
    <row r="21" spans="2:3" ht="12.75">
      <c r="B21" s="6" t="s">
        <v>12</v>
      </c>
      <c r="C21" s="7">
        <v>40</v>
      </c>
    </row>
    <row r="22" spans="2:3" ht="12.75">
      <c r="B22" s="1" t="s">
        <v>13</v>
      </c>
      <c r="C22" s="2">
        <v>20</v>
      </c>
    </row>
    <row r="23" spans="2:3" ht="13.5" thickBot="1">
      <c r="B23" s="1" t="s">
        <v>19</v>
      </c>
      <c r="C23" s="10">
        <v>35</v>
      </c>
    </row>
    <row r="24" spans="2:3" ht="13.5" thickTop="1">
      <c r="B24" s="12" t="s">
        <v>18</v>
      </c>
      <c r="C24" s="9">
        <f>SUM(C21:C23)</f>
        <v>95</v>
      </c>
    </row>
    <row r="25" spans="2:3" ht="13.5" thickBot="1">
      <c r="B25" s="3" t="s">
        <v>8</v>
      </c>
      <c r="C25" s="4">
        <f>C19+C24</f>
        <v>775</v>
      </c>
    </row>
    <row r="38" spans="1:5" ht="12.75">
      <c r="A38" s="37" t="s">
        <v>47</v>
      </c>
      <c r="D38">
        <v>0.05</v>
      </c>
      <c r="E38" t="s">
        <v>54</v>
      </c>
    </row>
    <row r="39" spans="1:4" ht="12.75">
      <c r="A39" s="37" t="s">
        <v>48</v>
      </c>
      <c r="D39">
        <v>0.072</v>
      </c>
    </row>
    <row r="41" ht="13.5" thickBot="1"/>
    <row r="42" spans="1:6" ht="15.75">
      <c r="A42" s="125" t="s">
        <v>39</v>
      </c>
      <c r="B42" s="126"/>
      <c r="C42" s="126"/>
      <c r="D42" s="127"/>
      <c r="E42" s="38"/>
      <c r="F42" s="38"/>
    </row>
    <row r="43" spans="1:11" ht="15.75">
      <c r="A43" s="122" t="s">
        <v>21</v>
      </c>
      <c r="B43" s="123"/>
      <c r="C43" s="123"/>
      <c r="D43" s="124"/>
      <c r="E43" s="34"/>
      <c r="F43" s="34"/>
      <c r="G43">
        <v>2009</v>
      </c>
      <c r="H43">
        <v>2010</v>
      </c>
      <c r="I43">
        <v>2011</v>
      </c>
      <c r="J43">
        <v>2012</v>
      </c>
      <c r="K43">
        <v>2013</v>
      </c>
    </row>
    <row r="44" spans="1:6" ht="12.75">
      <c r="A44" s="128" t="s">
        <v>40</v>
      </c>
      <c r="B44" s="129"/>
      <c r="C44" s="129"/>
      <c r="D44" s="130"/>
      <c r="E44" s="14"/>
      <c r="F44" s="14"/>
    </row>
    <row r="45" spans="1:6" ht="12.75">
      <c r="A45" s="119" t="s">
        <v>37</v>
      </c>
      <c r="B45" s="120"/>
      <c r="C45" s="120"/>
      <c r="D45" s="121"/>
      <c r="E45" s="15"/>
      <c r="F45" s="15"/>
    </row>
    <row r="46" spans="1:11" ht="12.75">
      <c r="A46" s="16" t="s">
        <v>26</v>
      </c>
      <c r="B46" s="17"/>
      <c r="C46" s="18">
        <v>6477.16</v>
      </c>
      <c r="D46" s="19"/>
      <c r="E46" s="21"/>
      <c r="F46" s="21"/>
      <c r="G46" s="13">
        <f>C46*12</f>
        <v>77725.92</v>
      </c>
      <c r="H46" s="13">
        <f>G46*(1+$D$38)</f>
        <v>81612.216</v>
      </c>
      <c r="I46" s="13">
        <f>H46*(1+$D$38)</f>
        <v>85692.82680000001</v>
      </c>
      <c r="J46" s="13">
        <f>I46*(1+$D$38)</f>
        <v>89977.46814000001</v>
      </c>
      <c r="K46" s="13">
        <f>J46*(1+$D$38)</f>
        <v>94476.34154700002</v>
      </c>
    </row>
    <row r="47" spans="1:11" ht="12.75">
      <c r="A47" s="20" t="s">
        <v>38</v>
      </c>
      <c r="B47" s="17"/>
      <c r="C47" s="21"/>
      <c r="D47" s="22">
        <v>6477.16</v>
      </c>
      <c r="E47" s="39">
        <f>D47*12</f>
        <v>77725.92</v>
      </c>
      <c r="F47" s="39"/>
      <c r="G47" s="13">
        <f>G46</f>
        <v>77725.92</v>
      </c>
      <c r="H47" s="13">
        <f>H46</f>
        <v>81612.216</v>
      </c>
      <c r="I47" s="13">
        <f>I46</f>
        <v>85692.82680000001</v>
      </c>
      <c r="J47" s="13">
        <f>J46</f>
        <v>89977.46814000001</v>
      </c>
      <c r="K47" s="13">
        <f>K46</f>
        <v>94476.34154700002</v>
      </c>
    </row>
    <row r="48" spans="1:7" ht="12.75">
      <c r="A48" s="23"/>
      <c r="B48" s="17"/>
      <c r="C48" s="21"/>
      <c r="D48" s="24"/>
      <c r="E48" s="40"/>
      <c r="F48" s="40"/>
      <c r="G48" s="13"/>
    </row>
    <row r="49" spans="1:7" ht="12.75">
      <c r="A49" s="119" t="s">
        <v>22</v>
      </c>
      <c r="B49" s="120"/>
      <c r="C49" s="120"/>
      <c r="D49" s="121"/>
      <c r="E49" s="15"/>
      <c r="F49" s="15"/>
      <c r="G49" s="13"/>
    </row>
    <row r="50" spans="1:11" ht="12.75">
      <c r="A50" s="16" t="s">
        <v>27</v>
      </c>
      <c r="B50" s="25"/>
      <c r="C50" s="26">
        <v>4430.5</v>
      </c>
      <c r="D50" s="24"/>
      <c r="E50" s="40">
        <f>C50*12</f>
        <v>53166</v>
      </c>
      <c r="F50" s="40"/>
      <c r="G50" s="13">
        <f>E50</f>
        <v>53166</v>
      </c>
      <c r="H50" s="13">
        <f>+G50*(1+$D$38)</f>
        <v>55824.3</v>
      </c>
      <c r="I50" s="13">
        <f>+H50*(1+$D$38)</f>
        <v>58615.51500000001</v>
      </c>
      <c r="J50" s="13">
        <f>+I50*(1+$D$38)</f>
        <v>61546.29075000001</v>
      </c>
      <c r="K50" s="13">
        <f>+J50*(1+$D$38)</f>
        <v>64623.60528750001</v>
      </c>
    </row>
    <row r="51" spans="1:11" ht="12.75">
      <c r="A51" s="16" t="s">
        <v>41</v>
      </c>
      <c r="B51" s="25"/>
      <c r="C51" s="26"/>
      <c r="D51" s="22">
        <f>D47-C50</f>
        <v>2046.6599999999999</v>
      </c>
      <c r="E51" s="39">
        <f>E47-E50</f>
        <v>24559.92</v>
      </c>
      <c r="F51" s="40"/>
      <c r="G51" s="35">
        <f>G47-G50</f>
        <v>24559.92</v>
      </c>
      <c r="H51" s="35">
        <f>H47-H50</f>
        <v>25787.915999999997</v>
      </c>
      <c r="I51" s="35">
        <f>I47-I50</f>
        <v>27077.311800000003</v>
      </c>
      <c r="J51" s="35">
        <f>J47-J50</f>
        <v>28431.177390000004</v>
      </c>
      <c r="K51" s="35">
        <f>K47-K50</f>
        <v>29852.73625950001</v>
      </c>
    </row>
    <row r="52" spans="1:7" ht="12.75">
      <c r="A52" s="23"/>
      <c r="B52" s="17"/>
      <c r="C52" s="21"/>
      <c r="D52" s="24"/>
      <c r="E52" s="40"/>
      <c r="F52" s="40"/>
      <c r="G52" s="13"/>
    </row>
    <row r="53" spans="1:7" ht="12.75">
      <c r="A53" s="27" t="s">
        <v>24</v>
      </c>
      <c r="B53" s="28"/>
      <c r="C53" s="21"/>
      <c r="D53" s="24"/>
      <c r="E53" s="44" t="s">
        <v>53</v>
      </c>
      <c r="F53" s="44" t="s">
        <v>52</v>
      </c>
      <c r="G53" s="13"/>
    </row>
    <row r="54" spans="1:11" ht="12.75">
      <c r="A54" s="16" t="s">
        <v>28</v>
      </c>
      <c r="B54" s="25"/>
      <c r="C54" s="26">
        <v>76</v>
      </c>
      <c r="D54" s="24"/>
      <c r="E54" s="40">
        <v>911.999986160371</v>
      </c>
      <c r="F54">
        <f>E54/$G$50</f>
        <v>0.017153819850287234</v>
      </c>
      <c r="G54" s="13">
        <f>G50*$F$54</f>
        <v>911.9999861603711</v>
      </c>
      <c r="H54" s="13">
        <f>H50*$F$54</f>
        <v>957.5999854683897</v>
      </c>
      <c r="I54" s="13">
        <f>I50*$F$54</f>
        <v>1005.4799847418092</v>
      </c>
      <c r="J54" s="13">
        <f>J50*$F$54</f>
        <v>1055.7539839788997</v>
      </c>
      <c r="K54" s="13">
        <f>K50*$F$54</f>
        <v>1108.5416831778448</v>
      </c>
    </row>
    <row r="55" spans="1:11" ht="12.75">
      <c r="A55" s="16" t="s">
        <v>29</v>
      </c>
      <c r="B55" s="25"/>
      <c r="C55" s="26">
        <v>40</v>
      </c>
      <c r="D55" s="24"/>
      <c r="E55" s="40">
        <v>480</v>
      </c>
      <c r="F55">
        <f>E55/$G$50</f>
        <v>0.00902832637399842</v>
      </c>
      <c r="G55" s="13">
        <f>G50*$F$55</f>
        <v>480</v>
      </c>
      <c r="H55" s="13">
        <f>H50*$F$55</f>
        <v>504.00000000000006</v>
      </c>
      <c r="I55" s="13">
        <f>I50*$F$55</f>
        <v>529.2</v>
      </c>
      <c r="J55" s="13">
        <f>J50*$F$55</f>
        <v>555.6600000000001</v>
      </c>
      <c r="K55" s="13">
        <f>K50*$F$55</f>
        <v>583.4430000000001</v>
      </c>
    </row>
    <row r="56" spans="1:11" ht="12.75">
      <c r="A56" s="16" t="s">
        <v>30</v>
      </c>
      <c r="B56" s="25"/>
      <c r="C56" s="26">
        <v>10</v>
      </c>
      <c r="D56" s="24"/>
      <c r="E56" s="40">
        <v>120</v>
      </c>
      <c r="F56">
        <f>E56/$G$50</f>
        <v>0.002257081593499605</v>
      </c>
      <c r="G56" s="13">
        <f>G50*$F$56</f>
        <v>120</v>
      </c>
      <c r="H56" s="13">
        <f>H50*$F$56</f>
        <v>126.00000000000001</v>
      </c>
      <c r="I56" s="13">
        <f>I50*$F$56</f>
        <v>132.3</v>
      </c>
      <c r="J56" s="13">
        <f>J50*$F$56</f>
        <v>138.91500000000002</v>
      </c>
      <c r="K56" s="13">
        <f>K50*$F$56</f>
        <v>145.86075000000002</v>
      </c>
    </row>
    <row r="57" spans="1:11" ht="12.75">
      <c r="A57" s="23"/>
      <c r="B57" s="17"/>
      <c r="C57" s="21"/>
      <c r="D57" s="24"/>
      <c r="E57" s="40"/>
      <c r="G57" s="13"/>
      <c r="H57" s="13"/>
      <c r="I57" s="13"/>
      <c r="J57" s="13"/>
      <c r="K57" s="13"/>
    </row>
    <row r="58" spans="1:11" ht="12.75">
      <c r="A58" s="27" t="s">
        <v>25</v>
      </c>
      <c r="B58" s="28"/>
      <c r="C58" s="21"/>
      <c r="D58" s="24"/>
      <c r="E58" s="40"/>
      <c r="G58" s="13"/>
      <c r="H58" s="13"/>
      <c r="I58" s="13"/>
      <c r="J58" s="13"/>
      <c r="K58" s="13"/>
    </row>
    <row r="59" spans="1:11" ht="12.75">
      <c r="A59" s="16" t="s">
        <v>23</v>
      </c>
      <c r="B59" s="25"/>
      <c r="C59" s="26">
        <v>680</v>
      </c>
      <c r="D59" s="24"/>
      <c r="E59" s="40">
        <v>8160</v>
      </c>
      <c r="F59">
        <f>E59/$G$50</f>
        <v>0.15348154835797315</v>
      </c>
      <c r="G59" s="13">
        <f>G50*$F$59</f>
        <v>8160</v>
      </c>
      <c r="H59" s="13">
        <f>H50*$F$59</f>
        <v>8568</v>
      </c>
      <c r="I59" s="13">
        <f>I50*$F$59</f>
        <v>8996.400000000001</v>
      </c>
      <c r="J59" s="13">
        <f>J50*$F$59</f>
        <v>9446.220000000001</v>
      </c>
      <c r="K59" s="13">
        <f>K50*$F$59</f>
        <v>9918.531000000003</v>
      </c>
    </row>
    <row r="60" spans="1:11" ht="12.75">
      <c r="A60" s="16" t="s">
        <v>14</v>
      </c>
      <c r="B60" s="25"/>
      <c r="C60" s="26">
        <v>95</v>
      </c>
      <c r="D60" s="24"/>
      <c r="E60" s="40">
        <v>1140</v>
      </c>
      <c r="F60">
        <f>E60/$G$50</f>
        <v>0.021442275138246248</v>
      </c>
      <c r="G60" s="13">
        <f>G50*$F$60</f>
        <v>1140</v>
      </c>
      <c r="H60" s="13">
        <f>H50*$F$60</f>
        <v>1197</v>
      </c>
      <c r="I60" s="13">
        <f>I50*$F$60</f>
        <v>1256.8500000000001</v>
      </c>
      <c r="J60" s="13">
        <f>J50*$F$60</f>
        <v>1319.6925</v>
      </c>
      <c r="K60" s="13">
        <f>K50*$F$60</f>
        <v>1385.6771250000002</v>
      </c>
    </row>
    <row r="61" spans="1:11" ht="12.75">
      <c r="A61" s="23"/>
      <c r="B61" s="17"/>
      <c r="C61" s="21"/>
      <c r="D61" s="24"/>
      <c r="E61" s="40"/>
      <c r="G61" s="13"/>
      <c r="H61" s="13"/>
      <c r="I61" s="13"/>
      <c r="J61" s="13"/>
      <c r="K61" s="13"/>
    </row>
    <row r="62" spans="1:11" ht="12.75">
      <c r="A62" s="27" t="s">
        <v>31</v>
      </c>
      <c r="B62" s="28"/>
      <c r="C62" s="21"/>
      <c r="D62" s="24"/>
      <c r="E62" s="40"/>
      <c r="G62" s="13"/>
      <c r="H62" s="13"/>
      <c r="I62" s="13"/>
      <c r="J62" s="13"/>
      <c r="K62" s="13"/>
    </row>
    <row r="63" spans="1:11" ht="12.75">
      <c r="A63" s="16" t="s">
        <v>32</v>
      </c>
      <c r="B63" s="25"/>
      <c r="C63" s="26">
        <v>40</v>
      </c>
      <c r="D63" s="24"/>
      <c r="E63" s="40">
        <v>480</v>
      </c>
      <c r="F63">
        <f>E63/$G$50</f>
        <v>0.00902832637399842</v>
      </c>
      <c r="G63" s="13">
        <f>G50*$F$63</f>
        <v>480</v>
      </c>
      <c r="H63" s="13">
        <f>H50*$F$63</f>
        <v>504.00000000000006</v>
      </c>
      <c r="I63" s="13">
        <f>I50*$F$63</f>
        <v>529.2</v>
      </c>
      <c r="J63" s="13">
        <f>J50*$F$63</f>
        <v>555.6600000000001</v>
      </c>
      <c r="K63" s="13">
        <f>K50*$F$63</f>
        <v>583.4430000000001</v>
      </c>
    </row>
    <row r="64" spans="1:11" ht="12.75">
      <c r="A64" s="16" t="s">
        <v>28</v>
      </c>
      <c r="B64" s="25"/>
      <c r="C64" s="26">
        <v>20</v>
      </c>
      <c r="D64" s="24"/>
      <c r="E64" s="40">
        <v>240</v>
      </c>
      <c r="F64">
        <f>E64/$G$50</f>
        <v>0.00451416318699921</v>
      </c>
      <c r="G64" s="13">
        <f>G50*$F$64</f>
        <v>240</v>
      </c>
      <c r="H64" s="13">
        <f>H50*$F$64</f>
        <v>252.00000000000003</v>
      </c>
      <c r="I64" s="13">
        <f>I50*$F$64</f>
        <v>264.6</v>
      </c>
      <c r="J64" s="13">
        <f>J50*$F$64</f>
        <v>277.83000000000004</v>
      </c>
      <c r="K64" s="13">
        <f>K50*$F$64</f>
        <v>291.72150000000005</v>
      </c>
    </row>
    <row r="65" spans="1:11" ht="12.75">
      <c r="A65" s="23"/>
      <c r="B65" s="17"/>
      <c r="C65" s="21"/>
      <c r="D65" s="24"/>
      <c r="E65" s="40"/>
      <c r="G65" s="13"/>
      <c r="H65" s="13"/>
      <c r="I65" s="13"/>
      <c r="J65" s="13"/>
      <c r="K65" s="13"/>
    </row>
    <row r="66" spans="1:11" ht="12.75">
      <c r="A66" s="27" t="s">
        <v>33</v>
      </c>
      <c r="B66" s="17"/>
      <c r="C66" s="21"/>
      <c r="D66" s="24"/>
      <c r="E66" s="40"/>
      <c r="G66" s="13"/>
      <c r="H66" s="13"/>
      <c r="I66" s="13"/>
      <c r="J66" s="13"/>
      <c r="K66" s="13"/>
    </row>
    <row r="67" spans="1:11" ht="12.75">
      <c r="A67" s="16" t="s">
        <v>34</v>
      </c>
      <c r="B67" s="25"/>
      <c r="C67" s="26">
        <v>100</v>
      </c>
      <c r="D67" s="24"/>
      <c r="E67" s="40">
        <v>1200</v>
      </c>
      <c r="F67">
        <f>E67/$G$50</f>
        <v>0.02257081593499605</v>
      </c>
      <c r="G67" s="13">
        <f>G50*$F$67</f>
        <v>1200</v>
      </c>
      <c r="H67" s="13">
        <f>H50*$F$67</f>
        <v>1260</v>
      </c>
      <c r="I67" s="13">
        <f>I50*$F$67</f>
        <v>1323.0000000000002</v>
      </c>
      <c r="J67" s="13">
        <f>J50*$F$67</f>
        <v>1389.15</v>
      </c>
      <c r="K67" s="13">
        <f>K50*$F$67</f>
        <v>1458.6075000000003</v>
      </c>
    </row>
    <row r="68" spans="1:11" ht="12.75">
      <c r="A68" s="16" t="s">
        <v>35</v>
      </c>
      <c r="B68" s="25"/>
      <c r="C68" s="26">
        <v>4</v>
      </c>
      <c r="D68" s="24"/>
      <c r="E68" s="40">
        <v>48</v>
      </c>
      <c r="F68">
        <f>E68/$G$50</f>
        <v>0.000902832637399842</v>
      </c>
      <c r="G68" s="13">
        <f>G50*$F$68</f>
        <v>48</v>
      </c>
      <c r="H68" s="13">
        <f>H50*$F$68</f>
        <v>50.400000000000006</v>
      </c>
      <c r="I68" s="13">
        <f>I50*$F$68</f>
        <v>52.92000000000001</v>
      </c>
      <c r="J68" s="13">
        <f>J50*$F$68</f>
        <v>55.56600000000001</v>
      </c>
      <c r="K68" s="13">
        <f>K50*$F$68</f>
        <v>58.34430000000001</v>
      </c>
    </row>
    <row r="69" spans="1:11" ht="12.75">
      <c r="A69" s="16" t="s">
        <v>58</v>
      </c>
      <c r="B69" s="25"/>
      <c r="C69" s="26">
        <v>250</v>
      </c>
      <c r="D69" s="24"/>
      <c r="E69" s="40">
        <f>C69*12</f>
        <v>3000</v>
      </c>
      <c r="F69">
        <f>E69/$G$50</f>
        <v>0.056427039837490124</v>
      </c>
      <c r="G69" s="13">
        <f>G50*$F$69</f>
        <v>3000</v>
      </c>
      <c r="H69" s="13">
        <f>H50*$F$69</f>
        <v>3150</v>
      </c>
      <c r="I69" s="13">
        <f>I50*$F$69</f>
        <v>3307.5000000000005</v>
      </c>
      <c r="J69" s="13">
        <f>J50*$F$69</f>
        <v>3472.8750000000005</v>
      </c>
      <c r="K69" s="13">
        <f>K50*$F$69</f>
        <v>3646.5187500000006</v>
      </c>
    </row>
    <row r="70" spans="1:11" ht="12.75">
      <c r="A70" s="16" t="s">
        <v>36</v>
      </c>
      <c r="B70" s="25"/>
      <c r="C70" s="26">
        <v>6</v>
      </c>
      <c r="D70" s="24"/>
      <c r="E70" s="40">
        <v>72</v>
      </c>
      <c r="F70">
        <f>E70/$G$50</f>
        <v>0.001354248956099763</v>
      </c>
      <c r="G70" s="13">
        <f>G50*$F$70</f>
        <v>72</v>
      </c>
      <c r="H70" s="13">
        <f>H50*$F$70</f>
        <v>75.6</v>
      </c>
      <c r="I70" s="13">
        <f>I50*$F$70</f>
        <v>79.38000000000001</v>
      </c>
      <c r="J70" s="13">
        <f>J50*$F$70</f>
        <v>83.349</v>
      </c>
      <c r="K70" s="13">
        <f>K50*$F$70</f>
        <v>87.51645</v>
      </c>
    </row>
    <row r="71" spans="1:11" ht="13.5" thickBot="1">
      <c r="A71" s="20" t="s">
        <v>42</v>
      </c>
      <c r="B71" s="17"/>
      <c r="C71" s="21"/>
      <c r="D71" s="29">
        <f>SUM(C50+C54+C55+C56+C59+C60+C63+C64+C67+C68+C70+C69)</f>
        <v>5751.5</v>
      </c>
      <c r="E71" s="39">
        <f>SUM(E54:E70)</f>
        <v>15851.999986160372</v>
      </c>
      <c r="F71" s="39"/>
      <c r="G71" s="13">
        <f>SUM(G54:G70)</f>
        <v>15851.999986160372</v>
      </c>
      <c r="H71" s="13">
        <f>SUM(H54:H70)</f>
        <v>16644.59998546839</v>
      </c>
      <c r="I71" s="13">
        <f>SUM(I54:I70)</f>
        <v>17476.829984741813</v>
      </c>
      <c r="J71" s="13">
        <f>SUM(J54:J70)</f>
        <v>18350.671483978902</v>
      </c>
      <c r="K71" s="13">
        <f>SUM(K54:K70)</f>
        <v>19268.205058177846</v>
      </c>
    </row>
    <row r="72" spans="1:11" ht="16.5" thickBot="1" thickTop="1">
      <c r="A72" s="30" t="s">
        <v>43</v>
      </c>
      <c r="B72" s="31"/>
      <c r="C72" s="32"/>
      <c r="D72" s="33">
        <f>D47-D71</f>
        <v>725.6599999999999</v>
      </c>
      <c r="E72" s="41">
        <f>E51-E71</f>
        <v>8707.920013839626</v>
      </c>
      <c r="F72" s="41"/>
      <c r="G72" s="35">
        <f>G51-G71</f>
        <v>8707.920013839626</v>
      </c>
      <c r="H72" s="35">
        <f>H51-H71</f>
        <v>9143.316014531607</v>
      </c>
      <c r="I72" s="35">
        <f>I51-I71</f>
        <v>9600.48181525819</v>
      </c>
      <c r="J72" s="35">
        <f>J51-J71</f>
        <v>10080.505906021102</v>
      </c>
      <c r="K72" s="35">
        <f>K51-K71</f>
        <v>10584.531201322163</v>
      </c>
    </row>
    <row r="73" spans="1:11" ht="12.75">
      <c r="A73" s="16" t="s">
        <v>44</v>
      </c>
      <c r="D73" s="13"/>
      <c r="G73" s="13">
        <f>G72*0.15</f>
        <v>1306.1880020759438</v>
      </c>
      <c r="H73" s="13">
        <f>H72*0.15</f>
        <v>1371.497402179741</v>
      </c>
      <c r="I73" s="13">
        <f>I72*0.15</f>
        <v>1440.0722722887285</v>
      </c>
      <c r="J73" s="13">
        <f>J72*0.15</f>
        <v>1512.0758859031653</v>
      </c>
      <c r="K73" s="13">
        <f>K72*0.15</f>
        <v>1587.6796801983244</v>
      </c>
    </row>
    <row r="74" spans="1:11" ht="12.75">
      <c r="A74" s="16" t="s">
        <v>45</v>
      </c>
      <c r="D74" s="13"/>
      <c r="G74">
        <f>(G72-G73)*0.25</f>
        <v>1850.4330029409207</v>
      </c>
      <c r="H74">
        <f>(H72-H73)*0.25</f>
        <v>1942.9546530879666</v>
      </c>
      <c r="I74">
        <f>(I72-I73)*0.25</f>
        <v>2040.1023857423654</v>
      </c>
      <c r="J74">
        <f>(J72-J73)*0.25</f>
        <v>2142.1075050294844</v>
      </c>
      <c r="K74">
        <f>(K72-K73)*0.25</f>
        <v>2249.21288028096</v>
      </c>
    </row>
    <row r="75" spans="1:11" ht="12.75">
      <c r="A75" s="36" t="s">
        <v>46</v>
      </c>
      <c r="G75" s="35">
        <f>G72-G73-G74</f>
        <v>5551.299008822762</v>
      </c>
      <c r="H75" s="35">
        <f>H72-H73-H74</f>
        <v>5828.863959263899</v>
      </c>
      <c r="I75" s="35">
        <f>I72-I73-I74</f>
        <v>6120.3071572270965</v>
      </c>
      <c r="J75" s="35">
        <f>J72-J73-J74</f>
        <v>6426.322515088454</v>
      </c>
      <c r="K75" s="35">
        <f>K72-K73-K74</f>
        <v>6747.638640842879</v>
      </c>
    </row>
    <row r="77" spans="1:7" ht="12.75">
      <c r="A77" s="37" t="s">
        <v>49</v>
      </c>
      <c r="F77" s="42">
        <f>NPV(D39,G75:K75)</f>
        <v>24851.098238580766</v>
      </c>
      <c r="G77" t="s">
        <v>50</v>
      </c>
    </row>
    <row r="78" spans="1:6" ht="12.75">
      <c r="A78" s="37" t="s">
        <v>51</v>
      </c>
      <c r="F78" s="43"/>
    </row>
  </sheetData>
  <mergeCells count="9">
    <mergeCell ref="B1:C1"/>
    <mergeCell ref="B14:C14"/>
    <mergeCell ref="B20:C20"/>
    <mergeCell ref="B15:C15"/>
    <mergeCell ref="A49:D49"/>
    <mergeCell ref="A43:D43"/>
    <mergeCell ref="A42:D42"/>
    <mergeCell ref="A44:D44"/>
    <mergeCell ref="A45:D4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M88"/>
  <sheetViews>
    <sheetView tabSelected="1" workbookViewId="0" topLeftCell="A109">
      <selection activeCell="A141" sqref="A141"/>
    </sheetView>
  </sheetViews>
  <sheetFormatPr defaultColWidth="11.421875" defaultRowHeight="12.75"/>
  <cols>
    <col min="3" max="3" width="22.140625" style="0" customWidth="1"/>
    <col min="4" max="4" width="11.8515625" style="0" hidden="1" customWidth="1"/>
    <col min="5" max="5" width="0" style="0" hidden="1" customWidth="1"/>
    <col min="6" max="6" width="11.8515625" style="0" hidden="1" customWidth="1"/>
    <col min="7" max="7" width="0" style="0" hidden="1" customWidth="1"/>
    <col min="8" max="8" width="11.57421875" style="0" customWidth="1"/>
    <col min="9" max="9" width="12.8515625" style="0" bestFit="1" customWidth="1"/>
    <col min="10" max="10" width="14.00390625" style="0" customWidth="1"/>
    <col min="11" max="11" width="15.140625" style="0" customWidth="1"/>
    <col min="12" max="12" width="14.28125" style="0" customWidth="1"/>
    <col min="13" max="13" width="15.140625" style="0" customWidth="1"/>
    <col min="14" max="14" width="11.8515625" style="0" bestFit="1" customWidth="1"/>
  </cols>
  <sheetData>
    <row r="12" spans="2:9" ht="12.75">
      <c r="B12" s="37" t="s">
        <v>47</v>
      </c>
      <c r="I12">
        <v>0.03</v>
      </c>
    </row>
    <row r="13" ht="12.75">
      <c r="B13" s="37" t="s">
        <v>48</v>
      </c>
    </row>
    <row r="14" ht="13.5" thickBot="1"/>
    <row r="15" spans="2:13" ht="15.75">
      <c r="B15" s="139" t="s">
        <v>39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1"/>
    </row>
    <row r="16" spans="2:13" ht="16.5" thickBot="1">
      <c r="B16" s="142" t="s">
        <v>64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4"/>
    </row>
    <row r="17" spans="2:13" ht="16.5" thickBot="1">
      <c r="B17" s="122"/>
      <c r="C17" s="123"/>
      <c r="D17" s="123"/>
      <c r="E17" s="124"/>
      <c r="F17" s="34"/>
      <c r="G17" s="34"/>
      <c r="H17" s="77" t="s">
        <v>65</v>
      </c>
      <c r="I17" s="78">
        <v>2009</v>
      </c>
      <c r="J17" s="79">
        <v>2010</v>
      </c>
      <c r="K17" s="78">
        <v>2011</v>
      </c>
      <c r="L17" s="78">
        <v>2012</v>
      </c>
      <c r="M17" s="78">
        <v>2013</v>
      </c>
    </row>
    <row r="18" spans="2:13" ht="12.75">
      <c r="B18" s="128"/>
      <c r="C18" s="129"/>
      <c r="D18" s="129"/>
      <c r="E18" s="130"/>
      <c r="F18" s="14"/>
      <c r="G18" s="14"/>
      <c r="H18" s="57"/>
      <c r="I18" s="63"/>
      <c r="J18" s="55"/>
      <c r="K18" s="63"/>
      <c r="L18" s="63"/>
      <c r="M18" s="63"/>
    </row>
    <row r="19" spans="2:13" ht="12.75">
      <c r="B19" s="119" t="s">
        <v>37</v>
      </c>
      <c r="C19" s="120"/>
      <c r="D19" s="120"/>
      <c r="E19" s="121"/>
      <c r="F19" s="15"/>
      <c r="G19" s="15"/>
      <c r="H19" s="58"/>
      <c r="I19" s="63"/>
      <c r="J19" s="55"/>
      <c r="K19" s="63"/>
      <c r="L19" s="63"/>
      <c r="M19" s="63"/>
    </row>
    <row r="20" spans="2:13" ht="12.75">
      <c r="B20" s="16" t="s">
        <v>26</v>
      </c>
      <c r="C20" s="17"/>
      <c r="D20" s="18">
        <v>6477.16</v>
      </c>
      <c r="E20" s="46"/>
      <c r="F20" s="47"/>
      <c r="G20" s="47"/>
      <c r="H20" s="59"/>
      <c r="I20" s="82">
        <v>77725.92</v>
      </c>
      <c r="J20" s="54">
        <f>I20*(1+$I$12)</f>
        <v>80057.6976</v>
      </c>
      <c r="K20" s="66">
        <f>J20*(1+$I$12)</f>
        <v>82459.428528</v>
      </c>
      <c r="L20" s="66">
        <f>K20*(1+$I$12)</f>
        <v>84933.21138384001</v>
      </c>
      <c r="M20" s="66">
        <f>L20*(1+$I$12)</f>
        <v>87481.20772535521</v>
      </c>
    </row>
    <row r="21" spans="2:13" ht="12.75">
      <c r="B21" s="20" t="s">
        <v>38</v>
      </c>
      <c r="C21" s="17"/>
      <c r="D21" s="47"/>
      <c r="E21" s="22">
        <v>6477.16</v>
      </c>
      <c r="F21" s="39">
        <f>E21*12</f>
        <v>77725.92</v>
      </c>
      <c r="G21" s="39"/>
      <c r="H21" s="60"/>
      <c r="I21" s="66">
        <f>I20</f>
        <v>77725.92</v>
      </c>
      <c r="J21" s="54">
        <f>J20</f>
        <v>80057.6976</v>
      </c>
      <c r="K21" s="66">
        <f>K20</f>
        <v>82459.428528</v>
      </c>
      <c r="L21" s="66">
        <f>L20</f>
        <v>84933.21138384001</v>
      </c>
      <c r="M21" s="66">
        <f>M20</f>
        <v>87481.20772535521</v>
      </c>
    </row>
    <row r="22" spans="2:13" ht="12.75">
      <c r="B22" s="23"/>
      <c r="C22" s="17"/>
      <c r="D22" s="47"/>
      <c r="E22" s="48"/>
      <c r="F22" s="49"/>
      <c r="G22" s="49"/>
      <c r="H22" s="61"/>
      <c r="I22" s="66"/>
      <c r="J22" s="55"/>
      <c r="K22" s="63"/>
      <c r="L22" s="63"/>
      <c r="M22" s="63"/>
    </row>
    <row r="23" spans="2:13" ht="12.75">
      <c r="B23" s="119" t="s">
        <v>22</v>
      </c>
      <c r="C23" s="120"/>
      <c r="D23" s="120"/>
      <c r="E23" s="121"/>
      <c r="F23" s="15"/>
      <c r="G23" s="15"/>
      <c r="H23" s="58"/>
      <c r="I23" s="66"/>
      <c r="J23" s="55"/>
      <c r="K23" s="63"/>
      <c r="L23" s="63"/>
      <c r="M23" s="63"/>
    </row>
    <row r="24" spans="2:13" ht="12.75">
      <c r="B24" s="16" t="s">
        <v>27</v>
      </c>
      <c r="C24" s="25"/>
      <c r="D24" s="26">
        <v>4430.5</v>
      </c>
      <c r="E24" s="48"/>
      <c r="F24" s="49">
        <f>D24*12</f>
        <v>53166</v>
      </c>
      <c r="G24" s="49"/>
      <c r="H24" s="61"/>
      <c r="I24" s="66">
        <f>F24</f>
        <v>53166</v>
      </c>
      <c r="J24" s="54">
        <f>+I24*(1+$I$12)</f>
        <v>54760.98</v>
      </c>
      <c r="K24" s="66">
        <f>+J24*(1+$I$12)</f>
        <v>56403.809400000006</v>
      </c>
      <c r="L24" s="66">
        <f>+K24*(1+$I$12)</f>
        <v>58095.92368200001</v>
      </c>
      <c r="M24" s="66">
        <f>+L24*(1+$I$12)</f>
        <v>59838.80139246001</v>
      </c>
    </row>
    <row r="25" spans="2:13" ht="12.75">
      <c r="B25" s="16" t="s">
        <v>41</v>
      </c>
      <c r="C25" s="25"/>
      <c r="D25" s="26"/>
      <c r="E25" s="22">
        <f>E21-D24</f>
        <v>2046.6599999999999</v>
      </c>
      <c r="F25" s="39">
        <f>F21-F24</f>
        <v>24559.92</v>
      </c>
      <c r="G25" s="49"/>
      <c r="H25" s="61"/>
      <c r="I25" s="67">
        <f>I21-I24</f>
        <v>24559.92</v>
      </c>
      <c r="J25" s="70">
        <f>J21-J24</f>
        <v>25296.717599999996</v>
      </c>
      <c r="K25" s="67">
        <f>K21-K24</f>
        <v>26055.619128</v>
      </c>
      <c r="L25" s="67">
        <f>L21-L24</f>
        <v>26837.287701840003</v>
      </c>
      <c r="M25" s="67">
        <f>M21-M24</f>
        <v>27642.406332895203</v>
      </c>
    </row>
    <row r="26" spans="2:13" ht="12.75">
      <c r="B26" s="23"/>
      <c r="C26" s="17"/>
      <c r="D26" s="47"/>
      <c r="E26" s="48"/>
      <c r="F26" s="49"/>
      <c r="G26" s="49"/>
      <c r="H26" s="61"/>
      <c r="I26" s="66"/>
      <c r="J26" s="55"/>
      <c r="K26" s="63"/>
      <c r="L26" s="63"/>
      <c r="M26" s="63"/>
    </row>
    <row r="27" spans="2:13" ht="12.75">
      <c r="B27" s="27" t="s">
        <v>24</v>
      </c>
      <c r="C27" s="28"/>
      <c r="D27" s="47"/>
      <c r="E27" s="48"/>
      <c r="F27" s="50" t="s">
        <v>53</v>
      </c>
      <c r="G27" s="50" t="s">
        <v>52</v>
      </c>
      <c r="H27" s="62"/>
      <c r="I27" s="66"/>
      <c r="J27" s="55"/>
      <c r="K27" s="63"/>
      <c r="L27" s="63"/>
      <c r="M27" s="63"/>
    </row>
    <row r="28" spans="2:13" ht="12.75">
      <c r="B28" s="16" t="s">
        <v>28</v>
      </c>
      <c r="C28" s="25"/>
      <c r="D28" s="26">
        <v>76</v>
      </c>
      <c r="E28" s="48"/>
      <c r="F28" s="49">
        <v>911.999986160371</v>
      </c>
      <c r="G28" s="52">
        <f>F28/$I$24</f>
        <v>0.017153819850287234</v>
      </c>
      <c r="H28" s="63"/>
      <c r="I28" s="66">
        <f>I24*$G$28</f>
        <v>911.9999861603711</v>
      </c>
      <c r="J28" s="54">
        <f>J24*$G$28</f>
        <v>939.3599857451823</v>
      </c>
      <c r="K28" s="66">
        <f>K24*$G$28</f>
        <v>967.5407853175377</v>
      </c>
      <c r="L28" s="66">
        <f>L24*$G$28</f>
        <v>996.5670088770639</v>
      </c>
      <c r="M28" s="66">
        <f>M24*$G$28</f>
        <v>1026.464019143376</v>
      </c>
    </row>
    <row r="29" spans="2:13" ht="12.75">
      <c r="B29" s="16" t="s">
        <v>29</v>
      </c>
      <c r="C29" s="25"/>
      <c r="D29" s="26">
        <v>40</v>
      </c>
      <c r="E29" s="48"/>
      <c r="F29" s="49">
        <v>480</v>
      </c>
      <c r="G29" s="52">
        <f>F29/$I$24</f>
        <v>0.00902832637399842</v>
      </c>
      <c r="H29" s="63"/>
      <c r="I29" s="66">
        <f>I24*$G$29</f>
        <v>480</v>
      </c>
      <c r="J29" s="54">
        <f>J24*$G$29</f>
        <v>494.40000000000003</v>
      </c>
      <c r="K29" s="66">
        <f>K24*$G$29</f>
        <v>509.2320000000001</v>
      </c>
      <c r="L29" s="66">
        <f>L24*$G$29</f>
        <v>524.5089600000001</v>
      </c>
      <c r="M29" s="66">
        <f>M24*$G$29</f>
        <v>540.2442288000001</v>
      </c>
    </row>
    <row r="30" spans="2:13" ht="12.75">
      <c r="B30" s="16" t="s">
        <v>30</v>
      </c>
      <c r="C30" s="25"/>
      <c r="D30" s="26">
        <v>10</v>
      </c>
      <c r="E30" s="48"/>
      <c r="F30" s="49">
        <v>120</v>
      </c>
      <c r="G30" s="52">
        <f>F30/$I$24</f>
        <v>0.002257081593499605</v>
      </c>
      <c r="H30" s="63"/>
      <c r="I30" s="66">
        <f>I24*$G$30</f>
        <v>120</v>
      </c>
      <c r="J30" s="54">
        <f>J24*$G$30</f>
        <v>123.60000000000001</v>
      </c>
      <c r="K30" s="66">
        <f>K24*$G$30</f>
        <v>127.30800000000002</v>
      </c>
      <c r="L30" s="66">
        <f>L24*$G$30</f>
        <v>131.12724000000003</v>
      </c>
      <c r="M30" s="66">
        <f>M24*$G$30</f>
        <v>135.06105720000002</v>
      </c>
    </row>
    <row r="31" spans="2:13" ht="12.75">
      <c r="B31" s="23"/>
      <c r="C31" s="17"/>
      <c r="D31" s="47"/>
      <c r="E31" s="48"/>
      <c r="F31" s="49"/>
      <c r="G31" s="52"/>
      <c r="H31" s="63"/>
      <c r="I31" s="66"/>
      <c r="J31" s="54"/>
      <c r="K31" s="66"/>
      <c r="L31" s="66"/>
      <c r="M31" s="66"/>
    </row>
    <row r="32" spans="2:13" ht="12.75">
      <c r="B32" s="27" t="s">
        <v>25</v>
      </c>
      <c r="C32" s="28"/>
      <c r="D32" s="47"/>
      <c r="E32" s="48"/>
      <c r="F32" s="49"/>
      <c r="G32" s="52"/>
      <c r="H32" s="63"/>
      <c r="I32" s="66"/>
      <c r="J32" s="54"/>
      <c r="K32" s="66"/>
      <c r="L32" s="66"/>
      <c r="M32" s="66"/>
    </row>
    <row r="33" spans="2:13" ht="12.75">
      <c r="B33" s="16" t="s">
        <v>23</v>
      </c>
      <c r="C33" s="25"/>
      <c r="D33" s="26">
        <v>680</v>
      </c>
      <c r="E33" s="48"/>
      <c r="F33" s="49">
        <v>8160</v>
      </c>
      <c r="G33" s="52">
        <f>F33/$I$24</f>
        <v>0.15348154835797315</v>
      </c>
      <c r="H33" s="63"/>
      <c r="I33" s="66">
        <f>I24*$G$33</f>
        <v>8160</v>
      </c>
      <c r="J33" s="54">
        <f>J24*$G$33</f>
        <v>8404.800000000001</v>
      </c>
      <c r="K33" s="66">
        <f>K24*$G$33</f>
        <v>8656.944000000001</v>
      </c>
      <c r="L33" s="66">
        <f>L24*$G$33</f>
        <v>8916.652320000001</v>
      </c>
      <c r="M33" s="66">
        <f>M24*$G$33</f>
        <v>9184.151889600002</v>
      </c>
    </row>
    <row r="34" spans="2:13" ht="12.75">
      <c r="B34" s="16" t="s">
        <v>14</v>
      </c>
      <c r="C34" s="25"/>
      <c r="D34" s="26">
        <v>95</v>
      </c>
      <c r="E34" s="48"/>
      <c r="F34" s="49">
        <v>1140</v>
      </c>
      <c r="G34" s="52">
        <f>F34/$I$24</f>
        <v>0.021442275138246248</v>
      </c>
      <c r="H34" s="63"/>
      <c r="I34" s="66">
        <f>I24*$G$34</f>
        <v>1140</v>
      </c>
      <c r="J34" s="54">
        <f>J24*$G$34</f>
        <v>1174.2</v>
      </c>
      <c r="K34" s="66">
        <f>K24*$G$34</f>
        <v>1209.4260000000002</v>
      </c>
      <c r="L34" s="66">
        <f>L24*$G$34</f>
        <v>1245.7087800000002</v>
      </c>
      <c r="M34" s="66">
        <f>M24*$G$34</f>
        <v>1283.0800434000002</v>
      </c>
    </row>
    <row r="35" spans="2:13" ht="12.75">
      <c r="B35" s="23"/>
      <c r="C35" s="17"/>
      <c r="D35" s="47"/>
      <c r="E35" s="48"/>
      <c r="F35" s="49"/>
      <c r="G35" s="52"/>
      <c r="H35" s="63"/>
      <c r="I35" s="66"/>
      <c r="J35" s="54"/>
      <c r="K35" s="66"/>
      <c r="L35" s="66"/>
      <c r="M35" s="66"/>
    </row>
    <row r="36" spans="2:13" ht="12.75">
      <c r="B36" s="27" t="s">
        <v>31</v>
      </c>
      <c r="C36" s="28"/>
      <c r="D36" s="47"/>
      <c r="E36" s="48"/>
      <c r="F36" s="49"/>
      <c r="G36" s="52"/>
      <c r="H36" s="63"/>
      <c r="I36" s="66"/>
      <c r="J36" s="54"/>
      <c r="K36" s="66"/>
      <c r="L36" s="66"/>
      <c r="M36" s="66"/>
    </row>
    <row r="37" spans="2:13" ht="12.75">
      <c r="B37" s="16" t="s">
        <v>32</v>
      </c>
      <c r="C37" s="25"/>
      <c r="D37" s="26">
        <v>40</v>
      </c>
      <c r="E37" s="48"/>
      <c r="F37" s="49">
        <v>480</v>
      </c>
      <c r="G37" s="52">
        <f>F37/$I$24</f>
        <v>0.00902832637399842</v>
      </c>
      <c r="H37" s="63"/>
      <c r="I37" s="66">
        <f>I24*$G$37</f>
        <v>480</v>
      </c>
      <c r="J37" s="54">
        <f>J24*$G$37</f>
        <v>494.40000000000003</v>
      </c>
      <c r="K37" s="66">
        <f>K24*$G$37</f>
        <v>509.2320000000001</v>
      </c>
      <c r="L37" s="66">
        <f>L24*$G$37</f>
        <v>524.5089600000001</v>
      </c>
      <c r="M37" s="66">
        <f>M24*$G$37</f>
        <v>540.2442288000001</v>
      </c>
    </row>
    <row r="38" spans="2:13" ht="12.75">
      <c r="B38" s="16" t="s">
        <v>28</v>
      </c>
      <c r="C38" s="25"/>
      <c r="D38" s="26">
        <v>20</v>
      </c>
      <c r="E38" s="48"/>
      <c r="F38" s="49">
        <v>240</v>
      </c>
      <c r="G38" s="52">
        <f>F38/$I$24</f>
        <v>0.00451416318699921</v>
      </c>
      <c r="H38" s="63"/>
      <c r="I38" s="66">
        <f>I24*$G$38</f>
        <v>240</v>
      </c>
      <c r="J38" s="54">
        <f>J24*$G$38</f>
        <v>247.20000000000002</v>
      </c>
      <c r="K38" s="66">
        <f>K24*$G$38</f>
        <v>254.61600000000004</v>
      </c>
      <c r="L38" s="66">
        <f>L24*$G$38</f>
        <v>262.25448000000006</v>
      </c>
      <c r="M38" s="66">
        <f>M24*$G$38</f>
        <v>270.12211440000004</v>
      </c>
    </row>
    <row r="39" spans="2:13" ht="12.75">
      <c r="B39" s="23"/>
      <c r="C39" s="17"/>
      <c r="D39" s="47"/>
      <c r="E39" s="48"/>
      <c r="F39" s="49"/>
      <c r="G39" s="52"/>
      <c r="H39" s="63"/>
      <c r="I39" s="66"/>
      <c r="J39" s="54"/>
      <c r="K39" s="66"/>
      <c r="L39" s="66"/>
      <c r="M39" s="66"/>
    </row>
    <row r="40" spans="2:13" ht="12.75">
      <c r="B40" s="27" t="s">
        <v>33</v>
      </c>
      <c r="C40" s="17"/>
      <c r="D40" s="47"/>
      <c r="E40" s="48"/>
      <c r="F40" s="49"/>
      <c r="G40" s="52"/>
      <c r="H40" s="63"/>
      <c r="I40" s="66"/>
      <c r="J40" s="54"/>
      <c r="K40" s="66"/>
      <c r="L40" s="66"/>
      <c r="M40" s="66"/>
    </row>
    <row r="41" spans="2:13" ht="12.75">
      <c r="B41" s="16" t="s">
        <v>34</v>
      </c>
      <c r="C41" s="25"/>
      <c r="D41" s="26">
        <v>100</v>
      </c>
      <c r="E41" s="48"/>
      <c r="F41" s="49">
        <v>1200</v>
      </c>
      <c r="G41" s="52">
        <f>F41/$I$24</f>
        <v>0.02257081593499605</v>
      </c>
      <c r="H41" s="63"/>
      <c r="I41" s="66">
        <f>I24*$G$41</f>
        <v>1200</v>
      </c>
      <c r="J41" s="54">
        <f>J24*$G$41</f>
        <v>1236</v>
      </c>
      <c r="K41" s="66">
        <f>K24*$G$41</f>
        <v>1273.0800000000002</v>
      </c>
      <c r="L41" s="66">
        <f>L24*$G$41</f>
        <v>1311.2724000000003</v>
      </c>
      <c r="M41" s="66">
        <f>M24*$G$41</f>
        <v>1350.6105720000003</v>
      </c>
    </row>
    <row r="42" spans="2:13" ht="12.75">
      <c r="B42" s="16" t="s">
        <v>35</v>
      </c>
      <c r="C42" s="25"/>
      <c r="D42" s="26">
        <v>4</v>
      </c>
      <c r="E42" s="48"/>
      <c r="F42" s="49">
        <v>48</v>
      </c>
      <c r="G42" s="52">
        <f>F42/$I$24</f>
        <v>0.000902832637399842</v>
      </c>
      <c r="H42" s="63"/>
      <c r="I42" s="66">
        <f>I24*$G$42</f>
        <v>48</v>
      </c>
      <c r="J42" s="54">
        <f>J24*$G$42</f>
        <v>49.440000000000005</v>
      </c>
      <c r="K42" s="66">
        <f>K24*$G$42</f>
        <v>50.92320000000001</v>
      </c>
      <c r="L42" s="66">
        <f>L24*$G$42</f>
        <v>52.45089600000001</v>
      </c>
      <c r="M42" s="66">
        <f>M24*$G$42</f>
        <v>54.02442288000001</v>
      </c>
    </row>
    <row r="43" spans="2:13" ht="12.75">
      <c r="B43" s="16" t="s">
        <v>58</v>
      </c>
      <c r="C43" s="25"/>
      <c r="D43" s="26">
        <v>250</v>
      </c>
      <c r="E43" s="48"/>
      <c r="F43" s="49">
        <f>D43*12</f>
        <v>3000</v>
      </c>
      <c r="G43" s="52">
        <f>F43/$I$24</f>
        <v>0.056427039837490124</v>
      </c>
      <c r="H43" s="63"/>
      <c r="I43" s="66">
        <f>I24*$G$43</f>
        <v>3000</v>
      </c>
      <c r="J43" s="54">
        <f>J24*$G$43</f>
        <v>3090</v>
      </c>
      <c r="K43" s="66">
        <f>K24*$G$43</f>
        <v>3182.7000000000003</v>
      </c>
      <c r="L43" s="66">
        <f>L24*$G$43</f>
        <v>3278.1810000000005</v>
      </c>
      <c r="M43" s="66">
        <f>M24*$G$43</f>
        <v>3376.5264300000003</v>
      </c>
    </row>
    <row r="44" spans="2:13" ht="12.75">
      <c r="B44" s="16" t="s">
        <v>36</v>
      </c>
      <c r="C44" s="25"/>
      <c r="D44" s="26">
        <v>6</v>
      </c>
      <c r="E44" s="48"/>
      <c r="F44" s="49">
        <v>72</v>
      </c>
      <c r="G44" s="52">
        <f>F44/$I$24</f>
        <v>0.001354248956099763</v>
      </c>
      <c r="H44" s="63"/>
      <c r="I44" s="66">
        <f>I24*$G$44</f>
        <v>72</v>
      </c>
      <c r="J44" s="54">
        <f>J24*$G$44</f>
        <v>74.16</v>
      </c>
      <c r="K44" s="66">
        <f>K24*$G$44</f>
        <v>76.3848</v>
      </c>
      <c r="L44" s="66">
        <f>L24*$G$44</f>
        <v>78.676344</v>
      </c>
      <c r="M44" s="66">
        <f>M24*$G$44</f>
        <v>81.03663432</v>
      </c>
    </row>
    <row r="45" spans="2:13" ht="13.5" thickBot="1">
      <c r="B45" s="20" t="s">
        <v>42</v>
      </c>
      <c r="C45" s="17"/>
      <c r="D45" s="47"/>
      <c r="E45" s="29">
        <f>SUM(D24+D28+D29+D30+D33+D34+D37+D38+D41+D42+D44+D43)</f>
        <v>5751.5</v>
      </c>
      <c r="F45" s="39">
        <f>SUM(F28:F44)</f>
        <v>15851.999986160372</v>
      </c>
      <c r="G45" s="39"/>
      <c r="H45" s="60"/>
      <c r="I45" s="67">
        <f>SUM(I28:I44)</f>
        <v>15851.999986160372</v>
      </c>
      <c r="J45" s="70">
        <f>SUM(J28:J44)</f>
        <v>16327.559985745185</v>
      </c>
      <c r="K45" s="67">
        <f>SUM(K28:K44)</f>
        <v>16817.386785317536</v>
      </c>
      <c r="L45" s="67">
        <f>SUM(L28:L44)</f>
        <v>17321.908388877066</v>
      </c>
      <c r="M45" s="67">
        <f>SUM(M28:M44)</f>
        <v>17841.565640543377</v>
      </c>
    </row>
    <row r="46" spans="2:13" ht="16.5" thickBot="1" thickTop="1">
      <c r="B46" s="30" t="s">
        <v>43</v>
      </c>
      <c r="C46" s="31"/>
      <c r="D46" s="51"/>
      <c r="E46" s="33">
        <f>E21-E45</f>
        <v>725.6599999999999</v>
      </c>
      <c r="F46" s="41">
        <f>F25-F45</f>
        <v>8707.920013839626</v>
      </c>
      <c r="G46" s="41"/>
      <c r="H46" s="64"/>
      <c r="I46" s="67">
        <f>I25-I45</f>
        <v>8707.920013839626</v>
      </c>
      <c r="J46" s="70">
        <f>J25-J45</f>
        <v>8969.157614254811</v>
      </c>
      <c r="K46" s="67">
        <f>K25-K45</f>
        <v>9238.232342682462</v>
      </c>
      <c r="L46" s="67">
        <f>L25-L45</f>
        <v>9515.379312962938</v>
      </c>
      <c r="M46" s="67">
        <f>M25-M45</f>
        <v>9800.840692351827</v>
      </c>
    </row>
    <row r="47" spans="2:13" ht="12.75">
      <c r="B47" s="16" t="s">
        <v>44</v>
      </c>
      <c r="C47" s="17"/>
      <c r="D47" s="17"/>
      <c r="E47" s="54"/>
      <c r="F47" s="52"/>
      <c r="G47" s="52"/>
      <c r="H47" s="63"/>
      <c r="I47" s="68">
        <f>I46*0.15</f>
        <v>1306.1880020759438</v>
      </c>
      <c r="J47" s="71">
        <f>J46*0.15</f>
        <v>1345.3736421382216</v>
      </c>
      <c r="K47" s="68">
        <f>K46*0.15</f>
        <v>1385.7348514023693</v>
      </c>
      <c r="L47" s="68">
        <f>L46*0.15</f>
        <v>1427.3068969444405</v>
      </c>
      <c r="M47" s="68">
        <f>M46*0.15</f>
        <v>1470.126103852774</v>
      </c>
    </row>
    <row r="48" spans="2:13" ht="12.75">
      <c r="B48" s="16" t="s">
        <v>45</v>
      </c>
      <c r="C48" s="17"/>
      <c r="D48" s="17"/>
      <c r="E48" s="54"/>
      <c r="F48" s="52"/>
      <c r="G48" s="52"/>
      <c r="H48" s="63"/>
      <c r="I48" s="75">
        <f>(I46-I47)*0.25</f>
        <v>1850.4330029409207</v>
      </c>
      <c r="J48" s="76">
        <f>(J46-J47)*0.25</f>
        <v>1905.9459930291473</v>
      </c>
      <c r="K48" s="75">
        <f>(K46-K47)*0.25</f>
        <v>1963.1243728200234</v>
      </c>
      <c r="L48" s="75">
        <f>(L46-L47)*0.25</f>
        <v>2022.0181040046243</v>
      </c>
      <c r="M48" s="75">
        <f>(M46-M47)*0.25</f>
        <v>2082.6786471247633</v>
      </c>
    </row>
    <row r="49" spans="2:13" ht="13.5" thickBot="1">
      <c r="B49" s="36" t="s">
        <v>46</v>
      </c>
      <c r="C49" s="17"/>
      <c r="D49" s="17"/>
      <c r="E49" s="55"/>
      <c r="F49" s="52"/>
      <c r="G49" s="52"/>
      <c r="H49" s="84">
        <v>-9091.5</v>
      </c>
      <c r="I49" s="67">
        <f>I46-I47-I48</f>
        <v>5551.299008822762</v>
      </c>
      <c r="J49" s="72">
        <f>J46-J47-J48</f>
        <v>5717.837979087442</v>
      </c>
      <c r="K49" s="69">
        <f>K46-K47-K48</f>
        <v>5889.37311846007</v>
      </c>
      <c r="L49" s="69">
        <f>L46-L47-L48</f>
        <v>6066.054312013873</v>
      </c>
      <c r="M49" s="69">
        <f>M46-M47-M48</f>
        <v>6248.03594137429</v>
      </c>
    </row>
    <row r="50" spans="2:13" ht="12.75">
      <c r="B50" s="23" t="s">
        <v>48</v>
      </c>
      <c r="C50" s="17"/>
      <c r="D50" s="17"/>
      <c r="E50" s="55"/>
      <c r="F50" s="52"/>
      <c r="G50" s="52"/>
      <c r="H50" s="63"/>
      <c r="I50" s="81">
        <v>0.072</v>
      </c>
      <c r="J50" s="52"/>
      <c r="K50" s="52"/>
      <c r="L50" s="52"/>
      <c r="M50" s="52"/>
    </row>
    <row r="51" spans="2:13" ht="12.75">
      <c r="B51" s="20" t="s">
        <v>49</v>
      </c>
      <c r="C51" s="17"/>
      <c r="D51" s="17"/>
      <c r="E51" s="55"/>
      <c r="F51" s="52"/>
      <c r="G51" s="52"/>
      <c r="H51" s="63"/>
      <c r="I51" s="73">
        <f>NPV(I50,H49:M49)</f>
        <v>13852.45023705237</v>
      </c>
      <c r="J51" s="52"/>
      <c r="K51" s="52"/>
      <c r="L51" s="52"/>
      <c r="M51" s="52"/>
    </row>
    <row r="52" spans="2:13" ht="13.5" thickBot="1">
      <c r="B52" s="30" t="s">
        <v>51</v>
      </c>
      <c r="C52" s="31"/>
      <c r="D52" s="31"/>
      <c r="E52" s="56"/>
      <c r="F52" s="52"/>
      <c r="G52" s="53"/>
      <c r="H52" s="65"/>
      <c r="I52" s="74">
        <f>IRR(H49:M49)</f>
        <v>0.5652671521492959</v>
      </c>
      <c r="J52" s="52"/>
      <c r="K52" s="52"/>
      <c r="L52" s="52"/>
      <c r="M52" s="52"/>
    </row>
    <row r="54" ht="12.75">
      <c r="I54" t="s">
        <v>50</v>
      </c>
    </row>
    <row r="57" spans="1:10" ht="12.75">
      <c r="A57" s="137" t="s">
        <v>83</v>
      </c>
      <c r="B57" s="137"/>
      <c r="C57" s="137"/>
      <c r="D57" s="137"/>
      <c r="E57" s="137"/>
      <c r="F57" s="137"/>
      <c r="G57" s="137"/>
      <c r="H57" s="137"/>
      <c r="I57" s="137"/>
      <c r="J57" s="137"/>
    </row>
    <row r="58" spans="1:13" ht="12.75">
      <c r="A58" s="98" t="s">
        <v>69</v>
      </c>
      <c r="B58" s="104" t="s">
        <v>70</v>
      </c>
      <c r="C58" s="104" t="s">
        <v>71</v>
      </c>
      <c r="D58" s="104"/>
      <c r="E58" s="104"/>
      <c r="F58" s="104"/>
      <c r="G58" s="104"/>
      <c r="H58" s="105" t="s">
        <v>72</v>
      </c>
      <c r="I58" s="105" t="s">
        <v>73</v>
      </c>
      <c r="J58" s="105" t="s">
        <v>74</v>
      </c>
      <c r="K58" s="103"/>
      <c r="L58" s="103"/>
      <c r="M58" s="103"/>
    </row>
    <row r="59" spans="1:13" ht="12.75">
      <c r="A59" s="98">
        <v>28.66</v>
      </c>
      <c r="B59" s="104">
        <v>113</v>
      </c>
      <c r="C59" s="104">
        <f>B59*A59</f>
        <v>3238.58</v>
      </c>
      <c r="D59" s="104"/>
      <c r="E59" s="104"/>
      <c r="F59" s="104"/>
      <c r="G59" s="104"/>
      <c r="H59" s="106">
        <f aca="true" t="shared" si="0" ref="H59:H64">C59*24</f>
        <v>77725.92</v>
      </c>
      <c r="I59" s="109">
        <v>0.57</v>
      </c>
      <c r="J59" s="110">
        <v>13852.45023705237</v>
      </c>
      <c r="K59" s="100"/>
      <c r="L59" s="100"/>
      <c r="M59" s="100"/>
    </row>
    <row r="60" spans="1:13" ht="12.75">
      <c r="A60" s="98">
        <v>28.66</v>
      </c>
      <c r="B60" s="104">
        <v>120</v>
      </c>
      <c r="C60" s="104">
        <f>A60*B60</f>
        <v>3439.2</v>
      </c>
      <c r="D60" s="104"/>
      <c r="E60" s="104"/>
      <c r="F60" s="104"/>
      <c r="G60" s="104"/>
      <c r="H60" s="106">
        <f t="shared" si="0"/>
        <v>82540.79999999999</v>
      </c>
      <c r="I60" s="109">
        <v>0.94</v>
      </c>
      <c r="J60" s="110">
        <v>26201.241892173366</v>
      </c>
      <c r="K60" s="100" t="s">
        <v>75</v>
      </c>
      <c r="L60" s="100"/>
      <c r="M60" s="100"/>
    </row>
    <row r="61" spans="1:13" ht="12.75">
      <c r="A61" s="98">
        <v>28.66</v>
      </c>
      <c r="B61" s="111">
        <v>105.148</v>
      </c>
      <c r="C61" s="112">
        <f>A61*B61</f>
        <v>3013.54168</v>
      </c>
      <c r="D61" s="104"/>
      <c r="E61" s="104"/>
      <c r="F61" s="104"/>
      <c r="G61" s="104"/>
      <c r="H61" s="106">
        <f t="shared" si="0"/>
        <v>72325.00031999999</v>
      </c>
      <c r="I61" s="109">
        <v>0.07</v>
      </c>
      <c r="J61" s="113">
        <v>0</v>
      </c>
      <c r="K61" s="100"/>
      <c r="L61" s="100"/>
      <c r="M61" s="100"/>
    </row>
    <row r="62" spans="1:13" ht="12.75">
      <c r="A62" s="98">
        <v>28.66</v>
      </c>
      <c r="B62" s="104">
        <v>110</v>
      </c>
      <c r="C62" s="104">
        <f>B62*A62</f>
        <v>3152.6</v>
      </c>
      <c r="D62" s="104"/>
      <c r="E62" s="104"/>
      <c r="F62" s="104"/>
      <c r="G62" s="104"/>
      <c r="H62" s="106">
        <f t="shared" si="0"/>
        <v>75662.4</v>
      </c>
      <c r="I62" s="109">
        <v>0.39</v>
      </c>
      <c r="J62" s="113">
        <v>8560.110956286226</v>
      </c>
      <c r="K62" s="100"/>
      <c r="L62" s="100"/>
      <c r="M62" s="100"/>
    </row>
    <row r="63" spans="1:13" ht="12.75">
      <c r="A63" s="98">
        <v>28.66</v>
      </c>
      <c r="B63" s="104">
        <v>104.2</v>
      </c>
      <c r="C63" s="104">
        <f>A63*B63</f>
        <v>2986.3720000000003</v>
      </c>
      <c r="D63" s="104"/>
      <c r="E63" s="104"/>
      <c r="F63" s="104"/>
      <c r="G63" s="104"/>
      <c r="H63" s="106">
        <f t="shared" si="0"/>
        <v>71672.92800000001</v>
      </c>
      <c r="I63" s="109">
        <v>0</v>
      </c>
      <c r="J63" s="113">
        <v>-1671.744986528255</v>
      </c>
      <c r="K63" s="100"/>
      <c r="L63" s="100"/>
      <c r="M63" s="100"/>
    </row>
    <row r="64" spans="1:13" ht="12.75">
      <c r="A64" s="98">
        <v>28.66</v>
      </c>
      <c r="B64" s="104">
        <v>106</v>
      </c>
      <c r="C64" s="104">
        <f>A64*B64</f>
        <v>3037.96</v>
      </c>
      <c r="D64" s="104"/>
      <c r="E64" s="104"/>
      <c r="F64" s="104"/>
      <c r="G64" s="104"/>
      <c r="H64" s="106">
        <f t="shared" si="0"/>
        <v>72911.04000000001</v>
      </c>
      <c r="I64" s="109">
        <v>0.13</v>
      </c>
      <c r="J64" s="113">
        <v>1503.6585819314084</v>
      </c>
      <c r="K64" s="100"/>
      <c r="L64" s="100"/>
      <c r="M64" s="100"/>
    </row>
    <row r="65" spans="1:13" ht="12.75">
      <c r="A65" s="101"/>
      <c r="B65" s="101"/>
      <c r="C65" s="101"/>
      <c r="D65" s="101"/>
      <c r="E65" s="101"/>
      <c r="F65" s="101"/>
      <c r="G65" s="101"/>
      <c r="H65" s="99"/>
      <c r="I65" s="100"/>
      <c r="J65" s="100"/>
      <c r="K65" s="100"/>
      <c r="L65" s="100"/>
      <c r="M65" s="100"/>
    </row>
    <row r="66" spans="1:13" ht="12.75">
      <c r="A66" s="101"/>
      <c r="B66" s="101"/>
      <c r="C66" s="101"/>
      <c r="D66" s="101"/>
      <c r="E66" s="101"/>
      <c r="F66" s="101"/>
      <c r="G66" s="101"/>
      <c r="H66" s="99"/>
      <c r="I66" s="100"/>
      <c r="J66" s="100"/>
      <c r="K66" s="100"/>
      <c r="L66" s="100"/>
      <c r="M66" s="100"/>
    </row>
    <row r="67" spans="1:13" ht="12.75">
      <c r="A67" s="101"/>
      <c r="B67" s="101"/>
      <c r="C67" s="101"/>
      <c r="D67" s="101"/>
      <c r="E67" s="101"/>
      <c r="F67" s="101"/>
      <c r="G67" s="101"/>
      <c r="H67" s="99"/>
      <c r="I67" s="100"/>
      <c r="J67" s="100"/>
      <c r="K67" s="100"/>
      <c r="L67" s="100"/>
      <c r="M67" s="100"/>
    </row>
    <row r="68" spans="1:13" ht="12.75">
      <c r="A68" s="138" t="s">
        <v>86</v>
      </c>
      <c r="B68" s="138"/>
      <c r="C68" s="138"/>
      <c r="D68" s="138"/>
      <c r="E68" s="138"/>
      <c r="F68" s="138"/>
      <c r="G68" s="138"/>
      <c r="H68" s="138"/>
      <c r="I68" s="138"/>
      <c r="J68" s="100"/>
      <c r="K68" s="100"/>
      <c r="L68" s="100"/>
      <c r="M68" s="100"/>
    </row>
    <row r="69" spans="1:13" ht="12.75">
      <c r="A69" s="111" t="s">
        <v>78</v>
      </c>
      <c r="B69" s="111" t="s">
        <v>76</v>
      </c>
      <c r="C69" s="111" t="s">
        <v>77</v>
      </c>
      <c r="D69" s="111"/>
      <c r="E69" s="111"/>
      <c r="F69" s="111"/>
      <c r="G69" s="111"/>
      <c r="H69" s="114" t="s">
        <v>51</v>
      </c>
      <c r="I69" s="114" t="s">
        <v>49</v>
      </c>
      <c r="J69" s="101"/>
      <c r="K69" s="101"/>
      <c r="L69" s="101"/>
      <c r="M69" s="101"/>
    </row>
    <row r="70" spans="1:13" ht="12.75">
      <c r="A70" s="147" t="s">
        <v>79</v>
      </c>
      <c r="B70" s="91">
        <v>104.2</v>
      </c>
      <c r="C70" s="115">
        <v>69019.24128</v>
      </c>
      <c r="D70" s="116"/>
      <c r="E70" s="116"/>
      <c r="F70" s="116"/>
      <c r="G70" s="116"/>
      <c r="H70" s="117">
        <v>0</v>
      </c>
      <c r="I70" s="115">
        <v>-1671.744986528255</v>
      </c>
      <c r="J70" s="101"/>
      <c r="K70" s="101"/>
      <c r="L70" s="101"/>
      <c r="M70" s="101"/>
    </row>
    <row r="71" spans="1:13" ht="12.75">
      <c r="A71" s="147"/>
      <c r="B71" s="91">
        <v>105.148</v>
      </c>
      <c r="C71" s="115">
        <v>70159.68</v>
      </c>
      <c r="D71" s="116"/>
      <c r="E71" s="116"/>
      <c r="F71" s="116"/>
      <c r="G71" s="116"/>
      <c r="H71" s="117">
        <v>0.07</v>
      </c>
      <c r="I71" s="118">
        <v>0</v>
      </c>
      <c r="J71" s="101"/>
      <c r="K71" s="101"/>
      <c r="L71" s="101"/>
      <c r="M71" s="101"/>
    </row>
    <row r="72" spans="1:9" ht="12.75">
      <c r="A72" s="148" t="s">
        <v>80</v>
      </c>
      <c r="B72" s="91">
        <v>106</v>
      </c>
      <c r="C72" s="87">
        <v>71672.92800000001</v>
      </c>
      <c r="D72" s="86"/>
      <c r="E72" s="86"/>
      <c r="F72" s="86"/>
      <c r="G72" s="86"/>
      <c r="H72" s="90">
        <v>0.13</v>
      </c>
      <c r="I72" s="115">
        <v>1503.6585819314084</v>
      </c>
    </row>
    <row r="73" spans="1:9" ht="12.75">
      <c r="A73" s="148"/>
      <c r="B73" s="91">
        <v>110</v>
      </c>
      <c r="C73" s="87">
        <v>72223.2</v>
      </c>
      <c r="D73" s="86"/>
      <c r="E73" s="86"/>
      <c r="F73" s="86"/>
      <c r="G73" s="86"/>
      <c r="H73" s="90">
        <v>0.39</v>
      </c>
      <c r="I73" s="115">
        <v>8560.110956286226</v>
      </c>
    </row>
    <row r="74" spans="1:9" ht="12.75">
      <c r="A74" s="148" t="s">
        <v>81</v>
      </c>
      <c r="B74" s="91">
        <v>113</v>
      </c>
      <c r="C74" s="87">
        <v>77725.92</v>
      </c>
      <c r="D74" s="86"/>
      <c r="E74" s="86"/>
      <c r="F74" s="86"/>
      <c r="G74" s="86"/>
      <c r="H74" s="90">
        <v>0.57</v>
      </c>
      <c r="I74" s="115">
        <v>13852.45023705237</v>
      </c>
    </row>
    <row r="75" spans="1:9" ht="13.5" thickBot="1">
      <c r="A75" s="158"/>
      <c r="B75" s="159">
        <v>120</v>
      </c>
      <c r="C75" s="160">
        <v>82540.8</v>
      </c>
      <c r="D75" s="161"/>
      <c r="E75" s="161"/>
      <c r="F75" s="161"/>
      <c r="G75" s="161"/>
      <c r="H75" s="162">
        <v>0.94</v>
      </c>
      <c r="I75" s="115">
        <v>26201.241892173366</v>
      </c>
    </row>
    <row r="76" spans="1:13" ht="13.5" thickBot="1">
      <c r="A76" s="164" t="s">
        <v>87</v>
      </c>
      <c r="B76" s="165"/>
      <c r="C76" s="165"/>
      <c r="D76" s="165"/>
      <c r="E76" s="165"/>
      <c r="F76" s="165"/>
      <c r="G76" s="165"/>
      <c r="H76" s="166"/>
      <c r="I76" s="101"/>
      <c r="J76" s="101"/>
      <c r="K76" s="101"/>
      <c r="L76" s="101"/>
      <c r="M76" s="101"/>
    </row>
    <row r="77" spans="1:13" ht="12.75">
      <c r="A77" s="88" t="s">
        <v>78</v>
      </c>
      <c r="B77" s="89" t="s">
        <v>76</v>
      </c>
      <c r="C77" s="94" t="s">
        <v>51</v>
      </c>
      <c r="D77" s="80"/>
      <c r="E77" s="80"/>
      <c r="F77" s="80"/>
      <c r="G77" s="80"/>
      <c r="H77" s="167" t="s">
        <v>49</v>
      </c>
      <c r="I77" s="100"/>
      <c r="J77" s="100"/>
      <c r="K77" s="100"/>
      <c r="L77" s="100"/>
      <c r="M77" s="100"/>
    </row>
    <row r="78" spans="1:13" ht="12.75">
      <c r="A78" s="145" t="s">
        <v>79</v>
      </c>
      <c r="B78" s="91">
        <v>104.2</v>
      </c>
      <c r="C78" s="90">
        <v>0</v>
      </c>
      <c r="D78" s="80"/>
      <c r="E78" s="80"/>
      <c r="F78" s="80"/>
      <c r="G78" s="80"/>
      <c r="H78" s="168">
        <v>-1671.744986528255</v>
      </c>
      <c r="I78" s="101"/>
      <c r="J78" s="101"/>
      <c r="K78" s="101"/>
      <c r="L78" s="101"/>
      <c r="M78" s="101"/>
    </row>
    <row r="79" spans="1:13" ht="12.75">
      <c r="A79" s="145"/>
      <c r="B79" s="91">
        <v>105.148</v>
      </c>
      <c r="C79" s="90">
        <v>0.07</v>
      </c>
      <c r="D79" s="80"/>
      <c r="E79" s="80"/>
      <c r="F79" s="80"/>
      <c r="G79" s="80"/>
      <c r="H79" s="169">
        <v>0</v>
      </c>
      <c r="I79" s="100"/>
      <c r="J79" s="101"/>
      <c r="K79" s="101"/>
      <c r="L79" s="101"/>
      <c r="M79" s="101"/>
    </row>
    <row r="80" spans="1:13" ht="12.75">
      <c r="A80" s="145" t="s">
        <v>80</v>
      </c>
      <c r="B80" s="91">
        <v>106</v>
      </c>
      <c r="C80" s="90">
        <v>0.13</v>
      </c>
      <c r="D80" s="80"/>
      <c r="E80" s="80"/>
      <c r="F80" s="80"/>
      <c r="G80" s="80"/>
      <c r="H80" s="168">
        <v>1503.6585819314084</v>
      </c>
      <c r="I80" s="101"/>
      <c r="J80" s="101"/>
      <c r="K80" s="101"/>
      <c r="L80" s="101"/>
      <c r="M80" s="101"/>
    </row>
    <row r="81" spans="1:13" ht="12.75">
      <c r="A81" s="145"/>
      <c r="B81" s="91">
        <v>110</v>
      </c>
      <c r="C81" s="90">
        <v>0.39</v>
      </c>
      <c r="D81" s="80"/>
      <c r="E81" s="80"/>
      <c r="F81" s="80"/>
      <c r="G81" s="80"/>
      <c r="H81" s="168">
        <v>8560.110956286226</v>
      </c>
      <c r="I81" s="102"/>
      <c r="J81" s="101"/>
      <c r="K81" s="101"/>
      <c r="L81" s="101"/>
      <c r="M81" s="101"/>
    </row>
    <row r="82" spans="1:13" ht="12.75">
      <c r="A82" s="145" t="s">
        <v>81</v>
      </c>
      <c r="B82" s="91">
        <v>113</v>
      </c>
      <c r="C82" s="85">
        <v>0.57</v>
      </c>
      <c r="D82" s="170"/>
      <c r="E82" s="170"/>
      <c r="F82" s="170"/>
      <c r="G82" s="170"/>
      <c r="H82" s="171">
        <v>13852.45023705237</v>
      </c>
      <c r="I82" s="101"/>
      <c r="J82" s="101"/>
      <c r="K82" s="101"/>
      <c r="L82" s="101"/>
      <c r="M82" s="101"/>
    </row>
    <row r="83" spans="1:13" ht="13.5" thickBot="1">
      <c r="A83" s="146"/>
      <c r="B83" s="92">
        <v>120</v>
      </c>
      <c r="C83" s="93">
        <v>0.94</v>
      </c>
      <c r="D83" s="172"/>
      <c r="E83" s="172"/>
      <c r="F83" s="172"/>
      <c r="G83" s="172"/>
      <c r="H83" s="173">
        <v>26201.241892173366</v>
      </c>
      <c r="I83" s="101"/>
      <c r="J83" s="101"/>
      <c r="K83" s="101"/>
      <c r="L83" s="101"/>
      <c r="M83" s="101"/>
    </row>
    <row r="84" spans="8:11" ht="12.75">
      <c r="H84" s="163" t="s">
        <v>85</v>
      </c>
      <c r="I84" s="149"/>
      <c r="J84" s="149"/>
      <c r="K84" s="150"/>
    </row>
    <row r="85" spans="1:11" ht="12.75">
      <c r="A85" t="s">
        <v>82</v>
      </c>
      <c r="H85" s="151" t="s">
        <v>66</v>
      </c>
      <c r="I85" s="83" t="s">
        <v>84</v>
      </c>
      <c r="J85" s="83" t="s">
        <v>67</v>
      </c>
      <c r="K85" s="152" t="s">
        <v>68</v>
      </c>
    </row>
    <row r="86" spans="8:11" ht="12.75">
      <c r="H86" s="153">
        <v>12000</v>
      </c>
      <c r="I86" s="85">
        <v>0.39</v>
      </c>
      <c r="J86" s="85">
        <v>0.4</v>
      </c>
      <c r="K86" s="154">
        <v>0.44</v>
      </c>
    </row>
    <row r="87" spans="8:11" ht="12.75">
      <c r="H87" s="153">
        <v>10000</v>
      </c>
      <c r="I87" s="85">
        <v>0.5</v>
      </c>
      <c r="J87" s="85">
        <v>0.52</v>
      </c>
      <c r="K87" s="154">
        <v>0.56</v>
      </c>
    </row>
    <row r="88" spans="8:11" ht="13.5" thickBot="1">
      <c r="H88" s="155">
        <v>9091.5</v>
      </c>
      <c r="I88" s="156">
        <v>0.57</v>
      </c>
      <c r="J88" s="156">
        <v>0.58</v>
      </c>
      <c r="K88" s="157">
        <v>0.62</v>
      </c>
    </row>
  </sheetData>
  <mergeCells count="16">
    <mergeCell ref="A76:H76"/>
    <mergeCell ref="B15:M15"/>
    <mergeCell ref="B16:M16"/>
    <mergeCell ref="B23:E23"/>
    <mergeCell ref="B17:E17"/>
    <mergeCell ref="B18:E18"/>
    <mergeCell ref="B19:E19"/>
    <mergeCell ref="H84:K84"/>
    <mergeCell ref="A68:I68"/>
    <mergeCell ref="A57:J57"/>
    <mergeCell ref="A80:A81"/>
    <mergeCell ref="A82:A83"/>
    <mergeCell ref="A70:A71"/>
    <mergeCell ref="A72:A73"/>
    <mergeCell ref="A74:A75"/>
    <mergeCell ref="A78:A79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5"/>
  <sheetViews>
    <sheetView workbookViewId="0" topLeftCell="A1">
      <selection activeCell="A1" sqref="A1"/>
    </sheetView>
  </sheetViews>
  <sheetFormatPr defaultColWidth="11.421875" defaultRowHeight="12.75"/>
  <cols>
    <col min="1" max="1" width="38.8515625" style="0" customWidth="1"/>
  </cols>
  <sheetData>
    <row r="5" ht="12.75">
      <c r="A5" s="45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H15"/>
  <sheetViews>
    <sheetView workbookViewId="0" topLeftCell="A1">
      <selection activeCell="A1" sqref="A1"/>
    </sheetView>
  </sheetViews>
  <sheetFormatPr defaultColWidth="11.421875" defaultRowHeight="12.75"/>
  <cols>
    <col min="1" max="1" width="13.57421875" style="0" customWidth="1"/>
  </cols>
  <sheetData>
    <row r="4" spans="2:8" ht="12.75">
      <c r="B4">
        <v>2002</v>
      </c>
      <c r="C4">
        <v>2003</v>
      </c>
      <c r="D4">
        <v>2004</v>
      </c>
      <c r="E4">
        <v>2005</v>
      </c>
      <c r="F4">
        <v>2006</v>
      </c>
      <c r="G4">
        <v>2007</v>
      </c>
      <c r="H4" t="s">
        <v>57</v>
      </c>
    </row>
    <row r="5" spans="1:7" ht="12.75">
      <c r="A5" t="s">
        <v>55</v>
      </c>
      <c r="B5">
        <v>1780.56</v>
      </c>
      <c r="C5">
        <v>1750.92</v>
      </c>
      <c r="D5">
        <v>1549.55</v>
      </c>
      <c r="E5">
        <v>1538.15</v>
      </c>
      <c r="F5">
        <v>1591.11</v>
      </c>
      <c r="G5">
        <v>1998.22</v>
      </c>
    </row>
    <row r="6" spans="1:8" ht="12.75">
      <c r="A6" t="s">
        <v>56</v>
      </c>
      <c r="C6">
        <f>C5/B5</f>
        <v>0.9833535516916028</v>
      </c>
      <c r="D6">
        <f>D5/C5</f>
        <v>0.8849918899778402</v>
      </c>
      <c r="E6">
        <f>E5/D5</f>
        <v>0.9926430253944695</v>
      </c>
      <c r="F6">
        <f>F5/E5</f>
        <v>1.034430972271885</v>
      </c>
      <c r="G6">
        <f>G5/F5</f>
        <v>1.2558654021406441</v>
      </c>
      <c r="H6">
        <f>AVERAGE(C6:G6)</f>
        <v>1.0302569682952885</v>
      </c>
    </row>
    <row r="8" spans="1:3" ht="12.75">
      <c r="A8" t="s">
        <v>59</v>
      </c>
      <c r="B8" t="s">
        <v>61</v>
      </c>
      <c r="C8" t="s">
        <v>60</v>
      </c>
    </row>
    <row r="9" spans="1:3" ht="12.75">
      <c r="A9">
        <v>2002</v>
      </c>
      <c r="B9">
        <v>1780.56</v>
      </c>
      <c r="C9" t="s">
        <v>62</v>
      </c>
    </row>
    <row r="10" spans="1:3" ht="12.75">
      <c r="A10">
        <v>2003</v>
      </c>
      <c r="B10">
        <v>1750.92</v>
      </c>
      <c r="C10">
        <f>1-(B10/B9)</f>
        <v>0.016646448308397233</v>
      </c>
    </row>
    <row r="11" spans="1:3" ht="12.75">
      <c r="A11">
        <v>2004</v>
      </c>
      <c r="B11">
        <v>1549.55</v>
      </c>
      <c r="C11">
        <f>1-(B11/B10)</f>
        <v>0.11500811002215983</v>
      </c>
    </row>
    <row r="12" spans="1:3" ht="12.75">
      <c r="A12">
        <v>2005</v>
      </c>
      <c r="B12">
        <v>1538.15</v>
      </c>
      <c r="C12">
        <f>1-(B12/B11)</f>
        <v>0.007356974605530531</v>
      </c>
    </row>
    <row r="13" spans="1:3" ht="12.75">
      <c r="A13">
        <v>2006</v>
      </c>
      <c r="B13">
        <v>1591.11</v>
      </c>
      <c r="C13">
        <f>1-(B13/B12)</f>
        <v>-0.03443097227188496</v>
      </c>
    </row>
    <row r="14" spans="1:3" ht="12.75">
      <c r="A14">
        <v>2007</v>
      </c>
      <c r="B14">
        <v>1998.22</v>
      </c>
      <c r="C14">
        <f>1-(B14/B13)</f>
        <v>-0.2558654021406441</v>
      </c>
    </row>
    <row r="15" spans="2:3" ht="12.75">
      <c r="B15" t="s">
        <v>63</v>
      </c>
      <c r="C15">
        <f>AVERAGE(C10:C14)</f>
        <v>-0.0302569682952883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CARLITA MANZANO</dc:creator>
  <cp:keywords/>
  <dc:description/>
  <cp:lastModifiedBy>CARLITA MANZANO</cp:lastModifiedBy>
  <dcterms:created xsi:type="dcterms:W3CDTF">2009-08-05T02:26:28Z</dcterms:created>
  <dcterms:modified xsi:type="dcterms:W3CDTF">2009-09-22T18:07:57Z</dcterms:modified>
  <cp:category/>
  <cp:version/>
  <cp:contentType/>
  <cp:contentStatus/>
</cp:coreProperties>
</file>