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5070" firstSheet="7" activeTab="10"/>
  </bookViews>
  <sheets>
    <sheet name="BALANCE MAQUI" sheetId="1" r:id="rId1"/>
    <sheet name="INSTA" sheetId="2" r:id="rId2"/>
    <sheet name="LOCALIZ" sheetId="3" r:id="rId3"/>
    <sheet name="GASTOS ADMIN" sheetId="4" r:id="rId4"/>
    <sheet name="costos VARIABLES" sheetId="5" r:id="rId5"/>
    <sheet name="costos fijos" sheetId="6" r:id="rId6"/>
    <sheet name="INVERSION" sheetId="7" r:id="rId7"/>
    <sheet name="FLUJO CAPITAL DE TRABAJO" sheetId="8" r:id="rId8"/>
    <sheet name="flujo de EFECTIVO" sheetId="9" r:id="rId9"/>
    <sheet name="GASTOS mod" sheetId="10" r:id="rId10"/>
    <sheet name="Playback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<sst xmlns="http://schemas.openxmlformats.org/spreadsheetml/2006/main" count="926" uniqueCount="579">
  <si>
    <t>CANTIDAD</t>
  </si>
  <si>
    <t>COSTO UNITARIO</t>
  </si>
  <si>
    <t>COSTO TOTAL</t>
  </si>
  <si>
    <t>Filtro de arena</t>
  </si>
  <si>
    <t>EQUIPOS Y MAQUINARIA</t>
  </si>
  <si>
    <t>Charolas de acero inoxidable</t>
  </si>
  <si>
    <t>Centrifugadora</t>
  </si>
  <si>
    <t>Molino triturador</t>
  </si>
  <si>
    <t>Molino de extrusión para carne húmeda</t>
  </si>
  <si>
    <t>Horno para secado</t>
  </si>
  <si>
    <t>Mezcladora-tanque con agitador</t>
  </si>
  <si>
    <t>Caldera tipo horizontal</t>
  </si>
  <si>
    <t xml:space="preserve">Mini procesador de pollos </t>
  </si>
  <si>
    <t>Cuchillos</t>
  </si>
  <si>
    <t>Marmita de acero inoxidable</t>
  </si>
  <si>
    <t>Cuarto de refrigeración</t>
  </si>
  <si>
    <t>Carne de pollo seca sin grasa</t>
  </si>
  <si>
    <t>79.5 % Mínimo</t>
  </si>
  <si>
    <t>Grasa de pollo                       </t>
  </si>
  <si>
    <t>3.5 % Mínimo</t>
  </si>
  <si>
    <t>Sal yodatada                         </t>
  </si>
  <si>
    <t>10 % Máximo</t>
  </si>
  <si>
    <t>Humedad                               </t>
  </si>
  <si>
    <t>5 % Máximo</t>
  </si>
  <si>
    <t>Antioxidante                          </t>
  </si>
  <si>
    <t>2 % Máximo</t>
  </si>
  <si>
    <t>CARGO</t>
  </si>
  <si>
    <t>TOTAL</t>
  </si>
  <si>
    <t>Personal de limpieza</t>
  </si>
  <si>
    <t>Guardia</t>
  </si>
  <si>
    <t>Ayudantes</t>
  </si>
  <si>
    <t>Operarios</t>
  </si>
  <si>
    <t>Instalaciones de obra</t>
  </si>
  <si>
    <t>Trazada y Remplateo</t>
  </si>
  <si>
    <t>Sub Total</t>
  </si>
  <si>
    <t>Obra Civil</t>
  </si>
  <si>
    <t>Bloque Liviano Concreto 9x19x39</t>
  </si>
  <si>
    <t>Enlucido</t>
  </si>
  <si>
    <t>Columnas encajonadas 150x150x3mm</t>
  </si>
  <si>
    <t>Planchas de Estilpanel</t>
  </si>
  <si>
    <t>Puertas Metalicas</t>
  </si>
  <si>
    <t>Acomedida</t>
  </si>
  <si>
    <t>Panel de Medidor</t>
  </si>
  <si>
    <t>Punto de Luz</t>
  </si>
  <si>
    <t>Toma Corriente 110V</t>
  </si>
  <si>
    <t>Varios</t>
  </si>
  <si>
    <t>Trasporte</t>
  </si>
  <si>
    <t>Subtotal</t>
  </si>
  <si>
    <t>Unidad</t>
  </si>
  <si>
    <t xml:space="preserve">M2 </t>
  </si>
  <si>
    <t>U</t>
  </si>
  <si>
    <t>GLOBAL</t>
  </si>
  <si>
    <t>V/ Unit</t>
  </si>
  <si>
    <t>Cantidad</t>
  </si>
  <si>
    <t>Costos de Mano de Obra y Materiales</t>
  </si>
  <si>
    <t>Total</t>
  </si>
  <si>
    <t>Concepto</t>
  </si>
  <si>
    <t>Mercado Existente</t>
  </si>
  <si>
    <t>Costo de Insumos</t>
  </si>
  <si>
    <t>Marco de Obra disponible</t>
  </si>
  <si>
    <t>Materia Prima</t>
  </si>
  <si>
    <t>TOTALES</t>
  </si>
  <si>
    <t>Factores</t>
  </si>
  <si>
    <t>Peso</t>
  </si>
  <si>
    <t>Santa Elena</t>
  </si>
  <si>
    <t>Libertad</t>
  </si>
  <si>
    <t>Clima</t>
  </si>
  <si>
    <t>Mano de Obra</t>
  </si>
  <si>
    <t>Otros</t>
  </si>
  <si>
    <t>Inverso</t>
  </si>
  <si>
    <t>La Libertad</t>
  </si>
  <si>
    <t>Factor (j)</t>
  </si>
  <si>
    <t>Agua Potable</t>
  </si>
  <si>
    <t>Aguas Servidas</t>
  </si>
  <si>
    <t>Comparaciones Pareadas</t>
  </si>
  <si>
    <t>Suma de Preferencias</t>
  </si>
  <si>
    <t>Factor</t>
  </si>
  <si>
    <t>Ri1</t>
  </si>
  <si>
    <t>Ri2</t>
  </si>
  <si>
    <t>Punto Relativo Rij</t>
  </si>
  <si>
    <t>A</t>
  </si>
  <si>
    <t>B</t>
  </si>
  <si>
    <t>(1-K)</t>
  </si>
  <si>
    <t>FS</t>
  </si>
  <si>
    <t>k</t>
  </si>
  <si>
    <t>FO</t>
  </si>
  <si>
    <t>MPL</t>
  </si>
  <si>
    <t>Chofer repartidor</t>
  </si>
  <si>
    <t xml:space="preserve"> $   Unitario </t>
  </si>
  <si>
    <t># de personas</t>
  </si>
  <si>
    <t>Remuneración Mensual</t>
  </si>
  <si>
    <t>Gerente Técnico</t>
  </si>
  <si>
    <t>Salinas</t>
  </si>
  <si>
    <t>Costos de mano de obra</t>
  </si>
  <si>
    <t>Calificación</t>
  </si>
  <si>
    <t>Ponderación</t>
  </si>
  <si>
    <t>(Expresado en dolares)</t>
  </si>
  <si>
    <t>TIPO</t>
  </si>
  <si>
    <t>Capital de Operación</t>
  </si>
  <si>
    <t>Total de Financiamiento</t>
  </si>
  <si>
    <t>Capital Propio</t>
  </si>
  <si>
    <t>Principal</t>
  </si>
  <si>
    <t>Periodo de gracia</t>
  </si>
  <si>
    <t>Fecha de inicio</t>
  </si>
  <si>
    <t>Capital</t>
  </si>
  <si>
    <t>Intereses</t>
  </si>
  <si>
    <t>Febrero 1-2010</t>
  </si>
  <si>
    <t>Febrero 1-2011</t>
  </si>
  <si>
    <t>Febrero 1-2012</t>
  </si>
  <si>
    <t>Febrero 1-2013</t>
  </si>
  <si>
    <t>Febrero 1-2014</t>
  </si>
  <si>
    <t>Febrero 1-2015</t>
  </si>
  <si>
    <t>INVERSION TOTAL</t>
  </si>
  <si>
    <t>DETALLE</t>
  </si>
  <si>
    <t>Inversiones fijas</t>
  </si>
  <si>
    <t>Galpones</t>
  </si>
  <si>
    <t>Equipo y Maquinaria</t>
  </si>
  <si>
    <t>Equipos y Muebles de oficina</t>
  </si>
  <si>
    <t>Total Inversiones Fijas</t>
  </si>
  <si>
    <t>Terrenos</t>
  </si>
  <si>
    <t>Costos de Infraestructura</t>
  </si>
  <si>
    <t>Materiales de mano de Obra para tres galpones avicolas</t>
  </si>
  <si>
    <t>INSTALACIONES DE OBRA</t>
  </si>
  <si>
    <t>Caseta de guardian y bodega</t>
  </si>
  <si>
    <t>Instalaciones provisiones electrica</t>
  </si>
  <si>
    <t>Limpieza de terreno</t>
  </si>
  <si>
    <t>Trazado y Remplateo</t>
  </si>
  <si>
    <t>SUB TOTAL</t>
  </si>
  <si>
    <t>OBRA CIVIL</t>
  </si>
  <si>
    <t>Punto base para pilares metalicos</t>
  </si>
  <si>
    <t>Riostra de AMARDF</t>
  </si>
  <si>
    <t>Contrapiso de 0,01</t>
  </si>
  <si>
    <t>Bloque Liviano concreto 9x19x39</t>
  </si>
  <si>
    <t>ESTRUCTURA METALICA</t>
  </si>
  <si>
    <t>Vigas de Amarre 150x150x3mm</t>
  </si>
  <si>
    <t>Malla Electrosoldada Rollo</t>
  </si>
  <si>
    <t>Correas 100x40x15x2mm</t>
  </si>
  <si>
    <t>Viga cargadora para cubierta 150x150x3mm</t>
  </si>
  <si>
    <t>Placas para columnas</t>
  </si>
  <si>
    <t>INSTALACIONES ELECTRICAS</t>
  </si>
  <si>
    <t>Acometida</t>
  </si>
  <si>
    <t>Panel de medidor</t>
  </si>
  <si>
    <t>Panel de distribucion</t>
  </si>
  <si>
    <t>Toma corriente 0 V</t>
  </si>
  <si>
    <t>VARIOS</t>
  </si>
  <si>
    <t>Relleno y compactado para contrapiso</t>
  </si>
  <si>
    <t>Excavacion para riostras</t>
  </si>
  <si>
    <t>M2</t>
  </si>
  <si>
    <t>ML</t>
  </si>
  <si>
    <t>Caballete para estilpanel</t>
  </si>
  <si>
    <t>M3</t>
  </si>
  <si>
    <t>global</t>
  </si>
  <si>
    <t>Transporte</t>
  </si>
  <si>
    <t>EQUIPOS Y MUEBLES DE OFICINA</t>
  </si>
  <si>
    <t>Escritorio</t>
  </si>
  <si>
    <t>Archivero</t>
  </si>
  <si>
    <t>Computador</t>
  </si>
  <si>
    <t>Sillas de escritorio</t>
  </si>
  <si>
    <t>Descripcion</t>
  </si>
  <si>
    <t>Costo Unitario</t>
  </si>
  <si>
    <t>Costo Total</t>
  </si>
  <si>
    <t>Camiones</t>
  </si>
  <si>
    <t>Capital de trabajo</t>
  </si>
  <si>
    <t>Costo Total del Proyecto</t>
  </si>
  <si>
    <t>(Expresado en dólares)</t>
  </si>
  <si>
    <t>Inversión Fija</t>
  </si>
  <si>
    <t>$ 14.094,50</t>
  </si>
  <si>
    <t>$ 129.905,50</t>
  </si>
  <si>
    <t>$ 144.000,00</t>
  </si>
  <si>
    <t>Préstamo CFN</t>
  </si>
  <si>
    <t>$ 0,00</t>
  </si>
  <si>
    <t>$ 96.000,00</t>
  </si>
  <si>
    <t>$ 225.905,50</t>
  </si>
  <si>
    <t>$ 240.000,00</t>
  </si>
  <si>
    <t>$ 30.000,00</t>
  </si>
  <si>
    <t>$ 118.666,00</t>
  </si>
  <si>
    <t>Sala de Evisceración</t>
  </si>
  <si>
    <t>$ 8.206,50</t>
  </si>
  <si>
    <t>$ 66.733,00</t>
  </si>
  <si>
    <t>$ 2.300,00</t>
  </si>
  <si>
    <t>COSTOS DE MANO DE OBRA</t>
  </si>
  <si>
    <t>Mano de Obra Directa</t>
  </si>
  <si>
    <t>Galponeros</t>
  </si>
  <si>
    <t>Total de Mano de Obra Directa</t>
  </si>
  <si>
    <t>Mano de Obra Indirecta</t>
  </si>
  <si>
    <t>Guardia Nocturno</t>
  </si>
  <si>
    <t>Total Mano de Obra Indirecta</t>
  </si>
  <si>
    <t>Sueldo Anual*</t>
  </si>
  <si>
    <t>TOTAL MANO DE OBRA</t>
  </si>
  <si>
    <t>Fundas de empaque</t>
  </si>
  <si>
    <t>Cinta Adhesiva (rollos)</t>
  </si>
  <si>
    <t>Combustible</t>
  </si>
  <si>
    <t>Lubricantes</t>
  </si>
  <si>
    <t>Gas</t>
  </si>
  <si>
    <t>Agua</t>
  </si>
  <si>
    <t>luz</t>
  </si>
  <si>
    <t>Transporte de insumos</t>
  </si>
  <si>
    <t>Total Material Indirecto y Suministros</t>
  </si>
  <si>
    <t xml:space="preserve">  GASTOS DE MATERIALES INDIRECTOS Y SUMINISTROS</t>
  </si>
  <si>
    <t>ANUAL</t>
  </si>
  <si>
    <t>Gastos de Administracion y Ventas</t>
  </si>
  <si>
    <t>CONCEPTO</t>
  </si>
  <si>
    <t>MENSUAL</t>
  </si>
  <si>
    <t>Gastos Administrativos</t>
  </si>
  <si>
    <t>Gerente General</t>
  </si>
  <si>
    <t>Gerente de Administracion Financiero</t>
  </si>
  <si>
    <t>Luz</t>
  </si>
  <si>
    <t>Telefono</t>
  </si>
  <si>
    <t>Total Gastos Administrativos</t>
  </si>
  <si>
    <t>Gastos de Ventas</t>
  </si>
  <si>
    <t>Vendedores</t>
  </si>
  <si>
    <t>Chofer</t>
  </si>
  <si>
    <t>Gerente de Logistica y Operaciones</t>
  </si>
  <si>
    <t>Personal Tecnico</t>
  </si>
  <si>
    <t>Publicidad</t>
  </si>
  <si>
    <t>Total de gastos de Ventas</t>
  </si>
  <si>
    <t>Factor de Conversion</t>
  </si>
  <si>
    <t>Gastos de mantenimiento de equipos de oficina</t>
  </si>
  <si>
    <t>Gerente Administrativo</t>
  </si>
  <si>
    <t>Remuneracion Anual</t>
  </si>
  <si>
    <t>MEDIOS</t>
  </si>
  <si>
    <t>Q* POR MES</t>
  </si>
  <si>
    <t>Vallas publicitarias</t>
  </si>
  <si>
    <t>Radiodifusoras</t>
  </si>
  <si>
    <t>TV</t>
  </si>
  <si>
    <t>Suministros de oficina</t>
  </si>
  <si>
    <t>Gastos</t>
  </si>
  <si>
    <t>$</t>
  </si>
  <si>
    <t>Mantenimiento de camiones</t>
  </si>
  <si>
    <t>Matricula y Soat</t>
  </si>
  <si>
    <t>Gastos de publicidad</t>
  </si>
  <si>
    <t>200 c/u por mes</t>
  </si>
  <si>
    <t>numer camiones</t>
  </si>
  <si>
    <t>$35</t>
  </si>
  <si>
    <t>c/camion</t>
  </si>
  <si>
    <t>anual</t>
  </si>
  <si>
    <t>mes 30 dias</t>
  </si>
  <si>
    <t>Total Costos Variables</t>
  </si>
  <si>
    <t>Gastos de Combustible (diesel)</t>
  </si>
  <si>
    <t>Balance Personal</t>
  </si>
  <si>
    <t xml:space="preserve"> Nº de Puestos</t>
  </si>
  <si>
    <t>Unitario</t>
  </si>
  <si>
    <t>Mensual</t>
  </si>
  <si>
    <t>Anual</t>
  </si>
  <si>
    <t>*Finanzas</t>
  </si>
  <si>
    <t>*Marketing</t>
  </si>
  <si>
    <t>*Ventas</t>
  </si>
  <si>
    <t>Personal de Limpieza</t>
  </si>
  <si>
    <t>Total personla Administrativo y Sueldo</t>
  </si>
  <si>
    <t>Total personal Operativo y Sueldo</t>
  </si>
  <si>
    <t>Chofer Repartidor</t>
  </si>
  <si>
    <t>Electricidad</t>
  </si>
  <si>
    <t>Mantenimiento de Planta</t>
  </si>
  <si>
    <t>Total Costos Fijos</t>
  </si>
  <si>
    <t>Plazo años</t>
  </si>
  <si>
    <t>Pagos anuales</t>
  </si>
  <si>
    <t>Balance</t>
  </si>
  <si>
    <t>Pago Anual</t>
  </si>
  <si>
    <t>Fecha</t>
  </si>
  <si>
    <t>Tasa CNF</t>
  </si>
  <si>
    <t>-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</si>
  <si>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</si>
  <si>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</si>
  <si>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</si>
  <si>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</si>
  <si>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</si>
  <si>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</si>
  <si>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</si>
  <si>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</si>
  <si>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</si>
  <si>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</si>
  <si>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</si>
  <si>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</si>
  <si>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</si>
  <si>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NUAL</t>
  </si>
  <si>
    <t>INGRESO POR VENTAS</t>
  </si>
  <si>
    <t>Precio</t>
  </si>
  <si>
    <t>(+) Total Ingresos por Ventas</t>
  </si>
  <si>
    <t>EGRESOS</t>
  </si>
  <si>
    <t>(-) Gastos de ventas (Publicidad)</t>
  </si>
  <si>
    <t>(-) Gastos de Sueldos y Salarios</t>
  </si>
  <si>
    <t>(-) Gastos de la Planta</t>
  </si>
  <si>
    <t>(-) Total de egresos</t>
  </si>
  <si>
    <t>Utilidad o Perdida</t>
  </si>
  <si>
    <t>(-) Costos de Producción o de Venta</t>
  </si>
  <si>
    <t>(-) Gastos de Servicios Básicos</t>
  </si>
  <si>
    <t>(-) Gastos Generales y  Administrativos</t>
  </si>
  <si>
    <t>(-) Gastos de intereses por préstamo</t>
  </si>
  <si>
    <t>ESTIAMCION DE VENTAS</t>
  </si>
  <si>
    <t>VOLUMEN ESTIMADO DE PRODUCCION</t>
  </si>
  <si>
    <t>POLLOS</t>
  </si>
  <si>
    <t>PRECIO ESTIAMDO DE VENTAS</t>
  </si>
  <si>
    <t>INGRESO ESTIAMADO DE VENTAS</t>
  </si>
  <si>
    <t>UNIDAD</t>
  </si>
  <si>
    <t>$/libras</t>
  </si>
  <si>
    <t>VALOR DE DESECHO</t>
  </si>
  <si>
    <t>(METODO CONTABLE)</t>
  </si>
  <si>
    <t>ACTIVO</t>
  </si>
  <si>
    <t>EQUIPO DE COMPUTACION</t>
  </si>
  <si>
    <t>TERRRENO</t>
  </si>
  <si>
    <t>VALOR DE COMPRA</t>
  </si>
  <si>
    <t>VIDA CONTABLE</t>
  </si>
  <si>
    <t>DEPRECIACION ANUAL</t>
  </si>
  <si>
    <t>AÑOS DEPRECIANDOSE</t>
  </si>
  <si>
    <t>EQUIPOS Y MAQUINARIAS</t>
  </si>
  <si>
    <t>CAMIONES(2)</t>
  </si>
  <si>
    <t>DEPRECIACION ACUMULADA</t>
  </si>
  <si>
    <t>VALOR EN LIBROS</t>
  </si>
  <si>
    <t>DEPRECIACION</t>
  </si>
  <si>
    <t>FLUJO DE EFECTIVO NETO</t>
  </si>
  <si>
    <t>AÑOS</t>
  </si>
  <si>
    <t>AÑO 1</t>
  </si>
  <si>
    <t>AÑO 2</t>
  </si>
  <si>
    <t>AÑO 3</t>
  </si>
  <si>
    <t>AÑO 4</t>
  </si>
  <si>
    <t>AÑO 5</t>
  </si>
  <si>
    <t>(-) Inversion Fija</t>
  </si>
  <si>
    <t>(-) Capital de trabajo</t>
  </si>
  <si>
    <t>(+) Prestamos</t>
  </si>
  <si>
    <t>Ingreso por Ventas</t>
  </si>
  <si>
    <t>(+) Total ingresos por ventas</t>
  </si>
  <si>
    <t>Egresos</t>
  </si>
  <si>
    <t>(-) Gastos de depreciacion</t>
  </si>
  <si>
    <t>(-) 15% PAT</t>
  </si>
  <si>
    <t>Utilidad antes IR</t>
  </si>
  <si>
    <t>(-) 25% IR</t>
  </si>
  <si>
    <t xml:space="preserve">Utilidad Neta </t>
  </si>
  <si>
    <t>(+) depreciacion</t>
  </si>
  <si>
    <t>(-) amortizacion por prestamo</t>
  </si>
  <si>
    <t>Valor de desecho</t>
  </si>
  <si>
    <t>Flujo Efectivo Neto</t>
  </si>
  <si>
    <t>Utilidad Neta antes de PAT</t>
  </si>
  <si>
    <t>Saldo Acumulado</t>
  </si>
  <si>
    <t>INVERSIONES FIJAS</t>
  </si>
  <si>
    <t>md</t>
  </si>
  <si>
    <t>mod</t>
  </si>
  <si>
    <t>gif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</si>
  <si>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</si>
  <si>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</si>
  <si>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</si>
  <si>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</si>
  <si>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</si>
  <si>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</si>
  <si>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</si>
  <si>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</si>
  <si>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</si>
  <si>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</si>
  <si>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</si>
  <si>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</si>
  <si>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COSTO VARIABLE</t>
  </si>
  <si>
    <t>COSTO DE PRODUCCION MENSUAL</t>
  </si>
  <si>
    <t>Total egresos</t>
  </si>
  <si>
    <t>AÑO 0</t>
  </si>
  <si>
    <t>ESTIMACION DE LA TASA DE DESCUENTOS</t>
  </si>
  <si>
    <t>CAMP RE=  Rf + B (Prima de Riesgo)</t>
  </si>
  <si>
    <t>Beta Promedio del Sector (EUA)</t>
  </si>
  <si>
    <t>Prima de Riesgo = Rm - Rf</t>
  </si>
  <si>
    <t>Ibbotson historico señala prima de riesgo</t>
  </si>
  <si>
    <t>Rf bonos de Tesoro EU=</t>
  </si>
  <si>
    <t>Re calculado</t>
  </si>
  <si>
    <t xml:space="preserve">Riesgo Pais Asociado al Mercado Ecuatoriano BCE </t>
  </si>
  <si>
    <t>Re ECU = Re calculado + Riesgo Mercado Ecuatoriano</t>
  </si>
  <si>
    <t>ESTIMACION DE LA TASA DE DESCUENTO</t>
  </si>
  <si>
    <t>CAPM Re = Rf + B(Prima de Riesgo)</t>
  </si>
  <si>
    <t>Beta promedio del sector (EUA)</t>
  </si>
  <si>
    <t>Prima de riesgo = Rm - Rf</t>
  </si>
  <si>
    <t xml:space="preserve">Ibbotson histórico señala prima de riesgo = </t>
  </si>
  <si>
    <t>Rf bonos del tesoro EU=</t>
  </si>
  <si>
    <t>Re calculado =</t>
  </si>
  <si>
    <t>Riesgo Pais Asociado al Mercado Ecuatoriano BCE</t>
  </si>
  <si>
    <t>Re ECU= Re calculado + Riesgo Mercado Ecuatoriano</t>
  </si>
  <si>
    <t>TIR</t>
  </si>
  <si>
    <t>VAN=</t>
  </si>
  <si>
    <t>CAPM</t>
  </si>
  <si>
    <t>Período de Recuperación de la Inversión (Payback)</t>
  </si>
  <si>
    <t>Periodo</t>
  </si>
  <si>
    <t>Saldo</t>
  </si>
  <si>
    <t>Flujo</t>
  </si>
  <si>
    <t>Rentabilidad</t>
  </si>
  <si>
    <t>Recuperación</t>
  </si>
  <si>
    <t>(años)</t>
  </si>
  <si>
    <t>inversión</t>
  </si>
  <si>
    <t>de caja</t>
  </si>
  <si>
    <t>exigida</t>
  </si>
  <si>
    <t>Inversión</t>
  </si>
  <si>
    <t>Tabla 5,13 Período de Recuperación de la Inversión (Payback)</t>
  </si>
  <si>
    <t>Elaborado por las autoras</t>
  </si>
  <si>
    <t xml:space="preserve">          Tabla 3.1.1  BALANCE DE EQUIPOS Y MAQUINARIA                           </t>
  </si>
  <si>
    <t>Termómetro</t>
  </si>
  <si>
    <t>Tabla 3.1.2 BALANCE DE PERSONAL</t>
  </si>
  <si>
    <t>Logística y Operaciones</t>
  </si>
  <si>
    <t>Personal Técnico</t>
  </si>
  <si>
    <t>Tabla 3.1.3 Costos de Infraestructura</t>
  </si>
  <si>
    <t>Materiales de mano de Obra para Área de Evisceración</t>
  </si>
  <si>
    <t>$0,15</t>
  </si>
  <si>
    <t>$39,00</t>
  </si>
  <si>
    <t>$0,30</t>
  </si>
  <si>
    <t>$78,00</t>
  </si>
  <si>
    <t>$117,00</t>
  </si>
  <si>
    <t>Plinto base para pilares metálicos</t>
  </si>
  <si>
    <t>$6,50</t>
  </si>
  <si>
    <t>$58,50</t>
  </si>
  <si>
    <t>$8,50</t>
  </si>
  <si>
    <t>$2.210,00</t>
  </si>
  <si>
    <t>$5,20</t>
  </si>
  <si>
    <t>$1.352,00</t>
  </si>
  <si>
    <t>$3.620,50</t>
  </si>
  <si>
    <t>Estructura Metálica</t>
  </si>
  <si>
    <t>$45,00</t>
  </si>
  <si>
    <t>$405,00</t>
  </si>
  <si>
    <t>$8,00</t>
  </si>
  <si>
    <t>$2.080,00</t>
  </si>
  <si>
    <t>Puertas Metálicas</t>
  </si>
  <si>
    <t>$350,00</t>
  </si>
  <si>
    <t>$700,00</t>
  </si>
  <si>
    <t>$3.185,00</t>
  </si>
  <si>
    <t>Instalaciones Eléctricas</t>
  </si>
  <si>
    <t>$320,00</t>
  </si>
  <si>
    <t>$170,00</t>
  </si>
  <si>
    <t>Panel de Distribución</t>
  </si>
  <si>
    <t>$360,00</t>
  </si>
  <si>
    <t>$22,90</t>
  </si>
  <si>
    <t>$229,00</t>
  </si>
  <si>
    <t>$35,00</t>
  </si>
  <si>
    <t>$105,00</t>
  </si>
  <si>
    <t>$1.184,00</t>
  </si>
  <si>
    <t>$100,00</t>
  </si>
  <si>
    <t>$8.206,50</t>
  </si>
  <si>
    <t>Tabla 3.1 ESTUDIO DE LOCALIZACION</t>
  </si>
  <si>
    <t>Tabla 3.2 COSTOS ANUALES</t>
  </si>
  <si>
    <t>Localización</t>
  </si>
  <si>
    <t>Tabla 3.3  Calculo de Valor Relativo de los Factores</t>
  </si>
  <si>
    <t>Tabla 3.4 Comparaciones Pareadas</t>
  </si>
  <si>
    <t>Índice Wj</t>
  </si>
  <si>
    <t>Energía Eléctrica</t>
  </si>
  <si>
    <t>Tabla 3.5 Agua Potable</t>
  </si>
  <si>
    <t xml:space="preserve">Localización </t>
  </si>
  <si>
    <t>Tabla 3.6 Energía Electica</t>
  </si>
  <si>
    <t>Tabla 3.6 Agua Servida</t>
  </si>
  <si>
    <t>Tabla 3.7 Factores Subjetivos</t>
  </si>
  <si>
    <t>Tabla 3.8 Calculo de los Valores Relativos Subjetivos</t>
  </si>
  <si>
    <t>Elaborado por los autores</t>
  </si>
  <si>
    <t>Tabla 3.9 Calculo de la Media de Preferencia de Localización</t>
  </si>
  <si>
    <t>DETERMINACION DEL TAMAÑO</t>
  </si>
  <si>
    <t>Tasa</t>
  </si>
  <si>
    <t>DEMANDA CRECIENTE</t>
  </si>
  <si>
    <t>Tabla 3.1.4 Demanda Creciente</t>
  </si>
  <si>
    <t>Año</t>
  </si>
  <si>
    <t>Demanda Diaria</t>
  </si>
  <si>
    <t>Demanda Anual</t>
  </si>
  <si>
    <t>Opcion Tecnologica</t>
  </si>
  <si>
    <t>Capacidad de Produccion</t>
  </si>
  <si>
    <t>Costo Fijo Anual</t>
  </si>
  <si>
    <t>Costo Variable</t>
  </si>
  <si>
    <t>Inversion</t>
  </si>
  <si>
    <t>100000 u/año</t>
  </si>
  <si>
    <t>200000 u/año</t>
  </si>
  <si>
    <t>C</t>
  </si>
  <si>
    <t>400000 u/año</t>
  </si>
  <si>
    <t>Precio de venta unitario</t>
  </si>
  <si>
    <t>OPCION A</t>
  </si>
  <si>
    <t>Producción</t>
  </si>
  <si>
    <t>Ingresos</t>
  </si>
  <si>
    <t>Costos fijos</t>
  </si>
  <si>
    <t>Costo variable</t>
  </si>
  <si>
    <t>Costo total</t>
  </si>
  <si>
    <t>Flujo Anual</t>
  </si>
  <si>
    <t>$ 131.250</t>
  </si>
  <si>
    <t>$ 35.000</t>
  </si>
  <si>
    <t>$ 5.625</t>
  </si>
  <si>
    <t>$ 40.625</t>
  </si>
  <si>
    <t>$ 90.625</t>
  </si>
  <si>
    <t>$ 157.500</t>
  </si>
  <si>
    <t>$ 6.750</t>
  </si>
  <si>
    <t>$ 41.750</t>
  </si>
  <si>
    <t>$ 115.750</t>
  </si>
  <si>
    <t>$ 189.000</t>
  </si>
  <si>
    <t>$ 8.100</t>
  </si>
  <si>
    <t>$ 43.100</t>
  </si>
  <si>
    <t>$ 145.900</t>
  </si>
  <si>
    <t>$ 226.800</t>
  </si>
  <si>
    <t>$ 9.720</t>
  </si>
  <si>
    <t>$ 44.720</t>
  </si>
  <si>
    <t>$ 182.080</t>
  </si>
  <si>
    <t>$ 272.160</t>
  </si>
  <si>
    <t>$ 11.664</t>
  </si>
  <si>
    <t>$ 46.664</t>
  </si>
  <si>
    <t>$ 225.496</t>
  </si>
  <si>
    <t>VAN</t>
  </si>
  <si>
    <t>$ 465.016</t>
  </si>
  <si>
    <t>OPCION B</t>
  </si>
  <si>
    <t>$ 40.000</t>
  </si>
  <si>
    <t>$ 9.375</t>
  </si>
  <si>
    <t>$ 49.375</t>
  </si>
  <si>
    <t>$ 81.875</t>
  </si>
  <si>
    <t>$ 11.250</t>
  </si>
  <si>
    <t>$ 51.250</t>
  </si>
  <si>
    <t>$ 106.250</t>
  </si>
  <si>
    <t>$ 13.500</t>
  </si>
  <si>
    <t>$ 53.500</t>
  </si>
  <si>
    <t>$ 135.500</t>
  </si>
  <si>
    <t>$ 16.200</t>
  </si>
  <si>
    <t>$ 56.200</t>
  </si>
  <si>
    <t>$ 170.600</t>
  </si>
  <si>
    <t>$ 19.440</t>
  </si>
  <si>
    <t>$ 59.440</t>
  </si>
  <si>
    <t>$ 212.720</t>
  </si>
  <si>
    <t>$ 418.430</t>
  </si>
  <si>
    <t>OPCION C</t>
  </si>
  <si>
    <t>$ 45.000</t>
  </si>
  <si>
    <t>$ 10.125</t>
  </si>
  <si>
    <t>$ 55.125</t>
  </si>
  <si>
    <t>$ 76.125</t>
  </si>
  <si>
    <t>$ 12.150</t>
  </si>
  <si>
    <t>$ 57.150</t>
  </si>
  <si>
    <t>$ 100.350</t>
  </si>
  <si>
    <t>$ 14.580</t>
  </si>
  <si>
    <t>$ 59.580</t>
  </si>
  <si>
    <t>$ 129.420</t>
  </si>
  <si>
    <t>$ 17.496</t>
  </si>
  <si>
    <t>$ 62.496</t>
  </si>
  <si>
    <t>$ 164.304</t>
  </si>
  <si>
    <t>$ 20.995</t>
  </si>
  <si>
    <t>$ 65.995</t>
  </si>
  <si>
    <t>$ 206.165</t>
  </si>
  <si>
    <t>$ 378.612</t>
  </si>
  <si>
    <t>Tabla 5.1 GASTOS SERVICIOS BASICOS</t>
  </si>
  <si>
    <t>$ 30,00</t>
  </si>
  <si>
    <t>$ 360,00</t>
  </si>
  <si>
    <t>$ 25,00</t>
  </si>
  <si>
    <t>$ 300,00</t>
  </si>
  <si>
    <t>Teléfono</t>
  </si>
  <si>
    <t>$ 15,00</t>
  </si>
  <si>
    <t>$ 180,00</t>
  </si>
  <si>
    <t>Total Servicios Básicos</t>
  </si>
  <si>
    <t>$ 70,00</t>
  </si>
  <si>
    <t>$ 840,00</t>
  </si>
  <si>
    <t>Tabla 5.2 GASTOS GENERALES Y DE ADMINISTRACION</t>
  </si>
  <si>
    <t>$ 100,00</t>
  </si>
  <si>
    <t>$ 1.200,00</t>
  </si>
  <si>
    <t>Total Gastos Generales y de Administración</t>
  </si>
  <si>
    <t>$ 130,00</t>
  </si>
  <si>
    <t>$ 1.560,00</t>
  </si>
  <si>
    <t>Tabla 5.3 GASTOS DE PUBLICIDAD</t>
  </si>
  <si>
    <t>Tabla 5.4  BALANCE DEL PERSONAL ADMINISTRATIVO Y SUELDO</t>
  </si>
  <si>
    <t>Tabla 5.5 BALANCE DEL PERSONAL OPERATIVOS Y SUELDO</t>
  </si>
  <si>
    <t>Tabla 5.6 Costos Variables</t>
  </si>
  <si>
    <t>35 diarios/ camión</t>
  </si>
  <si>
    <t>$ 500,00</t>
  </si>
  <si>
    <t>$ 750,00</t>
  </si>
  <si>
    <t>Tabla 5.7 COSTOS FIJOS</t>
  </si>
  <si>
    <t>$ 650,00</t>
  </si>
  <si>
    <t>$ 7.800,00</t>
  </si>
  <si>
    <t>Gerente de Logística y Operaciones</t>
  </si>
  <si>
    <t>$ 200,00</t>
  </si>
  <si>
    <t>$ 2.400,00</t>
  </si>
  <si>
    <t>$ 250,00</t>
  </si>
  <si>
    <t>$ 3.000,00</t>
  </si>
  <si>
    <t>$ 450,00</t>
  </si>
  <si>
    <t>$ 5.400,00</t>
  </si>
  <si>
    <t>$ 175,00</t>
  </si>
  <si>
    <t>$ 350,00</t>
  </si>
  <si>
    <t>$ 4.200,00</t>
  </si>
  <si>
    <t>$ 1.800,00</t>
  </si>
  <si>
    <t>$ 21.600,00</t>
  </si>
  <si>
    <t>$ 1.250,00</t>
  </si>
  <si>
    <t>$ 15.000,00</t>
  </si>
  <si>
    <t>$ 2.160,00</t>
  </si>
  <si>
    <t>$ 6.000,00</t>
  </si>
  <si>
    <t>$ 150,00</t>
  </si>
  <si>
    <t>$ 900,00</t>
  </si>
  <si>
    <t>$ 10.800,00</t>
  </si>
  <si>
    <t>Seguro de camión</t>
  </si>
  <si>
    <t>$ 3.555,00</t>
  </si>
  <si>
    <t>$ 7.330,00</t>
  </si>
  <si>
    <t>$ 87.960,00</t>
  </si>
  <si>
    <t>Tabla 5.8  FINANCIAMIENTO DEL PROYECTO</t>
  </si>
  <si>
    <t>Tabla 5.10 TABLA DE AMORTIZACION DEL PRESTAMO</t>
  </si>
  <si>
    <t>Tabla 5.11 FLUJO DE EFECTIVO NETO ( Capital de Trabajo)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</si>
</sst>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_);[Red]\(&quot;$&quot;#,##0\)"/>
    <numFmt numFmtId="167" formatCode="&quot;$&quot;#,##0.00_);[Red]\(&quot;$&quot;#,##0.00\)"/>
    <numFmt numFmtId="168" formatCode="[$$-409]#,##0.00"/>
    <numFmt numFmtId="169" formatCode="0.0"/>
    <numFmt numFmtId="170" formatCode="0.00000"/>
    <numFmt numFmtId="171" formatCode="[$$-300A]\ #,##0.00"/>
    <numFmt numFmtId="172" formatCode="[$$-300A]\ #,##0"/>
    <numFmt numFmtId="173" formatCode="&quot;$&quot;\ #,##0.00"/>
    <numFmt numFmtId="174" formatCode="0.000"/>
    <numFmt numFmtId="175" formatCode="_(* #,##0_);_(* \(#,##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+"/>
      <family val="0"/>
    </font>
    <font>
      <b/>
      <sz val="10"/>
      <name val="Calibri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+"/>
      <family val="0"/>
    </font>
    <font>
      <sz val="10"/>
      <color rgb="FFFF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FFFFFF"/>
      <name val="Calibri"/>
      <family val="2"/>
    </font>
    <font>
      <b/>
      <i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FFF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8"/>
      </right>
      <top style="thick">
        <color indexed="8"/>
      </top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/>
      <bottom style="thick">
        <color indexed="8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650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 wrapText="1"/>
    </xf>
    <xf numFmtId="0" fontId="1" fillId="34" borderId="14" xfId="0" applyFont="1" applyFill="1" applyBorder="1" applyAlignment="1">
      <alignment horizontal="justify" vertical="top" wrapText="1"/>
    </xf>
    <xf numFmtId="0" fontId="1" fillId="34" borderId="1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168" fontId="6" fillId="35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33" borderId="1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71" fontId="0" fillId="33" borderId="0" xfId="48" applyNumberFormat="1" applyFont="1" applyFill="1" applyBorder="1" applyAlignment="1">
      <alignment horizontal="center"/>
    </xf>
    <xf numFmtId="171" fontId="0" fillId="33" borderId="20" xfId="48" applyNumberFormat="1" applyFont="1" applyFill="1" applyBorder="1" applyAlignment="1">
      <alignment horizontal="center"/>
    </xf>
    <xf numFmtId="171" fontId="0" fillId="35" borderId="20" xfId="48" applyNumberFormat="1" applyFont="1" applyFill="1" applyBorder="1" applyAlignment="1">
      <alignment horizontal="center"/>
    </xf>
    <xf numFmtId="171" fontId="0" fillId="35" borderId="0" xfId="48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171" fontId="0" fillId="33" borderId="24" xfId="48" applyNumberFormat="1" applyFont="1" applyFill="1" applyBorder="1" applyAlignment="1">
      <alignment horizontal="center"/>
    </xf>
    <xf numFmtId="171" fontId="0" fillId="33" borderId="25" xfId="48" applyNumberFormat="1" applyFont="1" applyFill="1" applyBorder="1" applyAlignment="1">
      <alignment horizontal="center"/>
    </xf>
    <xf numFmtId="0" fontId="2" fillId="35" borderId="26" xfId="0" applyFont="1" applyFill="1" applyBorder="1" applyAlignment="1">
      <alignment/>
    </xf>
    <xf numFmtId="171" fontId="0" fillId="35" borderId="27" xfId="48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171" fontId="0" fillId="33" borderId="16" xfId="48" applyNumberFormat="1" applyFont="1" applyFill="1" applyBorder="1" applyAlignment="1">
      <alignment horizontal="center"/>
    </xf>
    <xf numFmtId="171" fontId="0" fillId="33" borderId="27" xfId="48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171" fontId="0" fillId="35" borderId="16" xfId="48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 horizontal="center"/>
    </xf>
    <xf numFmtId="43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8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8" xfId="0" applyNumberFormat="1" applyFont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6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2" fillId="36" borderId="26" xfId="0" applyFont="1" applyFill="1" applyBorder="1" applyAlignment="1">
      <alignment/>
    </xf>
    <xf numFmtId="4" fontId="2" fillId="36" borderId="29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8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indent="1"/>
    </xf>
    <xf numFmtId="0" fontId="0" fillId="0" borderId="28" xfId="0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7" borderId="21" xfId="0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171" fontId="0" fillId="0" borderId="28" xfId="0" applyNumberFormat="1" applyBorder="1" applyAlignment="1">
      <alignment horizontal="center"/>
    </xf>
    <xf numFmtId="171" fontId="0" fillId="0" borderId="29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indent="1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19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37" borderId="21" xfId="0" applyNumberFormat="1" applyFont="1" applyFill="1" applyBorder="1" applyAlignment="1">
      <alignment horizontal="center"/>
    </xf>
    <xf numFmtId="171" fontId="2" fillId="37" borderId="1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justify"/>
    </xf>
    <xf numFmtId="0" fontId="8" fillId="0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/>
    </xf>
    <xf numFmtId="167" fontId="21" fillId="0" borderId="31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/>
    </xf>
    <xf numFmtId="0" fontId="20" fillId="35" borderId="31" xfId="0" applyFont="1" applyFill="1" applyBorder="1" applyAlignment="1">
      <alignment wrapText="1"/>
    </xf>
    <xf numFmtId="166" fontId="20" fillId="35" borderId="3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31" xfId="0" applyFont="1" applyBorder="1" applyAlignment="1">
      <alignment horizontal="center"/>
    </xf>
    <xf numFmtId="0" fontId="20" fillId="35" borderId="3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1" fillId="0" borderId="0" xfId="0" applyFont="1" applyAlignment="1">
      <alignment/>
    </xf>
    <xf numFmtId="0" fontId="20" fillId="0" borderId="22" xfId="0" applyFont="1" applyBorder="1" applyAlignment="1">
      <alignment/>
    </xf>
    <xf numFmtId="172" fontId="21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0" fontId="21" fillId="0" borderId="23" xfId="0" applyFont="1" applyBorder="1" applyAlignment="1">
      <alignment/>
    </xf>
    <xf numFmtId="0" fontId="21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39" borderId="37" xfId="0" applyFont="1" applyFill="1" applyBorder="1" applyAlignment="1">
      <alignment horizontal="center"/>
    </xf>
    <xf numFmtId="0" fontId="21" fillId="39" borderId="38" xfId="0" applyFont="1" applyFill="1" applyBorder="1" applyAlignment="1">
      <alignment horizontal="center"/>
    </xf>
    <xf numFmtId="0" fontId="20" fillId="40" borderId="33" xfId="0" applyFont="1" applyFill="1" applyBorder="1" applyAlignment="1">
      <alignment/>
    </xf>
    <xf numFmtId="0" fontId="21" fillId="40" borderId="34" xfId="0" applyFont="1" applyFill="1" applyBorder="1" applyAlignment="1">
      <alignment horizontal="center"/>
    </xf>
    <xf numFmtId="0" fontId="21" fillId="40" borderId="35" xfId="0" applyFont="1" applyFill="1" applyBorder="1" applyAlignment="1">
      <alignment horizontal="center"/>
    </xf>
    <xf numFmtId="0" fontId="20" fillId="35" borderId="39" xfId="0" applyFont="1" applyFill="1" applyBorder="1" applyAlignment="1">
      <alignment/>
    </xf>
    <xf numFmtId="0" fontId="21" fillId="35" borderId="40" xfId="0" applyFont="1" applyFill="1" applyBorder="1" applyAlignment="1">
      <alignment/>
    </xf>
    <xf numFmtId="0" fontId="21" fillId="39" borderId="40" xfId="0" applyFont="1" applyFill="1" applyBorder="1" applyAlignment="1">
      <alignment horizontal="center"/>
    </xf>
    <xf numFmtId="0" fontId="21" fillId="39" borderId="41" xfId="0" applyFont="1" applyFill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70" fillId="0" borderId="28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28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0" fontId="20" fillId="36" borderId="17" xfId="0" applyFont="1" applyFill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166" fontId="21" fillId="0" borderId="0" xfId="0" applyNumberFormat="1" applyFont="1" applyAlignment="1">
      <alignment/>
    </xf>
    <xf numFmtId="0" fontId="20" fillId="35" borderId="26" xfId="0" applyFont="1" applyFill="1" applyBorder="1" applyAlignment="1">
      <alignment horizontal="center" vertical="center"/>
    </xf>
    <xf numFmtId="0" fontId="20" fillId="35" borderId="4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/>
    </xf>
    <xf numFmtId="171" fontId="20" fillId="0" borderId="31" xfId="0" applyNumberFormat="1" applyFon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1" fontId="0" fillId="0" borderId="44" xfId="0" applyNumberFormat="1" applyFont="1" applyFill="1" applyBorder="1" applyAlignment="1">
      <alignment horizontal="center"/>
    </xf>
    <xf numFmtId="171" fontId="0" fillId="0" borderId="45" xfId="0" applyNumberFormat="1" applyBorder="1" applyAlignment="1">
      <alignment horizontal="center"/>
    </xf>
    <xf numFmtId="171" fontId="0" fillId="0" borderId="46" xfId="0" applyNumberFormat="1" applyFont="1" applyFill="1" applyBorder="1" applyAlignment="1">
      <alignment horizontal="center"/>
    </xf>
    <xf numFmtId="171" fontId="0" fillId="0" borderId="47" xfId="0" applyNumberFormat="1" applyFont="1" applyFill="1" applyBorder="1" applyAlignment="1">
      <alignment horizontal="center"/>
    </xf>
    <xf numFmtId="171" fontId="71" fillId="0" borderId="47" xfId="0" applyNumberFormat="1" applyFont="1" applyFill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171" fontId="69" fillId="0" borderId="4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21" fillId="0" borderId="30" xfId="0" applyFont="1" applyBorder="1" applyAlignment="1">
      <alignment horizontal="center"/>
    </xf>
    <xf numFmtId="171" fontId="21" fillId="0" borderId="2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73" fontId="0" fillId="0" borderId="31" xfId="0" applyNumberFormat="1" applyBorder="1" applyAlignment="1">
      <alignment horizontal="center"/>
    </xf>
    <xf numFmtId="173" fontId="0" fillId="0" borderId="45" xfId="0" applyNumberFormat="1" applyBorder="1" applyAlignment="1">
      <alignment horizontal="center"/>
    </xf>
    <xf numFmtId="164" fontId="0" fillId="0" borderId="47" xfId="51" applyFont="1" applyBorder="1" applyAlignment="1">
      <alignment horizontal="center"/>
    </xf>
    <xf numFmtId="164" fontId="0" fillId="0" borderId="48" xfId="51" applyFont="1" applyBorder="1" applyAlignment="1">
      <alignment horizontal="center"/>
    </xf>
    <xf numFmtId="0" fontId="21" fillId="38" borderId="23" xfId="0" applyFont="1" applyFill="1" applyBorder="1" applyAlignment="1">
      <alignment horizontal="center"/>
    </xf>
    <xf numFmtId="0" fontId="21" fillId="38" borderId="19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166" fontId="21" fillId="39" borderId="37" xfId="0" applyNumberFormat="1" applyFont="1" applyFill="1" applyBorder="1" applyAlignment="1">
      <alignment horizontal="center"/>
    </xf>
    <xf numFmtId="164" fontId="0" fillId="0" borderId="0" xfId="51" applyFont="1" applyAlignment="1">
      <alignment/>
    </xf>
    <xf numFmtId="174" fontId="0" fillId="0" borderId="0" xfId="0" applyNumberFormat="1" applyAlignment="1">
      <alignment/>
    </xf>
    <xf numFmtId="171" fontId="69" fillId="0" borderId="49" xfId="0" applyNumberFormat="1" applyFont="1" applyFill="1" applyBorder="1" applyAlignment="1">
      <alignment horizontal="center"/>
    </xf>
    <xf numFmtId="171" fontId="69" fillId="0" borderId="50" xfId="0" applyNumberFormat="1" applyFont="1" applyBorder="1" applyAlignment="1">
      <alignment horizontal="center"/>
    </xf>
    <xf numFmtId="171" fontId="69" fillId="0" borderId="51" xfId="0" applyNumberFormat="1" applyFont="1" applyBorder="1" applyAlignment="1">
      <alignment horizontal="center"/>
    </xf>
    <xf numFmtId="171" fontId="69" fillId="0" borderId="52" xfId="51" applyNumberFormat="1" applyFont="1" applyBorder="1" applyAlignment="1">
      <alignment horizontal="center"/>
    </xf>
    <xf numFmtId="164" fontId="21" fillId="0" borderId="31" xfId="51" applyFont="1" applyBorder="1" applyAlignment="1">
      <alignment horizontal="center"/>
    </xf>
    <xf numFmtId="164" fontId="20" fillId="0" borderId="31" xfId="51" applyFont="1" applyBorder="1" applyAlignment="1">
      <alignment horizontal="center"/>
    </xf>
    <xf numFmtId="171" fontId="70" fillId="0" borderId="31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164" fontId="0" fillId="0" borderId="54" xfId="51" applyFont="1" applyBorder="1" applyAlignment="1">
      <alignment/>
    </xf>
    <xf numFmtId="164" fontId="23" fillId="41" borderId="55" xfId="51" applyFont="1" applyFill="1" applyBorder="1" applyAlignment="1">
      <alignment horizontal="center"/>
    </xf>
    <xf numFmtId="164" fontId="0" fillId="0" borderId="55" xfId="5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0" fillId="0" borderId="53" xfId="51" applyFont="1" applyBorder="1" applyAlignment="1">
      <alignment horizontal="center" vertical="center"/>
    </xf>
    <xf numFmtId="164" fontId="0" fillId="0" borderId="53" xfId="51" applyFont="1" applyBorder="1" applyAlignment="1">
      <alignment horizontal="center"/>
    </xf>
    <xf numFmtId="164" fontId="0" fillId="0" borderId="53" xfId="51" applyFont="1" applyBorder="1" applyAlignment="1">
      <alignment/>
    </xf>
    <xf numFmtId="0" fontId="0" fillId="0" borderId="54" xfId="0" applyBorder="1" applyAlignment="1">
      <alignment/>
    </xf>
    <xf numFmtId="0" fontId="0" fillId="0" borderId="55" xfId="51" applyNumberFormat="1" applyFont="1" applyBorder="1" applyAlignment="1">
      <alignment/>
    </xf>
    <xf numFmtId="164" fontId="23" fillId="41" borderId="53" xfId="51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61" xfId="0" applyFont="1" applyBorder="1" applyAlignment="1">
      <alignment/>
    </xf>
    <xf numFmtId="2" fontId="11" fillId="0" borderId="62" xfId="0" applyNumberFormat="1" applyFont="1" applyBorder="1" applyAlignment="1">
      <alignment horizontal="center"/>
    </xf>
    <xf numFmtId="0" fontId="5" fillId="0" borderId="63" xfId="0" applyFont="1" applyBorder="1" applyAlignment="1">
      <alignment/>
    </xf>
    <xf numFmtId="0" fontId="0" fillId="0" borderId="62" xfId="0" applyFon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10" fontId="5" fillId="0" borderId="62" xfId="55" applyNumberFormat="1" applyFont="1" applyFill="1" applyBorder="1" applyAlignment="1" applyProtection="1">
      <alignment horizontal="center"/>
      <protection/>
    </xf>
    <xf numFmtId="0" fontId="4" fillId="0" borderId="63" xfId="0" applyFont="1" applyBorder="1" applyAlignment="1">
      <alignment/>
    </xf>
    <xf numFmtId="10" fontId="12" fillId="42" borderId="62" xfId="55" applyNumberFormat="1" applyFont="1" applyFill="1" applyBorder="1" applyAlignment="1" applyProtection="1">
      <alignment horizontal="center"/>
      <protection/>
    </xf>
    <xf numFmtId="10" fontId="1" fillId="0" borderId="62" xfId="55" applyNumberFormat="1" applyFont="1" applyFill="1" applyBorder="1" applyAlignment="1" applyProtection="1">
      <alignment horizontal="center"/>
      <protection/>
    </xf>
    <xf numFmtId="0" fontId="4" fillId="43" borderId="64" xfId="0" applyFont="1" applyFill="1" applyBorder="1" applyAlignment="1">
      <alignment/>
    </xf>
    <xf numFmtId="0" fontId="0" fillId="19" borderId="65" xfId="0" applyFill="1" applyBorder="1" applyAlignment="1">
      <alignment/>
    </xf>
    <xf numFmtId="10" fontId="13" fillId="42" borderId="66" xfId="0" applyNumberFormat="1" applyFont="1" applyFill="1" applyBorder="1" applyAlignment="1">
      <alignment horizontal="center"/>
    </xf>
    <xf numFmtId="2" fontId="15" fillId="44" borderId="26" xfId="0" applyNumberFormat="1" applyFont="1" applyFill="1" applyBorder="1" applyAlignment="1">
      <alignment/>
    </xf>
    <xf numFmtId="2" fontId="15" fillId="44" borderId="21" xfId="0" applyNumberFormat="1" applyFont="1" applyFill="1" applyBorder="1" applyAlignment="1">
      <alignment/>
    </xf>
    <xf numFmtId="10" fontId="0" fillId="0" borderId="41" xfId="55" applyNumberFormat="1" applyFont="1" applyBorder="1" applyAlignment="1">
      <alignment horizontal="center"/>
    </xf>
    <xf numFmtId="43" fontId="0" fillId="0" borderId="35" xfId="48" applyFon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0" fontId="17" fillId="45" borderId="67" xfId="0" applyFont="1" applyFill="1" applyBorder="1" applyAlignment="1">
      <alignment horizontal="center" wrapText="1"/>
    </xf>
    <xf numFmtId="0" fontId="17" fillId="45" borderId="50" xfId="0" applyFont="1" applyFill="1" applyBorder="1" applyAlignment="1">
      <alignment horizontal="center" wrapText="1"/>
    </xf>
    <xf numFmtId="0" fontId="17" fillId="45" borderId="68" xfId="0" applyFont="1" applyFill="1" applyBorder="1" applyAlignment="1">
      <alignment horizontal="center" wrapText="1"/>
    </xf>
    <xf numFmtId="0" fontId="17" fillId="45" borderId="69" xfId="0" applyFont="1" applyFill="1" applyBorder="1" applyAlignment="1">
      <alignment horizontal="center" wrapText="1"/>
    </xf>
    <xf numFmtId="0" fontId="17" fillId="45" borderId="70" xfId="0" applyFont="1" applyFill="1" applyBorder="1" applyAlignment="1">
      <alignment horizontal="center" wrapText="1"/>
    </xf>
    <xf numFmtId="0" fontId="17" fillId="45" borderId="47" xfId="0" applyFont="1" applyFill="1" applyBorder="1" applyAlignment="1">
      <alignment horizontal="center" wrapText="1"/>
    </xf>
    <xf numFmtId="0" fontId="17" fillId="45" borderId="54" xfId="0" applyFont="1" applyFill="1" applyBorder="1" applyAlignment="1">
      <alignment horizontal="center" wrapText="1"/>
    </xf>
    <xf numFmtId="0" fontId="17" fillId="45" borderId="71" xfId="0" applyFont="1" applyFill="1" applyBorder="1" applyAlignment="1">
      <alignment horizontal="center" wrapText="1"/>
    </xf>
    <xf numFmtId="0" fontId="17" fillId="40" borderId="72" xfId="0" applyFont="1" applyFill="1" applyBorder="1" applyAlignment="1">
      <alignment horizontal="center" wrapText="1"/>
    </xf>
    <xf numFmtId="3" fontId="17" fillId="40" borderId="31" xfId="0" applyNumberFormat="1" applyFont="1" applyFill="1" applyBorder="1" applyAlignment="1">
      <alignment horizontal="center" wrapText="1"/>
    </xf>
    <xf numFmtId="4" fontId="16" fillId="0" borderId="58" xfId="0" applyNumberFormat="1" applyFont="1" applyFill="1" applyBorder="1" applyAlignment="1">
      <alignment/>
    </xf>
    <xf numFmtId="175" fontId="17" fillId="40" borderId="31" xfId="50" applyNumberFormat="1" applyFont="1" applyFill="1" applyBorder="1" applyAlignment="1">
      <alignment horizontal="center" wrapText="1"/>
    </xf>
    <xf numFmtId="175" fontId="17" fillId="40" borderId="73" xfId="0" applyNumberFormat="1" applyFont="1" applyFill="1" applyBorder="1" applyAlignment="1">
      <alignment horizontal="center" wrapText="1"/>
    </xf>
    <xf numFmtId="0" fontId="19" fillId="45" borderId="72" xfId="0" applyFont="1" applyFill="1" applyBorder="1" applyAlignment="1">
      <alignment horizontal="center" wrapText="1"/>
    </xf>
    <xf numFmtId="3" fontId="19" fillId="45" borderId="31" xfId="0" applyNumberFormat="1" applyFont="1" applyFill="1" applyBorder="1" applyAlignment="1">
      <alignment horizontal="center" wrapText="1"/>
    </xf>
    <xf numFmtId="175" fontId="19" fillId="45" borderId="73" xfId="0" applyNumberFormat="1" applyFont="1" applyFill="1" applyBorder="1" applyAlignment="1">
      <alignment horizontal="center" wrapText="1"/>
    </xf>
    <xf numFmtId="0" fontId="17" fillId="0" borderId="74" xfId="0" applyFont="1" applyFill="1" applyBorder="1" applyAlignment="1">
      <alignment horizontal="center" wrapText="1"/>
    </xf>
    <xf numFmtId="4" fontId="16" fillId="0" borderId="75" xfId="0" applyNumberFormat="1" applyFont="1" applyFill="1" applyBorder="1" applyAlignment="1">
      <alignment/>
    </xf>
    <xf numFmtId="175" fontId="17" fillId="40" borderId="76" xfId="50" applyNumberFormat="1" applyFont="1" applyFill="1" applyBorder="1" applyAlignment="1">
      <alignment horizontal="center" wrapText="1"/>
    </xf>
    <xf numFmtId="175" fontId="17" fillId="0" borderId="77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3" fontId="72" fillId="0" borderId="76" xfId="0" applyNumberFormat="1" applyFont="1" applyFill="1" applyBorder="1" applyAlignment="1">
      <alignment horizontal="center" wrapText="1"/>
    </xf>
    <xf numFmtId="0" fontId="2" fillId="16" borderId="21" xfId="0" applyFont="1" applyFill="1" applyBorder="1" applyAlignment="1">
      <alignment/>
    </xf>
    <xf numFmtId="0" fontId="0" fillId="16" borderId="17" xfId="0" applyFill="1" applyBorder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72" xfId="0" applyFont="1" applyFill="1" applyBorder="1" applyAlignment="1">
      <alignment horizontal="center" wrapText="1"/>
    </xf>
    <xf numFmtId="3" fontId="17" fillId="0" borderId="31" xfId="0" applyNumberFormat="1" applyFont="1" applyFill="1" applyBorder="1" applyAlignment="1">
      <alignment horizontal="center" wrapText="1"/>
    </xf>
    <xf numFmtId="175" fontId="17" fillId="0" borderId="31" xfId="50" applyNumberFormat="1" applyFont="1" applyFill="1" applyBorder="1" applyAlignment="1">
      <alignment horizontal="center" wrapText="1"/>
    </xf>
    <xf numFmtId="175" fontId="17" fillId="0" borderId="73" xfId="0" applyNumberFormat="1" applyFont="1" applyFill="1" applyBorder="1" applyAlignment="1">
      <alignment horizontal="center" wrapText="1"/>
    </xf>
    <xf numFmtId="3" fontId="17" fillId="0" borderId="76" xfId="0" applyNumberFormat="1" applyFont="1" applyFill="1" applyBorder="1" applyAlignment="1">
      <alignment horizontal="center" wrapText="1"/>
    </xf>
    <xf numFmtId="175" fontId="17" fillId="0" borderId="76" xfId="50" applyNumberFormat="1" applyFont="1" applyFill="1" applyBorder="1" applyAlignment="1">
      <alignment horizontal="center" wrapText="1"/>
    </xf>
    <xf numFmtId="0" fontId="17" fillId="10" borderId="67" xfId="0" applyFont="1" applyFill="1" applyBorder="1" applyAlignment="1">
      <alignment horizontal="center" vertical="center" wrapText="1"/>
    </xf>
    <xf numFmtId="0" fontId="17" fillId="10" borderId="50" xfId="0" applyFont="1" applyFill="1" applyBorder="1" applyAlignment="1">
      <alignment horizontal="center" vertical="center" wrapText="1"/>
    </xf>
    <xf numFmtId="0" fontId="17" fillId="10" borderId="68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center" wrapText="1"/>
    </xf>
    <xf numFmtId="0" fontId="17" fillId="10" borderId="70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17" fillId="10" borderId="7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73" fillId="10" borderId="29" xfId="0" applyFont="1" applyFill="1" applyBorder="1" applyAlignment="1">
      <alignment horizontal="center" wrapText="1"/>
    </xf>
    <xf numFmtId="0" fontId="73" fillId="10" borderId="27" xfId="0" applyFont="1" applyFill="1" applyBorder="1" applyAlignment="1">
      <alignment horizontal="center"/>
    </xf>
    <xf numFmtId="0" fontId="73" fillId="10" borderId="27" xfId="0" applyFont="1" applyFill="1" applyBorder="1" applyAlignment="1">
      <alignment horizontal="center" wrapText="1"/>
    </xf>
    <xf numFmtId="0" fontId="74" fillId="46" borderId="28" xfId="0" applyFont="1" applyFill="1" applyBorder="1" applyAlignment="1">
      <alignment/>
    </xf>
    <xf numFmtId="0" fontId="74" fillId="46" borderId="20" xfId="0" applyFont="1" applyFill="1" applyBorder="1" applyAlignment="1">
      <alignment horizontal="center"/>
    </xf>
    <xf numFmtId="0" fontId="74" fillId="46" borderId="28" xfId="0" applyFont="1" applyFill="1" applyBorder="1" applyAlignment="1">
      <alignment wrapText="1"/>
    </xf>
    <xf numFmtId="0" fontId="74" fillId="46" borderId="29" xfId="0" applyFont="1" applyFill="1" applyBorder="1" applyAlignment="1">
      <alignment/>
    </xf>
    <xf numFmtId="0" fontId="74" fillId="46" borderId="27" xfId="0" applyFont="1" applyFill="1" applyBorder="1" applyAlignment="1">
      <alignment horizontal="center"/>
    </xf>
    <xf numFmtId="0" fontId="73" fillId="10" borderId="26" xfId="0" applyFont="1" applyFill="1" applyBorder="1" applyAlignment="1">
      <alignment horizontal="center" wrapText="1"/>
    </xf>
    <xf numFmtId="0" fontId="74" fillId="10" borderId="16" xfId="0" applyFont="1" applyFill="1" applyBorder="1" applyAlignment="1">
      <alignment/>
    </xf>
    <xf numFmtId="0" fontId="75" fillId="10" borderId="16" xfId="0" applyFont="1" applyFill="1" applyBorder="1" applyAlignment="1">
      <alignment/>
    </xf>
    <xf numFmtId="0" fontId="76" fillId="10" borderId="78" xfId="0" applyFont="1" applyFill="1" applyBorder="1" applyAlignment="1">
      <alignment horizontal="center"/>
    </xf>
    <xf numFmtId="0" fontId="76" fillId="10" borderId="27" xfId="0" applyFont="1" applyFill="1" applyBorder="1" applyAlignment="1">
      <alignment horizontal="center"/>
    </xf>
    <xf numFmtId="0" fontId="77" fillId="46" borderId="29" xfId="0" applyFont="1" applyFill="1" applyBorder="1" applyAlignment="1">
      <alignment/>
    </xf>
    <xf numFmtId="0" fontId="77" fillId="46" borderId="27" xfId="0" applyFont="1" applyFill="1" applyBorder="1" applyAlignment="1">
      <alignment horizontal="center"/>
    </xf>
    <xf numFmtId="0" fontId="77" fillId="46" borderId="29" xfId="0" applyFont="1" applyFill="1" applyBorder="1" applyAlignment="1">
      <alignment horizontal="justify"/>
    </xf>
    <xf numFmtId="0" fontId="77" fillId="46" borderId="28" xfId="0" applyFont="1" applyFill="1" applyBorder="1" applyAlignment="1">
      <alignment horizontal="justify"/>
    </xf>
    <xf numFmtId="0" fontId="77" fillId="46" borderId="20" xfId="0" applyFont="1" applyFill="1" applyBorder="1" applyAlignment="1">
      <alignment horizontal="center"/>
    </xf>
    <xf numFmtId="0" fontId="77" fillId="46" borderId="17" xfId="0" applyFont="1" applyFill="1" applyBorder="1" applyAlignment="1">
      <alignment horizontal="justify"/>
    </xf>
    <xf numFmtId="0" fontId="77" fillId="46" borderId="22" xfId="0" applyFont="1" applyFill="1" applyBorder="1" applyAlignment="1">
      <alignment horizontal="center"/>
    </xf>
    <xf numFmtId="0" fontId="77" fillId="46" borderId="26" xfId="0" applyFont="1" applyFill="1" applyBorder="1" applyAlignment="1">
      <alignment horizontal="justify"/>
    </xf>
    <xf numFmtId="0" fontId="77" fillId="46" borderId="29" xfId="0" applyFont="1" applyFill="1" applyBorder="1" applyAlignment="1">
      <alignment horizontal="center"/>
    </xf>
    <xf numFmtId="0" fontId="76" fillId="10" borderId="28" xfId="0" applyFont="1" applyFill="1" applyBorder="1" applyAlignment="1">
      <alignment horizontal="center"/>
    </xf>
    <xf numFmtId="0" fontId="77" fillId="10" borderId="20" xfId="0" applyFont="1" applyFill="1" applyBorder="1" applyAlignment="1">
      <alignment/>
    </xf>
    <xf numFmtId="0" fontId="76" fillId="10" borderId="20" xfId="0" applyFont="1" applyFill="1" applyBorder="1" applyAlignment="1">
      <alignment horizontal="center"/>
    </xf>
    <xf numFmtId="0" fontId="75" fillId="0" borderId="22" xfId="0" applyFont="1" applyBorder="1" applyAlignment="1">
      <alignment/>
    </xf>
    <xf numFmtId="0" fontId="78" fillId="41" borderId="29" xfId="0" applyFont="1" applyFill="1" applyBorder="1" applyAlignment="1">
      <alignment horizontal="center"/>
    </xf>
    <xf numFmtId="0" fontId="78" fillId="41" borderId="16" xfId="0" applyFont="1" applyFill="1" applyBorder="1" applyAlignment="1">
      <alignment horizontal="center"/>
    </xf>
    <xf numFmtId="0" fontId="75" fillId="46" borderId="28" xfId="0" applyFont="1" applyFill="1" applyBorder="1" applyAlignment="1">
      <alignment/>
    </xf>
    <xf numFmtId="0" fontId="75" fillId="46" borderId="0" xfId="0" applyFont="1" applyFill="1" applyAlignment="1">
      <alignment horizontal="center"/>
    </xf>
    <xf numFmtId="0" fontId="75" fillId="46" borderId="28" xfId="0" applyFont="1" applyFill="1" applyBorder="1" applyAlignment="1">
      <alignment horizontal="center"/>
    </xf>
    <xf numFmtId="0" fontId="75" fillId="10" borderId="17" xfId="0" applyFont="1" applyFill="1" applyBorder="1" applyAlignment="1">
      <alignment/>
    </xf>
    <xf numFmtId="0" fontId="75" fillId="10" borderId="18" xfId="0" applyFont="1" applyFill="1" applyBorder="1" applyAlignment="1">
      <alignment horizontal="center"/>
    </xf>
    <xf numFmtId="0" fontId="75" fillId="10" borderId="17" xfId="0" applyFont="1" applyFill="1" applyBorder="1" applyAlignment="1">
      <alignment horizontal="center"/>
    </xf>
    <xf numFmtId="0" fontId="79" fillId="10" borderId="17" xfId="0" applyFont="1" applyFill="1" applyBorder="1" applyAlignment="1">
      <alignment/>
    </xf>
    <xf numFmtId="0" fontId="79" fillId="10" borderId="22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9" fontId="1" fillId="0" borderId="1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21" xfId="0" applyFont="1" applyFill="1" applyBorder="1" applyAlignment="1">
      <alignment/>
    </xf>
    <xf numFmtId="9" fontId="1" fillId="10" borderId="21" xfId="0" applyNumberFormat="1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79" fillId="47" borderId="26" xfId="0" applyFont="1" applyFill="1" applyBorder="1" applyAlignment="1">
      <alignment horizontal="center"/>
    </xf>
    <xf numFmtId="0" fontId="80" fillId="47" borderId="29" xfId="0" applyFont="1" applyFill="1" applyBorder="1" applyAlignment="1">
      <alignment horizontal="center"/>
    </xf>
    <xf numFmtId="0" fontId="80" fillId="47" borderId="16" xfId="0" applyFont="1" applyFill="1" applyBorder="1" applyAlignment="1">
      <alignment horizontal="center"/>
    </xf>
    <xf numFmtId="0" fontId="80" fillId="47" borderId="27" xfId="0" applyFont="1" applyFill="1" applyBorder="1" applyAlignment="1">
      <alignment horizontal="center"/>
    </xf>
    <xf numFmtId="0" fontId="75" fillId="0" borderId="19" xfId="0" applyFont="1" applyBorder="1" applyAlignment="1">
      <alignment/>
    </xf>
    <xf numFmtId="0" fontId="75" fillId="0" borderId="28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20" xfId="0" applyFont="1" applyBorder="1" applyAlignment="1">
      <alignment horizontal="center"/>
    </xf>
    <xf numFmtId="0" fontId="79" fillId="47" borderId="21" xfId="0" applyFont="1" applyFill="1" applyBorder="1" applyAlignment="1">
      <alignment/>
    </xf>
    <xf numFmtId="0" fontId="79" fillId="47" borderId="17" xfId="0" applyFont="1" applyFill="1" applyBorder="1" applyAlignment="1">
      <alignment/>
    </xf>
    <xf numFmtId="0" fontId="79" fillId="47" borderId="18" xfId="0" applyFont="1" applyFill="1" applyBorder="1" applyAlignment="1">
      <alignment/>
    </xf>
    <xf numFmtId="0" fontId="79" fillId="47" borderId="17" xfId="0" applyFont="1" applyFill="1" applyBorder="1" applyAlignment="1">
      <alignment horizontal="center"/>
    </xf>
    <xf numFmtId="0" fontId="79" fillId="47" borderId="22" xfId="0" applyFont="1" applyFill="1" applyBorder="1" applyAlignment="1">
      <alignment horizontal="center"/>
    </xf>
    <xf numFmtId="0" fontId="75" fillId="0" borderId="26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27" xfId="0" applyFont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169" fontId="0" fillId="0" borderId="27" xfId="0" applyNumberFormat="1" applyFill="1" applyBorder="1" applyAlignment="1">
      <alignment horizontal="center"/>
    </xf>
    <xf numFmtId="0" fontId="75" fillId="0" borderId="21" xfId="0" applyFont="1" applyBorder="1" applyAlignment="1">
      <alignment/>
    </xf>
    <xf numFmtId="0" fontId="79" fillId="47" borderId="29" xfId="0" applyFont="1" applyFill="1" applyBorder="1" applyAlignment="1">
      <alignment/>
    </xf>
    <xf numFmtId="0" fontId="79" fillId="47" borderId="27" xfId="0" applyFont="1" applyFill="1" applyBorder="1" applyAlignment="1">
      <alignment horizontal="center" wrapText="1"/>
    </xf>
    <xf numFmtId="0" fontId="79" fillId="47" borderId="27" xfId="0" applyFont="1" applyFill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5" fillId="0" borderId="29" xfId="0" applyFont="1" applyBorder="1" applyAlignment="1">
      <alignment horizontal="center"/>
    </xf>
    <xf numFmtId="0" fontId="79" fillId="0" borderId="28" xfId="0" applyFont="1" applyBorder="1" applyAlignment="1">
      <alignment/>
    </xf>
    <xf numFmtId="0" fontId="79" fillId="0" borderId="29" xfId="0" applyFont="1" applyBorder="1" applyAlignment="1">
      <alignment/>
    </xf>
    <xf numFmtId="0" fontId="75" fillId="0" borderId="16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38" borderId="28" xfId="0" applyFont="1" applyFill="1" applyBorder="1" applyAlignment="1">
      <alignment horizontal="center"/>
    </xf>
    <xf numFmtId="0" fontId="75" fillId="38" borderId="20" xfId="0" applyFont="1" applyFill="1" applyBorder="1" applyAlignment="1">
      <alignment horizontal="center"/>
    </xf>
    <xf numFmtId="0" fontId="79" fillId="0" borderId="21" xfId="0" applyFont="1" applyBorder="1" applyAlignment="1">
      <alignment/>
    </xf>
    <xf numFmtId="0" fontId="75" fillId="0" borderId="18" xfId="0" applyFont="1" applyBorder="1" applyAlignment="1">
      <alignment/>
    </xf>
    <xf numFmtId="0" fontId="79" fillId="48" borderId="17" xfId="0" applyFont="1" applyFill="1" applyBorder="1" applyAlignment="1">
      <alignment horizontal="center"/>
    </xf>
    <xf numFmtId="0" fontId="79" fillId="47" borderId="29" xfId="0" applyFont="1" applyFill="1" applyBorder="1" applyAlignment="1">
      <alignment horizontal="center"/>
    </xf>
    <xf numFmtId="0" fontId="75" fillId="0" borderId="28" xfId="0" applyFont="1" applyBorder="1" applyAlignment="1">
      <alignment/>
    </xf>
    <xf numFmtId="0" fontId="75" fillId="38" borderId="17" xfId="0" applyFont="1" applyFill="1" applyBorder="1" applyAlignment="1">
      <alignment horizontal="center"/>
    </xf>
    <xf numFmtId="0" fontId="75" fillId="38" borderId="22" xfId="0" applyFont="1" applyFill="1" applyBorder="1" applyAlignment="1">
      <alignment horizontal="center"/>
    </xf>
    <xf numFmtId="0" fontId="79" fillId="0" borderId="26" xfId="0" applyFont="1" applyBorder="1" applyAlignment="1">
      <alignment/>
    </xf>
    <xf numFmtId="0" fontId="75" fillId="0" borderId="18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170" fontId="0" fillId="0" borderId="19" xfId="0" applyNumberFormat="1" applyFill="1" applyBorder="1" applyAlignment="1">
      <alignment horizontal="center"/>
    </xf>
    <xf numFmtId="170" fontId="0" fillId="0" borderId="28" xfId="0" applyNumberFormat="1" applyFill="1" applyBorder="1" applyAlignment="1">
      <alignment horizontal="center"/>
    </xf>
    <xf numFmtId="170" fontId="0" fillId="38" borderId="21" xfId="0" applyNumberFormat="1" applyFill="1" applyBorder="1" applyAlignment="1">
      <alignment horizontal="center"/>
    </xf>
    <xf numFmtId="170" fontId="0" fillId="38" borderId="17" xfId="0" applyNumberFormat="1" applyFill="1" applyBorder="1" applyAlignment="1">
      <alignment horizontal="center"/>
    </xf>
    <xf numFmtId="0" fontId="79" fillId="47" borderId="21" xfId="0" applyFont="1" applyFill="1" applyBorder="1" applyAlignment="1">
      <alignment horizontal="center"/>
    </xf>
    <xf numFmtId="0" fontId="79" fillId="47" borderId="18" xfId="0" applyFont="1" applyFill="1" applyBorder="1" applyAlignment="1">
      <alignment horizontal="center"/>
    </xf>
    <xf numFmtId="0" fontId="79" fillId="47" borderId="24" xfId="0" applyFont="1" applyFill="1" applyBorder="1" applyAlignment="1">
      <alignment horizontal="center"/>
    </xf>
    <xf numFmtId="0" fontId="79" fillId="47" borderId="30" xfId="0" applyFont="1" applyFill="1" applyBorder="1" applyAlignment="1">
      <alignment horizontal="center"/>
    </xf>
    <xf numFmtId="9" fontId="75" fillId="0" borderId="28" xfId="0" applyNumberFormat="1" applyFont="1" applyBorder="1" applyAlignment="1">
      <alignment horizontal="center"/>
    </xf>
    <xf numFmtId="9" fontId="75" fillId="0" borderId="19" xfId="0" applyNumberFormat="1" applyFont="1" applyBorder="1" applyAlignment="1">
      <alignment horizontal="center"/>
    </xf>
    <xf numFmtId="2" fontId="75" fillId="0" borderId="23" xfId="55" applyNumberFormat="1" applyFont="1" applyBorder="1" applyAlignment="1">
      <alignment horizontal="center"/>
    </xf>
    <xf numFmtId="2" fontId="75" fillId="0" borderId="30" xfId="55" applyNumberFormat="1" applyFont="1" applyBorder="1" applyAlignment="1">
      <alignment horizontal="center"/>
    </xf>
    <xf numFmtId="9" fontId="75" fillId="0" borderId="29" xfId="0" applyNumberFormat="1" applyFont="1" applyBorder="1" applyAlignment="1">
      <alignment horizontal="center"/>
    </xf>
    <xf numFmtId="9" fontId="75" fillId="0" borderId="26" xfId="0" applyNumberFormat="1" applyFont="1" applyBorder="1" applyAlignment="1">
      <alignment horizontal="center"/>
    </xf>
    <xf numFmtId="2" fontId="75" fillId="0" borderId="26" xfId="55" applyNumberFormat="1" applyFont="1" applyBorder="1" applyAlignment="1">
      <alignment horizontal="center"/>
    </xf>
    <xf numFmtId="2" fontId="75" fillId="0" borderId="29" xfId="55" applyNumberFormat="1" applyFont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9" fontId="23" fillId="0" borderId="0" xfId="0" applyNumberFormat="1" applyFont="1" applyFill="1" applyAlignment="1">
      <alignment horizontal="center"/>
    </xf>
    <xf numFmtId="0" fontId="23" fillId="49" borderId="47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left"/>
    </xf>
    <xf numFmtId="0" fontId="43" fillId="0" borderId="31" xfId="0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 horizontal="center"/>
    </xf>
    <xf numFmtId="0" fontId="44" fillId="49" borderId="31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172" fontId="43" fillId="0" borderId="31" xfId="0" applyNumberFormat="1" applyFont="1" applyFill="1" applyBorder="1" applyAlignment="1">
      <alignment/>
    </xf>
    <xf numFmtId="171" fontId="43" fillId="0" borderId="31" xfId="0" applyNumberFormat="1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71" fontId="43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3" fillId="49" borderId="17" xfId="0" applyFont="1" applyFill="1" applyBorder="1" applyAlignment="1">
      <alignment horizontal="center"/>
    </xf>
    <xf numFmtId="0" fontId="83" fillId="49" borderId="22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84" fillId="38" borderId="17" xfId="0" applyFont="1" applyFill="1" applyBorder="1" applyAlignment="1">
      <alignment horizontal="center"/>
    </xf>
    <xf numFmtId="0" fontId="84" fillId="38" borderId="22" xfId="0" applyFont="1" applyFill="1" applyBorder="1" applyAlignment="1">
      <alignment horizontal="right"/>
    </xf>
    <xf numFmtId="0" fontId="85" fillId="0" borderId="0" xfId="0" applyFont="1" applyFill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9" xfId="0" applyFont="1" applyBorder="1" applyAlignment="1">
      <alignment wrapText="1"/>
    </xf>
    <xf numFmtId="0" fontId="79" fillId="47" borderId="21" xfId="0" applyFont="1" applyFill="1" applyBorder="1" applyAlignment="1">
      <alignment wrapText="1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/>
    </xf>
    <xf numFmtId="0" fontId="0" fillId="10" borderId="24" xfId="0" applyFill="1" applyBorder="1" applyAlignment="1">
      <alignment/>
    </xf>
    <xf numFmtId="171" fontId="2" fillId="10" borderId="30" xfId="0" applyNumberFormat="1" applyFont="1" applyFill="1" applyBorder="1" applyAlignment="1">
      <alignment horizontal="center"/>
    </xf>
    <xf numFmtId="0" fontId="76" fillId="47" borderId="29" xfId="0" applyFont="1" applyFill="1" applyBorder="1" applyAlignment="1">
      <alignment horizontal="center"/>
    </xf>
    <xf numFmtId="0" fontId="76" fillId="47" borderId="27" xfId="0" applyFont="1" applyFill="1" applyBorder="1" applyAlignment="1">
      <alignment horizontal="center"/>
    </xf>
    <xf numFmtId="0" fontId="76" fillId="47" borderId="16" xfId="0" applyFont="1" applyFill="1" applyBorder="1" applyAlignment="1">
      <alignment horizontal="center"/>
    </xf>
    <xf numFmtId="171" fontId="75" fillId="46" borderId="16" xfId="0" applyNumberFormat="1" applyFont="1" applyFill="1" applyBorder="1" applyAlignment="1">
      <alignment horizontal="center"/>
    </xf>
    <xf numFmtId="171" fontId="75" fillId="46" borderId="17" xfId="0" applyNumberFormat="1" applyFont="1" applyFill="1" applyBorder="1" applyAlignment="1">
      <alignment horizontal="center"/>
    </xf>
    <xf numFmtId="171" fontId="75" fillId="46" borderId="29" xfId="0" applyNumberFormat="1" applyFont="1" applyFill="1" applyBorder="1" applyAlignment="1">
      <alignment horizontal="center"/>
    </xf>
    <xf numFmtId="0" fontId="76" fillId="47" borderId="28" xfId="0" applyFont="1" applyFill="1" applyBorder="1" applyAlignment="1">
      <alignment/>
    </xf>
    <xf numFmtId="0" fontId="77" fillId="47" borderId="20" xfId="0" applyFont="1" applyFill="1" applyBorder="1" applyAlignment="1">
      <alignment/>
    </xf>
    <xf numFmtId="171" fontId="79" fillId="47" borderId="0" xfId="0" applyNumberFormat="1" applyFont="1" applyFill="1" applyAlignment="1">
      <alignment horizontal="right"/>
    </xf>
    <xf numFmtId="171" fontId="79" fillId="47" borderId="0" xfId="0" applyNumberFormat="1" applyFont="1" applyFill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2" fillId="10" borderId="21" xfId="0" applyFont="1" applyFill="1" applyBorder="1" applyAlignment="1">
      <alignment/>
    </xf>
    <xf numFmtId="171" fontId="2" fillId="10" borderId="17" xfId="0" applyNumberFormat="1" applyFont="1" applyFill="1" applyBorder="1" applyAlignment="1">
      <alignment horizontal="center"/>
    </xf>
    <xf numFmtId="171" fontId="2" fillId="10" borderId="22" xfId="0" applyNumberFormat="1" applyFont="1" applyFill="1" applyBorder="1" applyAlignment="1">
      <alignment horizontal="center"/>
    </xf>
    <xf numFmtId="0" fontId="75" fillId="47" borderId="20" xfId="0" applyFont="1" applyFill="1" applyBorder="1" applyAlignment="1">
      <alignment horizontal="center"/>
    </xf>
    <xf numFmtId="0" fontId="79" fillId="47" borderId="0" xfId="0" applyFont="1" applyFill="1" applyAlignment="1">
      <alignment horizontal="center"/>
    </xf>
    <xf numFmtId="0" fontId="79" fillId="47" borderId="28" xfId="0" applyFont="1" applyFill="1" applyBorder="1" applyAlignment="1">
      <alignment horizontal="center"/>
    </xf>
    <xf numFmtId="0" fontId="75" fillId="50" borderId="18" xfId="0" applyFont="1" applyFill="1" applyBorder="1" applyAlignment="1">
      <alignment horizontal="center"/>
    </xf>
    <xf numFmtId="0" fontId="75" fillId="50" borderId="17" xfId="0" applyFont="1" applyFill="1" applyBorder="1" applyAlignment="1">
      <alignment horizontal="center"/>
    </xf>
    <xf numFmtId="0" fontId="75" fillId="50" borderId="22" xfId="0" applyFont="1" applyFill="1" applyBorder="1" applyAlignment="1">
      <alignment horizontal="center"/>
    </xf>
    <xf numFmtId="171" fontId="75" fillId="0" borderId="20" xfId="0" applyNumberFormat="1" applyFont="1" applyBorder="1" applyAlignment="1">
      <alignment horizontal="center"/>
    </xf>
    <xf numFmtId="0" fontId="75" fillId="0" borderId="29" xfId="0" applyFont="1" applyBorder="1" applyAlignment="1">
      <alignment/>
    </xf>
    <xf numFmtId="0" fontId="79" fillId="47" borderId="27" xfId="0" applyFont="1" applyFill="1" applyBorder="1" applyAlignment="1">
      <alignment/>
    </xf>
    <xf numFmtId="171" fontId="79" fillId="47" borderId="22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79" fillId="47" borderId="26" xfId="0" applyFont="1" applyFill="1" applyBorder="1" applyAlignment="1">
      <alignment/>
    </xf>
    <xf numFmtId="0" fontId="79" fillId="47" borderId="16" xfId="0" applyFont="1" applyFill="1" applyBorder="1" applyAlignment="1">
      <alignment/>
    </xf>
    <xf numFmtId="0" fontId="75" fillId="0" borderId="19" xfId="0" applyFont="1" applyBorder="1" applyAlignment="1">
      <alignment horizontal="left" indent="1"/>
    </xf>
    <xf numFmtId="0" fontId="2" fillId="10" borderId="29" xfId="0" applyFont="1" applyFill="1" applyBorder="1" applyAlignment="1">
      <alignment horizontal="center" wrapText="1"/>
    </xf>
    <xf numFmtId="0" fontId="2" fillId="10" borderId="27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171" fontId="2" fillId="10" borderId="21" xfId="0" applyNumberFormat="1" applyFont="1" applyFill="1" applyBorder="1" applyAlignment="1">
      <alignment horizontal="center"/>
    </xf>
    <xf numFmtId="0" fontId="20" fillId="10" borderId="47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/>
    </xf>
    <xf numFmtId="0" fontId="20" fillId="12" borderId="31" xfId="0" applyFont="1" applyFill="1" applyBorder="1" applyAlignment="1">
      <alignment horizontal="center"/>
    </xf>
    <xf numFmtId="166" fontId="20" fillId="12" borderId="3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66" fontId="20" fillId="0" borderId="31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/>
    </xf>
    <xf numFmtId="166" fontId="21" fillId="12" borderId="0" xfId="0" applyNumberFormat="1" applyFont="1" applyFill="1" applyAlignment="1">
      <alignment/>
    </xf>
    <xf numFmtId="0" fontId="50" fillId="51" borderId="26" xfId="0" applyFont="1" applyFill="1" applyBorder="1" applyAlignment="1">
      <alignment/>
    </xf>
    <xf numFmtId="0" fontId="50" fillId="51" borderId="16" xfId="0" applyFont="1" applyFill="1" applyBorder="1" applyAlignment="1">
      <alignment/>
    </xf>
    <xf numFmtId="0" fontId="50" fillId="51" borderId="27" xfId="0" applyFont="1" applyFill="1" applyBorder="1" applyAlignment="1">
      <alignment/>
    </xf>
    <xf numFmtId="0" fontId="69" fillId="51" borderId="79" xfId="0" applyFont="1" applyFill="1" applyBorder="1" applyAlignment="1">
      <alignment horizontal="center"/>
    </xf>
    <xf numFmtId="0" fontId="69" fillId="51" borderId="18" xfId="0" applyFont="1" applyFill="1" applyBorder="1" applyAlignment="1">
      <alignment horizontal="center"/>
    </xf>
    <xf numFmtId="0" fontId="69" fillId="51" borderId="17" xfId="0" applyFont="1" applyFill="1" applyBorder="1" applyAlignment="1">
      <alignment horizontal="center"/>
    </xf>
    <xf numFmtId="0" fontId="69" fillId="10" borderId="53" xfId="0" applyFont="1" applyFill="1" applyBorder="1" applyAlignment="1">
      <alignment/>
    </xf>
    <xf numFmtId="0" fontId="0" fillId="10" borderId="55" xfId="0" applyFill="1" applyBorder="1" applyAlignment="1">
      <alignment/>
    </xf>
    <xf numFmtId="164" fontId="51" fillId="10" borderId="53" xfId="51" applyFont="1" applyFill="1" applyBorder="1" applyAlignment="1">
      <alignment horizontal="center"/>
    </xf>
    <xf numFmtId="164" fontId="51" fillId="10" borderId="55" xfId="51" applyFont="1" applyFill="1" applyBorder="1" applyAlignment="1">
      <alignment horizontal="center"/>
    </xf>
    <xf numFmtId="0" fontId="2" fillId="10" borderId="53" xfId="0" applyFont="1" applyFill="1" applyBorder="1" applyAlignment="1">
      <alignment/>
    </xf>
    <xf numFmtId="164" fontId="69" fillId="10" borderId="53" xfId="0" applyNumberFormat="1" applyFont="1" applyFill="1" applyBorder="1" applyAlignment="1">
      <alignment/>
    </xf>
    <xf numFmtId="164" fontId="69" fillId="10" borderId="55" xfId="0" applyNumberFormat="1" applyFont="1" applyFill="1" applyBorder="1" applyAlignment="1">
      <alignment/>
    </xf>
    <xf numFmtId="164" fontId="69" fillId="10" borderId="53" xfId="51" applyFont="1" applyFill="1" applyBorder="1" applyAlignment="1">
      <alignment/>
    </xf>
    <xf numFmtId="164" fontId="69" fillId="10" borderId="55" xfId="51" applyFont="1" applyFill="1" applyBorder="1" applyAlignment="1">
      <alignment/>
    </xf>
    <xf numFmtId="164" fontId="0" fillId="10" borderId="55" xfId="51" applyFont="1" applyFill="1" applyBorder="1" applyAlignment="1">
      <alignment/>
    </xf>
    <xf numFmtId="0" fontId="2" fillId="10" borderId="80" xfId="0" applyFont="1" applyFill="1" applyBorder="1" applyAlignment="1">
      <alignment/>
    </xf>
    <xf numFmtId="164" fontId="69" fillId="10" borderId="81" xfId="51" applyFont="1" applyFill="1" applyBorder="1" applyAlignment="1">
      <alignment/>
    </xf>
    <xf numFmtId="164" fontId="69" fillId="10" borderId="80" xfId="51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3" fillId="48" borderId="21" xfId="0" applyFont="1" applyFill="1" applyBorder="1" applyAlignment="1">
      <alignment horizontal="center" vertical="center"/>
    </xf>
    <xf numFmtId="0" fontId="73" fillId="48" borderId="18" xfId="0" applyFont="1" applyFill="1" applyBorder="1" applyAlignment="1">
      <alignment horizontal="center" vertical="center"/>
    </xf>
    <xf numFmtId="0" fontId="73" fillId="48" borderId="82" xfId="0" applyFont="1" applyFill="1" applyBorder="1" applyAlignment="1">
      <alignment horizontal="center" vertical="center"/>
    </xf>
    <xf numFmtId="0" fontId="74" fillId="46" borderId="21" xfId="0" applyFont="1" applyFill="1" applyBorder="1" applyAlignment="1">
      <alignment horizontal="left"/>
    </xf>
    <xf numFmtId="0" fontId="74" fillId="46" borderId="18" xfId="0" applyFont="1" applyFill="1" applyBorder="1" applyAlignment="1">
      <alignment horizontal="left"/>
    </xf>
    <xf numFmtId="0" fontId="74" fillId="46" borderId="22" xfId="0" applyFont="1" applyFill="1" applyBorder="1" applyAlignment="1">
      <alignment horizontal="left"/>
    </xf>
    <xf numFmtId="0" fontId="76" fillId="52" borderId="21" xfId="0" applyFont="1" applyFill="1" applyBorder="1" applyAlignment="1">
      <alignment horizontal="center"/>
    </xf>
    <xf numFmtId="0" fontId="76" fillId="52" borderId="18" xfId="0" applyFont="1" applyFill="1" applyBorder="1" applyAlignment="1">
      <alignment horizontal="center"/>
    </xf>
    <xf numFmtId="0" fontId="76" fillId="52" borderId="82" xfId="0" applyFont="1" applyFill="1" applyBorder="1" applyAlignment="1">
      <alignment horizontal="center"/>
    </xf>
    <xf numFmtId="0" fontId="76" fillId="10" borderId="30" xfId="0" applyFont="1" applyFill="1" applyBorder="1" applyAlignment="1">
      <alignment horizontal="center"/>
    </xf>
    <xf numFmtId="0" fontId="76" fillId="10" borderId="83" xfId="0" applyFont="1" applyFill="1" applyBorder="1" applyAlignment="1">
      <alignment horizontal="center"/>
    </xf>
    <xf numFmtId="0" fontId="76" fillId="10" borderId="21" xfId="0" applyFont="1" applyFill="1" applyBorder="1" applyAlignment="1">
      <alignment horizontal="center"/>
    </xf>
    <xf numFmtId="0" fontId="76" fillId="10" borderId="82" xfId="0" applyFont="1" applyFill="1" applyBorder="1" applyAlignment="1">
      <alignment horizontal="center"/>
    </xf>
    <xf numFmtId="0" fontId="74" fillId="46" borderId="21" xfId="0" applyFont="1" applyFill="1" applyBorder="1" applyAlignment="1">
      <alignment/>
    </xf>
    <xf numFmtId="0" fontId="74" fillId="46" borderId="18" xfId="0" applyFont="1" applyFill="1" applyBorder="1" applyAlignment="1">
      <alignment/>
    </xf>
    <xf numFmtId="0" fontId="79" fillId="48" borderId="23" xfId="0" applyFont="1" applyFill="1" applyBorder="1" applyAlignment="1">
      <alignment horizontal="center"/>
    </xf>
    <xf numFmtId="0" fontId="79" fillId="48" borderId="24" xfId="0" applyFont="1" applyFill="1" applyBorder="1" applyAlignment="1">
      <alignment horizontal="center"/>
    </xf>
    <xf numFmtId="0" fontId="79" fillId="48" borderId="84" xfId="0" applyFont="1" applyFill="1" applyBorder="1" applyAlignment="1">
      <alignment horizontal="center"/>
    </xf>
    <xf numFmtId="0" fontId="79" fillId="48" borderId="26" xfId="0" applyFont="1" applyFill="1" applyBorder="1" applyAlignment="1">
      <alignment horizontal="center"/>
    </xf>
    <xf numFmtId="0" fontId="79" fillId="48" borderId="16" xfId="0" applyFont="1" applyFill="1" applyBorder="1" applyAlignment="1">
      <alignment horizontal="center"/>
    </xf>
    <xf numFmtId="0" fontId="79" fillId="48" borderId="7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9" fillId="48" borderId="21" xfId="0" applyFont="1" applyFill="1" applyBorder="1" applyAlignment="1">
      <alignment horizontal="center"/>
    </xf>
    <xf numFmtId="0" fontId="79" fillId="48" borderId="18" xfId="0" applyFont="1" applyFill="1" applyBorder="1" applyAlignment="1">
      <alignment horizontal="center"/>
    </xf>
    <xf numFmtId="0" fontId="79" fillId="48" borderId="82" xfId="0" applyFont="1" applyFill="1" applyBorder="1" applyAlignment="1">
      <alignment horizontal="center"/>
    </xf>
    <xf numFmtId="0" fontId="23" fillId="49" borderId="21" xfId="0" applyFont="1" applyFill="1" applyBorder="1" applyAlignment="1">
      <alignment horizontal="center"/>
    </xf>
    <xf numFmtId="0" fontId="23" fillId="49" borderId="18" xfId="0" applyFont="1" applyFill="1" applyBorder="1" applyAlignment="1">
      <alignment horizontal="center"/>
    </xf>
    <xf numFmtId="0" fontId="23" fillId="49" borderId="22" xfId="0" applyFont="1" applyFill="1" applyBorder="1" applyAlignment="1">
      <alignment horizontal="center"/>
    </xf>
    <xf numFmtId="0" fontId="79" fillId="47" borderId="21" xfId="0" applyFont="1" applyFill="1" applyBorder="1" applyAlignment="1">
      <alignment horizontal="center"/>
    </xf>
    <xf numFmtId="0" fontId="79" fillId="47" borderId="82" xfId="0" applyFont="1" applyFill="1" applyBorder="1" applyAlignment="1">
      <alignment horizontal="center"/>
    </xf>
    <xf numFmtId="0" fontId="2" fillId="51" borderId="21" xfId="0" applyFont="1" applyFill="1" applyBorder="1" applyAlignment="1">
      <alignment horizontal="center"/>
    </xf>
    <xf numFmtId="0" fontId="2" fillId="51" borderId="22" xfId="0" applyFont="1" applyFill="1" applyBorder="1" applyAlignment="1">
      <alignment horizontal="center"/>
    </xf>
    <xf numFmtId="170" fontId="69" fillId="0" borderId="21" xfId="0" applyNumberFormat="1" applyFont="1" applyFill="1" applyBorder="1" applyAlignment="1">
      <alignment horizontal="left"/>
    </xf>
    <xf numFmtId="170" fontId="69" fillId="0" borderId="22" xfId="0" applyNumberFormat="1" applyFont="1" applyFill="1" applyBorder="1" applyAlignment="1">
      <alignment horizontal="left"/>
    </xf>
    <xf numFmtId="0" fontId="2" fillId="10" borderId="85" xfId="0" applyFont="1" applyFill="1" applyBorder="1" applyAlignment="1">
      <alignment horizontal="center"/>
    </xf>
    <xf numFmtId="0" fontId="2" fillId="10" borderId="86" xfId="0" applyFont="1" applyFill="1" applyBorder="1" applyAlignment="1">
      <alignment horizontal="center"/>
    </xf>
    <xf numFmtId="0" fontId="2" fillId="51" borderId="18" xfId="0" applyFont="1" applyFill="1" applyBorder="1" applyAlignment="1">
      <alignment horizontal="center"/>
    </xf>
    <xf numFmtId="0" fontId="2" fillId="51" borderId="86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87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79" fillId="52" borderId="21" xfId="0" applyFont="1" applyFill="1" applyBorder="1" applyAlignment="1">
      <alignment horizontal="center"/>
    </xf>
    <xf numFmtId="0" fontId="79" fillId="52" borderId="18" xfId="0" applyFont="1" applyFill="1" applyBorder="1" applyAlignment="1">
      <alignment horizontal="center"/>
    </xf>
    <xf numFmtId="0" fontId="79" fillId="52" borderId="82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87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76" fillId="47" borderId="30" xfId="0" applyFont="1" applyFill="1" applyBorder="1" applyAlignment="1">
      <alignment horizontal="center"/>
    </xf>
    <xf numFmtId="0" fontId="76" fillId="47" borderId="83" xfId="0" applyFont="1" applyFill="1" applyBorder="1" applyAlignment="1">
      <alignment horizontal="center"/>
    </xf>
    <xf numFmtId="0" fontId="76" fillId="47" borderId="21" xfId="0" applyFont="1" applyFill="1" applyBorder="1" applyAlignment="1">
      <alignment horizontal="center"/>
    </xf>
    <xf numFmtId="0" fontId="76" fillId="47" borderId="22" xfId="0" applyFont="1" applyFill="1" applyBorder="1" applyAlignment="1">
      <alignment horizontal="center"/>
    </xf>
    <xf numFmtId="0" fontId="7" fillId="51" borderId="21" xfId="0" applyFont="1" applyFill="1" applyBorder="1" applyAlignment="1">
      <alignment horizontal="center"/>
    </xf>
    <xf numFmtId="0" fontId="7" fillId="51" borderId="18" xfId="0" applyFont="1" applyFill="1" applyBorder="1" applyAlignment="1">
      <alignment horizontal="center"/>
    </xf>
    <xf numFmtId="0" fontId="7" fillId="51" borderId="8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6" fillId="48" borderId="21" xfId="0" applyFont="1" applyFill="1" applyBorder="1" applyAlignment="1">
      <alignment horizontal="center"/>
    </xf>
    <xf numFmtId="0" fontId="76" fillId="48" borderId="18" xfId="0" applyFont="1" applyFill="1" applyBorder="1" applyAlignment="1">
      <alignment horizontal="center"/>
    </xf>
    <xf numFmtId="0" fontId="76" fillId="48" borderId="82" xfId="0" applyFont="1" applyFill="1" applyBorder="1" applyAlignment="1">
      <alignment horizontal="center"/>
    </xf>
    <xf numFmtId="0" fontId="79" fillId="52" borderId="88" xfId="0" applyFont="1" applyFill="1" applyBorder="1" applyAlignment="1">
      <alignment horizontal="center"/>
    </xf>
    <xf numFmtId="0" fontId="69" fillId="38" borderId="0" xfId="0" applyFont="1" applyFill="1" applyAlignment="1">
      <alignment horizontal="center"/>
    </xf>
    <xf numFmtId="0" fontId="0" fillId="38" borderId="18" xfId="0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14" fillId="43" borderId="89" xfId="0" applyFont="1" applyFill="1" applyBorder="1" applyAlignment="1">
      <alignment horizontal="center"/>
    </xf>
    <xf numFmtId="0" fontId="14" fillId="43" borderId="90" xfId="0" applyFont="1" applyFill="1" applyBorder="1" applyAlignment="1">
      <alignment horizontal="center"/>
    </xf>
    <xf numFmtId="0" fontId="14" fillId="43" borderId="91" xfId="0" applyFont="1" applyFill="1" applyBorder="1" applyAlignment="1">
      <alignment horizontal="center"/>
    </xf>
    <xf numFmtId="0" fontId="20" fillId="39" borderId="21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/>
    </xf>
    <xf numFmtId="0" fontId="20" fillId="39" borderId="18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" fillId="51" borderId="21" xfId="0" applyFont="1" applyFill="1" applyBorder="1" applyAlignment="1">
      <alignment horizontal="center"/>
    </xf>
    <xf numFmtId="0" fontId="2" fillId="51" borderId="18" xfId="0" applyFont="1" applyFill="1" applyBorder="1" applyAlignment="1">
      <alignment horizontal="center"/>
    </xf>
    <xf numFmtId="0" fontId="2" fillId="51" borderId="22" xfId="0" applyFont="1" applyFill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49" fillId="51" borderId="23" xfId="0" applyFont="1" applyFill="1" applyBorder="1" applyAlignment="1">
      <alignment horizontal="center"/>
    </xf>
    <xf numFmtId="0" fontId="49" fillId="51" borderId="24" xfId="0" applyFont="1" applyFill="1" applyBorder="1" applyAlignment="1">
      <alignment horizontal="center"/>
    </xf>
    <xf numFmtId="0" fontId="49" fillId="51" borderId="25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86" xfId="0" applyFont="1" applyFill="1" applyBorder="1" applyAlignment="1">
      <alignment horizontal="center"/>
    </xf>
    <xf numFmtId="0" fontId="16" fillId="40" borderId="89" xfId="0" applyFont="1" applyFill="1" applyBorder="1" applyAlignment="1">
      <alignment horizontal="center"/>
    </xf>
    <xf numFmtId="0" fontId="16" fillId="40" borderId="90" xfId="0" applyFont="1" applyFill="1" applyBorder="1" applyAlignment="1">
      <alignment horizontal="center"/>
    </xf>
    <xf numFmtId="0" fontId="16" fillId="40" borderId="91" xfId="0" applyFont="1" applyFill="1" applyBorder="1" applyAlignment="1">
      <alignment horizontal="center"/>
    </xf>
    <xf numFmtId="0" fontId="16" fillId="51" borderId="89" xfId="0" applyFont="1" applyFill="1" applyBorder="1" applyAlignment="1">
      <alignment horizontal="center"/>
    </xf>
    <xf numFmtId="0" fontId="16" fillId="51" borderId="90" xfId="0" applyFont="1" applyFill="1" applyBorder="1" applyAlignment="1">
      <alignment horizontal="center"/>
    </xf>
    <xf numFmtId="0" fontId="16" fillId="51" borderId="9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13. Caso Picapiedra I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152400</xdr:rowOff>
    </xdr:from>
    <xdr:to>
      <xdr:col>3</xdr:col>
      <xdr:colOff>609600</xdr:colOff>
      <xdr:row>32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5876925"/>
          <a:ext cx="4076700" cy="609600"/>
        </a:xfrm>
        <a:prstGeom prst="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IS%20ORIGINAL\Copia%20de%20GRAFICOS_CAP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Determinacion de Tamañ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E3:K71"/>
  <sheetViews>
    <sheetView zoomScalePageLayoutView="0" workbookViewId="0" topLeftCell="C1">
      <selection activeCell="F52" sqref="F52"/>
    </sheetView>
  </sheetViews>
  <sheetFormatPr defaultColWidth="11.421875" defaultRowHeight="15"/>
  <cols>
    <col min="5" max="5" width="34.140625" style="0" bestFit="1" customWidth="1"/>
    <col min="6" max="6" width="16.8515625" style="0" customWidth="1"/>
    <col min="7" max="7" width="20.28125" style="0" customWidth="1"/>
    <col min="8" max="8" width="14.57421875" style="0" customWidth="1"/>
    <col min="9" max="9" width="30.28125" style="0" customWidth="1"/>
    <col min="10" max="10" width="33.7109375" style="0" customWidth="1"/>
  </cols>
  <sheetData>
    <row r="3" spans="5:8" ht="15.75" customHeight="1">
      <c r="E3" s="541"/>
      <c r="F3" s="541"/>
      <c r="G3" s="541"/>
      <c r="H3" s="541"/>
    </row>
    <row r="4" spans="5:8" ht="15.75" customHeight="1">
      <c r="E4" s="541"/>
      <c r="F4" s="541"/>
      <c r="G4" s="541"/>
      <c r="H4" s="541"/>
    </row>
    <row r="5" ht="8.25" customHeight="1" thickBot="1"/>
    <row r="6" spans="5:8" ht="21.75" customHeight="1" thickBot="1">
      <c r="E6" s="542" t="s">
        <v>387</v>
      </c>
      <c r="F6" s="543"/>
      <c r="G6" s="543"/>
      <c r="H6" s="544"/>
    </row>
    <row r="7" spans="5:8" ht="15.75" thickBot="1">
      <c r="E7" s="322" t="s">
        <v>4</v>
      </c>
      <c r="F7" s="323" t="s">
        <v>0</v>
      </c>
      <c r="G7" s="324" t="s">
        <v>1</v>
      </c>
      <c r="H7" s="324" t="s">
        <v>2</v>
      </c>
    </row>
    <row r="8" spans="5:8" ht="15">
      <c r="E8" s="325" t="s">
        <v>12</v>
      </c>
      <c r="F8" s="326">
        <v>2</v>
      </c>
      <c r="G8" s="326">
        <v>500</v>
      </c>
      <c r="H8" s="326">
        <v>1000</v>
      </c>
    </row>
    <row r="9" spans="5:8" ht="15">
      <c r="E9" s="325" t="s">
        <v>15</v>
      </c>
      <c r="F9" s="326">
        <v>1</v>
      </c>
      <c r="G9" s="326">
        <v>420</v>
      </c>
      <c r="H9" s="326">
        <v>420</v>
      </c>
    </row>
    <row r="10" spans="5:10" ht="15.75">
      <c r="E10" s="325" t="s">
        <v>14</v>
      </c>
      <c r="F10" s="326">
        <v>1</v>
      </c>
      <c r="G10" s="326">
        <v>550</v>
      </c>
      <c r="H10" s="326">
        <v>550</v>
      </c>
      <c r="J10" s="1"/>
    </row>
    <row r="11" spans="5:10" ht="15.75">
      <c r="E11" s="325" t="s">
        <v>6</v>
      </c>
      <c r="F11" s="326">
        <v>1</v>
      </c>
      <c r="G11" s="326">
        <v>120</v>
      </c>
      <c r="H11" s="326">
        <v>120</v>
      </c>
      <c r="J11" s="2"/>
    </row>
    <row r="12" spans="5:10" ht="15.75">
      <c r="E12" s="325" t="s">
        <v>7</v>
      </c>
      <c r="F12" s="326">
        <v>1</v>
      </c>
      <c r="G12" s="326">
        <v>350</v>
      </c>
      <c r="H12" s="326">
        <v>350</v>
      </c>
      <c r="J12" s="1"/>
    </row>
    <row r="13" spans="5:10" ht="15.75">
      <c r="E13" s="325" t="s">
        <v>8</v>
      </c>
      <c r="F13" s="326">
        <v>1</v>
      </c>
      <c r="G13" s="326">
        <v>110</v>
      </c>
      <c r="H13" s="326">
        <v>110</v>
      </c>
      <c r="J13" s="2"/>
    </row>
    <row r="14" spans="5:10" ht="15.75">
      <c r="E14" s="325" t="s">
        <v>9</v>
      </c>
      <c r="F14" s="326">
        <v>1</v>
      </c>
      <c r="G14" s="326">
        <v>478</v>
      </c>
      <c r="H14" s="326">
        <v>478</v>
      </c>
      <c r="J14" s="1"/>
    </row>
    <row r="15" spans="5:10" ht="16.5" customHeight="1">
      <c r="E15" s="327" t="s">
        <v>10</v>
      </c>
      <c r="F15" s="326">
        <v>1</v>
      </c>
      <c r="G15" s="326">
        <v>650</v>
      </c>
      <c r="H15" s="326">
        <v>650</v>
      </c>
      <c r="J15" s="2"/>
    </row>
    <row r="16" spans="5:10" ht="16.5" customHeight="1">
      <c r="E16" s="325" t="s">
        <v>3</v>
      </c>
      <c r="F16" s="326">
        <v>1</v>
      </c>
      <c r="G16" s="326">
        <v>380</v>
      </c>
      <c r="H16" s="326">
        <v>380</v>
      </c>
      <c r="J16" s="1"/>
    </row>
    <row r="17" spans="5:10" ht="16.5" customHeight="1">
      <c r="E17" s="325" t="s">
        <v>11</v>
      </c>
      <c r="F17" s="326">
        <v>1</v>
      </c>
      <c r="G17" s="326">
        <v>623</v>
      </c>
      <c r="H17" s="326">
        <v>623</v>
      </c>
      <c r="J17" s="2"/>
    </row>
    <row r="18" spans="5:10" ht="15.75">
      <c r="E18" s="325" t="s">
        <v>5</v>
      </c>
      <c r="F18" s="326">
        <v>30</v>
      </c>
      <c r="G18" s="326">
        <v>15</v>
      </c>
      <c r="H18" s="326">
        <v>450</v>
      </c>
      <c r="J18" s="1"/>
    </row>
    <row r="19" spans="5:10" ht="16.5" customHeight="1">
      <c r="E19" s="325" t="s">
        <v>13</v>
      </c>
      <c r="F19" s="326">
        <v>10</v>
      </c>
      <c r="G19" s="326">
        <v>5</v>
      </c>
      <c r="H19" s="326">
        <v>50</v>
      </c>
      <c r="J19" s="2"/>
    </row>
    <row r="20" spans="5:10" ht="16.5" customHeight="1" thickBot="1">
      <c r="E20" s="328" t="s">
        <v>388</v>
      </c>
      <c r="F20" s="329">
        <v>6</v>
      </c>
      <c r="G20" s="329">
        <v>12</v>
      </c>
      <c r="H20" s="329">
        <v>72</v>
      </c>
      <c r="J20" s="1"/>
    </row>
    <row r="21" spans="5:10" ht="16.5" customHeight="1" thickBot="1">
      <c r="E21" s="330" t="s">
        <v>2</v>
      </c>
      <c r="F21" s="331"/>
      <c r="G21" s="332"/>
      <c r="H21" s="324">
        <v>5253</v>
      </c>
      <c r="J21" s="2"/>
    </row>
    <row r="22" spans="5:10" ht="16.5" customHeight="1" thickBot="1">
      <c r="E22" s="545" t="s">
        <v>386</v>
      </c>
      <c r="F22" s="546"/>
      <c r="G22" s="546"/>
      <c r="H22" s="547"/>
      <c r="J22" s="1"/>
    </row>
    <row r="23" ht="39.75" customHeight="1">
      <c r="J23" s="1"/>
    </row>
    <row r="24" ht="15.75" thickBot="1"/>
    <row r="25" spans="5:6" ht="16.5" thickBot="1" thickTop="1">
      <c r="E25" s="6" t="s">
        <v>16</v>
      </c>
      <c r="F25" s="3" t="s">
        <v>17</v>
      </c>
    </row>
    <row r="26" spans="5:6" ht="15.75" thickBot="1">
      <c r="E26" s="7" t="s">
        <v>18</v>
      </c>
      <c r="F26" s="4" t="s">
        <v>19</v>
      </c>
    </row>
    <row r="27" spans="5:6" ht="15.75" thickBot="1">
      <c r="E27" s="7" t="s">
        <v>20</v>
      </c>
      <c r="F27" s="4" t="s">
        <v>21</v>
      </c>
    </row>
    <row r="28" spans="5:6" ht="15.75" thickBot="1">
      <c r="E28" s="7" t="s">
        <v>22</v>
      </c>
      <c r="F28" s="4" t="s">
        <v>23</v>
      </c>
    </row>
    <row r="29" spans="5:6" ht="15.75" thickBot="1">
      <c r="E29" s="8" t="s">
        <v>24</v>
      </c>
      <c r="F29" s="5" t="s">
        <v>25</v>
      </c>
    </row>
    <row r="30" ht="15.75" thickTop="1">
      <c r="H30">
        <f>20736/9</f>
        <v>2304</v>
      </c>
    </row>
    <row r="32" ht="15.75" thickBot="1"/>
    <row r="33" spans="5:9" ht="15.75" thickBot="1">
      <c r="E33" s="548" t="s">
        <v>389</v>
      </c>
      <c r="F33" s="549"/>
      <c r="G33" s="549"/>
      <c r="H33" s="549"/>
      <c r="I33" s="550"/>
    </row>
    <row r="34" spans="5:9" ht="15.75" customHeight="1" thickBot="1">
      <c r="E34" s="551" t="s">
        <v>26</v>
      </c>
      <c r="F34" s="551" t="s">
        <v>89</v>
      </c>
      <c r="G34" s="553" t="s">
        <v>90</v>
      </c>
      <c r="H34" s="554"/>
      <c r="I34" s="333" t="s">
        <v>219</v>
      </c>
    </row>
    <row r="35" spans="5:9" ht="15.75" thickBot="1">
      <c r="E35" s="552"/>
      <c r="F35" s="552"/>
      <c r="G35" s="334" t="s">
        <v>88</v>
      </c>
      <c r="H35" s="334" t="s">
        <v>55</v>
      </c>
      <c r="I35" s="334" t="s">
        <v>55</v>
      </c>
    </row>
    <row r="36" spans="5:9" ht="15.75" thickBot="1">
      <c r="E36" s="335" t="s">
        <v>204</v>
      </c>
      <c r="F36" s="336">
        <v>1</v>
      </c>
      <c r="G36" s="336">
        <v>650</v>
      </c>
      <c r="H36" s="336">
        <v>650</v>
      </c>
      <c r="I36" s="336">
        <v>7800</v>
      </c>
    </row>
    <row r="37" spans="5:9" ht="15.75" thickBot="1">
      <c r="E37" s="337" t="s">
        <v>390</v>
      </c>
      <c r="F37" s="336">
        <v>1</v>
      </c>
      <c r="G37" s="336">
        <v>200</v>
      </c>
      <c r="H37" s="336">
        <v>200</v>
      </c>
      <c r="I37" s="336">
        <v>2400</v>
      </c>
    </row>
    <row r="38" spans="5:9" ht="15.75" thickBot="1">
      <c r="E38" s="337" t="s">
        <v>218</v>
      </c>
      <c r="F38" s="336">
        <v>1</v>
      </c>
      <c r="G38" s="336">
        <v>250</v>
      </c>
      <c r="H38" s="336">
        <v>250</v>
      </c>
      <c r="I38" s="336">
        <v>3000</v>
      </c>
    </row>
    <row r="39" spans="5:9" ht="15.75" thickBot="1">
      <c r="E39" s="338" t="s">
        <v>28</v>
      </c>
      <c r="F39" s="339">
        <v>1</v>
      </c>
      <c r="G39" s="339">
        <v>100</v>
      </c>
      <c r="H39" s="336">
        <v>100</v>
      </c>
      <c r="I39" s="336">
        <v>1200</v>
      </c>
    </row>
    <row r="40" spans="5:9" ht="15.75" thickBot="1">
      <c r="E40" s="340" t="s">
        <v>391</v>
      </c>
      <c r="F40" s="341">
        <v>1</v>
      </c>
      <c r="G40" s="341">
        <v>450</v>
      </c>
      <c r="H40" s="336">
        <v>450</v>
      </c>
      <c r="I40" s="336">
        <v>5400</v>
      </c>
    </row>
    <row r="41" spans="5:9" ht="15.75" thickBot="1">
      <c r="E41" s="335" t="s">
        <v>210</v>
      </c>
      <c r="F41" s="336">
        <v>2</v>
      </c>
      <c r="G41" s="336">
        <v>175</v>
      </c>
      <c r="H41" s="336">
        <v>350</v>
      </c>
      <c r="I41" s="336">
        <v>4200</v>
      </c>
    </row>
    <row r="42" spans="5:9" ht="15.75" thickBot="1">
      <c r="E42" s="342" t="s">
        <v>29</v>
      </c>
      <c r="F42" s="343">
        <v>1</v>
      </c>
      <c r="G42" s="336">
        <v>180</v>
      </c>
      <c r="H42" s="336">
        <v>180</v>
      </c>
      <c r="I42" s="336">
        <v>2160</v>
      </c>
    </row>
    <row r="43" spans="5:9" ht="15.75" thickBot="1">
      <c r="E43" s="342" t="s">
        <v>30</v>
      </c>
      <c r="F43" s="343">
        <v>9</v>
      </c>
      <c r="G43" s="336">
        <v>200</v>
      </c>
      <c r="H43" s="336">
        <v>1800</v>
      </c>
      <c r="I43" s="336">
        <v>21600</v>
      </c>
    </row>
    <row r="44" spans="5:9" ht="15.75" thickBot="1">
      <c r="E44" s="342" t="s">
        <v>31</v>
      </c>
      <c r="F44" s="343">
        <v>5</v>
      </c>
      <c r="G44" s="336">
        <v>250</v>
      </c>
      <c r="H44" s="336">
        <v>1250</v>
      </c>
      <c r="I44" s="336">
        <v>15000</v>
      </c>
    </row>
    <row r="45" spans="5:9" ht="15.75" thickBot="1">
      <c r="E45" s="342" t="s">
        <v>182</v>
      </c>
      <c r="F45" s="343">
        <v>6</v>
      </c>
      <c r="G45" s="336">
        <v>150</v>
      </c>
      <c r="H45" s="336">
        <v>900</v>
      </c>
      <c r="I45" s="336">
        <v>10800</v>
      </c>
    </row>
    <row r="46" spans="5:9" ht="15.75" thickBot="1">
      <c r="E46" s="342" t="s">
        <v>87</v>
      </c>
      <c r="F46" s="343">
        <v>2</v>
      </c>
      <c r="G46" s="336">
        <v>250</v>
      </c>
      <c r="H46" s="336">
        <v>500</v>
      </c>
      <c r="I46" s="336">
        <v>6000</v>
      </c>
    </row>
    <row r="47" spans="5:9" ht="15.75" thickBot="1">
      <c r="E47" s="344" t="s">
        <v>27</v>
      </c>
      <c r="F47" s="345"/>
      <c r="G47" s="345"/>
      <c r="H47" s="346">
        <v>6630</v>
      </c>
      <c r="I47" s="346">
        <v>79560</v>
      </c>
    </row>
    <row r="48" spans="5:9" ht="15.75" thickBot="1">
      <c r="E48" s="555" t="s">
        <v>386</v>
      </c>
      <c r="F48" s="556"/>
      <c r="G48" s="556"/>
      <c r="H48" s="556"/>
      <c r="I48" s="347"/>
    </row>
    <row r="52" spans="9:10" ht="15">
      <c r="I52" s="53"/>
      <c r="J52" s="53"/>
    </row>
    <row r="53" spans="9:11" ht="15">
      <c r="I53" s="53"/>
      <c r="J53" s="53"/>
      <c r="K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60" spans="9:10" ht="15">
      <c r="I60" s="100"/>
      <c r="J60" s="100"/>
    </row>
    <row r="61" spans="9:10" ht="15">
      <c r="I61" s="100"/>
      <c r="J61" s="100"/>
    </row>
    <row r="63" ht="15.75" thickBot="1"/>
    <row r="64" spans="5:11" ht="15">
      <c r="E64" s="535" t="s">
        <v>153</v>
      </c>
      <c r="F64" s="536"/>
      <c r="G64" s="536"/>
      <c r="H64" s="537"/>
      <c r="I64" s="98"/>
      <c r="J64" s="98"/>
      <c r="K64" s="98"/>
    </row>
    <row r="65" spans="5:8" ht="15.75" thickBot="1">
      <c r="E65" s="538" t="s">
        <v>96</v>
      </c>
      <c r="F65" s="539"/>
      <c r="G65" s="539"/>
      <c r="H65" s="540"/>
    </row>
    <row r="66" spans="5:8" ht="15">
      <c r="E66" s="18" t="s">
        <v>158</v>
      </c>
      <c r="F66" s="48" t="s">
        <v>53</v>
      </c>
      <c r="G66" s="49" t="s">
        <v>159</v>
      </c>
      <c r="H66" s="48" t="s">
        <v>160</v>
      </c>
    </row>
    <row r="67" spans="5:8" ht="15">
      <c r="E67" s="17" t="s">
        <v>154</v>
      </c>
      <c r="F67" s="46">
        <v>2</v>
      </c>
      <c r="G67" s="45">
        <v>150</v>
      </c>
      <c r="H67" s="46">
        <f>+G67*F67</f>
        <v>300</v>
      </c>
    </row>
    <row r="68" spans="5:8" ht="15">
      <c r="E68" s="17" t="s">
        <v>155</v>
      </c>
      <c r="F68" s="46">
        <v>1</v>
      </c>
      <c r="G68" s="45">
        <v>100</v>
      </c>
      <c r="H68" s="46">
        <f>+G68*F68</f>
        <v>100</v>
      </c>
    </row>
    <row r="69" spans="5:8" ht="15">
      <c r="E69" s="17" t="s">
        <v>156</v>
      </c>
      <c r="F69" s="46">
        <v>2</v>
      </c>
      <c r="G69" s="45">
        <v>800</v>
      </c>
      <c r="H69" s="46">
        <f>+G69*F69</f>
        <v>1600</v>
      </c>
    </row>
    <row r="70" spans="5:8" ht="15.75" thickBot="1">
      <c r="E70" s="17" t="s">
        <v>157</v>
      </c>
      <c r="F70" s="47">
        <v>6</v>
      </c>
      <c r="G70" s="45">
        <v>50</v>
      </c>
      <c r="H70" s="47">
        <f>+G70*F70</f>
        <v>300</v>
      </c>
    </row>
    <row r="71" spans="5:8" ht="15.75" thickBot="1">
      <c r="E71" s="50" t="s">
        <v>27</v>
      </c>
      <c r="F71" s="51"/>
      <c r="G71" s="51"/>
      <c r="H71" s="31">
        <f>SUM(H67:H70)</f>
        <v>2300</v>
      </c>
    </row>
  </sheetData>
  <sheetProtection/>
  <mergeCells count="10">
    <mergeCell ref="E64:H64"/>
    <mergeCell ref="E65:H65"/>
    <mergeCell ref="E3:H4"/>
    <mergeCell ref="E6:H6"/>
    <mergeCell ref="E22:H22"/>
    <mergeCell ref="E33:I33"/>
    <mergeCell ref="E34:E35"/>
    <mergeCell ref="F34:F35"/>
    <mergeCell ref="G34:H34"/>
    <mergeCell ref="E48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99"/>
  </sheetPr>
  <dimension ref="B3:J38"/>
  <sheetViews>
    <sheetView zoomScalePageLayoutView="0" workbookViewId="0" topLeftCell="A16">
      <selection activeCell="D39" sqref="D39"/>
    </sheetView>
  </sheetViews>
  <sheetFormatPr defaultColWidth="11.421875" defaultRowHeight="15"/>
  <cols>
    <col min="2" max="2" width="35.7109375" style="0" customWidth="1"/>
    <col min="3" max="4" width="12.00390625" style="0" customWidth="1"/>
    <col min="5" max="5" width="11.7109375" style="0" customWidth="1"/>
    <col min="6" max="6" width="12.7109375" style="0" customWidth="1"/>
    <col min="7" max="7" width="12.8515625" style="0" customWidth="1"/>
    <col min="8" max="8" width="12.00390625" style="0" customWidth="1"/>
    <col min="9" max="9" width="14.140625" style="0" customWidth="1"/>
    <col min="10" max="10" width="12.00390625" style="0" bestFit="1" customWidth="1"/>
  </cols>
  <sheetData>
    <row r="3" ht="15">
      <c r="I3" s="65">
        <v>34560</v>
      </c>
    </row>
    <row r="4" ht="15.75" thickBot="1"/>
    <row r="5" spans="2:8" ht="15">
      <c r="B5" s="589" t="s">
        <v>180</v>
      </c>
      <c r="C5" s="590"/>
      <c r="D5" s="590"/>
      <c r="E5" s="590"/>
      <c r="F5" s="590"/>
      <c r="G5" s="590"/>
      <c r="H5" s="591"/>
    </row>
    <row r="6" spans="2:8" ht="15.75" thickBot="1">
      <c r="B6" s="592" t="s">
        <v>164</v>
      </c>
      <c r="C6" s="593"/>
      <c r="D6" s="593"/>
      <c r="E6" s="593"/>
      <c r="F6" s="593"/>
      <c r="G6" s="593"/>
      <c r="H6" s="594"/>
    </row>
    <row r="7" spans="2:8" ht="15.75" thickBot="1">
      <c r="B7" s="68" t="s">
        <v>181</v>
      </c>
      <c r="C7" s="63"/>
      <c r="D7" s="69"/>
      <c r="E7" s="70"/>
      <c r="F7" s="71"/>
      <c r="G7" s="70"/>
      <c r="H7" s="71"/>
    </row>
    <row r="8" spans="2:8" ht="15.75" thickBot="1">
      <c r="B8" s="72" t="s">
        <v>113</v>
      </c>
      <c r="C8" s="57" t="s">
        <v>53</v>
      </c>
      <c r="D8" s="57">
        <v>2011</v>
      </c>
      <c r="E8" s="73">
        <v>2012</v>
      </c>
      <c r="F8" s="55">
        <v>2013</v>
      </c>
      <c r="G8" s="73">
        <v>2014</v>
      </c>
      <c r="H8" s="55">
        <v>2015</v>
      </c>
    </row>
    <row r="9" spans="2:8" ht="15">
      <c r="B9" s="58" t="s">
        <v>187</v>
      </c>
      <c r="C9" s="63"/>
      <c r="D9" s="74"/>
      <c r="F9" s="63"/>
      <c r="H9" s="63"/>
    </row>
    <row r="10" spans="2:8" ht="15">
      <c r="B10" s="58"/>
      <c r="C10" s="75"/>
      <c r="D10" s="76"/>
      <c r="E10" s="77"/>
      <c r="F10" s="78"/>
      <c r="G10" s="77"/>
      <c r="H10" s="78"/>
    </row>
    <row r="11" spans="2:8" ht="15">
      <c r="B11" s="58" t="s">
        <v>30</v>
      </c>
      <c r="C11" s="75">
        <v>9</v>
      </c>
      <c r="D11" s="76">
        <v>34560</v>
      </c>
      <c r="E11" s="77">
        <v>34560</v>
      </c>
      <c r="F11" s="78">
        <v>34560</v>
      </c>
      <c r="G11" s="77">
        <v>34560</v>
      </c>
      <c r="H11" s="78">
        <v>34560</v>
      </c>
    </row>
    <row r="12" spans="2:8" ht="15.75" thickBot="1">
      <c r="B12" s="58" t="s">
        <v>31</v>
      </c>
      <c r="C12" s="75">
        <v>5</v>
      </c>
      <c r="D12" s="76">
        <v>1250</v>
      </c>
      <c r="E12" s="77">
        <v>1250</v>
      </c>
      <c r="F12" s="78">
        <v>1250</v>
      </c>
      <c r="G12" s="77">
        <v>1250</v>
      </c>
      <c r="H12" s="78">
        <v>1250</v>
      </c>
    </row>
    <row r="13" spans="2:10" ht="15.75" thickBot="1">
      <c r="B13" s="79" t="s">
        <v>183</v>
      </c>
      <c r="C13" s="80">
        <v>20</v>
      </c>
      <c r="D13" s="81">
        <f>SUM(D11:D12)</f>
        <v>35810</v>
      </c>
      <c r="E13" s="82">
        <v>46610</v>
      </c>
      <c r="F13" s="83">
        <v>46610</v>
      </c>
      <c r="G13" s="82">
        <v>46610</v>
      </c>
      <c r="H13" s="83">
        <v>46610</v>
      </c>
      <c r="J13">
        <f>+D13/12</f>
        <v>2984.1666666666665</v>
      </c>
    </row>
    <row r="14" spans="2:8" ht="15.75" thickBot="1">
      <c r="B14" s="84" t="s">
        <v>184</v>
      </c>
      <c r="C14" s="85"/>
      <c r="D14" s="85"/>
      <c r="E14" s="85"/>
      <c r="F14" s="85"/>
      <c r="G14" s="85"/>
      <c r="H14" s="74"/>
    </row>
    <row r="15" spans="2:8" ht="15.75" thickBot="1">
      <c r="B15" s="61" t="s">
        <v>113</v>
      </c>
      <c r="C15" s="73" t="s">
        <v>53</v>
      </c>
      <c r="D15" s="73">
        <v>2011</v>
      </c>
      <c r="E15" s="73">
        <v>2012</v>
      </c>
      <c r="F15" s="73">
        <v>2013</v>
      </c>
      <c r="G15" s="73">
        <v>2014</v>
      </c>
      <c r="H15" s="57">
        <v>2015</v>
      </c>
    </row>
    <row r="16" spans="2:8" ht="15">
      <c r="B16" s="58" t="s">
        <v>187</v>
      </c>
      <c r="C16" s="63"/>
      <c r="D16" s="74"/>
      <c r="E16" s="74"/>
      <c r="G16" s="63"/>
      <c r="H16" s="74"/>
    </row>
    <row r="17" spans="2:8" ht="15">
      <c r="B17" s="58" t="s">
        <v>91</v>
      </c>
      <c r="C17" s="75">
        <v>1</v>
      </c>
      <c r="D17" s="59">
        <v>7800</v>
      </c>
      <c r="E17" s="59">
        <v>7800</v>
      </c>
      <c r="F17" s="86">
        <v>7800</v>
      </c>
      <c r="G17" s="75">
        <v>7800</v>
      </c>
      <c r="H17" s="59">
        <v>7800</v>
      </c>
    </row>
    <row r="18" spans="2:8" ht="15">
      <c r="B18" s="58" t="s">
        <v>185</v>
      </c>
      <c r="C18" s="75">
        <v>1</v>
      </c>
      <c r="D18" s="59">
        <v>2160</v>
      </c>
      <c r="E18" s="59">
        <v>2160</v>
      </c>
      <c r="F18" s="86">
        <v>2160</v>
      </c>
      <c r="G18" s="75">
        <v>2160</v>
      </c>
      <c r="H18" s="59">
        <v>2160</v>
      </c>
    </row>
    <row r="19" spans="2:8" ht="15.75" thickBot="1">
      <c r="B19" s="62" t="s">
        <v>186</v>
      </c>
      <c r="C19" s="75">
        <v>2</v>
      </c>
      <c r="D19" s="59">
        <v>9960</v>
      </c>
      <c r="E19" s="59">
        <v>9960</v>
      </c>
      <c r="F19" s="86">
        <v>9960</v>
      </c>
      <c r="G19" s="75">
        <v>9960</v>
      </c>
      <c r="H19" s="59">
        <v>9960</v>
      </c>
    </row>
    <row r="20" spans="2:8" ht="15.75" thickBot="1">
      <c r="B20" s="79" t="s">
        <v>188</v>
      </c>
      <c r="C20" s="87"/>
      <c r="D20" s="81">
        <v>56570</v>
      </c>
      <c r="E20" s="81">
        <v>56570</v>
      </c>
      <c r="F20" s="82">
        <v>56570</v>
      </c>
      <c r="G20" s="83">
        <v>56570</v>
      </c>
      <c r="H20" s="81">
        <v>56570</v>
      </c>
    </row>
    <row r="23" ht="15.75" thickBot="1"/>
    <row r="24" spans="2:8" ht="15.75" thickBot="1">
      <c r="B24" s="641" t="s">
        <v>198</v>
      </c>
      <c r="C24" s="642"/>
      <c r="D24" s="642"/>
      <c r="E24" s="642"/>
      <c r="F24" s="642"/>
      <c r="G24" s="643"/>
      <c r="H24" s="66"/>
    </row>
    <row r="25" spans="2:8" ht="15.75" thickBot="1">
      <c r="B25" s="641" t="s">
        <v>164</v>
      </c>
      <c r="C25" s="642"/>
      <c r="D25" s="642"/>
      <c r="E25" s="642"/>
      <c r="F25" s="642"/>
      <c r="G25" s="643"/>
      <c r="H25" s="67"/>
    </row>
    <row r="26" spans="2:8" ht="15.75" thickBot="1">
      <c r="B26" s="54" t="s">
        <v>113</v>
      </c>
      <c r="C26" s="61">
        <v>2011</v>
      </c>
      <c r="D26" s="88">
        <v>2012</v>
      </c>
      <c r="E26" s="61">
        <v>2013</v>
      </c>
      <c r="F26" s="56">
        <v>2014</v>
      </c>
      <c r="G26" s="56">
        <v>2015</v>
      </c>
      <c r="H26" s="67"/>
    </row>
    <row r="27" spans="2:8" ht="15">
      <c r="B27" s="58" t="s">
        <v>189</v>
      </c>
      <c r="C27" s="89">
        <v>3072</v>
      </c>
      <c r="D27" s="90">
        <v>3072</v>
      </c>
      <c r="E27" s="89">
        <v>3072</v>
      </c>
      <c r="F27" s="91">
        <v>3072</v>
      </c>
      <c r="G27" s="91">
        <v>3072</v>
      </c>
      <c r="H27" s="67"/>
    </row>
    <row r="28" spans="2:8" ht="15">
      <c r="B28" s="58" t="s">
        <v>190</v>
      </c>
      <c r="C28" s="89">
        <v>20</v>
      </c>
      <c r="D28" s="89">
        <v>20</v>
      </c>
      <c r="E28" s="89">
        <v>20</v>
      </c>
      <c r="F28" s="89">
        <v>20</v>
      </c>
      <c r="G28" s="89">
        <v>20</v>
      </c>
      <c r="H28" s="67"/>
    </row>
    <row r="29" spans="2:8" ht="15">
      <c r="B29" s="58" t="s">
        <v>13</v>
      </c>
      <c r="C29" s="89">
        <v>10</v>
      </c>
      <c r="D29" s="89">
        <v>10</v>
      </c>
      <c r="E29" s="89">
        <v>10</v>
      </c>
      <c r="F29" s="89">
        <v>10</v>
      </c>
      <c r="G29" s="89">
        <v>10</v>
      </c>
      <c r="H29" s="67"/>
    </row>
    <row r="30" spans="2:8" ht="15">
      <c r="B30" s="58" t="s">
        <v>191</v>
      </c>
      <c r="C30" s="89">
        <v>1000</v>
      </c>
      <c r="D30" s="90">
        <v>1000</v>
      </c>
      <c r="E30" s="89">
        <v>1000</v>
      </c>
      <c r="F30" s="91">
        <v>1000</v>
      </c>
      <c r="G30" s="91">
        <v>1000</v>
      </c>
      <c r="H30" s="67"/>
    </row>
    <row r="31" spans="2:8" ht="15">
      <c r="B31" s="58" t="s">
        <v>192</v>
      </c>
      <c r="C31" s="75">
        <v>650</v>
      </c>
      <c r="D31" s="86">
        <v>650</v>
      </c>
      <c r="E31" s="75">
        <v>650</v>
      </c>
      <c r="F31" s="59">
        <v>650</v>
      </c>
      <c r="G31" s="59">
        <v>650</v>
      </c>
      <c r="H31" s="67"/>
    </row>
    <row r="32" spans="2:8" ht="15">
      <c r="B32" s="58" t="s">
        <v>193</v>
      </c>
      <c r="C32" s="89">
        <v>1056</v>
      </c>
      <c r="D32" s="90">
        <v>1056</v>
      </c>
      <c r="E32" s="89">
        <v>1056</v>
      </c>
      <c r="F32" s="91">
        <v>1056</v>
      </c>
      <c r="G32" s="91">
        <v>1056</v>
      </c>
      <c r="H32" s="67"/>
    </row>
    <row r="33" spans="2:8" ht="15">
      <c r="B33" s="58" t="s">
        <v>194</v>
      </c>
      <c r="C33" s="89">
        <v>2000</v>
      </c>
      <c r="D33" s="90">
        <v>2000</v>
      </c>
      <c r="E33" s="89">
        <v>2000</v>
      </c>
      <c r="F33" s="91">
        <v>2000</v>
      </c>
      <c r="G33" s="91">
        <v>2000</v>
      </c>
      <c r="H33" s="67"/>
    </row>
    <row r="34" spans="2:8" ht="15">
      <c r="B34" s="58" t="s">
        <v>195</v>
      </c>
      <c r="C34" s="89">
        <v>4365</v>
      </c>
      <c r="D34" s="90">
        <v>4365</v>
      </c>
      <c r="E34" s="89">
        <v>4365</v>
      </c>
      <c r="F34" s="91">
        <v>4365</v>
      </c>
      <c r="G34" s="91">
        <v>4365</v>
      </c>
      <c r="H34" s="67"/>
    </row>
    <row r="35" spans="2:8" ht="15.75" thickBot="1">
      <c r="B35" s="60" t="s">
        <v>196</v>
      </c>
      <c r="C35" s="92">
        <v>6300</v>
      </c>
      <c r="D35" s="90">
        <v>6300</v>
      </c>
      <c r="E35" s="92">
        <v>6300</v>
      </c>
      <c r="F35" s="91">
        <v>6300</v>
      </c>
      <c r="G35" s="91">
        <v>6300</v>
      </c>
      <c r="H35" s="67"/>
    </row>
    <row r="36" spans="2:8" ht="15.75" thickBot="1">
      <c r="B36" s="93" t="s">
        <v>197</v>
      </c>
      <c r="C36" s="94">
        <v>18473</v>
      </c>
      <c r="D36" s="95">
        <v>18473</v>
      </c>
      <c r="E36" s="94">
        <v>18473</v>
      </c>
      <c r="F36" s="96">
        <v>18473</v>
      </c>
      <c r="G36" s="96">
        <v>18473</v>
      </c>
      <c r="H36" s="67"/>
    </row>
    <row r="37" spans="3:8" ht="15">
      <c r="C37">
        <f>+C36/12</f>
        <v>1539.4166666666667</v>
      </c>
      <c r="H37" s="67"/>
    </row>
    <row r="38" ht="15">
      <c r="H38" s="67"/>
    </row>
  </sheetData>
  <sheetProtection/>
  <mergeCells count="4">
    <mergeCell ref="B5:H5"/>
    <mergeCell ref="B6:H6"/>
    <mergeCell ref="B24:G24"/>
    <mergeCell ref="B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FF"/>
  </sheetPr>
  <dimension ref="B1:I18"/>
  <sheetViews>
    <sheetView tabSelected="1" zoomScalePageLayoutView="0" workbookViewId="0" topLeftCell="A9">
      <selection activeCell="K18" sqref="K18"/>
    </sheetView>
  </sheetViews>
  <sheetFormatPr defaultColWidth="11.421875" defaultRowHeight="15"/>
  <cols>
    <col min="6" max="6" width="14.8515625" style="0" customWidth="1"/>
  </cols>
  <sheetData>
    <row r="1" spans="2:6" ht="15" hidden="1">
      <c r="B1" s="644" t="s">
        <v>374</v>
      </c>
      <c r="C1" s="645"/>
      <c r="D1" s="645"/>
      <c r="E1" s="645"/>
      <c r="F1" s="646"/>
    </row>
    <row r="2" spans="2:8" ht="15" hidden="1">
      <c r="B2" s="279" t="s">
        <v>375</v>
      </c>
      <c r="C2" s="280" t="s">
        <v>376</v>
      </c>
      <c r="D2" s="281" t="s">
        <v>377</v>
      </c>
      <c r="E2" s="280" t="s">
        <v>378</v>
      </c>
      <c r="F2" s="282" t="s">
        <v>379</v>
      </c>
      <c r="H2" s="299">
        <v>0.1976</v>
      </c>
    </row>
    <row r="3" spans="2:6" ht="15" hidden="1">
      <c r="B3" s="283" t="s">
        <v>380</v>
      </c>
      <c r="C3" s="284" t="s">
        <v>381</v>
      </c>
      <c r="D3" s="285" t="s">
        <v>382</v>
      </c>
      <c r="E3" s="284" t="s">
        <v>383</v>
      </c>
      <c r="F3" s="286" t="s">
        <v>384</v>
      </c>
    </row>
    <row r="4" spans="2:6" ht="15" hidden="1">
      <c r="B4" s="287">
        <v>1</v>
      </c>
      <c r="C4" s="288">
        <v>150322</v>
      </c>
      <c r="D4" s="289">
        <v>30121.960000000003</v>
      </c>
      <c r="E4" s="290">
        <f>+D4*$H$2</f>
        <v>5952.099296</v>
      </c>
      <c r="F4" s="291">
        <f>+D4-E4</f>
        <v>24169.860704000002</v>
      </c>
    </row>
    <row r="5" spans="2:6" ht="15" hidden="1">
      <c r="B5" s="287">
        <v>2</v>
      </c>
      <c r="C5" s="288">
        <f>C4-F4</f>
        <v>126152.139296</v>
      </c>
      <c r="D5" s="289">
        <v>45003.953625</v>
      </c>
      <c r="E5" s="290">
        <f>+D5*$H$2</f>
        <v>8892.781236300001</v>
      </c>
      <c r="F5" s="291">
        <f>+D5-E5</f>
        <v>36111.1723887</v>
      </c>
    </row>
    <row r="6" spans="2:6" ht="15" hidden="1">
      <c r="B6" s="287">
        <v>3</v>
      </c>
      <c r="C6" s="288">
        <f>C5-F5</f>
        <v>90040.9669073</v>
      </c>
      <c r="D6" s="289">
        <v>62564.10068249997</v>
      </c>
      <c r="E6" s="290">
        <f>+D6*$H$2</f>
        <v>12362.666294861994</v>
      </c>
      <c r="F6" s="291">
        <f>+D6-E6</f>
        <v>50201.43438763798</v>
      </c>
    </row>
    <row r="7" spans="2:6" ht="15" hidden="1">
      <c r="B7" s="292">
        <v>4</v>
      </c>
      <c r="C7" s="293">
        <f>C6-F6</f>
        <v>39839.53251966202</v>
      </c>
      <c r="D7" s="289">
        <v>83221.955821425</v>
      </c>
      <c r="E7" s="290">
        <f>+D7*$H$2</f>
        <v>16444.65847031358</v>
      </c>
      <c r="F7" s="294">
        <f>+D7-E7</f>
        <v>66777.29735111143</v>
      </c>
    </row>
    <row r="8" spans="2:6" ht="15.75" hidden="1" thickBot="1">
      <c r="B8" s="295">
        <v>5</v>
      </c>
      <c r="C8" s="300">
        <f>C7-F7</f>
        <v>-26937.764831449407</v>
      </c>
      <c r="D8" s="296">
        <v>113782.7226949007</v>
      </c>
      <c r="E8" s="297">
        <f>+D8*$H$2</f>
        <v>22483.46600451238</v>
      </c>
      <c r="F8" s="298">
        <f>+D8-E8</f>
        <v>91299.25669038833</v>
      </c>
    </row>
    <row r="9" ht="15.75" thickBot="1"/>
    <row r="10" spans="2:9" ht="15">
      <c r="B10" s="647" t="s">
        <v>385</v>
      </c>
      <c r="C10" s="648"/>
      <c r="D10" s="648"/>
      <c r="E10" s="648"/>
      <c r="F10" s="649"/>
      <c r="G10" s="303"/>
      <c r="H10" s="304">
        <v>0.1976</v>
      </c>
      <c r="I10" s="303"/>
    </row>
    <row r="11" spans="2:9" ht="15">
      <c r="B11" s="311" t="s">
        <v>375</v>
      </c>
      <c r="C11" s="312" t="s">
        <v>376</v>
      </c>
      <c r="D11" s="313" t="s">
        <v>377</v>
      </c>
      <c r="E11" s="312" t="s">
        <v>378</v>
      </c>
      <c r="F11" s="314" t="s">
        <v>379</v>
      </c>
      <c r="G11" s="303"/>
      <c r="H11" s="303"/>
      <c r="I11" s="303"/>
    </row>
    <row r="12" spans="2:9" ht="15">
      <c r="B12" s="315" t="s">
        <v>380</v>
      </c>
      <c r="C12" s="316" t="s">
        <v>381</v>
      </c>
      <c r="D12" s="317" t="s">
        <v>382</v>
      </c>
      <c r="E12" s="316" t="s">
        <v>383</v>
      </c>
      <c r="F12" s="318" t="s">
        <v>384</v>
      </c>
      <c r="G12" s="303"/>
      <c r="H12" s="303"/>
      <c r="I12" s="303"/>
    </row>
    <row r="13" spans="2:9" ht="15">
      <c r="B13" s="305">
        <v>1</v>
      </c>
      <c r="C13" s="306">
        <v>136227.5</v>
      </c>
      <c r="D13" s="289">
        <v>30121.96</v>
      </c>
      <c r="E13" s="307">
        <f>+C13*$H$10</f>
        <v>26918.554</v>
      </c>
      <c r="F13" s="308">
        <f>+D13-E13</f>
        <v>3203.405999999999</v>
      </c>
      <c r="G13" s="303"/>
      <c r="H13" s="303"/>
      <c r="I13" s="303"/>
    </row>
    <row r="14" spans="2:9" ht="15">
      <c r="B14" s="305">
        <v>2</v>
      </c>
      <c r="C14" s="306">
        <f>C13-F13</f>
        <v>133024.094</v>
      </c>
      <c r="D14" s="289">
        <v>45003.93</v>
      </c>
      <c r="E14" s="307">
        <f>+C14*$H$10</f>
        <v>26285.560974400003</v>
      </c>
      <c r="F14" s="308">
        <f>+D14-E14</f>
        <v>18718.369025599997</v>
      </c>
      <c r="G14" s="303"/>
      <c r="H14" s="303"/>
      <c r="I14" s="303"/>
    </row>
    <row r="15" spans="2:9" ht="15">
      <c r="B15" s="305">
        <v>3</v>
      </c>
      <c r="C15" s="306">
        <f>C14-F14</f>
        <v>114305.72497440001</v>
      </c>
      <c r="D15" s="289">
        <v>62564.1</v>
      </c>
      <c r="E15" s="307">
        <f>+C15*$H$10</f>
        <v>22586.811254941444</v>
      </c>
      <c r="F15" s="308">
        <f>+D15-E15</f>
        <v>39977.288745058555</v>
      </c>
      <c r="G15" s="303"/>
      <c r="H15" s="303"/>
      <c r="I15" s="303"/>
    </row>
    <row r="16" spans="2:9" ht="15">
      <c r="B16" s="305">
        <v>4</v>
      </c>
      <c r="C16" s="306">
        <f>C15-F15</f>
        <v>74328.43622934146</v>
      </c>
      <c r="D16" s="289">
        <v>83221.96</v>
      </c>
      <c r="E16" s="307">
        <f>+C16*$H$10</f>
        <v>14687.298998917873</v>
      </c>
      <c r="F16" s="308">
        <f>+D16-E16</f>
        <v>68534.66100108213</v>
      </c>
      <c r="G16" s="303"/>
      <c r="H16" s="303"/>
      <c r="I16" s="303"/>
    </row>
    <row r="17" spans="2:9" ht="15.75" thickBot="1">
      <c r="B17" s="295">
        <v>5</v>
      </c>
      <c r="C17" s="309">
        <f>C16-F16</f>
        <v>5793.775228259328</v>
      </c>
      <c r="D17" s="296">
        <v>110098.72</v>
      </c>
      <c r="E17" s="310">
        <f>+C17*$H$10</f>
        <v>1144.8499851040433</v>
      </c>
      <c r="F17" s="298">
        <f>+D17-E17</f>
        <v>108953.87001489596</v>
      </c>
      <c r="G17" s="303"/>
      <c r="H17" s="303"/>
      <c r="I17" s="303"/>
    </row>
    <row r="18" spans="2:6" ht="15.75" thickBot="1">
      <c r="B18" s="319" t="s">
        <v>386</v>
      </c>
      <c r="C18" s="320"/>
      <c r="D18" s="320"/>
      <c r="E18" s="320"/>
      <c r="F18" s="321"/>
    </row>
  </sheetData>
  <sheetProtection/>
  <mergeCells count="2">
    <mergeCell ref="B1:F1"/>
    <mergeCell ref="B10:F10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70"/>
  <sheetViews>
    <sheetView zoomScalePageLayoutView="0" workbookViewId="0" topLeftCell="A1">
      <selection activeCell="A30" sqref="A30:IV73"/>
    </sheetView>
  </sheetViews>
  <sheetFormatPr defaultColWidth="11.421875" defaultRowHeight="15"/>
  <cols>
    <col min="2" max="2" width="39.00390625" style="0" customWidth="1"/>
    <col min="6" max="6" width="11.57421875" style="0" bestFit="1" customWidth="1"/>
  </cols>
  <sheetData>
    <row r="1" ht="15.75" thickBot="1"/>
    <row r="2" spans="2:6" ht="15">
      <c r="B2" s="557" t="s">
        <v>392</v>
      </c>
      <c r="C2" s="558"/>
      <c r="D2" s="558"/>
      <c r="E2" s="558"/>
      <c r="F2" s="559"/>
    </row>
    <row r="3" spans="2:6" ht="15.75" thickBot="1">
      <c r="B3" s="560" t="s">
        <v>393</v>
      </c>
      <c r="C3" s="561"/>
      <c r="D3" s="561"/>
      <c r="E3" s="561"/>
      <c r="F3" s="562"/>
    </row>
    <row r="4" spans="2:6" ht="19.5" thickBot="1">
      <c r="B4" s="348" t="s">
        <v>56</v>
      </c>
      <c r="C4" s="349" t="s">
        <v>48</v>
      </c>
      <c r="D4" s="348" t="s">
        <v>53</v>
      </c>
      <c r="E4" s="349" t="s">
        <v>52</v>
      </c>
      <c r="F4" s="348" t="s">
        <v>55</v>
      </c>
    </row>
    <row r="5" spans="2:6" ht="15">
      <c r="B5" s="350" t="s">
        <v>32</v>
      </c>
      <c r="C5" s="351" t="s">
        <v>49</v>
      </c>
      <c r="D5" s="352">
        <v>260</v>
      </c>
      <c r="E5" s="351" t="s">
        <v>394</v>
      </c>
      <c r="F5" s="352" t="s">
        <v>395</v>
      </c>
    </row>
    <row r="6" spans="2:6" ht="15.75" thickBot="1">
      <c r="B6" s="350" t="s">
        <v>33</v>
      </c>
      <c r="C6" s="351" t="s">
        <v>49</v>
      </c>
      <c r="D6" s="352">
        <v>260</v>
      </c>
      <c r="E6" s="351" t="s">
        <v>396</v>
      </c>
      <c r="F6" s="352" t="s">
        <v>397</v>
      </c>
    </row>
    <row r="7" spans="2:6" ht="15.75" thickBot="1">
      <c r="B7" s="353" t="s">
        <v>34</v>
      </c>
      <c r="C7" s="354"/>
      <c r="D7" s="355"/>
      <c r="E7" s="354"/>
      <c r="F7" s="355" t="s">
        <v>398</v>
      </c>
    </row>
    <row r="8" spans="2:6" ht="15">
      <c r="B8" s="350" t="s">
        <v>35</v>
      </c>
      <c r="C8" s="351"/>
      <c r="D8" s="352"/>
      <c r="E8" s="351"/>
      <c r="F8" s="352"/>
    </row>
    <row r="9" spans="2:6" ht="15">
      <c r="B9" s="350" t="s">
        <v>399</v>
      </c>
      <c r="C9" s="351" t="s">
        <v>50</v>
      </c>
      <c r="D9" s="352">
        <v>9</v>
      </c>
      <c r="E9" s="351" t="s">
        <v>400</v>
      </c>
      <c r="F9" s="352" t="s">
        <v>401</v>
      </c>
    </row>
    <row r="10" spans="2:6" ht="15">
      <c r="B10" s="350" t="s">
        <v>36</v>
      </c>
      <c r="C10" s="351" t="s">
        <v>49</v>
      </c>
      <c r="D10" s="352">
        <v>260</v>
      </c>
      <c r="E10" s="351" t="s">
        <v>402</v>
      </c>
      <c r="F10" s="352" t="s">
        <v>403</v>
      </c>
    </row>
    <row r="11" spans="2:6" ht="15.75" thickBot="1">
      <c r="B11" s="350" t="s">
        <v>37</v>
      </c>
      <c r="C11" s="351" t="s">
        <v>49</v>
      </c>
      <c r="D11" s="352">
        <v>260</v>
      </c>
      <c r="E11" s="351" t="s">
        <v>404</v>
      </c>
      <c r="F11" s="352" t="s">
        <v>405</v>
      </c>
    </row>
    <row r="12" spans="2:6" ht="15.75" thickBot="1">
      <c r="B12" s="353" t="s">
        <v>34</v>
      </c>
      <c r="C12" s="354"/>
      <c r="D12" s="355"/>
      <c r="E12" s="354"/>
      <c r="F12" s="355" t="s">
        <v>406</v>
      </c>
    </row>
    <row r="13" spans="2:6" ht="15">
      <c r="B13" s="350" t="s">
        <v>407</v>
      </c>
      <c r="C13" s="351"/>
      <c r="D13" s="352"/>
      <c r="E13" s="351"/>
      <c r="F13" s="352"/>
    </row>
    <row r="14" spans="2:6" ht="15">
      <c r="B14" s="350" t="s">
        <v>38</v>
      </c>
      <c r="C14" s="351" t="s">
        <v>50</v>
      </c>
      <c r="D14" s="352">
        <v>9</v>
      </c>
      <c r="E14" s="351" t="s">
        <v>408</v>
      </c>
      <c r="F14" s="352" t="s">
        <v>409</v>
      </c>
    </row>
    <row r="15" spans="2:6" ht="15">
      <c r="B15" s="350" t="s">
        <v>39</v>
      </c>
      <c r="C15" s="351" t="s">
        <v>49</v>
      </c>
      <c r="D15" s="352">
        <v>260</v>
      </c>
      <c r="E15" s="351" t="s">
        <v>410</v>
      </c>
      <c r="F15" s="352" t="s">
        <v>411</v>
      </c>
    </row>
    <row r="16" spans="2:6" ht="15.75" thickBot="1">
      <c r="B16" s="350" t="s">
        <v>412</v>
      </c>
      <c r="C16" s="351" t="s">
        <v>50</v>
      </c>
      <c r="D16" s="352">
        <v>2</v>
      </c>
      <c r="E16" s="351" t="s">
        <v>413</v>
      </c>
      <c r="F16" s="352" t="s">
        <v>414</v>
      </c>
    </row>
    <row r="17" spans="2:6" ht="15.75" thickBot="1">
      <c r="B17" s="353" t="s">
        <v>34</v>
      </c>
      <c r="C17" s="354"/>
      <c r="D17" s="355"/>
      <c r="E17" s="354"/>
      <c r="F17" s="355" t="s">
        <v>415</v>
      </c>
    </row>
    <row r="18" spans="2:6" ht="15">
      <c r="B18" s="350" t="s">
        <v>416</v>
      </c>
      <c r="C18" s="351"/>
      <c r="D18" s="352"/>
      <c r="E18" s="351"/>
      <c r="F18" s="352"/>
    </row>
    <row r="19" spans="2:6" ht="15">
      <c r="B19" s="350" t="s">
        <v>41</v>
      </c>
      <c r="C19" s="351" t="s">
        <v>50</v>
      </c>
      <c r="D19" s="352">
        <v>1</v>
      </c>
      <c r="E19" s="351" t="s">
        <v>417</v>
      </c>
      <c r="F19" s="352" t="s">
        <v>417</v>
      </c>
    </row>
    <row r="20" spans="2:6" ht="15">
      <c r="B20" s="350" t="s">
        <v>42</v>
      </c>
      <c r="C20" s="351" t="s">
        <v>50</v>
      </c>
      <c r="D20" s="352">
        <v>1</v>
      </c>
      <c r="E20" s="351" t="s">
        <v>418</v>
      </c>
      <c r="F20" s="352" t="s">
        <v>418</v>
      </c>
    </row>
    <row r="21" spans="2:6" ht="15">
      <c r="B21" s="350" t="s">
        <v>419</v>
      </c>
      <c r="C21" s="351" t="s">
        <v>50</v>
      </c>
      <c r="D21" s="352">
        <v>1</v>
      </c>
      <c r="E21" s="351" t="s">
        <v>420</v>
      </c>
      <c r="F21" s="352" t="s">
        <v>420</v>
      </c>
    </row>
    <row r="22" spans="2:6" ht="15">
      <c r="B22" s="350" t="s">
        <v>43</v>
      </c>
      <c r="C22" s="351" t="s">
        <v>50</v>
      </c>
      <c r="D22" s="352">
        <v>10</v>
      </c>
      <c r="E22" s="351" t="s">
        <v>421</v>
      </c>
      <c r="F22" s="352" t="s">
        <v>422</v>
      </c>
    </row>
    <row r="23" spans="2:6" ht="15.75" thickBot="1">
      <c r="B23" s="350" t="s">
        <v>44</v>
      </c>
      <c r="C23" s="351" t="s">
        <v>50</v>
      </c>
      <c r="D23" s="352">
        <v>3</v>
      </c>
      <c r="E23" s="351" t="s">
        <v>423</v>
      </c>
      <c r="F23" s="352" t="s">
        <v>424</v>
      </c>
    </row>
    <row r="24" spans="2:6" ht="15.75" thickBot="1">
      <c r="B24" s="353" t="s">
        <v>34</v>
      </c>
      <c r="C24" s="354"/>
      <c r="D24" s="355"/>
      <c r="E24" s="354"/>
      <c r="F24" s="355" t="s">
        <v>425</v>
      </c>
    </row>
    <row r="25" spans="2:6" ht="15">
      <c r="B25" s="350" t="s">
        <v>45</v>
      </c>
      <c r="C25" s="351"/>
      <c r="D25" s="352"/>
      <c r="E25" s="351"/>
      <c r="F25" s="352"/>
    </row>
    <row r="26" spans="2:6" ht="15">
      <c r="B26" s="350" t="s">
        <v>46</v>
      </c>
      <c r="C26" s="351" t="s">
        <v>51</v>
      </c>
      <c r="D26" s="352">
        <v>1</v>
      </c>
      <c r="E26" s="351" t="s">
        <v>426</v>
      </c>
      <c r="F26" s="352" t="s">
        <v>426</v>
      </c>
    </row>
    <row r="27" spans="2:6" ht="15.75" thickBot="1">
      <c r="B27" s="350" t="s">
        <v>47</v>
      </c>
      <c r="C27" s="351"/>
      <c r="D27" s="352"/>
      <c r="E27" s="351"/>
      <c r="F27" s="352" t="s">
        <v>426</v>
      </c>
    </row>
    <row r="28" spans="2:6" ht="15.75" thickBot="1">
      <c r="B28" s="356" t="s">
        <v>54</v>
      </c>
      <c r="C28" s="354"/>
      <c r="D28" s="354"/>
      <c r="E28" s="354"/>
      <c r="F28" s="357" t="s">
        <v>427</v>
      </c>
    </row>
    <row r="30" ht="15.75" hidden="1" thickBot="1"/>
    <row r="31" spans="2:6" ht="15" hidden="1">
      <c r="B31" s="563" t="s">
        <v>120</v>
      </c>
      <c r="C31" s="564"/>
      <c r="D31" s="564"/>
      <c r="E31" s="564"/>
      <c r="F31" s="565"/>
    </row>
    <row r="32" spans="2:6" ht="15.75" hidden="1" thickBot="1">
      <c r="B32" s="566" t="s">
        <v>121</v>
      </c>
      <c r="C32" s="567"/>
      <c r="D32" s="567"/>
      <c r="E32" s="567"/>
      <c r="F32" s="568"/>
    </row>
    <row r="33" spans="2:6" ht="19.5" hidden="1" thickBot="1">
      <c r="B33" s="14" t="s">
        <v>56</v>
      </c>
      <c r="C33" s="15" t="s">
        <v>48</v>
      </c>
      <c r="D33" s="14" t="s">
        <v>53</v>
      </c>
      <c r="E33" s="16" t="s">
        <v>52</v>
      </c>
      <c r="F33" s="14" t="s">
        <v>55</v>
      </c>
    </row>
    <row r="34" spans="2:6" ht="15.75" hidden="1" thickBot="1">
      <c r="B34" s="22" t="s">
        <v>122</v>
      </c>
      <c r="C34" s="23"/>
      <c r="D34" s="23"/>
      <c r="E34" s="23"/>
      <c r="F34" s="24"/>
    </row>
    <row r="35" spans="2:6" ht="15" hidden="1">
      <c r="B35" s="32" t="s">
        <v>123</v>
      </c>
      <c r="C35" s="33" t="s">
        <v>147</v>
      </c>
      <c r="D35" s="33">
        <v>36</v>
      </c>
      <c r="E35" s="34">
        <v>18</v>
      </c>
      <c r="F35" s="35">
        <f>+E35*D35</f>
        <v>648</v>
      </c>
    </row>
    <row r="36" spans="2:6" ht="15" hidden="1">
      <c r="B36" s="19" t="s">
        <v>124</v>
      </c>
      <c r="C36" s="10" t="s">
        <v>50</v>
      </c>
      <c r="D36" s="10">
        <v>3</v>
      </c>
      <c r="E36" s="25">
        <v>60</v>
      </c>
      <c r="F36" s="26">
        <f>+E36*D36</f>
        <v>180</v>
      </c>
    </row>
    <row r="37" spans="2:6" ht="15" hidden="1">
      <c r="B37" s="19" t="s">
        <v>125</v>
      </c>
      <c r="C37" s="10" t="s">
        <v>147</v>
      </c>
      <c r="D37" s="10">
        <v>2400</v>
      </c>
      <c r="E37" s="25">
        <v>0.15</v>
      </c>
      <c r="F37" s="26">
        <f>+E37*D37</f>
        <v>360</v>
      </c>
    </row>
    <row r="38" spans="2:6" ht="15" hidden="1">
      <c r="B38" s="19" t="s">
        <v>126</v>
      </c>
      <c r="C38" s="10" t="s">
        <v>147</v>
      </c>
      <c r="D38" s="10">
        <v>2400</v>
      </c>
      <c r="E38" s="25">
        <v>0.3</v>
      </c>
      <c r="F38" s="26">
        <f>+E38*D38</f>
        <v>720</v>
      </c>
    </row>
    <row r="39" spans="2:6" ht="15.75" hidden="1" thickBot="1">
      <c r="B39" s="36" t="s">
        <v>127</v>
      </c>
      <c r="C39" s="13"/>
      <c r="D39" s="13"/>
      <c r="E39" s="13"/>
      <c r="F39" s="37">
        <f>SUM(F35:F38)</f>
        <v>1908</v>
      </c>
    </row>
    <row r="40" spans="2:6" ht="15.75" hidden="1" thickBot="1">
      <c r="B40" s="22" t="s">
        <v>128</v>
      </c>
      <c r="C40" s="23"/>
      <c r="D40" s="23"/>
      <c r="E40" s="23"/>
      <c r="F40" s="24"/>
    </row>
    <row r="41" spans="2:6" ht="15" hidden="1">
      <c r="B41" s="32" t="s">
        <v>129</v>
      </c>
      <c r="C41" s="33" t="s">
        <v>50</v>
      </c>
      <c r="D41" s="33">
        <v>64</v>
      </c>
      <c r="E41" s="34">
        <v>6.5</v>
      </c>
      <c r="F41" s="35">
        <f aca="true" t="shared" si="0" ref="F41:F68">+E41*D41</f>
        <v>416</v>
      </c>
    </row>
    <row r="42" spans="2:6" ht="15" hidden="1">
      <c r="B42" s="19" t="s">
        <v>130</v>
      </c>
      <c r="C42" s="10" t="s">
        <v>147</v>
      </c>
      <c r="D42" s="10">
        <v>28.5</v>
      </c>
      <c r="E42" s="25">
        <v>260</v>
      </c>
      <c r="F42" s="26">
        <f t="shared" si="0"/>
        <v>7410</v>
      </c>
    </row>
    <row r="43" spans="2:6" ht="15" hidden="1">
      <c r="B43" s="19" t="s">
        <v>131</v>
      </c>
      <c r="C43" s="10" t="s">
        <v>147</v>
      </c>
      <c r="D43" s="10">
        <v>2400</v>
      </c>
      <c r="E43" s="25">
        <v>5.8</v>
      </c>
      <c r="F43" s="26">
        <f t="shared" si="0"/>
        <v>13920</v>
      </c>
    </row>
    <row r="44" spans="2:6" ht="15" hidden="1">
      <c r="B44" s="19" t="s">
        <v>132</v>
      </c>
      <c r="C44" s="10" t="s">
        <v>147</v>
      </c>
      <c r="D44" s="10">
        <v>1188</v>
      </c>
      <c r="E44" s="25">
        <v>8.5</v>
      </c>
      <c r="F44" s="26">
        <f t="shared" si="0"/>
        <v>10098</v>
      </c>
    </row>
    <row r="45" spans="2:6" ht="15.75" hidden="1" thickBot="1">
      <c r="B45" s="38" t="s">
        <v>37</v>
      </c>
      <c r="C45" s="11" t="s">
        <v>147</v>
      </c>
      <c r="D45" s="11">
        <v>660</v>
      </c>
      <c r="E45" s="39">
        <v>5.2</v>
      </c>
      <c r="F45" s="40">
        <f t="shared" si="0"/>
        <v>3432</v>
      </c>
    </row>
    <row r="46" spans="2:6" ht="15.75" hidden="1" thickBot="1">
      <c r="B46" s="20" t="s">
        <v>127</v>
      </c>
      <c r="C46" s="12"/>
      <c r="D46" s="12"/>
      <c r="E46" s="28"/>
      <c r="F46" s="27">
        <f>SUM(F41:F45)</f>
        <v>35276</v>
      </c>
    </row>
    <row r="47" spans="2:6" ht="15" hidden="1">
      <c r="B47" s="41" t="s">
        <v>133</v>
      </c>
      <c r="C47" s="42"/>
      <c r="D47" s="42"/>
      <c r="E47" s="42"/>
      <c r="F47" s="43"/>
    </row>
    <row r="48" spans="2:6" ht="15" hidden="1">
      <c r="B48" s="19" t="s">
        <v>38</v>
      </c>
      <c r="C48" s="10" t="s">
        <v>50</v>
      </c>
      <c r="D48" s="10">
        <v>84</v>
      </c>
      <c r="E48" s="25">
        <v>45</v>
      </c>
      <c r="F48" s="26">
        <f t="shared" si="0"/>
        <v>3780</v>
      </c>
    </row>
    <row r="49" spans="2:6" ht="15" hidden="1">
      <c r="B49" s="19" t="s">
        <v>134</v>
      </c>
      <c r="C49" s="10" t="s">
        <v>148</v>
      </c>
      <c r="D49" s="10">
        <v>1176</v>
      </c>
      <c r="E49" s="25">
        <v>9.8</v>
      </c>
      <c r="F49" s="26">
        <f t="shared" si="0"/>
        <v>11524.800000000001</v>
      </c>
    </row>
    <row r="50" spans="2:6" ht="15" hidden="1">
      <c r="B50" s="19" t="s">
        <v>135</v>
      </c>
      <c r="C50" s="10" t="s">
        <v>147</v>
      </c>
      <c r="D50" s="10">
        <v>1230</v>
      </c>
      <c r="E50" s="25">
        <v>6</v>
      </c>
      <c r="F50" s="26">
        <f t="shared" si="0"/>
        <v>7380</v>
      </c>
    </row>
    <row r="51" spans="2:6" ht="15" hidden="1">
      <c r="B51" s="19" t="s">
        <v>136</v>
      </c>
      <c r="C51" s="10" t="s">
        <v>148</v>
      </c>
      <c r="D51" s="10">
        <v>2300</v>
      </c>
      <c r="E51" s="25">
        <v>7.2</v>
      </c>
      <c r="F51" s="26">
        <f>+E51*D51</f>
        <v>16560</v>
      </c>
    </row>
    <row r="52" spans="2:6" ht="15" hidden="1">
      <c r="B52" s="19" t="s">
        <v>137</v>
      </c>
      <c r="C52" s="10" t="s">
        <v>50</v>
      </c>
      <c r="D52" s="10">
        <v>54</v>
      </c>
      <c r="E52" s="25">
        <v>85</v>
      </c>
      <c r="F52" s="26">
        <f t="shared" si="0"/>
        <v>4590</v>
      </c>
    </row>
    <row r="53" spans="2:6" ht="15" hidden="1">
      <c r="B53" s="19" t="s">
        <v>39</v>
      </c>
      <c r="C53" s="10" t="s">
        <v>147</v>
      </c>
      <c r="D53" s="10">
        <v>2880</v>
      </c>
      <c r="E53" s="25">
        <v>8</v>
      </c>
      <c r="F53" s="26">
        <f t="shared" si="0"/>
        <v>23040</v>
      </c>
    </row>
    <row r="54" spans="2:6" ht="15" hidden="1">
      <c r="B54" s="19" t="s">
        <v>149</v>
      </c>
      <c r="C54" s="10" t="s">
        <v>148</v>
      </c>
      <c r="D54" s="10">
        <v>246</v>
      </c>
      <c r="E54" s="25">
        <v>4.8</v>
      </c>
      <c r="F54" s="26">
        <f t="shared" si="0"/>
        <v>1180.8</v>
      </c>
    </row>
    <row r="55" spans="2:6" ht="15" hidden="1">
      <c r="B55" s="19" t="s">
        <v>138</v>
      </c>
      <c r="C55" s="10" t="s">
        <v>50</v>
      </c>
      <c r="D55" s="10">
        <v>84</v>
      </c>
      <c r="E55" s="25">
        <v>3.2</v>
      </c>
      <c r="F55" s="26">
        <f t="shared" si="0"/>
        <v>268.8</v>
      </c>
    </row>
    <row r="56" spans="2:6" ht="15.75" hidden="1" thickBot="1">
      <c r="B56" s="38" t="s">
        <v>40</v>
      </c>
      <c r="C56" s="11" t="s">
        <v>50</v>
      </c>
      <c r="D56" s="11">
        <v>6</v>
      </c>
      <c r="E56" s="39">
        <v>350</v>
      </c>
      <c r="F56" s="40">
        <f t="shared" si="0"/>
        <v>2100</v>
      </c>
    </row>
    <row r="57" spans="2:6" ht="15.75" hidden="1" thickBot="1">
      <c r="B57" s="20" t="s">
        <v>127</v>
      </c>
      <c r="C57" s="12"/>
      <c r="D57" s="12"/>
      <c r="E57" s="28"/>
      <c r="F57" s="27">
        <f>SUM(F48:F56)</f>
        <v>70424.40000000001</v>
      </c>
    </row>
    <row r="58" spans="2:6" ht="15" hidden="1">
      <c r="B58" s="41" t="s">
        <v>139</v>
      </c>
      <c r="C58" s="42"/>
      <c r="D58" s="42"/>
      <c r="E58" s="42"/>
      <c r="F58" s="43"/>
    </row>
    <row r="59" spans="2:6" ht="15" hidden="1">
      <c r="B59" s="19" t="s">
        <v>140</v>
      </c>
      <c r="C59" s="10" t="s">
        <v>50</v>
      </c>
      <c r="D59" s="10">
        <v>3</v>
      </c>
      <c r="E59" s="25">
        <v>320</v>
      </c>
      <c r="F59" s="26">
        <f t="shared" si="0"/>
        <v>960</v>
      </c>
    </row>
    <row r="60" spans="2:6" ht="15" hidden="1">
      <c r="B60" s="19" t="s">
        <v>141</v>
      </c>
      <c r="C60" s="10" t="s">
        <v>50</v>
      </c>
      <c r="D60" s="10">
        <v>3</v>
      </c>
      <c r="E60" s="25">
        <v>170</v>
      </c>
      <c r="F60" s="26">
        <f t="shared" si="0"/>
        <v>510</v>
      </c>
    </row>
    <row r="61" spans="2:6" ht="15" hidden="1">
      <c r="B61" s="19" t="s">
        <v>142</v>
      </c>
      <c r="C61" s="10" t="s">
        <v>50</v>
      </c>
      <c r="D61" s="10">
        <v>3</v>
      </c>
      <c r="E61" s="25">
        <v>360</v>
      </c>
      <c r="F61" s="26">
        <v>360</v>
      </c>
    </row>
    <row r="62" spans="2:6" ht="15" hidden="1">
      <c r="B62" s="19" t="s">
        <v>43</v>
      </c>
      <c r="C62" s="10" t="s">
        <v>50</v>
      </c>
      <c r="D62" s="10">
        <v>54</v>
      </c>
      <c r="E62" s="25">
        <v>22.9</v>
      </c>
      <c r="F62" s="26">
        <f t="shared" si="0"/>
        <v>1236.6</v>
      </c>
    </row>
    <row r="63" spans="2:6" ht="15.75" hidden="1" thickBot="1">
      <c r="B63" s="38" t="s">
        <v>143</v>
      </c>
      <c r="C63" s="11" t="s">
        <v>50</v>
      </c>
      <c r="D63" s="11">
        <v>15</v>
      </c>
      <c r="E63" s="39">
        <v>35</v>
      </c>
      <c r="F63" s="40">
        <f t="shared" si="0"/>
        <v>525</v>
      </c>
    </row>
    <row r="64" spans="2:6" ht="15.75" hidden="1" thickBot="1">
      <c r="B64" s="20" t="s">
        <v>127</v>
      </c>
      <c r="C64" s="12"/>
      <c r="D64" s="12"/>
      <c r="E64" s="28"/>
      <c r="F64" s="27">
        <f>SUM(F59:F63)</f>
        <v>3591.6</v>
      </c>
    </row>
    <row r="65" spans="2:6" ht="15" hidden="1">
      <c r="B65" s="41" t="s">
        <v>144</v>
      </c>
      <c r="C65" s="42"/>
      <c r="D65" s="42"/>
      <c r="E65" s="42"/>
      <c r="F65" s="43"/>
    </row>
    <row r="66" spans="2:6" ht="15" hidden="1">
      <c r="B66" s="19" t="s">
        <v>146</v>
      </c>
      <c r="C66" s="10" t="s">
        <v>150</v>
      </c>
      <c r="D66" s="10">
        <v>33</v>
      </c>
      <c r="E66" s="25">
        <v>4</v>
      </c>
      <c r="F66" s="26">
        <f t="shared" si="0"/>
        <v>132</v>
      </c>
    </row>
    <row r="67" spans="2:6" ht="15" hidden="1">
      <c r="B67" s="19" t="s">
        <v>145</v>
      </c>
      <c r="C67" s="10" t="s">
        <v>150</v>
      </c>
      <c r="D67" s="10">
        <v>870</v>
      </c>
      <c r="E67" s="25">
        <v>8.2</v>
      </c>
      <c r="F67" s="26">
        <f t="shared" si="0"/>
        <v>7133.999999999999</v>
      </c>
    </row>
    <row r="68" spans="2:6" ht="15" hidden="1">
      <c r="B68" s="21" t="s">
        <v>152</v>
      </c>
      <c r="C68" s="10" t="s">
        <v>151</v>
      </c>
      <c r="D68" s="10">
        <v>1</v>
      </c>
      <c r="E68" s="25">
        <v>200</v>
      </c>
      <c r="F68" s="26">
        <f t="shared" si="0"/>
        <v>200</v>
      </c>
    </row>
    <row r="69" spans="2:6" ht="15.75" hidden="1" thickBot="1">
      <c r="B69" s="36" t="s">
        <v>127</v>
      </c>
      <c r="C69" s="13"/>
      <c r="D69" s="13"/>
      <c r="E69" s="44"/>
      <c r="F69" s="37">
        <f>SUM(F66:F68)</f>
        <v>7465.999999999999</v>
      </c>
    </row>
    <row r="70" spans="2:6" ht="15.75" hidden="1" thickBot="1">
      <c r="B70" s="29" t="s">
        <v>27</v>
      </c>
      <c r="C70" s="30"/>
      <c r="D70" s="30"/>
      <c r="E70" s="30"/>
      <c r="F70" s="37">
        <f>+F69+F64+F57+F46+F39</f>
        <v>118666</v>
      </c>
    </row>
    <row r="71" ht="15" hidden="1"/>
    <row r="72" ht="15" hidden="1"/>
    <row r="73" ht="15" hidden="1"/>
  </sheetData>
  <sheetProtection/>
  <mergeCells count="4">
    <mergeCell ref="B2:F2"/>
    <mergeCell ref="B3:F3"/>
    <mergeCell ref="B31:F31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M145"/>
  <sheetViews>
    <sheetView zoomScalePageLayoutView="0" workbookViewId="0" topLeftCell="A58">
      <selection activeCell="J19" sqref="J19"/>
    </sheetView>
  </sheetViews>
  <sheetFormatPr defaultColWidth="11.421875" defaultRowHeight="15"/>
  <cols>
    <col min="9" max="9" width="24.00390625" style="0" bestFit="1" customWidth="1"/>
    <col min="10" max="10" width="13.7109375" style="0" customWidth="1"/>
    <col min="11" max="11" width="11.8515625" style="0" customWidth="1"/>
    <col min="12" max="12" width="13.140625" style="0" customWidth="1"/>
    <col min="14" max="14" width="12.421875" style="0" customWidth="1"/>
  </cols>
  <sheetData>
    <row r="2" spans="2:13" ht="15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2:13" ht="15.75" thickBot="1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2:13" ht="15.75" thickBot="1">
      <c r="B4" s="303"/>
      <c r="C4" s="577" t="s">
        <v>428</v>
      </c>
      <c r="D4" s="583"/>
      <c r="E4" s="583"/>
      <c r="F4" s="583"/>
      <c r="G4" s="583"/>
      <c r="H4" s="583"/>
      <c r="I4" s="583"/>
      <c r="J4" s="584"/>
      <c r="K4" s="303"/>
      <c r="L4" s="303"/>
      <c r="M4" s="303"/>
    </row>
    <row r="5" spans="2:13" ht="15.75" thickBot="1">
      <c r="B5" s="303"/>
      <c r="C5" s="585" t="s">
        <v>62</v>
      </c>
      <c r="D5" s="585" t="s">
        <v>63</v>
      </c>
      <c r="E5" s="587" t="s">
        <v>64</v>
      </c>
      <c r="F5" s="588"/>
      <c r="G5" s="581" t="s">
        <v>65</v>
      </c>
      <c r="H5" s="582"/>
      <c r="I5" s="581" t="s">
        <v>92</v>
      </c>
      <c r="J5" s="582"/>
      <c r="K5" s="303"/>
      <c r="L5" s="303"/>
      <c r="M5" s="303"/>
    </row>
    <row r="6" spans="2:13" ht="15.75" thickBot="1">
      <c r="B6" s="303"/>
      <c r="C6" s="586"/>
      <c r="D6" s="586"/>
      <c r="E6" s="358" t="s">
        <v>94</v>
      </c>
      <c r="F6" s="359" t="s">
        <v>95</v>
      </c>
      <c r="G6" s="358" t="s">
        <v>94</v>
      </c>
      <c r="H6" s="359" t="s">
        <v>95</v>
      </c>
      <c r="I6" s="358" t="s">
        <v>94</v>
      </c>
      <c r="J6" s="359" t="s">
        <v>95</v>
      </c>
      <c r="K6" s="303"/>
      <c r="L6" s="303"/>
      <c r="M6" s="303"/>
    </row>
    <row r="7" spans="2:13" ht="15">
      <c r="B7" s="303"/>
      <c r="C7" s="360" t="s">
        <v>60</v>
      </c>
      <c r="D7" s="361">
        <v>0.22</v>
      </c>
      <c r="E7" s="362">
        <v>9</v>
      </c>
      <c r="F7" s="363">
        <v>2</v>
      </c>
      <c r="G7" s="364">
        <v>7</v>
      </c>
      <c r="H7" s="362">
        <v>1.5</v>
      </c>
      <c r="I7" s="363">
        <v>8</v>
      </c>
      <c r="J7" s="363">
        <v>1.8</v>
      </c>
      <c r="K7" s="303"/>
      <c r="L7" s="303"/>
      <c r="M7" s="303"/>
    </row>
    <row r="8" spans="2:13" ht="15">
      <c r="B8" s="303"/>
      <c r="C8" s="360" t="s">
        <v>57</v>
      </c>
      <c r="D8" s="361">
        <v>0.15</v>
      </c>
      <c r="E8" s="362">
        <v>9</v>
      </c>
      <c r="F8" s="363">
        <v>1.4</v>
      </c>
      <c r="G8" s="364">
        <v>8</v>
      </c>
      <c r="H8" s="362">
        <v>1.2</v>
      </c>
      <c r="I8" s="363">
        <v>6</v>
      </c>
      <c r="J8" s="363">
        <v>0.9</v>
      </c>
      <c r="K8" s="303"/>
      <c r="L8" s="303"/>
      <c r="M8" s="303"/>
    </row>
    <row r="9" spans="2:13" ht="15">
      <c r="B9" s="303"/>
      <c r="C9" s="360" t="s">
        <v>58</v>
      </c>
      <c r="D9" s="361">
        <v>0.25</v>
      </c>
      <c r="E9" s="362">
        <v>8</v>
      </c>
      <c r="F9" s="363">
        <v>2</v>
      </c>
      <c r="G9" s="364">
        <v>6</v>
      </c>
      <c r="H9" s="362">
        <v>1.5</v>
      </c>
      <c r="I9" s="363">
        <v>9</v>
      </c>
      <c r="J9" s="363">
        <v>2.3</v>
      </c>
      <c r="K9" s="303"/>
      <c r="L9" s="303"/>
      <c r="M9" s="303"/>
    </row>
    <row r="10" spans="2:13" ht="15">
      <c r="B10" s="303"/>
      <c r="C10" s="360" t="s">
        <v>66</v>
      </c>
      <c r="D10" s="361">
        <v>0.1</v>
      </c>
      <c r="E10" s="362">
        <v>7</v>
      </c>
      <c r="F10" s="363">
        <v>0.7</v>
      </c>
      <c r="G10" s="364">
        <v>7</v>
      </c>
      <c r="H10" s="362">
        <v>0.7</v>
      </c>
      <c r="I10" s="363">
        <v>7</v>
      </c>
      <c r="J10" s="363">
        <v>0.7</v>
      </c>
      <c r="K10" s="303"/>
      <c r="L10" s="303"/>
      <c r="M10" s="303"/>
    </row>
    <row r="11" spans="2:13" ht="15">
      <c r="B11" s="303"/>
      <c r="C11" s="360" t="s">
        <v>59</v>
      </c>
      <c r="D11" s="361">
        <v>0.18</v>
      </c>
      <c r="E11" s="362">
        <v>8</v>
      </c>
      <c r="F11" s="363">
        <v>1.4</v>
      </c>
      <c r="G11" s="364">
        <v>8</v>
      </c>
      <c r="H11" s="362">
        <v>1.4</v>
      </c>
      <c r="I11" s="363">
        <v>7</v>
      </c>
      <c r="J11" s="363">
        <v>1.3</v>
      </c>
      <c r="K11" s="303"/>
      <c r="L11" s="303"/>
      <c r="M11" s="303"/>
    </row>
    <row r="12" spans="2:13" ht="15.75" thickBot="1">
      <c r="B12" s="303"/>
      <c r="C12" s="360" t="s">
        <v>93</v>
      </c>
      <c r="D12" s="361">
        <v>0.1</v>
      </c>
      <c r="E12" s="362">
        <v>6</v>
      </c>
      <c r="F12" s="363">
        <v>0.6</v>
      </c>
      <c r="G12" s="364">
        <v>6</v>
      </c>
      <c r="H12" s="362">
        <v>0.6</v>
      </c>
      <c r="I12" s="363">
        <v>7</v>
      </c>
      <c r="J12" s="363">
        <v>0.7</v>
      </c>
      <c r="K12" s="303"/>
      <c r="L12" s="303"/>
      <c r="M12" s="303"/>
    </row>
    <row r="13" spans="2:13" ht="15.75" thickBot="1">
      <c r="B13" s="303"/>
      <c r="C13" s="365" t="s">
        <v>61</v>
      </c>
      <c r="D13" s="366">
        <v>1</v>
      </c>
      <c r="E13" s="367"/>
      <c r="F13" s="368">
        <v>8.1</v>
      </c>
      <c r="G13" s="369"/>
      <c r="H13" s="367">
        <v>6.98</v>
      </c>
      <c r="I13" s="370"/>
      <c r="J13" s="367">
        <v>7.57</v>
      </c>
      <c r="K13" s="303"/>
      <c r="L13" s="303"/>
      <c r="M13" s="303"/>
    </row>
    <row r="14" spans="2:13" ht="15.75" thickBot="1">
      <c r="B14" s="303"/>
      <c r="C14" s="371" t="s">
        <v>386</v>
      </c>
      <c r="D14" s="372"/>
      <c r="E14" s="372"/>
      <c r="F14" s="372"/>
      <c r="G14" s="372"/>
      <c r="H14" s="372"/>
      <c r="I14" s="372"/>
      <c r="J14" s="373"/>
      <c r="K14" s="303"/>
      <c r="L14" s="303"/>
      <c r="M14" s="303"/>
    </row>
    <row r="15" spans="2:13" ht="15.75" thickBot="1"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</row>
    <row r="16" spans="2:13" ht="15.75" thickBot="1">
      <c r="B16" s="303"/>
      <c r="C16" s="569" t="s">
        <v>429</v>
      </c>
      <c r="D16" s="570"/>
      <c r="E16" s="570"/>
      <c r="F16" s="570"/>
      <c r="G16" s="570"/>
      <c r="H16" s="570"/>
      <c r="I16" s="571"/>
      <c r="J16" s="303"/>
      <c r="K16" s="303"/>
      <c r="L16" s="303"/>
      <c r="M16" s="303"/>
    </row>
    <row r="17" spans="2:13" ht="15.75" thickBot="1">
      <c r="B17" s="303"/>
      <c r="C17" s="374" t="s">
        <v>430</v>
      </c>
      <c r="D17" s="375" t="s">
        <v>67</v>
      </c>
      <c r="E17" s="376" t="s">
        <v>60</v>
      </c>
      <c r="F17" s="375" t="s">
        <v>46</v>
      </c>
      <c r="G17" s="376" t="s">
        <v>68</v>
      </c>
      <c r="H17" s="375" t="s">
        <v>55</v>
      </c>
      <c r="I17" s="377" t="s">
        <v>69</v>
      </c>
      <c r="J17" s="303"/>
      <c r="K17" s="303"/>
      <c r="L17" s="303"/>
      <c r="M17" s="303"/>
    </row>
    <row r="18" spans="2:13" ht="15">
      <c r="B18" s="303"/>
      <c r="C18" s="378" t="s">
        <v>64</v>
      </c>
      <c r="D18" s="379">
        <v>6310</v>
      </c>
      <c r="E18" s="380">
        <v>4000</v>
      </c>
      <c r="F18" s="379">
        <v>1600</v>
      </c>
      <c r="G18" s="380">
        <v>2500</v>
      </c>
      <c r="H18" s="379">
        <v>14410</v>
      </c>
      <c r="I18" s="381">
        <v>0.500764526</v>
      </c>
      <c r="J18" s="303"/>
      <c r="K18" s="303"/>
      <c r="L18" s="303"/>
      <c r="M18" s="303"/>
    </row>
    <row r="19" spans="2:13" ht="15.75" thickBot="1">
      <c r="B19" s="303"/>
      <c r="C19" s="378" t="s">
        <v>65</v>
      </c>
      <c r="D19" s="379">
        <v>6241</v>
      </c>
      <c r="E19" s="380">
        <v>4000</v>
      </c>
      <c r="F19" s="379">
        <v>1625</v>
      </c>
      <c r="G19" s="380">
        <v>2500</v>
      </c>
      <c r="H19" s="379">
        <v>14366</v>
      </c>
      <c r="I19" s="381">
        <v>0.499235474</v>
      </c>
      <c r="J19" s="303"/>
      <c r="K19" s="303"/>
      <c r="L19" s="303"/>
      <c r="M19" s="303"/>
    </row>
    <row r="20" spans="2:13" ht="15.75" thickBot="1">
      <c r="B20" s="303"/>
      <c r="C20" s="382" t="s">
        <v>27</v>
      </c>
      <c r="D20" s="383"/>
      <c r="E20" s="384"/>
      <c r="F20" s="383"/>
      <c r="G20" s="384"/>
      <c r="H20" s="385">
        <v>28776</v>
      </c>
      <c r="I20" s="386">
        <v>1</v>
      </c>
      <c r="J20" s="303"/>
      <c r="K20" s="303"/>
      <c r="L20" s="303"/>
      <c r="M20" s="303"/>
    </row>
    <row r="21" spans="2:13" ht="15.75" thickBot="1">
      <c r="B21" s="303"/>
      <c r="C21" s="387" t="s">
        <v>386</v>
      </c>
      <c r="D21" s="388"/>
      <c r="E21" s="388"/>
      <c r="F21" s="388"/>
      <c r="G21" s="388"/>
      <c r="H21" s="388"/>
      <c r="I21" s="389"/>
      <c r="J21" s="303"/>
      <c r="K21" s="303"/>
      <c r="L21" s="303"/>
      <c r="M21" s="303"/>
    </row>
    <row r="22" spans="2:13" ht="15"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</row>
    <row r="23" spans="2:13" ht="15.75" thickBot="1"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  <row r="24" spans="2:13" ht="15.75" thickBot="1">
      <c r="B24" s="303"/>
      <c r="C24" s="577" t="s">
        <v>431</v>
      </c>
      <c r="D24" s="583"/>
      <c r="E24" s="578"/>
      <c r="F24" s="390"/>
      <c r="G24" s="303"/>
      <c r="H24" s="303"/>
      <c r="I24" s="303"/>
      <c r="J24" s="303"/>
      <c r="K24" s="303"/>
      <c r="L24" s="303"/>
      <c r="M24" s="303"/>
    </row>
    <row r="25" spans="2:13" ht="15.75" thickBot="1">
      <c r="B25" s="303"/>
      <c r="C25" s="359" t="s">
        <v>64</v>
      </c>
      <c r="D25" s="359" t="s">
        <v>70</v>
      </c>
      <c r="E25" s="359" t="s">
        <v>27</v>
      </c>
      <c r="F25" s="303"/>
      <c r="G25" s="303"/>
      <c r="H25" s="303"/>
      <c r="I25" s="303"/>
      <c r="J25" s="303"/>
      <c r="K25" s="303"/>
      <c r="L25" s="303"/>
      <c r="M25" s="303"/>
    </row>
    <row r="26" spans="2:13" ht="15.75" thickBot="1">
      <c r="B26" s="303"/>
      <c r="C26" s="391">
        <v>0.5479893</v>
      </c>
      <c r="D26" s="391">
        <v>0.4464441</v>
      </c>
      <c r="E26" s="392">
        <f>+C26+D26</f>
        <v>0.9944334</v>
      </c>
      <c r="F26" s="303"/>
      <c r="G26" s="303"/>
      <c r="H26" s="303"/>
      <c r="I26" s="303"/>
      <c r="J26" s="303"/>
      <c r="K26" s="303"/>
      <c r="L26" s="303"/>
      <c r="M26" s="303"/>
    </row>
    <row r="27" spans="2:13" ht="15.75" thickBot="1">
      <c r="B27" s="303"/>
      <c r="C27" s="393" t="s">
        <v>386</v>
      </c>
      <c r="D27" s="372"/>
      <c r="E27" s="373"/>
      <c r="F27" s="303"/>
      <c r="G27" s="303"/>
      <c r="H27" s="303"/>
      <c r="I27" s="303"/>
      <c r="J27" s="303"/>
      <c r="K27" s="303"/>
      <c r="L27" s="303"/>
      <c r="M27" s="303"/>
    </row>
    <row r="28" spans="2:13" ht="15.75" thickBot="1"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</row>
    <row r="29" spans="2:13" ht="15.75" thickBot="1">
      <c r="B29" s="303"/>
      <c r="C29" s="569" t="s">
        <v>432</v>
      </c>
      <c r="D29" s="570"/>
      <c r="E29" s="570"/>
      <c r="F29" s="570"/>
      <c r="G29" s="571"/>
      <c r="H29" s="303"/>
      <c r="I29" s="303"/>
      <c r="J29" s="303"/>
      <c r="K29" s="303"/>
      <c r="L29" s="303"/>
      <c r="M29" s="303"/>
    </row>
    <row r="30" spans="2:13" ht="45.75" thickBot="1">
      <c r="B30" s="303"/>
      <c r="C30" s="394" t="s">
        <v>71</v>
      </c>
      <c r="D30" s="575" t="s">
        <v>74</v>
      </c>
      <c r="E30" s="576"/>
      <c r="F30" s="395" t="s">
        <v>75</v>
      </c>
      <c r="G30" s="396" t="s">
        <v>433</v>
      </c>
      <c r="H30" s="303"/>
      <c r="I30" s="303"/>
      <c r="J30" s="303"/>
      <c r="K30" s="303"/>
      <c r="L30" s="303"/>
      <c r="M30" s="303"/>
    </row>
    <row r="31" spans="2:13" ht="15.75" thickBot="1">
      <c r="B31" s="303"/>
      <c r="C31" s="378"/>
      <c r="D31" s="397">
        <v>1</v>
      </c>
      <c r="E31" s="398">
        <v>2</v>
      </c>
      <c r="F31" s="381"/>
      <c r="G31" s="381"/>
      <c r="H31" s="303"/>
      <c r="I31" s="303"/>
      <c r="J31" s="303"/>
      <c r="K31" s="303"/>
      <c r="L31" s="303"/>
      <c r="M31" s="303"/>
    </row>
    <row r="32" spans="2:13" ht="15">
      <c r="B32" s="303"/>
      <c r="C32" s="399" t="s">
        <v>72</v>
      </c>
      <c r="D32" s="380">
        <v>1</v>
      </c>
      <c r="E32" s="379">
        <v>1</v>
      </c>
      <c r="F32" s="381">
        <v>2</v>
      </c>
      <c r="G32" s="381">
        <v>0.5</v>
      </c>
      <c r="H32" s="303"/>
      <c r="I32" s="303"/>
      <c r="J32" s="303"/>
      <c r="K32" s="303"/>
      <c r="L32" s="303"/>
      <c r="M32" s="303"/>
    </row>
    <row r="33" spans="2:13" ht="15">
      <c r="B33" s="303"/>
      <c r="C33" s="399" t="s">
        <v>434</v>
      </c>
      <c r="D33" s="380">
        <v>1</v>
      </c>
      <c r="E33" s="379">
        <v>1</v>
      </c>
      <c r="F33" s="381">
        <v>2</v>
      </c>
      <c r="G33" s="381">
        <v>0.5</v>
      </c>
      <c r="H33" s="303"/>
      <c r="I33" s="303"/>
      <c r="J33" s="303"/>
      <c r="K33" s="303"/>
      <c r="L33" s="303"/>
      <c r="M33" s="303"/>
    </row>
    <row r="34" spans="2:13" ht="15.75" thickBot="1">
      <c r="B34" s="303"/>
      <c r="C34" s="400" t="s">
        <v>73</v>
      </c>
      <c r="D34" s="401">
        <v>0</v>
      </c>
      <c r="E34" s="398">
        <v>0</v>
      </c>
      <c r="F34" s="402"/>
      <c r="G34" s="402">
        <v>0</v>
      </c>
      <c r="H34" s="303"/>
      <c r="I34" s="303"/>
      <c r="J34" s="303"/>
      <c r="K34" s="303"/>
      <c r="L34" s="303"/>
      <c r="M34" s="303"/>
    </row>
    <row r="35" spans="2:13" ht="15.75" thickBot="1">
      <c r="B35" s="303"/>
      <c r="C35" s="378"/>
      <c r="E35" s="403" t="s">
        <v>55</v>
      </c>
      <c r="F35" s="404">
        <v>4</v>
      </c>
      <c r="G35" s="404">
        <v>1</v>
      </c>
      <c r="H35" s="303"/>
      <c r="I35" s="303"/>
      <c r="J35" s="303"/>
      <c r="K35" s="303"/>
      <c r="L35" s="303"/>
      <c r="M35" s="303"/>
    </row>
    <row r="36" spans="2:13" ht="15.75" thickBot="1">
      <c r="B36" s="303"/>
      <c r="C36" s="405" t="s">
        <v>386</v>
      </c>
      <c r="D36" s="406"/>
      <c r="E36" s="406"/>
      <c r="F36" s="406"/>
      <c r="G36" s="347"/>
      <c r="H36" s="303"/>
      <c r="I36" s="303"/>
      <c r="J36" s="303"/>
      <c r="K36" s="303"/>
      <c r="L36" s="303"/>
      <c r="M36" s="303"/>
    </row>
    <row r="37" spans="2:13" ht="15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</row>
    <row r="38" spans="2:13" ht="15.75" thickBot="1"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</row>
    <row r="39" spans="2:13" ht="15.75" thickBot="1">
      <c r="B39" s="303"/>
      <c r="C39" s="407" t="s">
        <v>76</v>
      </c>
      <c r="D39" s="569" t="s">
        <v>435</v>
      </c>
      <c r="E39" s="570"/>
      <c r="F39" s="570"/>
      <c r="G39" s="571"/>
      <c r="H39" s="303"/>
      <c r="I39" s="303"/>
      <c r="J39" s="303"/>
      <c r="K39" s="303"/>
      <c r="L39" s="303"/>
      <c r="M39" s="303"/>
    </row>
    <row r="40" spans="2:13" ht="45.75" thickBot="1">
      <c r="B40" s="303"/>
      <c r="C40" s="408" t="s">
        <v>436</v>
      </c>
      <c r="D40" s="575" t="s">
        <v>74</v>
      </c>
      <c r="E40" s="576"/>
      <c r="F40" s="395" t="s">
        <v>75</v>
      </c>
      <c r="G40" s="396" t="s">
        <v>77</v>
      </c>
      <c r="H40" s="303"/>
      <c r="I40" s="303"/>
      <c r="J40" s="303"/>
      <c r="K40" s="303"/>
      <c r="L40" s="303"/>
      <c r="M40" s="303"/>
    </row>
    <row r="41" spans="2:13" ht="15.75" thickBot="1">
      <c r="B41" s="303"/>
      <c r="C41" s="409"/>
      <c r="D41" s="401">
        <v>1</v>
      </c>
      <c r="E41" s="398">
        <v>2</v>
      </c>
      <c r="F41" s="381"/>
      <c r="G41" s="381"/>
      <c r="H41" s="303"/>
      <c r="I41" s="303"/>
      <c r="J41" s="303"/>
      <c r="K41" s="303"/>
      <c r="L41" s="303"/>
      <c r="M41" s="303"/>
    </row>
    <row r="42" spans="2:13" ht="15">
      <c r="B42" s="303"/>
      <c r="C42" s="399" t="s">
        <v>64</v>
      </c>
      <c r="D42" s="380">
        <v>1</v>
      </c>
      <c r="E42" s="379">
        <v>1</v>
      </c>
      <c r="F42" s="381">
        <v>2</v>
      </c>
      <c r="G42" s="381">
        <v>0.5</v>
      </c>
      <c r="H42" s="303"/>
      <c r="I42" s="303"/>
      <c r="J42" s="303"/>
      <c r="K42" s="303"/>
      <c r="L42" s="303"/>
      <c r="M42" s="303"/>
    </row>
    <row r="43" spans="2:13" ht="15">
      <c r="B43" s="303"/>
      <c r="C43" s="399" t="s">
        <v>70</v>
      </c>
      <c r="D43" s="380">
        <v>1</v>
      </c>
      <c r="E43" s="379">
        <v>1</v>
      </c>
      <c r="F43" s="381">
        <v>2</v>
      </c>
      <c r="G43" s="381">
        <v>0.5</v>
      </c>
      <c r="H43" s="303"/>
      <c r="I43" s="303"/>
      <c r="J43" s="303"/>
      <c r="K43" s="303"/>
      <c r="L43" s="303"/>
      <c r="M43" s="303"/>
    </row>
    <row r="44" spans="2:13" ht="15.75" thickBot="1">
      <c r="B44" s="303"/>
      <c r="C44" s="399"/>
      <c r="D44" s="380"/>
      <c r="E44" s="379"/>
      <c r="F44" s="381"/>
      <c r="G44" s="381"/>
      <c r="H44" s="303"/>
      <c r="I44" s="303"/>
      <c r="J44" s="303"/>
      <c r="K44" s="303"/>
      <c r="L44" s="303"/>
      <c r="M44" s="303"/>
    </row>
    <row r="45" spans="2:13" ht="15.75" thickBot="1">
      <c r="B45" s="303"/>
      <c r="C45" s="405" t="s">
        <v>386</v>
      </c>
      <c r="D45" s="406"/>
      <c r="E45" s="410" t="s">
        <v>55</v>
      </c>
      <c r="F45" s="411">
        <v>4</v>
      </c>
      <c r="G45" s="411">
        <v>1</v>
      </c>
      <c r="H45" s="303"/>
      <c r="I45" s="303"/>
      <c r="J45" s="303"/>
      <c r="K45" s="303"/>
      <c r="L45" s="303"/>
      <c r="M45" s="303"/>
    </row>
    <row r="46" spans="2:13" ht="15"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</row>
    <row r="47" spans="2:13" ht="15"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</row>
    <row r="48" spans="2:13" ht="15"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</row>
    <row r="49" spans="2:13" ht="15.75" thickBot="1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</row>
    <row r="50" spans="2:13" ht="15.75" thickBot="1">
      <c r="B50" s="303"/>
      <c r="C50" s="407" t="s">
        <v>76</v>
      </c>
      <c r="D50" s="569" t="s">
        <v>437</v>
      </c>
      <c r="E50" s="570"/>
      <c r="F50" s="570"/>
      <c r="G50" s="571"/>
      <c r="H50" s="303"/>
      <c r="I50" s="303"/>
      <c r="J50" s="303"/>
      <c r="K50" s="303"/>
      <c r="L50" s="303"/>
      <c r="M50" s="303"/>
    </row>
    <row r="51" spans="2:13" ht="45.75" thickBot="1">
      <c r="B51" s="303"/>
      <c r="C51" s="408" t="s">
        <v>436</v>
      </c>
      <c r="D51" s="575" t="s">
        <v>74</v>
      </c>
      <c r="E51" s="576"/>
      <c r="F51" s="395" t="s">
        <v>75</v>
      </c>
      <c r="G51" s="396" t="s">
        <v>78</v>
      </c>
      <c r="H51" s="303"/>
      <c r="I51" s="303"/>
      <c r="J51" s="303"/>
      <c r="K51" s="303"/>
      <c r="L51" s="303"/>
      <c r="M51" s="303"/>
    </row>
    <row r="52" spans="2:13" ht="15.75" thickBot="1">
      <c r="B52" s="303"/>
      <c r="C52" s="409"/>
      <c r="D52" s="401">
        <v>1</v>
      </c>
      <c r="E52" s="398">
        <v>2</v>
      </c>
      <c r="F52" s="381"/>
      <c r="G52" s="381"/>
      <c r="H52" s="303"/>
      <c r="I52" s="303"/>
      <c r="J52" s="303"/>
      <c r="K52" s="303"/>
      <c r="L52" s="303"/>
      <c r="M52" s="303"/>
    </row>
    <row r="53" spans="2:13" ht="15">
      <c r="B53" s="303"/>
      <c r="C53" s="399" t="s">
        <v>64</v>
      </c>
      <c r="D53" s="380">
        <v>1</v>
      </c>
      <c r="E53" s="379">
        <v>1</v>
      </c>
      <c r="F53" s="381">
        <v>2</v>
      </c>
      <c r="G53" s="381">
        <v>0.666666667</v>
      </c>
      <c r="H53" s="303"/>
      <c r="I53" s="303"/>
      <c r="J53" s="303"/>
      <c r="K53" s="303"/>
      <c r="L53" s="303"/>
      <c r="M53" s="303"/>
    </row>
    <row r="54" spans="2:13" ht="15">
      <c r="B54" s="303"/>
      <c r="C54" s="399" t="s">
        <v>70</v>
      </c>
      <c r="D54" s="380"/>
      <c r="E54" s="379">
        <v>1</v>
      </c>
      <c r="F54" s="381">
        <v>1</v>
      </c>
      <c r="G54" s="381">
        <v>0.333333333</v>
      </c>
      <c r="H54" s="303"/>
      <c r="I54" s="303"/>
      <c r="J54" s="303"/>
      <c r="K54" s="303"/>
      <c r="L54" s="303"/>
      <c r="M54" s="303"/>
    </row>
    <row r="55" spans="2:13" ht="15.75" thickBot="1">
      <c r="B55" s="303"/>
      <c r="C55" s="400"/>
      <c r="D55" s="401"/>
      <c r="E55" s="379"/>
      <c r="F55" s="381"/>
      <c r="G55" s="381"/>
      <c r="H55" s="303"/>
      <c r="I55" s="303"/>
      <c r="J55" s="303"/>
      <c r="K55" s="303"/>
      <c r="L55" s="303"/>
      <c r="M55" s="303"/>
    </row>
    <row r="56" spans="2:13" ht="15.75" thickBot="1">
      <c r="B56" s="303"/>
      <c r="C56" s="412" t="s">
        <v>386</v>
      </c>
      <c r="D56" s="388"/>
      <c r="E56" s="410" t="s">
        <v>55</v>
      </c>
      <c r="F56" s="411">
        <v>3</v>
      </c>
      <c r="G56" s="411">
        <v>1</v>
      </c>
      <c r="H56" s="303"/>
      <c r="I56" s="303"/>
      <c r="J56" s="303"/>
      <c r="K56" s="303"/>
      <c r="L56" s="303"/>
      <c r="M56" s="303"/>
    </row>
    <row r="57" spans="2:13" ht="15"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</row>
    <row r="58" spans="2:13" ht="15"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</row>
    <row r="59" spans="2:13" ht="15.75" thickBot="1"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</row>
    <row r="60" spans="2:13" ht="15.75" thickBot="1">
      <c r="B60" s="303"/>
      <c r="C60" s="407" t="s">
        <v>76</v>
      </c>
      <c r="D60" s="569" t="s">
        <v>438</v>
      </c>
      <c r="E60" s="570"/>
      <c r="F60" s="570"/>
      <c r="G60" s="571"/>
      <c r="H60" s="303"/>
      <c r="I60" s="303"/>
      <c r="J60" s="303"/>
      <c r="K60" s="303"/>
      <c r="L60" s="303"/>
      <c r="M60" s="303"/>
    </row>
    <row r="61" spans="2:13" ht="45.75" thickBot="1">
      <c r="B61" s="303"/>
      <c r="C61" s="408" t="s">
        <v>436</v>
      </c>
      <c r="D61" s="575" t="s">
        <v>74</v>
      </c>
      <c r="E61" s="576"/>
      <c r="F61" s="395" t="s">
        <v>75</v>
      </c>
      <c r="G61" s="396" t="s">
        <v>78</v>
      </c>
      <c r="H61" s="303"/>
      <c r="I61" s="303"/>
      <c r="J61" s="303"/>
      <c r="K61" s="303"/>
      <c r="L61" s="303"/>
      <c r="M61" s="303"/>
    </row>
    <row r="62" spans="2:13" ht="15.75" thickBot="1">
      <c r="B62" s="303"/>
      <c r="C62" s="409"/>
      <c r="D62" s="401">
        <v>1</v>
      </c>
      <c r="E62" s="398">
        <v>2</v>
      </c>
      <c r="F62" s="381"/>
      <c r="G62" s="381"/>
      <c r="H62" s="303"/>
      <c r="I62" s="303"/>
      <c r="J62" s="303"/>
      <c r="K62" s="303"/>
      <c r="L62" s="303"/>
      <c r="M62" s="303"/>
    </row>
    <row r="63" spans="2:13" ht="15">
      <c r="B63" s="303"/>
      <c r="C63" s="399" t="s">
        <v>64</v>
      </c>
      <c r="D63" s="380">
        <v>1</v>
      </c>
      <c r="E63" s="379">
        <v>0</v>
      </c>
      <c r="F63" s="381">
        <v>1</v>
      </c>
      <c r="G63" s="381">
        <v>0.333333333</v>
      </c>
      <c r="H63" s="303"/>
      <c r="I63" s="303"/>
      <c r="J63" s="303"/>
      <c r="K63" s="303"/>
      <c r="L63" s="303"/>
      <c r="M63" s="303"/>
    </row>
    <row r="64" spans="2:13" ht="15">
      <c r="B64" s="303"/>
      <c r="C64" s="399" t="s">
        <v>70</v>
      </c>
      <c r="D64" s="380">
        <v>1</v>
      </c>
      <c r="E64" s="379">
        <v>1</v>
      </c>
      <c r="F64" s="381">
        <v>2</v>
      </c>
      <c r="G64" s="381">
        <v>0.666666667</v>
      </c>
      <c r="H64" s="303"/>
      <c r="I64" s="303"/>
      <c r="J64" s="303"/>
      <c r="K64" s="303"/>
      <c r="L64" s="303"/>
      <c r="M64" s="303"/>
    </row>
    <row r="65" spans="2:13" ht="15.75" thickBot="1">
      <c r="B65" s="303"/>
      <c r="C65" s="400"/>
      <c r="D65" s="401"/>
      <c r="E65" s="379"/>
      <c r="F65" s="381"/>
      <c r="G65" s="381"/>
      <c r="H65" s="303"/>
      <c r="I65" s="303"/>
      <c r="J65" s="303"/>
      <c r="K65" s="303"/>
      <c r="L65" s="303"/>
      <c r="M65" s="303"/>
    </row>
    <row r="66" spans="2:13" ht="15.75" thickBot="1">
      <c r="B66" s="303"/>
      <c r="C66" s="412" t="s">
        <v>386</v>
      </c>
      <c r="D66" s="388"/>
      <c r="E66" s="410" t="s">
        <v>55</v>
      </c>
      <c r="F66" s="411">
        <v>3</v>
      </c>
      <c r="G66" s="411">
        <v>1</v>
      </c>
      <c r="H66" s="303"/>
      <c r="I66" s="303"/>
      <c r="J66" s="303"/>
      <c r="K66" s="303"/>
      <c r="L66" s="303"/>
      <c r="M66" s="303"/>
    </row>
    <row r="67" spans="2:13" ht="15"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2:13" ht="15"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  <row r="69" spans="2:13" ht="15.75" thickBot="1"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2:13" ht="15.75" thickBot="1">
      <c r="B70" s="303"/>
      <c r="C70" s="569" t="s">
        <v>439</v>
      </c>
      <c r="D70" s="570"/>
      <c r="E70" s="570"/>
      <c r="F70" s="571"/>
      <c r="G70" s="303"/>
      <c r="H70" s="303"/>
      <c r="I70" s="303"/>
      <c r="J70" s="303"/>
      <c r="K70" s="303"/>
      <c r="L70" s="303"/>
      <c r="M70" s="303"/>
    </row>
    <row r="71" spans="2:13" ht="15.75" thickBot="1">
      <c r="B71" s="303"/>
      <c r="C71" s="394" t="s">
        <v>71</v>
      </c>
      <c r="D71" s="575" t="s">
        <v>79</v>
      </c>
      <c r="E71" s="576"/>
      <c r="F71" s="396" t="s">
        <v>433</v>
      </c>
      <c r="G71" s="303"/>
      <c r="H71" s="303"/>
      <c r="I71" s="303"/>
      <c r="J71" s="303"/>
      <c r="K71" s="303"/>
      <c r="L71" s="303"/>
      <c r="M71" s="303"/>
    </row>
    <row r="72" spans="2:13" ht="15.75" thickBot="1">
      <c r="B72" s="303"/>
      <c r="C72" s="378"/>
      <c r="D72" s="374" t="s">
        <v>64</v>
      </c>
      <c r="E72" s="408" t="s">
        <v>70</v>
      </c>
      <c r="F72" s="381"/>
      <c r="G72" s="303"/>
      <c r="H72" s="303"/>
      <c r="I72" s="303"/>
      <c r="J72" s="303"/>
      <c r="K72" s="303"/>
      <c r="L72" s="303"/>
      <c r="M72" s="303"/>
    </row>
    <row r="73" spans="2:13" ht="15">
      <c r="B73" s="303"/>
      <c r="C73" s="399" t="s">
        <v>72</v>
      </c>
      <c r="D73" s="380">
        <v>0.5</v>
      </c>
      <c r="E73" s="379">
        <v>0.5</v>
      </c>
      <c r="F73" s="381">
        <v>0.5</v>
      </c>
      <c r="G73" s="303"/>
      <c r="H73" s="303"/>
      <c r="I73" s="303"/>
      <c r="J73" s="303"/>
      <c r="K73" s="303"/>
      <c r="L73" s="303"/>
      <c r="M73" s="303"/>
    </row>
    <row r="74" spans="2:13" ht="15">
      <c r="B74" s="303"/>
      <c r="C74" s="399" t="s">
        <v>434</v>
      </c>
      <c r="D74" s="380">
        <v>0.66</v>
      </c>
      <c r="E74" s="379">
        <v>0.33</v>
      </c>
      <c r="F74" s="381">
        <v>0.5</v>
      </c>
      <c r="G74" s="303"/>
      <c r="H74" s="303"/>
      <c r="I74" s="303"/>
      <c r="J74" s="303"/>
      <c r="K74" s="303"/>
      <c r="L74" s="303"/>
      <c r="M74" s="303"/>
    </row>
    <row r="75" spans="2:13" ht="15.75" thickBot="1">
      <c r="B75" s="303"/>
      <c r="C75" s="399" t="s">
        <v>73</v>
      </c>
      <c r="D75" s="380">
        <v>0.33</v>
      </c>
      <c r="E75" s="379">
        <v>0.66</v>
      </c>
      <c r="F75" s="381">
        <v>0</v>
      </c>
      <c r="G75" s="303"/>
      <c r="H75" s="303"/>
      <c r="I75" s="303"/>
      <c r="J75" s="303"/>
      <c r="K75" s="303"/>
      <c r="L75" s="303"/>
      <c r="M75" s="303"/>
    </row>
    <row r="76" spans="2:13" ht="15.75" thickBot="1">
      <c r="B76" s="303"/>
      <c r="C76" s="405" t="s">
        <v>386</v>
      </c>
      <c r="D76" s="413"/>
      <c r="E76" s="413"/>
      <c r="F76" s="414"/>
      <c r="G76" s="303"/>
      <c r="H76" s="303"/>
      <c r="I76" s="303"/>
      <c r="J76" s="303"/>
      <c r="K76" s="303"/>
      <c r="L76" s="303"/>
      <c r="M76" s="303"/>
    </row>
    <row r="77" spans="2:13" ht="15">
      <c r="B77" s="303"/>
      <c r="C77" s="124"/>
      <c r="D77" s="415"/>
      <c r="E77" s="415"/>
      <c r="F77" s="415"/>
      <c r="G77" s="303"/>
      <c r="H77" s="303"/>
      <c r="I77" s="303"/>
      <c r="J77" s="303"/>
      <c r="K77" s="303"/>
      <c r="L77" s="303"/>
      <c r="M77" s="303"/>
    </row>
    <row r="78" spans="2:13" ht="15.75" thickBot="1"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</row>
    <row r="79" spans="2:13" ht="15.75" thickBot="1">
      <c r="B79" s="303"/>
      <c r="C79" s="577" t="s">
        <v>440</v>
      </c>
      <c r="D79" s="578"/>
      <c r="E79" s="303"/>
      <c r="F79" s="303"/>
      <c r="G79" s="303"/>
      <c r="H79" s="303"/>
      <c r="I79" s="303"/>
      <c r="J79" s="303"/>
      <c r="K79" s="303"/>
      <c r="L79" s="303"/>
      <c r="M79" s="303"/>
    </row>
    <row r="80" spans="2:13" ht="15.75" thickBot="1">
      <c r="B80" s="303"/>
      <c r="C80" s="416" t="s">
        <v>80</v>
      </c>
      <c r="D80" s="417" t="s">
        <v>81</v>
      </c>
      <c r="E80" s="303"/>
      <c r="F80" s="303"/>
      <c r="G80" s="303"/>
      <c r="H80" s="303"/>
      <c r="I80" s="303"/>
      <c r="J80" s="303"/>
      <c r="K80" s="303"/>
      <c r="L80" s="303"/>
      <c r="M80" s="303"/>
    </row>
    <row r="81" spans="2:13" ht="15">
      <c r="B81" s="303"/>
      <c r="C81" s="418">
        <v>0.25</v>
      </c>
      <c r="D81" s="419">
        <v>0.25</v>
      </c>
      <c r="E81" s="303"/>
      <c r="F81" s="303"/>
      <c r="G81" s="303"/>
      <c r="H81" s="303"/>
      <c r="I81" s="303"/>
      <c r="J81" s="303"/>
      <c r="K81" s="303"/>
      <c r="L81" s="303"/>
      <c r="M81" s="303"/>
    </row>
    <row r="82" spans="2:13" ht="15.75" thickBot="1">
      <c r="B82" s="303"/>
      <c r="C82" s="418">
        <v>0.16</v>
      </c>
      <c r="D82" s="419">
        <v>0</v>
      </c>
      <c r="E82" s="303"/>
      <c r="F82" s="303"/>
      <c r="G82" s="303"/>
      <c r="H82" s="303"/>
      <c r="I82" s="303"/>
      <c r="J82" s="303"/>
      <c r="K82" s="303"/>
      <c r="L82" s="303"/>
      <c r="M82" s="303"/>
    </row>
    <row r="83" spans="2:13" ht="15.75" thickBot="1">
      <c r="B83" s="303"/>
      <c r="C83" s="420">
        <f>+C81+C82</f>
        <v>0.41000000000000003</v>
      </c>
      <c r="D83" s="421">
        <f>+D81+D82</f>
        <v>0.25</v>
      </c>
      <c r="E83" s="303"/>
      <c r="F83" s="303"/>
      <c r="G83" s="303"/>
      <c r="H83" s="303"/>
      <c r="I83" s="303"/>
      <c r="J83" s="303"/>
      <c r="K83" s="303"/>
      <c r="L83" s="303"/>
      <c r="M83" s="303"/>
    </row>
    <row r="84" spans="2:13" ht="15.75" thickBot="1">
      <c r="B84" s="303"/>
      <c r="C84" s="579" t="s">
        <v>441</v>
      </c>
      <c r="D84" s="580"/>
      <c r="E84" s="303"/>
      <c r="F84" s="303"/>
      <c r="G84" s="303"/>
      <c r="H84" s="303"/>
      <c r="I84" s="303"/>
      <c r="J84" s="303"/>
      <c r="K84" s="303"/>
      <c r="L84" s="303"/>
      <c r="M84" s="303"/>
    </row>
    <row r="85" spans="2:13" ht="15.75" thickBot="1">
      <c r="B85" s="303"/>
      <c r="C85" s="303"/>
      <c r="D85" s="303"/>
      <c r="E85" s="303"/>
      <c r="F85" s="303"/>
      <c r="G85" s="303"/>
      <c r="H85" s="303"/>
      <c r="I85" s="303">
        <f>+(1-0.75)</f>
        <v>0.25</v>
      </c>
      <c r="J85" s="303"/>
      <c r="K85" s="303"/>
      <c r="L85" s="303"/>
      <c r="M85" s="303"/>
    </row>
    <row r="86" spans="2:13" ht="15.75" thickBot="1">
      <c r="B86" s="303"/>
      <c r="C86" s="569" t="s">
        <v>442</v>
      </c>
      <c r="D86" s="570"/>
      <c r="E86" s="570"/>
      <c r="F86" s="570"/>
      <c r="G86" s="570"/>
      <c r="H86" s="571"/>
      <c r="I86" s="303"/>
      <c r="J86" s="303"/>
      <c r="K86" s="303"/>
      <c r="L86" s="303"/>
      <c r="M86" s="303"/>
    </row>
    <row r="87" spans="2:13" ht="15.75" thickBot="1">
      <c r="B87" s="303"/>
      <c r="C87" s="422" t="s">
        <v>430</v>
      </c>
      <c r="D87" s="385" t="s">
        <v>82</v>
      </c>
      <c r="E87" s="423" t="s">
        <v>83</v>
      </c>
      <c r="F87" s="385" t="s">
        <v>84</v>
      </c>
      <c r="G87" s="424" t="s">
        <v>85</v>
      </c>
      <c r="H87" s="425" t="s">
        <v>86</v>
      </c>
      <c r="I87" s="303"/>
      <c r="J87" s="303"/>
      <c r="K87" s="303"/>
      <c r="L87" s="303"/>
      <c r="M87" s="303"/>
    </row>
    <row r="88" spans="2:13" ht="15">
      <c r="B88" s="303"/>
      <c r="C88" s="378" t="s">
        <v>64</v>
      </c>
      <c r="D88" s="426">
        <v>0.5</v>
      </c>
      <c r="E88" s="380">
        <v>0.41</v>
      </c>
      <c r="F88" s="427">
        <v>0.5</v>
      </c>
      <c r="G88" s="428">
        <v>0.44799</v>
      </c>
      <c r="H88" s="429">
        <v>0.48</v>
      </c>
      <c r="I88" s="303"/>
      <c r="J88" s="303"/>
      <c r="K88" s="303"/>
      <c r="L88" s="303"/>
      <c r="M88" s="303"/>
    </row>
    <row r="89" spans="2:13" ht="15.75" thickBot="1">
      <c r="B89" s="303"/>
      <c r="C89" s="387" t="s">
        <v>65</v>
      </c>
      <c r="D89" s="430">
        <v>0.5</v>
      </c>
      <c r="E89" s="401">
        <v>0.25</v>
      </c>
      <c r="F89" s="431">
        <v>0.5</v>
      </c>
      <c r="G89" s="432">
        <v>0.44799</v>
      </c>
      <c r="H89" s="433">
        <v>0.48</v>
      </c>
      <c r="I89" s="303"/>
      <c r="J89" s="303"/>
      <c r="K89" s="303"/>
      <c r="L89" s="303"/>
      <c r="M89" s="303"/>
    </row>
    <row r="90" spans="2:13" ht="15.75" thickBot="1">
      <c r="B90" s="303"/>
      <c r="C90" s="412" t="s">
        <v>386</v>
      </c>
      <c r="D90" s="388"/>
      <c r="E90" s="388"/>
      <c r="F90" s="388"/>
      <c r="G90" s="388"/>
      <c r="H90" s="389"/>
      <c r="I90" s="303"/>
      <c r="J90" s="303"/>
      <c r="K90" s="303"/>
      <c r="L90" s="303"/>
      <c r="M90" s="303"/>
    </row>
    <row r="91" spans="2:13" ht="15"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</row>
    <row r="92" spans="2:13" ht="15"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</row>
    <row r="93" spans="2:13" ht="15">
      <c r="B93" s="303"/>
      <c r="C93" s="434"/>
      <c r="D93" s="435" t="s">
        <v>443</v>
      </c>
      <c r="E93" s="434"/>
      <c r="F93" s="434"/>
      <c r="G93" s="434"/>
      <c r="H93" s="434"/>
      <c r="I93" s="434"/>
      <c r="J93" s="434"/>
      <c r="K93" s="303"/>
      <c r="L93" s="303"/>
      <c r="M93" s="303"/>
    </row>
    <row r="94" spans="2:13" ht="15">
      <c r="B94" s="303"/>
      <c r="C94" s="434"/>
      <c r="D94" s="434"/>
      <c r="E94" s="434"/>
      <c r="F94" s="434"/>
      <c r="G94" s="434"/>
      <c r="H94" s="436" t="s">
        <v>444</v>
      </c>
      <c r="I94" s="437">
        <v>0.15</v>
      </c>
      <c r="J94" s="434"/>
      <c r="K94" s="303"/>
      <c r="L94" s="303"/>
      <c r="M94" s="303"/>
    </row>
    <row r="95" spans="2:13" ht="15.75" thickBot="1">
      <c r="B95" s="303"/>
      <c r="C95" s="434"/>
      <c r="D95" s="435" t="s">
        <v>445</v>
      </c>
      <c r="E95" s="434"/>
      <c r="F95" s="434"/>
      <c r="G95" s="434"/>
      <c r="H95" s="434"/>
      <c r="I95" s="434"/>
      <c r="J95" s="434"/>
      <c r="K95" s="303"/>
      <c r="L95" s="303"/>
      <c r="M95" s="303"/>
    </row>
    <row r="96" spans="2:13" ht="15.75" thickBot="1">
      <c r="B96" s="303"/>
      <c r="C96" s="434"/>
      <c r="D96" s="572" t="s">
        <v>446</v>
      </c>
      <c r="E96" s="573"/>
      <c r="F96" s="573"/>
      <c r="G96" s="573"/>
      <c r="H96" s="573"/>
      <c r="I96" s="574"/>
      <c r="J96" s="434"/>
      <c r="K96" s="303"/>
      <c r="L96" s="303"/>
      <c r="M96" s="303"/>
    </row>
    <row r="97" spans="2:13" ht="15">
      <c r="B97" s="303"/>
      <c r="C97" s="434"/>
      <c r="D97" s="438" t="s">
        <v>447</v>
      </c>
      <c r="E97" s="438">
        <v>1</v>
      </c>
      <c r="F97" s="438">
        <v>2</v>
      </c>
      <c r="G97" s="438">
        <v>3</v>
      </c>
      <c r="H97" s="438">
        <v>4</v>
      </c>
      <c r="I97" s="438">
        <v>5</v>
      </c>
      <c r="J97" s="434"/>
      <c r="K97" s="303"/>
      <c r="L97" s="303"/>
      <c r="M97" s="303"/>
    </row>
    <row r="98" spans="2:13" ht="15">
      <c r="B98" s="303"/>
      <c r="C98" s="434"/>
      <c r="D98" s="439" t="s">
        <v>448</v>
      </c>
      <c r="E98" s="440">
        <v>150</v>
      </c>
      <c r="F98" s="440">
        <f>E98*(1.2)</f>
        <v>180</v>
      </c>
      <c r="G98" s="440">
        <f>F98*(1.2)</f>
        <v>216</v>
      </c>
      <c r="H98" s="441">
        <f>G98*(1.2)</f>
        <v>259.2</v>
      </c>
      <c r="I98" s="441">
        <f>H98*(1.2)</f>
        <v>311.03999999999996</v>
      </c>
      <c r="J98" s="434"/>
      <c r="K98" s="303"/>
      <c r="L98" s="303"/>
      <c r="M98" s="303"/>
    </row>
    <row r="99" spans="2:13" ht="15">
      <c r="B99" s="303"/>
      <c r="C99" s="434"/>
      <c r="D99" s="439" t="s">
        <v>449</v>
      </c>
      <c r="E99" s="440">
        <f>E98*250</f>
        <v>37500</v>
      </c>
      <c r="F99" s="440">
        <f>F98*250</f>
        <v>45000</v>
      </c>
      <c r="G99" s="440">
        <f>G98*250</f>
        <v>54000</v>
      </c>
      <c r="H99" s="440">
        <f>H98*250</f>
        <v>64800</v>
      </c>
      <c r="I99" s="440">
        <f>I98*250</f>
        <v>77759.99999999999</v>
      </c>
      <c r="J99" s="434"/>
      <c r="K99" s="303"/>
      <c r="L99" s="303"/>
      <c r="M99" s="303"/>
    </row>
    <row r="100" spans="2:13" ht="15">
      <c r="B100" s="303"/>
      <c r="C100" s="434"/>
      <c r="D100" s="434"/>
      <c r="E100" s="434"/>
      <c r="F100" s="434"/>
      <c r="G100" s="434"/>
      <c r="H100" s="434"/>
      <c r="I100" s="434"/>
      <c r="J100" s="434"/>
      <c r="K100" s="303"/>
      <c r="L100" s="303"/>
      <c r="M100" s="303"/>
    </row>
    <row r="101" spans="2:13" ht="15">
      <c r="B101" s="303"/>
      <c r="C101" s="434"/>
      <c r="D101" s="442" t="s">
        <v>450</v>
      </c>
      <c r="E101" s="442" t="s">
        <v>451</v>
      </c>
      <c r="F101" s="442" t="s">
        <v>452</v>
      </c>
      <c r="G101" s="442" t="s">
        <v>453</v>
      </c>
      <c r="H101" s="442" t="s">
        <v>454</v>
      </c>
      <c r="I101" s="434"/>
      <c r="J101" s="434"/>
      <c r="K101" s="303"/>
      <c r="L101" s="303"/>
      <c r="M101" s="303"/>
    </row>
    <row r="102" spans="2:13" ht="15">
      <c r="B102" s="303"/>
      <c r="C102" s="434"/>
      <c r="D102" s="443" t="s">
        <v>80</v>
      </c>
      <c r="E102" s="440" t="s">
        <v>455</v>
      </c>
      <c r="F102" s="444">
        <v>35000</v>
      </c>
      <c r="G102" s="445">
        <v>0.15</v>
      </c>
      <c r="H102" s="444">
        <f>'[1]Hoja2'!P120</f>
        <v>0</v>
      </c>
      <c r="I102" s="446"/>
      <c r="J102" s="434"/>
      <c r="K102" s="303"/>
      <c r="L102" s="303"/>
      <c r="M102" s="303"/>
    </row>
    <row r="103" spans="2:13" ht="15">
      <c r="B103" s="303"/>
      <c r="C103" s="434"/>
      <c r="D103" s="443" t="s">
        <v>81</v>
      </c>
      <c r="E103" s="440" t="s">
        <v>456</v>
      </c>
      <c r="F103" s="444">
        <v>40000</v>
      </c>
      <c r="G103" s="445">
        <v>0.25</v>
      </c>
      <c r="H103" s="444">
        <v>25500</v>
      </c>
      <c r="I103" s="446"/>
      <c r="J103" s="434"/>
      <c r="K103" s="303"/>
      <c r="L103" s="303"/>
      <c r="M103" s="303"/>
    </row>
    <row r="104" spans="2:13" ht="15">
      <c r="B104" s="303"/>
      <c r="C104" s="434"/>
      <c r="D104" s="443" t="s">
        <v>457</v>
      </c>
      <c r="E104" s="440" t="s">
        <v>458</v>
      </c>
      <c r="F104" s="444">
        <v>45000</v>
      </c>
      <c r="G104" s="445">
        <v>0.27</v>
      </c>
      <c r="H104" s="444">
        <v>45000</v>
      </c>
      <c r="I104" s="446"/>
      <c r="J104" s="434"/>
      <c r="K104" s="303"/>
      <c r="L104" s="303"/>
      <c r="M104" s="303"/>
    </row>
    <row r="105" spans="2:13" ht="15">
      <c r="B105" s="303"/>
      <c r="C105" s="434"/>
      <c r="D105" s="434"/>
      <c r="E105" s="434"/>
      <c r="F105" s="434"/>
      <c r="G105" s="434"/>
      <c r="H105" s="434"/>
      <c r="I105" s="434"/>
      <c r="J105" s="434"/>
      <c r="K105" s="303"/>
      <c r="L105" s="303"/>
      <c r="M105" s="303"/>
    </row>
    <row r="106" spans="2:13" ht="15">
      <c r="B106" s="303"/>
      <c r="C106" s="434"/>
      <c r="D106" s="447" t="s">
        <v>459</v>
      </c>
      <c r="E106" s="448">
        <v>3.5</v>
      </c>
      <c r="F106" s="434"/>
      <c r="G106" s="434"/>
      <c r="H106" s="434"/>
      <c r="I106" s="434"/>
      <c r="J106" s="434"/>
      <c r="K106" s="303"/>
      <c r="L106" s="303"/>
      <c r="M106" s="303"/>
    </row>
    <row r="107" spans="2:13" ht="15">
      <c r="B107" s="303"/>
      <c r="C107" s="434"/>
      <c r="D107" s="434"/>
      <c r="E107" s="434"/>
      <c r="F107" s="434"/>
      <c r="G107" s="434"/>
      <c r="H107" s="434"/>
      <c r="I107" s="434"/>
      <c r="J107" s="434"/>
      <c r="K107" s="303"/>
      <c r="L107" s="303"/>
      <c r="M107" s="303"/>
    </row>
    <row r="108" spans="2:13" ht="15.75" thickBot="1">
      <c r="B108" s="303"/>
      <c r="C108" s="434"/>
      <c r="D108" s="449"/>
      <c r="E108" s="449"/>
      <c r="F108" s="450" t="s">
        <v>460</v>
      </c>
      <c r="G108" s="451"/>
      <c r="H108" s="449"/>
      <c r="I108" s="449"/>
      <c r="J108" s="449"/>
      <c r="K108" s="303"/>
      <c r="L108" s="303"/>
      <c r="M108" s="303"/>
    </row>
    <row r="109" spans="2:13" ht="15.75" thickBot="1">
      <c r="B109" s="303"/>
      <c r="C109" s="434"/>
      <c r="D109" s="452" t="s">
        <v>447</v>
      </c>
      <c r="E109" s="453" t="s">
        <v>461</v>
      </c>
      <c r="F109" s="453" t="s">
        <v>462</v>
      </c>
      <c r="G109" s="453" t="s">
        <v>463</v>
      </c>
      <c r="H109" s="453" t="s">
        <v>464</v>
      </c>
      <c r="I109" s="453" t="s">
        <v>465</v>
      </c>
      <c r="J109" s="453" t="s">
        <v>466</v>
      </c>
      <c r="K109" s="303"/>
      <c r="L109" s="303"/>
      <c r="M109" s="303"/>
    </row>
    <row r="110" spans="2:13" ht="15.75" thickBot="1">
      <c r="B110" s="303"/>
      <c r="C110" s="434"/>
      <c r="D110" s="454">
        <v>1</v>
      </c>
      <c r="E110" s="455">
        <v>37500</v>
      </c>
      <c r="F110" s="455" t="s">
        <v>467</v>
      </c>
      <c r="G110" s="455" t="s">
        <v>468</v>
      </c>
      <c r="H110" s="455" t="s">
        <v>469</v>
      </c>
      <c r="I110" s="455" t="s">
        <v>470</v>
      </c>
      <c r="J110" s="455" t="s">
        <v>471</v>
      </c>
      <c r="K110" s="303"/>
      <c r="L110" s="303"/>
      <c r="M110" s="303"/>
    </row>
    <row r="111" spans="2:13" ht="15.75" thickBot="1">
      <c r="B111" s="303"/>
      <c r="C111" s="434"/>
      <c r="D111" s="454">
        <v>2</v>
      </c>
      <c r="E111" s="455">
        <v>45000</v>
      </c>
      <c r="F111" s="455" t="s">
        <v>472</v>
      </c>
      <c r="G111" s="455" t="s">
        <v>468</v>
      </c>
      <c r="H111" s="455" t="s">
        <v>473</v>
      </c>
      <c r="I111" s="455" t="s">
        <v>474</v>
      </c>
      <c r="J111" s="455" t="s">
        <v>475</v>
      </c>
      <c r="K111" s="303"/>
      <c r="L111" s="303"/>
      <c r="M111" s="303"/>
    </row>
    <row r="112" spans="2:13" ht="15.75" thickBot="1">
      <c r="B112" s="303"/>
      <c r="C112" s="434"/>
      <c r="D112" s="454">
        <v>3</v>
      </c>
      <c r="E112" s="455">
        <v>54000</v>
      </c>
      <c r="F112" s="455" t="s">
        <v>476</v>
      </c>
      <c r="G112" s="455" t="s">
        <v>468</v>
      </c>
      <c r="H112" s="455" t="s">
        <v>477</v>
      </c>
      <c r="I112" s="455" t="s">
        <v>478</v>
      </c>
      <c r="J112" s="455" t="s">
        <v>479</v>
      </c>
      <c r="K112" s="303"/>
      <c r="L112" s="303"/>
      <c r="M112" s="303"/>
    </row>
    <row r="113" spans="2:13" ht="15.75" thickBot="1">
      <c r="B113" s="303"/>
      <c r="C113" s="434"/>
      <c r="D113" s="454">
        <v>4</v>
      </c>
      <c r="E113" s="455">
        <v>64800</v>
      </c>
      <c r="F113" s="455" t="s">
        <v>480</v>
      </c>
      <c r="G113" s="455" t="s">
        <v>468</v>
      </c>
      <c r="H113" s="455" t="s">
        <v>481</v>
      </c>
      <c r="I113" s="455" t="s">
        <v>482</v>
      </c>
      <c r="J113" s="455" t="s">
        <v>483</v>
      </c>
      <c r="K113" s="303"/>
      <c r="L113" s="303"/>
      <c r="M113" s="303"/>
    </row>
    <row r="114" spans="2:13" ht="15.75" thickBot="1">
      <c r="B114" s="303"/>
      <c r="C114" s="434"/>
      <c r="D114" s="454">
        <v>5</v>
      </c>
      <c r="E114" s="455">
        <v>77760</v>
      </c>
      <c r="F114" s="455" t="s">
        <v>484</v>
      </c>
      <c r="G114" s="455" t="s">
        <v>468</v>
      </c>
      <c r="H114" s="455" t="s">
        <v>485</v>
      </c>
      <c r="I114" s="455" t="s">
        <v>486</v>
      </c>
      <c r="J114" s="455" t="s">
        <v>487</v>
      </c>
      <c r="K114" s="303"/>
      <c r="L114" s="303"/>
      <c r="M114" s="303"/>
    </row>
    <row r="115" spans="2:13" ht="15.75" thickBot="1">
      <c r="B115" s="303"/>
      <c r="C115" s="434"/>
      <c r="D115" s="456"/>
      <c r="E115" s="449"/>
      <c r="F115" s="449"/>
      <c r="G115" s="449"/>
      <c r="H115" s="449"/>
      <c r="I115" s="449"/>
      <c r="J115" s="449"/>
      <c r="K115" s="303"/>
      <c r="L115" s="303"/>
      <c r="M115" s="303"/>
    </row>
    <row r="116" spans="2:13" ht="15.75" thickBot="1">
      <c r="B116" s="303"/>
      <c r="C116" s="434"/>
      <c r="D116" s="456"/>
      <c r="E116" s="457" t="s">
        <v>488</v>
      </c>
      <c r="F116" s="458" t="s">
        <v>489</v>
      </c>
      <c r="G116" s="449"/>
      <c r="H116" s="449"/>
      <c r="I116" s="449"/>
      <c r="J116" s="449"/>
      <c r="K116" s="303"/>
      <c r="L116" s="303"/>
      <c r="M116" s="303"/>
    </row>
    <row r="117" spans="2:13" ht="15">
      <c r="B117" s="303"/>
      <c r="C117" s="434"/>
      <c r="D117" s="456"/>
      <c r="E117" s="449"/>
      <c r="F117" s="449"/>
      <c r="G117" s="449"/>
      <c r="H117" s="449"/>
      <c r="I117" s="449"/>
      <c r="J117" s="449"/>
      <c r="K117" s="303"/>
      <c r="L117" s="303"/>
      <c r="M117" s="303"/>
    </row>
    <row r="118" spans="2:13" ht="15.75" thickBot="1">
      <c r="B118" s="303"/>
      <c r="C118" s="434"/>
      <c r="D118" s="449"/>
      <c r="E118" s="449"/>
      <c r="F118" s="450" t="s">
        <v>490</v>
      </c>
      <c r="G118" s="451"/>
      <c r="H118" s="449"/>
      <c r="I118" s="449"/>
      <c r="J118" s="449"/>
      <c r="K118" s="303"/>
      <c r="L118" s="303"/>
      <c r="M118" s="303"/>
    </row>
    <row r="119" spans="2:13" ht="15.75" thickBot="1">
      <c r="B119" s="303"/>
      <c r="C119" s="434"/>
      <c r="D119" s="452" t="s">
        <v>447</v>
      </c>
      <c r="E119" s="453" t="s">
        <v>461</v>
      </c>
      <c r="F119" s="453" t="s">
        <v>462</v>
      </c>
      <c r="G119" s="453" t="s">
        <v>463</v>
      </c>
      <c r="H119" s="453" t="s">
        <v>464</v>
      </c>
      <c r="I119" s="453" t="s">
        <v>465</v>
      </c>
      <c r="J119" s="453" t="s">
        <v>466</v>
      </c>
      <c r="K119" s="303"/>
      <c r="L119" s="303"/>
      <c r="M119" s="303"/>
    </row>
    <row r="120" spans="2:13" ht="15.75" thickBot="1">
      <c r="B120" s="303"/>
      <c r="C120" s="434"/>
      <c r="D120" s="454">
        <v>1</v>
      </c>
      <c r="E120" s="455">
        <v>37500</v>
      </c>
      <c r="F120" s="455" t="s">
        <v>467</v>
      </c>
      <c r="G120" s="455" t="s">
        <v>491</v>
      </c>
      <c r="H120" s="455" t="s">
        <v>492</v>
      </c>
      <c r="I120" s="455" t="s">
        <v>493</v>
      </c>
      <c r="J120" s="455" t="s">
        <v>494</v>
      </c>
      <c r="K120" s="303"/>
      <c r="L120" s="303"/>
      <c r="M120" s="303"/>
    </row>
    <row r="121" spans="2:13" ht="15.75" thickBot="1">
      <c r="B121" s="303"/>
      <c r="C121" s="434"/>
      <c r="D121" s="454">
        <v>2</v>
      </c>
      <c r="E121" s="455">
        <v>45000</v>
      </c>
      <c r="F121" s="455" t="s">
        <v>472</v>
      </c>
      <c r="G121" s="455" t="s">
        <v>491</v>
      </c>
      <c r="H121" s="455" t="s">
        <v>495</v>
      </c>
      <c r="I121" s="455" t="s">
        <v>496</v>
      </c>
      <c r="J121" s="455" t="s">
        <v>497</v>
      </c>
      <c r="K121" s="303"/>
      <c r="L121" s="303"/>
      <c r="M121" s="303"/>
    </row>
    <row r="122" spans="2:13" ht="15.75" thickBot="1">
      <c r="B122" s="303"/>
      <c r="C122" s="434"/>
      <c r="D122" s="454">
        <v>3</v>
      </c>
      <c r="E122" s="455">
        <v>54000</v>
      </c>
      <c r="F122" s="455" t="s">
        <v>476</v>
      </c>
      <c r="G122" s="455" t="s">
        <v>491</v>
      </c>
      <c r="H122" s="455" t="s">
        <v>498</v>
      </c>
      <c r="I122" s="455" t="s">
        <v>499</v>
      </c>
      <c r="J122" s="455" t="s">
        <v>500</v>
      </c>
      <c r="K122" s="303"/>
      <c r="L122" s="303"/>
      <c r="M122" s="303"/>
    </row>
    <row r="123" spans="2:13" ht="15.75" thickBot="1">
      <c r="B123" s="303"/>
      <c r="C123" s="434"/>
      <c r="D123" s="454">
        <v>4</v>
      </c>
      <c r="E123" s="455">
        <v>64800</v>
      </c>
      <c r="F123" s="455" t="s">
        <v>480</v>
      </c>
      <c r="G123" s="455" t="s">
        <v>491</v>
      </c>
      <c r="H123" s="455" t="s">
        <v>501</v>
      </c>
      <c r="I123" s="455" t="s">
        <v>502</v>
      </c>
      <c r="J123" s="455" t="s">
        <v>503</v>
      </c>
      <c r="K123" s="303"/>
      <c r="L123" s="303"/>
      <c r="M123" s="303"/>
    </row>
    <row r="124" spans="2:13" ht="15.75" thickBot="1">
      <c r="B124" s="303"/>
      <c r="C124" s="434"/>
      <c r="D124" s="454">
        <v>5</v>
      </c>
      <c r="E124" s="455">
        <v>77760</v>
      </c>
      <c r="F124" s="455" t="s">
        <v>484</v>
      </c>
      <c r="G124" s="455" t="s">
        <v>491</v>
      </c>
      <c r="H124" s="455" t="s">
        <v>504</v>
      </c>
      <c r="I124" s="455" t="s">
        <v>505</v>
      </c>
      <c r="J124" s="455" t="s">
        <v>506</v>
      </c>
      <c r="K124" s="303"/>
      <c r="L124" s="303"/>
      <c r="M124" s="303"/>
    </row>
    <row r="125" spans="2:13" ht="15.75" thickBot="1">
      <c r="B125" s="303"/>
      <c r="C125" s="434"/>
      <c r="D125" s="456"/>
      <c r="E125" s="449"/>
      <c r="F125" s="449"/>
      <c r="G125" s="449"/>
      <c r="H125" s="449"/>
      <c r="I125" s="449"/>
      <c r="J125" s="449"/>
      <c r="K125" s="303"/>
      <c r="L125" s="303"/>
      <c r="M125" s="303"/>
    </row>
    <row r="126" spans="2:13" ht="15.75" thickBot="1">
      <c r="B126" s="303"/>
      <c r="C126" s="434"/>
      <c r="D126" s="456"/>
      <c r="E126" s="457" t="s">
        <v>488</v>
      </c>
      <c r="F126" s="458" t="s">
        <v>507</v>
      </c>
      <c r="G126" s="449"/>
      <c r="H126" s="449"/>
      <c r="I126" s="449"/>
      <c r="J126" s="449"/>
      <c r="K126" s="303"/>
      <c r="L126" s="303"/>
      <c r="M126" s="303"/>
    </row>
    <row r="127" spans="2:13" ht="15">
      <c r="B127" s="303"/>
      <c r="C127" s="434"/>
      <c r="D127" s="456"/>
      <c r="E127" s="449"/>
      <c r="F127" s="449"/>
      <c r="G127" s="449"/>
      <c r="H127" s="449"/>
      <c r="I127" s="449"/>
      <c r="J127" s="449"/>
      <c r="K127" s="303"/>
      <c r="L127" s="303"/>
      <c r="M127" s="303"/>
    </row>
    <row r="128" spans="2:13" ht="15.75" thickBot="1">
      <c r="B128" s="303"/>
      <c r="C128" s="434"/>
      <c r="D128" s="449"/>
      <c r="E128" s="449"/>
      <c r="F128" s="459" t="s">
        <v>508</v>
      </c>
      <c r="G128" s="451"/>
      <c r="H128" s="449"/>
      <c r="I128" s="449"/>
      <c r="J128" s="449"/>
      <c r="K128" s="303"/>
      <c r="L128" s="303"/>
      <c r="M128" s="303"/>
    </row>
    <row r="129" spans="2:13" ht="15.75" thickBot="1">
      <c r="B129" s="303"/>
      <c r="C129" s="434"/>
      <c r="D129" s="452" t="s">
        <v>447</v>
      </c>
      <c r="E129" s="453" t="s">
        <v>461</v>
      </c>
      <c r="F129" s="453" t="s">
        <v>462</v>
      </c>
      <c r="G129" s="453" t="s">
        <v>463</v>
      </c>
      <c r="H129" s="453" t="s">
        <v>464</v>
      </c>
      <c r="I129" s="453" t="s">
        <v>465</v>
      </c>
      <c r="J129" s="453" t="s">
        <v>466</v>
      </c>
      <c r="K129" s="303"/>
      <c r="L129" s="303"/>
      <c r="M129" s="303"/>
    </row>
    <row r="130" spans="2:13" ht="15.75" thickBot="1">
      <c r="B130" s="303"/>
      <c r="C130" s="434"/>
      <c r="D130" s="454">
        <v>1</v>
      </c>
      <c r="E130" s="455">
        <v>37500</v>
      </c>
      <c r="F130" s="455" t="s">
        <v>467</v>
      </c>
      <c r="G130" s="455" t="s">
        <v>509</v>
      </c>
      <c r="H130" s="455" t="s">
        <v>510</v>
      </c>
      <c r="I130" s="455" t="s">
        <v>511</v>
      </c>
      <c r="J130" s="455" t="s">
        <v>512</v>
      </c>
      <c r="K130" s="303"/>
      <c r="L130" s="303"/>
      <c r="M130" s="303"/>
    </row>
    <row r="131" spans="2:13" ht="15.75" thickBot="1">
      <c r="B131" s="303"/>
      <c r="C131" s="434"/>
      <c r="D131" s="454">
        <v>2</v>
      </c>
      <c r="E131" s="455">
        <v>45000</v>
      </c>
      <c r="F131" s="455" t="s">
        <v>472</v>
      </c>
      <c r="G131" s="455" t="s">
        <v>509</v>
      </c>
      <c r="H131" s="455" t="s">
        <v>513</v>
      </c>
      <c r="I131" s="455" t="s">
        <v>514</v>
      </c>
      <c r="J131" s="455" t="s">
        <v>515</v>
      </c>
      <c r="K131" s="303"/>
      <c r="L131" s="303"/>
      <c r="M131" s="303"/>
    </row>
    <row r="132" spans="2:13" ht="15.75" thickBot="1">
      <c r="B132" s="303"/>
      <c r="C132" s="434"/>
      <c r="D132" s="454">
        <v>3</v>
      </c>
      <c r="E132" s="455">
        <v>54000</v>
      </c>
      <c r="F132" s="455" t="s">
        <v>476</v>
      </c>
      <c r="G132" s="455" t="s">
        <v>509</v>
      </c>
      <c r="H132" s="455" t="s">
        <v>516</v>
      </c>
      <c r="I132" s="455" t="s">
        <v>517</v>
      </c>
      <c r="J132" s="455" t="s">
        <v>518</v>
      </c>
      <c r="K132" s="303"/>
      <c r="L132" s="303"/>
      <c r="M132" s="303"/>
    </row>
    <row r="133" spans="2:13" ht="15.75" thickBot="1">
      <c r="B133" s="303"/>
      <c r="C133" s="434"/>
      <c r="D133" s="454">
        <v>4</v>
      </c>
      <c r="E133" s="455">
        <v>64800</v>
      </c>
      <c r="F133" s="455" t="s">
        <v>480</v>
      </c>
      <c r="G133" s="455" t="s">
        <v>509</v>
      </c>
      <c r="H133" s="455" t="s">
        <v>519</v>
      </c>
      <c r="I133" s="455" t="s">
        <v>520</v>
      </c>
      <c r="J133" s="455" t="s">
        <v>521</v>
      </c>
      <c r="K133" s="303"/>
      <c r="L133" s="303"/>
      <c r="M133" s="303"/>
    </row>
    <row r="134" spans="2:13" ht="15.75" thickBot="1">
      <c r="B134" s="303"/>
      <c r="C134" s="434"/>
      <c r="D134" s="454">
        <v>5</v>
      </c>
      <c r="E134" s="455">
        <v>77760</v>
      </c>
      <c r="F134" s="455" t="s">
        <v>484</v>
      </c>
      <c r="G134" s="455" t="s">
        <v>509</v>
      </c>
      <c r="H134" s="455" t="s">
        <v>522</v>
      </c>
      <c r="I134" s="455" t="s">
        <v>523</v>
      </c>
      <c r="J134" s="455" t="s">
        <v>524</v>
      </c>
      <c r="K134" s="303"/>
      <c r="L134" s="303"/>
      <c r="M134" s="303"/>
    </row>
    <row r="135" spans="2:13" ht="15.75" thickBot="1">
      <c r="B135" s="303"/>
      <c r="C135" s="434"/>
      <c r="D135" s="456"/>
      <c r="E135" s="449"/>
      <c r="F135" s="449"/>
      <c r="G135" s="449"/>
      <c r="H135" s="449"/>
      <c r="I135" s="449"/>
      <c r="J135" s="449"/>
      <c r="K135" s="303"/>
      <c r="L135" s="303"/>
      <c r="M135" s="303"/>
    </row>
    <row r="136" spans="2:13" ht="15.75" thickBot="1">
      <c r="B136" s="303"/>
      <c r="C136" s="434"/>
      <c r="D136" s="456"/>
      <c r="E136" s="457" t="s">
        <v>488</v>
      </c>
      <c r="F136" s="458" t="s">
        <v>525</v>
      </c>
      <c r="G136" s="449"/>
      <c r="H136" s="449"/>
      <c r="I136" s="449"/>
      <c r="J136" s="449"/>
      <c r="K136" s="303"/>
      <c r="L136" s="303"/>
      <c r="M136" s="303"/>
    </row>
    <row r="137" spans="2:13" ht="15">
      <c r="B137" s="303"/>
      <c r="C137" s="434"/>
      <c r="D137" s="434"/>
      <c r="E137" s="434"/>
      <c r="F137" s="434"/>
      <c r="G137" s="434"/>
      <c r="H137" s="434"/>
      <c r="I137" s="434"/>
      <c r="J137" s="434"/>
      <c r="K137" s="303"/>
      <c r="L137" s="303"/>
      <c r="M137" s="303"/>
    </row>
    <row r="138" spans="2:13" ht="15">
      <c r="B138" s="303"/>
      <c r="C138" s="434"/>
      <c r="D138" s="434"/>
      <c r="E138" s="434"/>
      <c r="F138" s="434"/>
      <c r="G138" s="434"/>
      <c r="H138" s="434"/>
      <c r="I138" s="434"/>
      <c r="J138" s="434"/>
      <c r="K138" s="303"/>
      <c r="L138" s="303"/>
      <c r="M138" s="303"/>
    </row>
    <row r="139" spans="2:13" ht="15">
      <c r="B139" s="303"/>
      <c r="C139" s="434"/>
      <c r="D139" s="434"/>
      <c r="E139" s="434"/>
      <c r="F139" s="434"/>
      <c r="G139" s="434"/>
      <c r="H139" s="434"/>
      <c r="I139" s="434"/>
      <c r="J139" s="434"/>
      <c r="K139" s="303"/>
      <c r="L139" s="303"/>
      <c r="M139" s="303"/>
    </row>
    <row r="140" spans="2:13" ht="15">
      <c r="B140" s="303"/>
      <c r="C140" s="434"/>
      <c r="D140" s="434"/>
      <c r="E140" s="434"/>
      <c r="F140" s="434"/>
      <c r="G140" s="434"/>
      <c r="H140" s="434"/>
      <c r="I140" s="434"/>
      <c r="J140" s="434"/>
      <c r="K140" s="303"/>
      <c r="L140" s="303"/>
      <c r="M140" s="303"/>
    </row>
    <row r="141" spans="2:13" ht="15">
      <c r="B141" s="303"/>
      <c r="C141" s="434"/>
      <c r="D141" s="434"/>
      <c r="E141" s="434"/>
      <c r="F141" s="434"/>
      <c r="G141" s="434"/>
      <c r="H141" s="434"/>
      <c r="I141" s="434"/>
      <c r="J141" s="434"/>
      <c r="K141" s="303"/>
      <c r="L141" s="303"/>
      <c r="M141" s="303"/>
    </row>
    <row r="142" spans="2:13" ht="15">
      <c r="B142" s="303"/>
      <c r="C142" s="434"/>
      <c r="D142" s="434"/>
      <c r="E142" s="434"/>
      <c r="F142" s="434"/>
      <c r="G142" s="434"/>
      <c r="H142" s="434"/>
      <c r="I142" s="434"/>
      <c r="J142" s="434"/>
      <c r="K142" s="303"/>
      <c r="L142" s="303"/>
      <c r="M142" s="303"/>
    </row>
    <row r="143" spans="2:13" ht="15">
      <c r="B143" s="303"/>
      <c r="C143" s="434"/>
      <c r="D143" s="434"/>
      <c r="E143" s="434"/>
      <c r="F143" s="434"/>
      <c r="G143" s="434"/>
      <c r="H143" s="434"/>
      <c r="I143" s="434"/>
      <c r="J143" s="434"/>
      <c r="K143" s="303"/>
      <c r="L143" s="303"/>
      <c r="M143" s="303"/>
    </row>
    <row r="144" spans="2:13" ht="15">
      <c r="B144" s="303"/>
      <c r="C144" s="434"/>
      <c r="D144" s="434"/>
      <c r="E144" s="434"/>
      <c r="F144" s="434"/>
      <c r="G144" s="434"/>
      <c r="H144" s="434"/>
      <c r="I144" s="434"/>
      <c r="J144" s="434"/>
      <c r="K144" s="303"/>
      <c r="L144" s="303"/>
      <c r="M144" s="303"/>
    </row>
    <row r="145" spans="2:13" ht="15">
      <c r="B145" s="303"/>
      <c r="C145" s="434"/>
      <c r="D145" s="434"/>
      <c r="E145" s="434"/>
      <c r="F145" s="434"/>
      <c r="G145" s="434"/>
      <c r="H145" s="434"/>
      <c r="I145" s="434"/>
      <c r="J145" s="434"/>
      <c r="K145" s="303"/>
      <c r="L145" s="303"/>
      <c r="M145" s="303"/>
    </row>
  </sheetData>
  <sheetProtection/>
  <mergeCells count="22">
    <mergeCell ref="C4:J4"/>
    <mergeCell ref="C5:C6"/>
    <mergeCell ref="D5:D6"/>
    <mergeCell ref="E5:F5"/>
    <mergeCell ref="G5:H5"/>
    <mergeCell ref="D39:G39"/>
    <mergeCell ref="D40:E40"/>
    <mergeCell ref="D50:G50"/>
    <mergeCell ref="D51:E51"/>
    <mergeCell ref="D60:G60"/>
    <mergeCell ref="I5:J5"/>
    <mergeCell ref="C16:I16"/>
    <mergeCell ref="C24:E24"/>
    <mergeCell ref="C29:G29"/>
    <mergeCell ref="D30:E30"/>
    <mergeCell ref="C86:H86"/>
    <mergeCell ref="D96:I96"/>
    <mergeCell ref="D61:E61"/>
    <mergeCell ref="C70:F70"/>
    <mergeCell ref="D71:E71"/>
    <mergeCell ref="C79:D79"/>
    <mergeCell ref="C84:D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5BEB"/>
  </sheetPr>
  <dimension ref="A3:O72"/>
  <sheetViews>
    <sheetView zoomScalePageLayoutView="0" workbookViewId="0" topLeftCell="G37">
      <selection activeCell="I60" sqref="I60:M67"/>
    </sheetView>
  </sheetViews>
  <sheetFormatPr defaultColWidth="11.421875" defaultRowHeight="15"/>
  <cols>
    <col min="2" max="2" width="44.7109375" style="0" customWidth="1"/>
    <col min="3" max="3" width="12.00390625" style="0" customWidth="1"/>
    <col min="4" max="4" width="21.57421875" style="0" hidden="1" customWidth="1"/>
    <col min="5" max="5" width="11.57421875" style="0" customWidth="1"/>
    <col min="6" max="6" width="12.00390625" style="0" customWidth="1"/>
    <col min="7" max="7" width="11.7109375" style="0" customWidth="1"/>
    <col min="8" max="8" width="12.7109375" style="0" customWidth="1"/>
    <col min="9" max="9" width="32.00390625" style="0" customWidth="1"/>
    <col min="10" max="10" width="15.57421875" style="0" customWidth="1"/>
    <col min="11" max="11" width="14.140625" style="0" customWidth="1"/>
    <col min="12" max="12" width="12.00390625" style="0" bestFit="1" customWidth="1"/>
    <col min="13" max="13" width="35.28125" style="0" customWidth="1"/>
    <col min="14" max="14" width="15.8515625" style="0" customWidth="1"/>
    <col min="15" max="15" width="14.140625" style="0" customWidth="1"/>
  </cols>
  <sheetData>
    <row r="1" ht="15" hidden="1"/>
    <row r="2" ht="15" hidden="1"/>
    <row r="3" ht="15" hidden="1">
      <c r="K3" s="65">
        <v>34560</v>
      </c>
    </row>
    <row r="4" ht="15.75" hidden="1" thickBot="1"/>
    <row r="5" spans="2:10" ht="15" hidden="1">
      <c r="B5" s="589" t="s">
        <v>180</v>
      </c>
      <c r="C5" s="590"/>
      <c r="D5" s="590"/>
      <c r="E5" s="590"/>
      <c r="F5" s="590"/>
      <c r="G5" s="590"/>
      <c r="H5" s="590"/>
      <c r="I5" s="590"/>
      <c r="J5" s="591"/>
    </row>
    <row r="6" spans="2:10" ht="15.75" hidden="1" thickBot="1">
      <c r="B6" s="592" t="s">
        <v>164</v>
      </c>
      <c r="C6" s="593"/>
      <c r="D6" s="593"/>
      <c r="E6" s="593"/>
      <c r="F6" s="593"/>
      <c r="G6" s="593"/>
      <c r="H6" s="593"/>
      <c r="I6" s="593"/>
      <c r="J6" s="594"/>
    </row>
    <row r="7" spans="2:10" ht="15.75" hidden="1" thickBot="1">
      <c r="B7" s="68" t="s">
        <v>181</v>
      </c>
      <c r="C7" s="68"/>
      <c r="D7" s="68"/>
      <c r="E7" s="63"/>
      <c r="F7" s="69"/>
      <c r="G7" s="70"/>
      <c r="H7" s="71"/>
      <c r="I7" s="70"/>
      <c r="J7" s="71"/>
    </row>
    <row r="8" spans="2:10" ht="15.75" hidden="1" thickBot="1">
      <c r="B8" s="72" t="s">
        <v>113</v>
      </c>
      <c r="C8" s="57"/>
      <c r="D8" s="57"/>
      <c r="E8" s="57" t="s">
        <v>53</v>
      </c>
      <c r="F8" s="57">
        <v>2011</v>
      </c>
      <c r="G8" s="73">
        <v>2012</v>
      </c>
      <c r="H8" s="55">
        <v>2013</v>
      </c>
      <c r="I8" s="73">
        <v>2014</v>
      </c>
      <c r="J8" s="55">
        <v>2015</v>
      </c>
    </row>
    <row r="9" spans="2:10" ht="15" hidden="1">
      <c r="B9" s="58" t="s">
        <v>187</v>
      </c>
      <c r="C9" s="58"/>
      <c r="D9" s="58"/>
      <c r="E9" s="63"/>
      <c r="F9" s="74"/>
      <c r="H9" s="63"/>
      <c r="J9" s="63"/>
    </row>
    <row r="10" spans="2:10" ht="15" hidden="1">
      <c r="B10" s="58" t="s">
        <v>182</v>
      </c>
      <c r="C10" s="58"/>
      <c r="D10" s="58"/>
      <c r="E10" s="75">
        <v>6</v>
      </c>
      <c r="F10" s="76">
        <v>10800</v>
      </c>
      <c r="G10" s="77">
        <v>10800</v>
      </c>
      <c r="H10" s="78">
        <v>10800</v>
      </c>
      <c r="I10" s="77">
        <v>10800</v>
      </c>
      <c r="J10" s="78">
        <v>10800</v>
      </c>
    </row>
    <row r="11" spans="2:10" ht="15" hidden="1">
      <c r="B11" s="58" t="s">
        <v>30</v>
      </c>
      <c r="C11" s="58"/>
      <c r="D11" s="58"/>
      <c r="E11" s="75">
        <v>9</v>
      </c>
      <c r="F11" s="76">
        <v>34560</v>
      </c>
      <c r="G11" s="77">
        <v>34560</v>
      </c>
      <c r="H11" s="78">
        <v>34560</v>
      </c>
      <c r="I11" s="77">
        <v>34560</v>
      </c>
      <c r="J11" s="78">
        <v>34560</v>
      </c>
    </row>
    <row r="12" spans="2:10" ht="15.75" hidden="1" thickBot="1">
      <c r="B12" s="58" t="s">
        <v>31</v>
      </c>
      <c r="C12" s="58"/>
      <c r="D12" s="58"/>
      <c r="E12" s="75">
        <v>5</v>
      </c>
      <c r="F12" s="76">
        <v>1250</v>
      </c>
      <c r="G12" s="77">
        <v>1250</v>
      </c>
      <c r="H12" s="78">
        <v>1250</v>
      </c>
      <c r="I12" s="77">
        <v>1250</v>
      </c>
      <c r="J12" s="78">
        <v>1250</v>
      </c>
    </row>
    <row r="13" spans="2:10" ht="15.75" hidden="1" thickBot="1">
      <c r="B13" s="79" t="s">
        <v>183</v>
      </c>
      <c r="C13" s="79"/>
      <c r="D13" s="79"/>
      <c r="E13" s="80">
        <v>20</v>
      </c>
      <c r="F13" s="81">
        <v>46610</v>
      </c>
      <c r="G13" s="82">
        <v>46610</v>
      </c>
      <c r="H13" s="83">
        <v>46610</v>
      </c>
      <c r="I13" s="82">
        <v>46610</v>
      </c>
      <c r="J13" s="83">
        <v>46610</v>
      </c>
    </row>
    <row r="14" spans="2:10" ht="15.75" hidden="1" thickBot="1">
      <c r="B14" s="84" t="s">
        <v>184</v>
      </c>
      <c r="C14" s="99"/>
      <c r="D14" s="99"/>
      <c r="E14" s="85"/>
      <c r="F14" s="85"/>
      <c r="G14" s="85"/>
      <c r="H14" s="85"/>
      <c r="I14" s="85"/>
      <c r="J14" s="74"/>
    </row>
    <row r="15" spans="2:10" ht="15.75" hidden="1" thickBot="1">
      <c r="B15" s="61" t="s">
        <v>113</v>
      </c>
      <c r="C15" s="88"/>
      <c r="D15" s="88"/>
      <c r="E15" s="73" t="s">
        <v>53</v>
      </c>
      <c r="F15" s="73">
        <v>2011</v>
      </c>
      <c r="G15" s="73">
        <v>2012</v>
      </c>
      <c r="H15" s="73">
        <v>2013</v>
      </c>
      <c r="I15" s="73">
        <v>2014</v>
      </c>
      <c r="J15" s="57">
        <v>2015</v>
      </c>
    </row>
    <row r="16" spans="2:10" ht="15" hidden="1">
      <c r="B16" s="58" t="s">
        <v>187</v>
      </c>
      <c r="C16" s="58"/>
      <c r="D16" s="58"/>
      <c r="E16" s="63"/>
      <c r="F16" s="74"/>
      <c r="G16" s="74"/>
      <c r="I16" s="63"/>
      <c r="J16" s="74"/>
    </row>
    <row r="17" spans="2:10" ht="15" hidden="1">
      <c r="B17" s="58" t="s">
        <v>91</v>
      </c>
      <c r="C17" s="58"/>
      <c r="D17" s="58"/>
      <c r="E17" s="75">
        <v>1</v>
      </c>
      <c r="F17" s="59">
        <v>7800</v>
      </c>
      <c r="G17" s="59">
        <v>7800</v>
      </c>
      <c r="H17" s="86">
        <v>7800</v>
      </c>
      <c r="I17" s="75">
        <v>7800</v>
      </c>
      <c r="J17" s="59">
        <v>7800</v>
      </c>
    </row>
    <row r="18" spans="2:10" ht="15" hidden="1">
      <c r="B18" s="58" t="s">
        <v>185</v>
      </c>
      <c r="C18" s="58"/>
      <c r="D18" s="58"/>
      <c r="E18" s="75">
        <v>1</v>
      </c>
      <c r="F18" s="59">
        <v>2160</v>
      </c>
      <c r="G18" s="59">
        <v>2160</v>
      </c>
      <c r="H18" s="86">
        <v>2160</v>
      </c>
      <c r="I18" s="75">
        <v>2160</v>
      </c>
      <c r="J18" s="59">
        <v>2160</v>
      </c>
    </row>
    <row r="19" spans="2:10" ht="15.75" hidden="1" thickBot="1">
      <c r="B19" s="62" t="s">
        <v>186</v>
      </c>
      <c r="C19" s="62"/>
      <c r="D19" s="62"/>
      <c r="E19" s="75">
        <v>2</v>
      </c>
      <c r="F19" s="59">
        <v>9960</v>
      </c>
      <c r="G19" s="59">
        <v>9960</v>
      </c>
      <c r="H19" s="86">
        <v>9960</v>
      </c>
      <c r="I19" s="75">
        <v>9960</v>
      </c>
      <c r="J19" s="59">
        <v>9960</v>
      </c>
    </row>
    <row r="20" spans="2:10" ht="15.75" hidden="1" thickBot="1">
      <c r="B20" s="79" t="s">
        <v>188</v>
      </c>
      <c r="C20" s="79"/>
      <c r="D20" s="79"/>
      <c r="E20" s="87"/>
      <c r="F20" s="81">
        <v>56570</v>
      </c>
      <c r="G20" s="81">
        <v>56570</v>
      </c>
      <c r="H20" s="82">
        <v>56570</v>
      </c>
      <c r="I20" s="83">
        <v>56570</v>
      </c>
      <c r="J20" s="81">
        <v>56570</v>
      </c>
    </row>
    <row r="21" ht="15" hidden="1"/>
    <row r="22" ht="15.75" thickBot="1">
      <c r="J22" s="67"/>
    </row>
    <row r="23" spans="9:11" ht="15.75" thickBot="1">
      <c r="I23" s="595" t="s">
        <v>526</v>
      </c>
      <c r="J23" s="596"/>
      <c r="K23" s="597"/>
    </row>
    <row r="24" spans="2:11" ht="15.75" thickBot="1">
      <c r="B24" s="535" t="s">
        <v>200</v>
      </c>
      <c r="C24" s="536"/>
      <c r="D24" s="536"/>
      <c r="E24" s="536"/>
      <c r="F24" s="537"/>
      <c r="I24" s="374" t="s">
        <v>201</v>
      </c>
      <c r="J24" s="408" t="s">
        <v>202</v>
      </c>
      <c r="K24" s="396" t="s">
        <v>199</v>
      </c>
    </row>
    <row r="25" spans="2:12" ht="15.75" thickBot="1">
      <c r="B25" s="538" t="s">
        <v>96</v>
      </c>
      <c r="C25" s="539"/>
      <c r="D25" s="539"/>
      <c r="E25" s="539"/>
      <c r="F25" s="540"/>
      <c r="I25" s="378" t="s">
        <v>194</v>
      </c>
      <c r="J25" s="379" t="s">
        <v>527</v>
      </c>
      <c r="K25" s="381" t="s">
        <v>528</v>
      </c>
      <c r="L25" s="115"/>
    </row>
    <row r="26" spans="2:12" ht="15.75" thickBot="1">
      <c r="B26" s="106" t="s">
        <v>201</v>
      </c>
      <c r="C26" s="107" t="s">
        <v>53</v>
      </c>
      <c r="D26" s="104" t="s">
        <v>216</v>
      </c>
      <c r="E26" s="106" t="s">
        <v>202</v>
      </c>
      <c r="F26" s="107" t="s">
        <v>199</v>
      </c>
      <c r="I26" s="378" t="s">
        <v>206</v>
      </c>
      <c r="J26" s="379" t="s">
        <v>529</v>
      </c>
      <c r="K26" s="381" t="s">
        <v>530</v>
      </c>
      <c r="L26" s="115"/>
    </row>
    <row r="27" spans="2:12" ht="15.75" thickBot="1">
      <c r="B27" s="102" t="s">
        <v>203</v>
      </c>
      <c r="C27" s="105"/>
      <c r="D27" s="53"/>
      <c r="E27" s="17"/>
      <c r="F27" s="105"/>
      <c r="I27" s="378" t="s">
        <v>531</v>
      </c>
      <c r="J27" s="379" t="s">
        <v>532</v>
      </c>
      <c r="K27" s="381" t="s">
        <v>533</v>
      </c>
      <c r="L27" s="115"/>
    </row>
    <row r="28" spans="2:13" ht="15.75" thickBot="1">
      <c r="B28" s="17"/>
      <c r="C28" s="105"/>
      <c r="D28" s="53"/>
      <c r="E28" s="17"/>
      <c r="F28" s="105"/>
      <c r="I28" s="382" t="s">
        <v>534</v>
      </c>
      <c r="J28" s="385" t="s">
        <v>535</v>
      </c>
      <c r="K28" s="386" t="s">
        <v>536</v>
      </c>
      <c r="M28" s="148"/>
    </row>
    <row r="29" spans="2:11" ht="15.75" thickBot="1">
      <c r="B29" s="109" t="s">
        <v>204</v>
      </c>
      <c r="C29" s="46">
        <v>1</v>
      </c>
      <c r="D29" s="45">
        <v>1</v>
      </c>
      <c r="E29" s="116">
        <v>650</v>
      </c>
      <c r="F29" s="118">
        <f>+E29*12</f>
        <v>7800</v>
      </c>
      <c r="I29" s="387" t="s">
        <v>386</v>
      </c>
      <c r="J29" s="388"/>
      <c r="K29" s="389"/>
    </row>
    <row r="30" spans="2:15" ht="15.75" thickBot="1">
      <c r="B30" s="109" t="s">
        <v>205</v>
      </c>
      <c r="C30" s="46">
        <v>1</v>
      </c>
      <c r="D30" s="45">
        <v>1</v>
      </c>
      <c r="E30" s="116">
        <v>250</v>
      </c>
      <c r="F30" s="118">
        <f>+E30*12</f>
        <v>3000</v>
      </c>
      <c r="M30" s="67"/>
      <c r="N30" s="67"/>
      <c r="O30" s="67"/>
    </row>
    <row r="31" spans="2:15" ht="15.75" thickBot="1">
      <c r="B31" s="109" t="s">
        <v>212</v>
      </c>
      <c r="C31" s="46">
        <v>1</v>
      </c>
      <c r="D31" s="45">
        <v>1</v>
      </c>
      <c r="E31" s="116">
        <v>200</v>
      </c>
      <c r="F31" s="118">
        <f>+E31*12</f>
        <v>2400</v>
      </c>
      <c r="I31" s="595" t="s">
        <v>537</v>
      </c>
      <c r="J31" s="596"/>
      <c r="K31" s="597"/>
      <c r="M31" s="612"/>
      <c r="N31" s="612"/>
      <c r="O31" s="612"/>
    </row>
    <row r="32" spans="2:15" ht="15.75" thickBot="1">
      <c r="B32" s="17" t="s">
        <v>225</v>
      </c>
      <c r="C32" s="46">
        <v>1</v>
      </c>
      <c r="D32" s="45">
        <v>1</v>
      </c>
      <c r="E32" s="116">
        <v>30</v>
      </c>
      <c r="F32" s="118">
        <f>+E32*12</f>
        <v>360</v>
      </c>
      <c r="I32" s="374" t="s">
        <v>201</v>
      </c>
      <c r="J32" s="408" t="s">
        <v>202</v>
      </c>
      <c r="K32" s="396" t="s">
        <v>199</v>
      </c>
      <c r="M32" s="120"/>
      <c r="N32" s="120"/>
      <c r="O32" s="120"/>
    </row>
    <row r="33" spans="2:15" ht="18" customHeight="1">
      <c r="B33" s="17" t="s">
        <v>217</v>
      </c>
      <c r="C33" s="110">
        <v>1</v>
      </c>
      <c r="D33" s="45">
        <v>1</v>
      </c>
      <c r="E33" s="116">
        <v>100</v>
      </c>
      <c r="F33" s="118">
        <f>+E33*12</f>
        <v>1200</v>
      </c>
      <c r="I33" s="378" t="s">
        <v>225</v>
      </c>
      <c r="J33" s="460" t="s">
        <v>527</v>
      </c>
      <c r="K33" s="379" t="s">
        <v>528</v>
      </c>
      <c r="M33" s="121"/>
      <c r="N33" s="122"/>
      <c r="O33" s="122"/>
    </row>
    <row r="34" spans="2:15" ht="31.5" customHeight="1" thickBot="1">
      <c r="B34" s="108" t="s">
        <v>206</v>
      </c>
      <c r="C34" s="110">
        <v>1</v>
      </c>
      <c r="D34" s="45">
        <v>0.5</v>
      </c>
      <c r="E34" s="116">
        <v>25</v>
      </c>
      <c r="F34" s="118">
        <f>+E34*D34*12</f>
        <v>150</v>
      </c>
      <c r="I34" s="461" t="s">
        <v>217</v>
      </c>
      <c r="J34" s="397" t="s">
        <v>538</v>
      </c>
      <c r="K34" s="379" t="s">
        <v>539</v>
      </c>
      <c r="M34" s="123"/>
      <c r="N34" s="122"/>
      <c r="O34" s="122"/>
    </row>
    <row r="35" spans="2:15" ht="30.75" thickBot="1">
      <c r="B35" s="17" t="s">
        <v>194</v>
      </c>
      <c r="C35" s="46">
        <v>1</v>
      </c>
      <c r="D35" s="45">
        <v>0.5</v>
      </c>
      <c r="E35" s="116">
        <v>30</v>
      </c>
      <c r="F35" s="118">
        <f>+E35*D35*12</f>
        <v>180</v>
      </c>
      <c r="I35" s="462" t="s">
        <v>540</v>
      </c>
      <c r="J35" s="374" t="s">
        <v>541</v>
      </c>
      <c r="K35" s="385" t="s">
        <v>542</v>
      </c>
      <c r="M35" s="149"/>
      <c r="N35" s="122"/>
      <c r="O35" s="122"/>
    </row>
    <row r="36" spans="2:15" ht="15.75" thickBot="1">
      <c r="B36" s="17" t="s">
        <v>207</v>
      </c>
      <c r="C36" s="46">
        <v>1</v>
      </c>
      <c r="D36" s="45">
        <v>1</v>
      </c>
      <c r="E36" s="116">
        <v>15</v>
      </c>
      <c r="F36" s="118">
        <f>+E36*12</f>
        <v>180</v>
      </c>
      <c r="I36" s="387" t="s">
        <v>386</v>
      </c>
      <c r="J36" s="388"/>
      <c r="K36" s="389"/>
      <c r="M36" s="124"/>
      <c r="N36" s="122"/>
      <c r="O36" s="122"/>
    </row>
    <row r="37" spans="2:15" ht="15.75" thickBot="1">
      <c r="B37" s="18" t="s">
        <v>208</v>
      </c>
      <c r="C37" s="111"/>
      <c r="D37" s="49"/>
      <c r="E37" s="125">
        <f>SUM(E29:E36)</f>
        <v>1300</v>
      </c>
      <c r="F37" s="126">
        <f>SUM(F29:F36)</f>
        <v>15270</v>
      </c>
      <c r="M37" s="67"/>
      <c r="N37" s="67"/>
      <c r="O37" s="67"/>
    </row>
    <row r="38" spans="2:12" ht="15.75" thickBot="1">
      <c r="B38" s="17"/>
      <c r="C38" s="105"/>
      <c r="D38" s="53"/>
      <c r="E38" s="53"/>
      <c r="F38" s="105"/>
      <c r="I38" s="602" t="s">
        <v>543</v>
      </c>
      <c r="J38" s="603"/>
      <c r="K38" s="603"/>
      <c r="L38" s="604"/>
    </row>
    <row r="39" spans="2:12" ht="15.75" thickBot="1">
      <c r="B39" s="103" t="s">
        <v>209</v>
      </c>
      <c r="C39" s="46"/>
      <c r="D39" s="45"/>
      <c r="E39" s="116"/>
      <c r="F39" s="118"/>
      <c r="I39" s="463" t="s">
        <v>220</v>
      </c>
      <c r="J39" s="359" t="s">
        <v>221</v>
      </c>
      <c r="K39" s="359" t="s">
        <v>202</v>
      </c>
      <c r="L39" s="464" t="s">
        <v>199</v>
      </c>
    </row>
    <row r="40" spans="2:12" ht="15">
      <c r="B40" s="109" t="s">
        <v>210</v>
      </c>
      <c r="C40" s="46">
        <v>2</v>
      </c>
      <c r="D40" s="45"/>
      <c r="E40" s="116">
        <f>175*2</f>
        <v>350</v>
      </c>
      <c r="F40" s="118">
        <f>+E40*12</f>
        <v>4200</v>
      </c>
      <c r="I40" s="18" t="s">
        <v>222</v>
      </c>
      <c r="J40" s="147">
        <v>3</v>
      </c>
      <c r="K40" s="118">
        <v>500</v>
      </c>
      <c r="L40" s="118">
        <f>+K40*12</f>
        <v>6000</v>
      </c>
    </row>
    <row r="41" spans="2:12" ht="15">
      <c r="B41" s="109" t="s">
        <v>211</v>
      </c>
      <c r="C41" s="46">
        <v>2</v>
      </c>
      <c r="D41" s="45"/>
      <c r="E41" s="116">
        <f>250*C41</f>
        <v>500</v>
      </c>
      <c r="F41" s="118">
        <f>+E41*12</f>
        <v>6000</v>
      </c>
      <c r="I41" s="18" t="s">
        <v>223</v>
      </c>
      <c r="J41" s="147">
        <v>3</v>
      </c>
      <c r="K41" s="118">
        <v>300</v>
      </c>
      <c r="L41" s="118">
        <f>+K41*12</f>
        <v>3600</v>
      </c>
    </row>
    <row r="42" spans="2:12" ht="15.75" thickBot="1">
      <c r="B42" s="17" t="s">
        <v>213</v>
      </c>
      <c r="C42" s="46">
        <v>1</v>
      </c>
      <c r="D42" s="45"/>
      <c r="E42" s="116">
        <v>450</v>
      </c>
      <c r="F42" s="118">
        <f>+E42*12</f>
        <v>5400</v>
      </c>
      <c r="I42" s="102" t="s">
        <v>224</v>
      </c>
      <c r="J42" s="144">
        <v>5</v>
      </c>
      <c r="K42" s="118">
        <v>300</v>
      </c>
      <c r="L42" s="118">
        <f>+K42*12</f>
        <v>3600</v>
      </c>
    </row>
    <row r="43" spans="2:14" ht="15.75" thickBot="1">
      <c r="B43" s="17" t="s">
        <v>214</v>
      </c>
      <c r="C43" s="46"/>
      <c r="D43" s="45"/>
      <c r="E43" s="116">
        <v>1100</v>
      </c>
      <c r="F43" s="118">
        <f>+E43*12</f>
        <v>13200</v>
      </c>
      <c r="I43" s="465" t="s">
        <v>27</v>
      </c>
      <c r="J43" s="466"/>
      <c r="K43" s="467">
        <f>SUM(K40:K42)</f>
        <v>1100</v>
      </c>
      <c r="L43" s="467">
        <f>SUM(L40:L42)</f>
        <v>13200</v>
      </c>
      <c r="N43" s="148"/>
    </row>
    <row r="44" spans="2:12" ht="15.75" thickBot="1">
      <c r="B44" s="18" t="s">
        <v>215</v>
      </c>
      <c r="C44" s="112"/>
      <c r="D44" s="49"/>
      <c r="E44" s="116">
        <f>SUM(E40:E43)</f>
        <v>2400</v>
      </c>
      <c r="F44" s="119">
        <f>SUM(F40:F43)</f>
        <v>28800</v>
      </c>
      <c r="I44" s="393" t="s">
        <v>386</v>
      </c>
      <c r="J44" s="406"/>
      <c r="K44" s="406"/>
      <c r="L44" s="321"/>
    </row>
    <row r="45" spans="2:6" ht="15.75" thickBot="1">
      <c r="B45" s="113" t="s">
        <v>27</v>
      </c>
      <c r="C45" s="114"/>
      <c r="D45" s="114"/>
      <c r="E45" s="127">
        <f>+E37+E44</f>
        <v>3700</v>
      </c>
      <c r="F45" s="128">
        <f>+F37+F44</f>
        <v>44070</v>
      </c>
    </row>
    <row r="46" spans="9:13" ht="15.75" thickBot="1">
      <c r="I46" s="613" t="s">
        <v>544</v>
      </c>
      <c r="J46" s="614"/>
      <c r="K46" s="614"/>
      <c r="L46" s="614"/>
      <c r="M46" s="615"/>
    </row>
    <row r="47" spans="9:13" ht="15.75" thickBot="1">
      <c r="I47" s="605" t="s">
        <v>26</v>
      </c>
      <c r="J47" s="605" t="s">
        <v>89</v>
      </c>
      <c r="K47" s="607" t="s">
        <v>90</v>
      </c>
      <c r="L47" s="608"/>
      <c r="M47" s="468" t="s">
        <v>219</v>
      </c>
    </row>
    <row r="48" spans="9:13" ht="15.75" thickBot="1">
      <c r="I48" s="606"/>
      <c r="J48" s="606"/>
      <c r="K48" s="469" t="s">
        <v>88</v>
      </c>
      <c r="L48" s="470" t="s">
        <v>55</v>
      </c>
      <c r="M48" s="468" t="s">
        <v>55</v>
      </c>
    </row>
    <row r="49" spans="1:13" ht="15.75" thickBot="1">
      <c r="A49" s="67"/>
      <c r="B49" s="67"/>
      <c r="C49" s="67"/>
      <c r="I49" s="335" t="s">
        <v>204</v>
      </c>
      <c r="J49" s="336">
        <v>1</v>
      </c>
      <c r="K49" s="471">
        <v>650</v>
      </c>
      <c r="L49" s="472">
        <f>+K49*J49</f>
        <v>650</v>
      </c>
      <c r="M49" s="472">
        <f>+L49*12</f>
        <v>7800</v>
      </c>
    </row>
    <row r="50" spans="1:13" ht="15.75" thickBot="1">
      <c r="A50" s="67"/>
      <c r="B50" s="136"/>
      <c r="C50" s="67"/>
      <c r="I50" s="337" t="s">
        <v>390</v>
      </c>
      <c r="J50" s="336">
        <v>1</v>
      </c>
      <c r="K50" s="471">
        <v>200</v>
      </c>
      <c r="L50" s="473">
        <f>+K50*J50</f>
        <v>200</v>
      </c>
      <c r="M50" s="472">
        <f aca="true" t="shared" si="0" ref="M50:M56">+L50*12</f>
        <v>2400</v>
      </c>
    </row>
    <row r="51" spans="1:13" ht="15.75" thickBot="1">
      <c r="A51" s="67"/>
      <c r="B51" s="137"/>
      <c r="C51" s="67"/>
      <c r="I51" s="337" t="s">
        <v>218</v>
      </c>
      <c r="J51" s="336">
        <v>1</v>
      </c>
      <c r="K51" s="471">
        <v>250</v>
      </c>
      <c r="L51" s="473">
        <f aca="true" t="shared" si="1" ref="L51:L56">+K51*J51</f>
        <v>250</v>
      </c>
      <c r="M51" s="472">
        <f t="shared" si="0"/>
        <v>3000</v>
      </c>
    </row>
    <row r="52" spans="1:13" ht="15.75" thickBot="1">
      <c r="A52" s="67"/>
      <c r="B52" s="137"/>
      <c r="C52" s="67"/>
      <c r="I52" s="338" t="s">
        <v>28</v>
      </c>
      <c r="J52" s="339">
        <v>1</v>
      </c>
      <c r="K52" s="471">
        <v>100</v>
      </c>
      <c r="L52" s="473">
        <f t="shared" si="1"/>
        <v>100</v>
      </c>
      <c r="M52" s="472">
        <f t="shared" si="0"/>
        <v>1200</v>
      </c>
    </row>
    <row r="53" spans="1:13" ht="15.75" thickBot="1">
      <c r="A53" s="67"/>
      <c r="B53" s="137"/>
      <c r="C53" s="67"/>
      <c r="I53" s="340" t="s">
        <v>391</v>
      </c>
      <c r="J53" s="341">
        <v>1</v>
      </c>
      <c r="K53" s="471">
        <v>450</v>
      </c>
      <c r="L53" s="473">
        <f t="shared" si="1"/>
        <v>450</v>
      </c>
      <c r="M53" s="472">
        <f t="shared" si="0"/>
        <v>5400</v>
      </c>
    </row>
    <row r="54" spans="1:13" ht="15.75" thickBot="1">
      <c r="A54" s="67"/>
      <c r="B54" s="137"/>
      <c r="C54" s="67"/>
      <c r="I54" s="335" t="s">
        <v>210</v>
      </c>
      <c r="J54" s="336">
        <v>2</v>
      </c>
      <c r="K54" s="471">
        <v>175</v>
      </c>
      <c r="L54" s="473">
        <f t="shared" si="1"/>
        <v>350</v>
      </c>
      <c r="M54" s="472">
        <f t="shared" si="0"/>
        <v>4200</v>
      </c>
    </row>
    <row r="55" spans="1:13" ht="15.75" thickBot="1">
      <c r="A55" s="67"/>
      <c r="B55" s="138"/>
      <c r="C55" s="67"/>
      <c r="I55" s="335" t="s">
        <v>30</v>
      </c>
      <c r="J55" s="336">
        <v>9</v>
      </c>
      <c r="K55" s="471">
        <v>200</v>
      </c>
      <c r="L55" s="473">
        <f t="shared" si="1"/>
        <v>1800</v>
      </c>
      <c r="M55" s="472">
        <f t="shared" si="0"/>
        <v>21600</v>
      </c>
    </row>
    <row r="56" spans="1:13" ht="15.75" thickBot="1">
      <c r="A56" s="67"/>
      <c r="B56" s="138"/>
      <c r="C56" s="67"/>
      <c r="I56" s="335" t="s">
        <v>182</v>
      </c>
      <c r="J56" s="336">
        <v>6</v>
      </c>
      <c r="K56" s="471">
        <v>150</v>
      </c>
      <c r="L56" s="473">
        <f t="shared" si="1"/>
        <v>900</v>
      </c>
      <c r="M56" s="472">
        <f t="shared" si="0"/>
        <v>10800</v>
      </c>
    </row>
    <row r="57" spans="1:13" ht="15.75" thickBot="1">
      <c r="A57" s="67"/>
      <c r="B57" s="137"/>
      <c r="C57" s="67"/>
      <c r="I57" s="474" t="s">
        <v>248</v>
      </c>
      <c r="J57" s="475"/>
      <c r="K57" s="475"/>
      <c r="L57" s="476">
        <f>SUM(L49:L56)</f>
        <v>4700</v>
      </c>
      <c r="M57" s="477">
        <f>SUM(M49:M56)</f>
        <v>56400</v>
      </c>
    </row>
    <row r="58" spans="1:13" ht="15.75" thickBot="1">
      <c r="A58" s="67"/>
      <c r="B58" s="67"/>
      <c r="C58" s="67"/>
      <c r="I58" s="393" t="s">
        <v>386</v>
      </c>
      <c r="J58" s="406"/>
      <c r="K58" s="406"/>
      <c r="L58" s="406"/>
      <c r="M58" s="347"/>
    </row>
    <row r="59" spans="1:3" ht="15.75" thickBot="1">
      <c r="A59" s="67"/>
      <c r="B59" s="67"/>
      <c r="C59" s="67"/>
    </row>
    <row r="60" spans="1:13" ht="15.75" thickBot="1">
      <c r="A60" s="67"/>
      <c r="B60" s="67"/>
      <c r="C60" s="67"/>
      <c r="I60" s="609" t="s">
        <v>545</v>
      </c>
      <c r="J60" s="610"/>
      <c r="K60" s="610"/>
      <c r="L60" s="610"/>
      <c r="M60" s="611"/>
    </row>
    <row r="61" spans="9:13" ht="15.75" thickBot="1">
      <c r="I61" s="598" t="s">
        <v>26</v>
      </c>
      <c r="J61" s="598" t="s">
        <v>89</v>
      </c>
      <c r="K61" s="600" t="s">
        <v>90</v>
      </c>
      <c r="L61" s="601"/>
      <c r="M61" s="478" t="s">
        <v>219</v>
      </c>
    </row>
    <row r="62" spans="9:13" ht="15.75" thickBot="1">
      <c r="I62" s="599"/>
      <c r="J62" s="599"/>
      <c r="K62" s="479" t="s">
        <v>88</v>
      </c>
      <c r="L62" s="480" t="s">
        <v>55</v>
      </c>
      <c r="M62" s="481" t="s">
        <v>55</v>
      </c>
    </row>
    <row r="63" spans="9:13" ht="15.75" thickBot="1">
      <c r="I63" s="130" t="s">
        <v>31</v>
      </c>
      <c r="J63" s="129">
        <v>5</v>
      </c>
      <c r="K63" s="117">
        <v>250</v>
      </c>
      <c r="L63" s="117">
        <f>+K63*J63</f>
        <v>1250</v>
      </c>
      <c r="M63" s="119">
        <f>+L63*12</f>
        <v>15000</v>
      </c>
    </row>
    <row r="64" spans="9:13" ht="15.75" thickBot="1">
      <c r="I64" s="131" t="s">
        <v>29</v>
      </c>
      <c r="J64" s="132">
        <v>1</v>
      </c>
      <c r="K64" s="117">
        <v>180</v>
      </c>
      <c r="L64" s="117">
        <f>+K64*J64</f>
        <v>180</v>
      </c>
      <c r="M64" s="119">
        <f>+L64*12</f>
        <v>2160</v>
      </c>
    </row>
    <row r="65" spans="9:13" ht="15.75" thickBot="1">
      <c r="I65" s="131" t="s">
        <v>87</v>
      </c>
      <c r="J65" s="132">
        <v>2</v>
      </c>
      <c r="K65" s="117">
        <v>250</v>
      </c>
      <c r="L65" s="117">
        <f>+K65*J65</f>
        <v>500</v>
      </c>
      <c r="M65" s="119">
        <f>+L65*12</f>
        <v>6000</v>
      </c>
    </row>
    <row r="66" spans="9:13" ht="15.75" thickBot="1">
      <c r="I66" s="482" t="s">
        <v>249</v>
      </c>
      <c r="J66" s="482"/>
      <c r="K66" s="483">
        <f>SUM(K63:K65)</f>
        <v>680</v>
      </c>
      <c r="L66" s="483">
        <f>SUM(L63:L65)</f>
        <v>1930</v>
      </c>
      <c r="M66" s="484">
        <f>SUM(M63:M65)</f>
        <v>23160</v>
      </c>
    </row>
    <row r="67" spans="9:13" ht="15.75" thickBot="1">
      <c r="I67" s="393" t="s">
        <v>386</v>
      </c>
      <c r="J67" s="406"/>
      <c r="K67" s="406"/>
      <c r="L67" s="406"/>
      <c r="M67" s="347"/>
    </row>
    <row r="68" ht="15">
      <c r="M68" s="52"/>
    </row>
    <row r="70" ht="15">
      <c r="L70" s="52"/>
    </row>
    <row r="71" spans="12:13" ht="15">
      <c r="L71" s="52">
        <f>+L66+L57</f>
        <v>6630</v>
      </c>
      <c r="M71" s="52">
        <f>+M66+M57</f>
        <v>79560</v>
      </c>
    </row>
    <row r="72" ht="15">
      <c r="F72">
        <f>13478/12</f>
        <v>1123.1666666666667</v>
      </c>
    </row>
  </sheetData>
  <sheetProtection/>
  <mergeCells count="16">
    <mergeCell ref="B24:F24"/>
    <mergeCell ref="I60:M60"/>
    <mergeCell ref="I31:K31"/>
    <mergeCell ref="B25:F25"/>
    <mergeCell ref="M31:O31"/>
    <mergeCell ref="I46:M46"/>
    <mergeCell ref="B5:J5"/>
    <mergeCell ref="B6:J6"/>
    <mergeCell ref="I23:K23"/>
    <mergeCell ref="I61:I62"/>
    <mergeCell ref="J61:J62"/>
    <mergeCell ref="K61:L61"/>
    <mergeCell ref="I38:L38"/>
    <mergeCell ref="I47:I48"/>
    <mergeCell ref="J47:J48"/>
    <mergeCell ref="K47:L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4:W46"/>
  <sheetViews>
    <sheetView zoomScalePageLayoutView="0" workbookViewId="0" topLeftCell="A1">
      <selection activeCell="Z21" sqref="Z21"/>
    </sheetView>
  </sheetViews>
  <sheetFormatPr defaultColWidth="11.421875" defaultRowHeight="15"/>
  <cols>
    <col min="2" max="2" width="28.8515625" style="0" customWidth="1"/>
    <col min="3" max="3" width="17.57421875" style="0" customWidth="1"/>
    <col min="7" max="7" width="17.421875" style="0" customWidth="1"/>
    <col min="9" max="23" width="0" style="0" hidden="1" customWidth="1"/>
  </cols>
  <sheetData>
    <row r="4" spans="7:8" ht="15">
      <c r="G4" s="133" t="s">
        <v>234</v>
      </c>
      <c r="H4" s="134" t="s">
        <v>233</v>
      </c>
    </row>
    <row r="5" spans="7:8" ht="15">
      <c r="G5" s="133" t="s">
        <v>236</v>
      </c>
      <c r="H5" s="134">
        <v>30</v>
      </c>
    </row>
    <row r="6" spans="7:8" ht="15">
      <c r="G6" s="133" t="s">
        <v>232</v>
      </c>
      <c r="H6" s="134">
        <v>2</v>
      </c>
    </row>
    <row r="7" spans="7:8" ht="15">
      <c r="G7" s="133" t="s">
        <v>235</v>
      </c>
      <c r="H7" s="134">
        <v>12</v>
      </c>
    </row>
    <row r="8" ht="15">
      <c r="J8" s="98"/>
    </row>
    <row r="10" ht="15.75" thickBot="1"/>
    <row r="11" spans="2:16" ht="15.75" thickBot="1">
      <c r="B11" s="575" t="s">
        <v>226</v>
      </c>
      <c r="C11" s="576"/>
      <c r="D11" s="616" t="s">
        <v>546</v>
      </c>
      <c r="E11" s="596"/>
      <c r="F11" s="596"/>
      <c r="G11" s="596"/>
      <c r="H11" s="597"/>
      <c r="M11" s="617" t="s">
        <v>349</v>
      </c>
      <c r="N11" s="617"/>
      <c r="O11" s="617"/>
      <c r="P11" s="617"/>
    </row>
    <row r="12" spans="2:9" ht="15.75" thickBot="1">
      <c r="B12" s="408" t="s">
        <v>161</v>
      </c>
      <c r="C12" s="396" t="s">
        <v>227</v>
      </c>
      <c r="D12" s="485">
        <v>2011</v>
      </c>
      <c r="E12" s="486">
        <v>2012</v>
      </c>
      <c r="F12" s="487">
        <v>2013</v>
      </c>
      <c r="G12" s="486">
        <v>2014</v>
      </c>
      <c r="H12" s="487">
        <v>2015</v>
      </c>
      <c r="I12" s="97"/>
    </row>
    <row r="13" spans="2:21" ht="15.75" thickBot="1">
      <c r="B13" s="378"/>
      <c r="C13" s="379"/>
      <c r="D13" s="488">
        <v>2</v>
      </c>
      <c r="E13" s="489">
        <v>2</v>
      </c>
      <c r="F13" s="488">
        <v>3</v>
      </c>
      <c r="G13" s="489">
        <v>3</v>
      </c>
      <c r="H13" s="490">
        <v>3</v>
      </c>
      <c r="J13" s="216" t="s">
        <v>337</v>
      </c>
      <c r="K13" s="217" t="s">
        <v>338</v>
      </c>
      <c r="L13" s="217" t="s">
        <v>339</v>
      </c>
      <c r="M13" s="217" t="s">
        <v>340</v>
      </c>
      <c r="N13" s="217" t="s">
        <v>341</v>
      </c>
      <c r="O13" s="217" t="s">
        <v>342</v>
      </c>
      <c r="P13" s="217" t="s">
        <v>343</v>
      </c>
      <c r="Q13" s="217" t="s">
        <v>344</v>
      </c>
      <c r="R13" s="217" t="s">
        <v>345</v>
      </c>
      <c r="S13" s="217" t="s">
        <v>346</v>
      </c>
      <c r="T13" s="217" t="s">
        <v>347</v>
      </c>
      <c r="U13" s="218" t="s">
        <v>348</v>
      </c>
    </row>
    <row r="14" spans="2:21" ht="15">
      <c r="B14" s="378" t="s">
        <v>228</v>
      </c>
      <c r="C14" s="409" t="s">
        <v>231</v>
      </c>
      <c r="D14" s="491">
        <f>200*D13*12</f>
        <v>4800</v>
      </c>
      <c r="E14" s="491">
        <f>200*E13*12</f>
        <v>4800</v>
      </c>
      <c r="F14" s="491">
        <f>200*F13*12</f>
        <v>7200</v>
      </c>
      <c r="G14" s="491">
        <f>200*G13*12</f>
        <v>7200</v>
      </c>
      <c r="H14" s="491">
        <f>200*H13*12</f>
        <v>7200</v>
      </c>
      <c r="J14" s="213">
        <f>+D14/12</f>
        <v>400</v>
      </c>
      <c r="K14" s="214">
        <f>+E14/12</f>
        <v>400</v>
      </c>
      <c r="L14" s="214">
        <f>+J14</f>
        <v>400</v>
      </c>
      <c r="M14" s="214">
        <f>+L14</f>
        <v>400</v>
      </c>
      <c r="N14" s="214">
        <f>+M14</f>
        <v>400</v>
      </c>
      <c r="O14" s="214">
        <v>700</v>
      </c>
      <c r="P14" s="215">
        <f>+K14</f>
        <v>400</v>
      </c>
      <c r="Q14" s="214">
        <f>+P14</f>
        <v>400</v>
      </c>
      <c r="R14" s="214">
        <f>+Q14</f>
        <v>400</v>
      </c>
      <c r="S14" s="214">
        <f>+R14</f>
        <v>400</v>
      </c>
      <c r="T14" s="227">
        <v>400</v>
      </c>
      <c r="U14" s="228">
        <v>700</v>
      </c>
    </row>
    <row r="15" spans="2:21" ht="15">
      <c r="B15" s="378" t="s">
        <v>238</v>
      </c>
      <c r="C15" s="409" t="s">
        <v>547</v>
      </c>
      <c r="D15" s="491">
        <f>35*$H$5*D13*$H$7</f>
        <v>25200</v>
      </c>
      <c r="E15" s="491">
        <f>35*$H$5*E13*$H$7</f>
        <v>25200</v>
      </c>
      <c r="F15" s="491">
        <f>35*$H$5*F13*$H$7</f>
        <v>37800</v>
      </c>
      <c r="G15" s="491">
        <f>35*$H$5*G13*$H$7</f>
        <v>37800</v>
      </c>
      <c r="H15" s="491">
        <f>35*$H$5*H13*$H$7</f>
        <v>37800</v>
      </c>
      <c r="J15" s="211">
        <f>+D15/12</f>
        <v>2100</v>
      </c>
      <c r="K15" s="210">
        <f>J15</f>
        <v>2100</v>
      </c>
      <c r="L15" s="210">
        <f>+K15-L12</f>
        <v>2100</v>
      </c>
      <c r="M15" s="210">
        <f>+L15-M12</f>
        <v>2100</v>
      </c>
      <c r="N15" s="225">
        <v>2100</v>
      </c>
      <c r="O15" s="225">
        <v>2100</v>
      </c>
      <c r="P15" s="225">
        <v>2100</v>
      </c>
      <c r="Q15" s="225">
        <v>2100</v>
      </c>
      <c r="R15" s="225">
        <v>2100</v>
      </c>
      <c r="S15" s="225">
        <v>2100</v>
      </c>
      <c r="T15" s="225">
        <v>2100</v>
      </c>
      <c r="U15" s="226">
        <v>2100</v>
      </c>
    </row>
    <row r="16" spans="2:21" ht="15">
      <c r="B16" s="378" t="s">
        <v>229</v>
      </c>
      <c r="C16" s="409"/>
      <c r="D16" s="491" t="s">
        <v>548</v>
      </c>
      <c r="E16" s="491" t="s">
        <v>548</v>
      </c>
      <c r="F16" s="491" t="s">
        <v>549</v>
      </c>
      <c r="G16" s="491" t="s">
        <v>549</v>
      </c>
      <c r="H16" s="491" t="s">
        <v>549</v>
      </c>
      <c r="J16" s="211" t="str">
        <f>D16</f>
        <v>$ 500,00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2">
        <v>0</v>
      </c>
    </row>
    <row r="17" spans="2:21" ht="15.75" thickBot="1">
      <c r="B17" s="378" t="s">
        <v>230</v>
      </c>
      <c r="C17" s="492"/>
      <c r="D17" s="491">
        <v>13200</v>
      </c>
      <c r="E17" s="491">
        <v>13200</v>
      </c>
      <c r="F17" s="491">
        <f>+$D$17+$E$17</f>
        <v>26400</v>
      </c>
      <c r="G17" s="491">
        <f>+$D$17+$E$17</f>
        <v>26400</v>
      </c>
      <c r="H17" s="491">
        <f>+$D$17+$E$17</f>
        <v>26400</v>
      </c>
      <c r="J17" s="211">
        <v>3017</v>
      </c>
      <c r="K17" s="211">
        <v>3017</v>
      </c>
      <c r="L17" s="211">
        <v>3017</v>
      </c>
      <c r="M17" s="211">
        <v>3017</v>
      </c>
      <c r="N17" s="211">
        <v>3017</v>
      </c>
      <c r="O17" s="211">
        <v>3017</v>
      </c>
      <c r="P17" s="211">
        <v>3017</v>
      </c>
      <c r="Q17" s="211">
        <v>3017</v>
      </c>
      <c r="R17" s="211">
        <v>3017</v>
      </c>
      <c r="S17" s="211">
        <v>3017</v>
      </c>
      <c r="T17" s="211">
        <v>3017</v>
      </c>
      <c r="U17" s="211">
        <v>3017</v>
      </c>
    </row>
    <row r="18" spans="2:21" ht="15.75" thickBot="1">
      <c r="B18" s="382" t="s">
        <v>237</v>
      </c>
      <c r="C18" s="493"/>
      <c r="D18" s="494">
        <f>SUM(D14:D17)</f>
        <v>43200</v>
      </c>
      <c r="E18" s="494">
        <f>SUM(E14:E17)</f>
        <v>43200</v>
      </c>
      <c r="F18" s="494">
        <f>SUM(F14:F17)</f>
        <v>71400</v>
      </c>
      <c r="G18" s="494">
        <f>SUM(G14:G17)</f>
        <v>71400</v>
      </c>
      <c r="H18" s="494">
        <f>SUM(H14:H17)</f>
        <v>71400</v>
      </c>
      <c r="J18" s="219">
        <v>20</v>
      </c>
      <c r="K18" s="219">
        <v>20</v>
      </c>
      <c r="L18" s="219">
        <v>20</v>
      </c>
      <c r="M18" s="219">
        <v>20</v>
      </c>
      <c r="N18" s="219">
        <v>20</v>
      </c>
      <c r="O18" s="219">
        <v>20</v>
      </c>
      <c r="P18" s="219">
        <v>20</v>
      </c>
      <c r="Q18" s="219">
        <v>20</v>
      </c>
      <c r="R18" s="219">
        <v>20</v>
      </c>
      <c r="S18" s="219">
        <v>20</v>
      </c>
      <c r="T18" s="219">
        <v>20</v>
      </c>
      <c r="U18" s="219">
        <v>20</v>
      </c>
    </row>
    <row r="19" spans="2:21" ht="15.75" thickBot="1">
      <c r="B19" s="387" t="s">
        <v>386</v>
      </c>
      <c r="C19" s="388"/>
      <c r="D19" s="388"/>
      <c r="E19" s="388"/>
      <c r="F19" s="388"/>
      <c r="G19" s="388"/>
      <c r="H19" s="389"/>
      <c r="J19" s="235">
        <v>10</v>
      </c>
      <c r="K19" s="236">
        <v>0</v>
      </c>
      <c r="L19" s="236">
        <v>0</v>
      </c>
      <c r="M19" s="236">
        <v>0</v>
      </c>
      <c r="N19" s="236">
        <v>0</v>
      </c>
      <c r="O19" s="236">
        <v>10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7">
        <v>10</v>
      </c>
    </row>
    <row r="20" spans="2:21" ht="15">
      <c r="B20" s="124"/>
      <c r="C20" s="124"/>
      <c r="D20" s="495"/>
      <c r="E20" s="495"/>
      <c r="F20" s="495"/>
      <c r="G20" s="495"/>
      <c r="H20" s="495"/>
      <c r="J20" s="233">
        <v>166.66666666666666</v>
      </c>
      <c r="K20" s="233">
        <v>166.66666666666666</v>
      </c>
      <c r="L20" s="233">
        <v>166.66666666666666</v>
      </c>
      <c r="M20" s="233">
        <v>166.66666666666666</v>
      </c>
      <c r="N20" s="233">
        <v>166.66666666666666</v>
      </c>
      <c r="O20" s="233">
        <v>166.66666666666666</v>
      </c>
      <c r="P20" s="233">
        <v>166.66666666666666</v>
      </c>
      <c r="Q20" s="233">
        <v>166.66666666666666</v>
      </c>
      <c r="R20" s="233">
        <v>166.66666666666666</v>
      </c>
      <c r="S20" s="233">
        <v>166.66666666666666</v>
      </c>
      <c r="T20" s="233">
        <v>166.66666666666666</v>
      </c>
      <c r="U20" s="233">
        <v>166.66666666666666</v>
      </c>
    </row>
    <row r="21" spans="2:21" ht="15">
      <c r="B21" s="124"/>
      <c r="C21" s="124"/>
      <c r="D21" s="495"/>
      <c r="E21" s="495"/>
      <c r="F21" s="495"/>
      <c r="G21" s="495"/>
      <c r="H21" s="495"/>
      <c r="J21" s="233">
        <v>363.75</v>
      </c>
      <c r="K21" s="233">
        <v>363.75</v>
      </c>
      <c r="L21" s="233">
        <v>363.75</v>
      </c>
      <c r="M21" s="233">
        <v>363.75</v>
      </c>
      <c r="N21" s="233">
        <v>363.75</v>
      </c>
      <c r="O21" s="233">
        <v>363.75</v>
      </c>
      <c r="P21" s="233">
        <v>363.75</v>
      </c>
      <c r="Q21" s="233">
        <v>363.75</v>
      </c>
      <c r="R21" s="233">
        <v>363.75</v>
      </c>
      <c r="S21" s="233">
        <v>363.75</v>
      </c>
      <c r="T21" s="233">
        <v>363.75</v>
      </c>
      <c r="U21" s="233">
        <v>363.75</v>
      </c>
    </row>
    <row r="22" spans="2:21" ht="15">
      <c r="B22" s="124"/>
      <c r="C22" s="124"/>
      <c r="D22" s="495"/>
      <c r="E22" s="495"/>
      <c r="F22" s="495"/>
      <c r="G22" s="495"/>
      <c r="H22" s="495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</row>
    <row r="23" spans="10:21" ht="15.75" thickBot="1">
      <c r="J23" s="238">
        <f>SUM(J14:J22)</f>
        <v>6077.416666666667</v>
      </c>
      <c r="K23" s="238">
        <f aca="true" t="shared" si="0" ref="K23:U23">SUM(K14:K22)</f>
        <v>6067.416666666667</v>
      </c>
      <c r="L23" s="238">
        <f t="shared" si="0"/>
        <v>6067.416666666667</v>
      </c>
      <c r="M23" s="238">
        <f t="shared" si="0"/>
        <v>6067.416666666667</v>
      </c>
      <c r="N23" s="238">
        <f t="shared" si="0"/>
        <v>6067.416666666667</v>
      </c>
      <c r="O23" s="238">
        <f t="shared" si="0"/>
        <v>6377.416666666667</v>
      </c>
      <c r="P23" s="238">
        <f t="shared" si="0"/>
        <v>6067.416666666667</v>
      </c>
      <c r="Q23" s="238">
        <f t="shared" si="0"/>
        <v>6067.416666666667</v>
      </c>
      <c r="R23" s="238">
        <f t="shared" si="0"/>
        <v>6067.416666666667</v>
      </c>
      <c r="S23" s="238">
        <f t="shared" si="0"/>
        <v>6067.416666666667</v>
      </c>
      <c r="T23" s="238">
        <f t="shared" si="0"/>
        <v>6067.416666666667</v>
      </c>
      <c r="U23" s="238">
        <f t="shared" si="0"/>
        <v>6377.416666666667</v>
      </c>
    </row>
    <row r="24" spans="12:17" ht="15.75" thickBot="1">
      <c r="L24" s="618" t="s">
        <v>350</v>
      </c>
      <c r="M24" s="618"/>
      <c r="N24" s="618"/>
      <c r="O24" s="618"/>
      <c r="P24" s="618"/>
      <c r="Q24" s="618"/>
    </row>
    <row r="25" spans="9:23" ht="15">
      <c r="I25" s="229" t="s">
        <v>334</v>
      </c>
      <c r="J25" s="222">
        <v>5200</v>
      </c>
      <c r="K25" s="222">
        <v>4000</v>
      </c>
      <c r="L25" s="222">
        <v>4000</v>
      </c>
      <c r="M25" s="222">
        <v>4000</v>
      </c>
      <c r="N25" s="222">
        <v>4000</v>
      </c>
      <c r="O25" s="222">
        <v>4000</v>
      </c>
      <c r="P25" s="222">
        <v>4000</v>
      </c>
      <c r="Q25" s="222">
        <v>4000</v>
      </c>
      <c r="R25" s="222">
        <v>4000</v>
      </c>
      <c r="S25" s="222">
        <v>4000</v>
      </c>
      <c r="T25" s="222">
        <v>4000</v>
      </c>
      <c r="U25" s="222">
        <v>4000</v>
      </c>
      <c r="W25" s="160">
        <v>1200</v>
      </c>
    </row>
    <row r="26" spans="5:21" ht="15">
      <c r="E26" s="52"/>
      <c r="I26" s="230" t="s">
        <v>335</v>
      </c>
      <c r="J26" s="233">
        <v>2984.1666666666665</v>
      </c>
      <c r="K26" s="233">
        <v>2984.1666666666665</v>
      </c>
      <c r="L26" s="233">
        <v>2984.1666666666665</v>
      </c>
      <c r="M26" s="233">
        <v>2984.1666666666665</v>
      </c>
      <c r="N26" s="233">
        <v>2984.1666666666665</v>
      </c>
      <c r="O26" s="233">
        <v>2984.1666666666665</v>
      </c>
      <c r="P26" s="233">
        <v>2984.1666666666665</v>
      </c>
      <c r="Q26" s="233">
        <v>2984.1666666666665</v>
      </c>
      <c r="R26" s="233">
        <v>2984.1666666666665</v>
      </c>
      <c r="S26" s="233">
        <v>2984.1666666666665</v>
      </c>
      <c r="T26" s="233">
        <v>2984.1666666666665</v>
      </c>
      <c r="U26" s="233">
        <v>2984.1666666666665</v>
      </c>
    </row>
    <row r="27" spans="9:21" ht="15">
      <c r="I27" s="230" t="s">
        <v>336</v>
      </c>
      <c r="J27" s="223">
        <f>+J23</f>
        <v>6077.416666666667</v>
      </c>
      <c r="K27" s="223">
        <f aca="true" t="shared" si="1" ref="K27:U27">+K23</f>
        <v>6067.416666666667</v>
      </c>
      <c r="L27" s="223">
        <f t="shared" si="1"/>
        <v>6067.416666666667</v>
      </c>
      <c r="M27" s="223">
        <f t="shared" si="1"/>
        <v>6067.416666666667</v>
      </c>
      <c r="N27" s="223">
        <f t="shared" si="1"/>
        <v>6067.416666666667</v>
      </c>
      <c r="O27" s="223">
        <f t="shared" si="1"/>
        <v>6377.416666666667</v>
      </c>
      <c r="P27" s="223">
        <f t="shared" si="1"/>
        <v>6067.416666666667</v>
      </c>
      <c r="Q27" s="223">
        <f t="shared" si="1"/>
        <v>6067.416666666667</v>
      </c>
      <c r="R27" s="223">
        <f t="shared" si="1"/>
        <v>6067.416666666667</v>
      </c>
      <c r="S27" s="223">
        <f t="shared" si="1"/>
        <v>6067.416666666667</v>
      </c>
      <c r="T27" s="223">
        <f t="shared" si="1"/>
        <v>6067.416666666667</v>
      </c>
      <c r="U27" s="223">
        <f t="shared" si="1"/>
        <v>6377.416666666667</v>
      </c>
    </row>
    <row r="28" spans="9:21" ht="15.75" thickBot="1">
      <c r="I28" s="231"/>
      <c r="J28" s="144">
        <f>SUM(J25:J27)</f>
        <v>14261.583333333332</v>
      </c>
      <c r="K28" s="220">
        <f aca="true" t="shared" si="2" ref="K28:U28">SUM(K25:K27)</f>
        <v>13051.583333333332</v>
      </c>
      <c r="L28" s="144">
        <f t="shared" si="2"/>
        <v>13051.583333333332</v>
      </c>
      <c r="M28" s="220">
        <f t="shared" si="2"/>
        <v>13051.583333333332</v>
      </c>
      <c r="N28" s="144">
        <f t="shared" si="2"/>
        <v>13051.583333333332</v>
      </c>
      <c r="O28" s="220">
        <f t="shared" si="2"/>
        <v>13361.583333333332</v>
      </c>
      <c r="P28" s="144">
        <f t="shared" si="2"/>
        <v>13051.583333333332</v>
      </c>
      <c r="Q28" s="220">
        <f t="shared" si="2"/>
        <v>13051.583333333332</v>
      </c>
      <c r="R28" s="144">
        <f t="shared" si="2"/>
        <v>13051.583333333332</v>
      </c>
      <c r="S28" s="220">
        <f t="shared" si="2"/>
        <v>13051.583333333332</v>
      </c>
      <c r="T28" s="144">
        <f t="shared" si="2"/>
        <v>13051.583333333332</v>
      </c>
      <c r="U28" s="221">
        <f t="shared" si="2"/>
        <v>13361.583333333332</v>
      </c>
    </row>
    <row r="29" ht="15.75" thickBot="1">
      <c r="P29" s="224"/>
    </row>
    <row r="34" ht="15">
      <c r="K34" t="s">
        <v>198</v>
      </c>
    </row>
    <row r="35" ht="15">
      <c r="K35" t="s">
        <v>164</v>
      </c>
    </row>
    <row r="36" spans="11:16" ht="15">
      <c r="K36" t="s">
        <v>113</v>
      </c>
      <c r="L36">
        <v>2011</v>
      </c>
      <c r="M36">
        <v>2012</v>
      </c>
      <c r="N36">
        <v>2013</v>
      </c>
      <c r="O36">
        <v>2014</v>
      </c>
      <c r="P36">
        <v>2015</v>
      </c>
    </row>
    <row r="37" spans="11:16" ht="15">
      <c r="K37" t="s">
        <v>189</v>
      </c>
      <c r="L37">
        <v>3072</v>
      </c>
      <c r="M37">
        <v>3072</v>
      </c>
      <c r="N37">
        <v>3072</v>
      </c>
      <c r="O37">
        <v>3072</v>
      </c>
      <c r="P37">
        <v>3072</v>
      </c>
    </row>
    <row r="38" spans="11:16" ht="15">
      <c r="K38" t="s">
        <v>190</v>
      </c>
      <c r="L38">
        <v>20</v>
      </c>
      <c r="M38">
        <v>20</v>
      </c>
      <c r="N38">
        <v>20</v>
      </c>
      <c r="O38">
        <v>20</v>
      </c>
      <c r="P38">
        <v>20</v>
      </c>
    </row>
    <row r="39" spans="11:16" ht="15">
      <c r="K39" t="s">
        <v>13</v>
      </c>
      <c r="L39">
        <v>10</v>
      </c>
      <c r="M39">
        <v>10</v>
      </c>
      <c r="N39">
        <v>10</v>
      </c>
      <c r="O39">
        <v>10</v>
      </c>
      <c r="P39">
        <v>10</v>
      </c>
    </row>
    <row r="40" spans="11:20" ht="15">
      <c r="K40" t="s">
        <v>191</v>
      </c>
      <c r="L40">
        <v>1000</v>
      </c>
      <c r="M40">
        <v>1000</v>
      </c>
      <c r="N40">
        <v>1000</v>
      </c>
      <c r="O40">
        <v>1000</v>
      </c>
      <c r="P40">
        <v>1000</v>
      </c>
      <c r="T40">
        <f>+L43/12</f>
        <v>166.66666666666666</v>
      </c>
    </row>
    <row r="41" spans="11:20" ht="15">
      <c r="K41" t="s">
        <v>192</v>
      </c>
      <c r="L41">
        <v>650</v>
      </c>
      <c r="M41">
        <v>650</v>
      </c>
      <c r="N41">
        <v>650</v>
      </c>
      <c r="O41">
        <v>650</v>
      </c>
      <c r="P41">
        <v>650</v>
      </c>
      <c r="T41">
        <f>+L44/12</f>
        <v>363.75</v>
      </c>
    </row>
    <row r="42" spans="11:20" ht="15">
      <c r="K42" t="s">
        <v>193</v>
      </c>
      <c r="L42">
        <v>1056</v>
      </c>
      <c r="M42">
        <v>1056</v>
      </c>
      <c r="N42">
        <v>1056</v>
      </c>
      <c r="O42">
        <v>1056</v>
      </c>
      <c r="P42">
        <v>1056</v>
      </c>
      <c r="T42">
        <f>+L45/12</f>
        <v>525</v>
      </c>
    </row>
    <row r="43" spans="11:16" ht="15">
      <c r="K43" t="s">
        <v>194</v>
      </c>
      <c r="L43">
        <v>2000</v>
      </c>
      <c r="M43">
        <v>2000</v>
      </c>
      <c r="N43">
        <v>2000</v>
      </c>
      <c r="O43">
        <v>2000</v>
      </c>
      <c r="P43">
        <v>2000</v>
      </c>
    </row>
    <row r="44" spans="11:16" ht="15">
      <c r="K44" t="s">
        <v>195</v>
      </c>
      <c r="L44">
        <v>4365</v>
      </c>
      <c r="M44">
        <v>4365</v>
      </c>
      <c r="N44">
        <v>4365</v>
      </c>
      <c r="O44">
        <v>4365</v>
      </c>
      <c r="P44">
        <v>4365</v>
      </c>
    </row>
    <row r="45" spans="11:16" ht="15">
      <c r="K45" t="s">
        <v>196</v>
      </c>
      <c r="L45">
        <v>6300</v>
      </c>
      <c r="M45">
        <v>6300</v>
      </c>
      <c r="N45">
        <v>6300</v>
      </c>
      <c r="O45">
        <v>6300</v>
      </c>
      <c r="P45">
        <v>6300</v>
      </c>
    </row>
    <row r="46" spans="11:16" ht="15">
      <c r="K46" t="s">
        <v>197</v>
      </c>
      <c r="L46">
        <v>18473</v>
      </c>
      <c r="M46">
        <v>18473</v>
      </c>
      <c r="N46">
        <v>18473</v>
      </c>
      <c r="O46">
        <v>18473</v>
      </c>
      <c r="P46">
        <v>18473</v>
      </c>
    </row>
  </sheetData>
  <sheetProtection/>
  <mergeCells count="4">
    <mergeCell ref="D11:H11"/>
    <mergeCell ref="M11:P11"/>
    <mergeCell ref="L24:Q24"/>
    <mergeCell ref="B11:C1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2:H25"/>
  <sheetViews>
    <sheetView zoomScale="86" zoomScaleNormal="86" zoomScalePageLayoutView="0" workbookViewId="0" topLeftCell="A13">
      <selection activeCell="I16" sqref="I16"/>
    </sheetView>
  </sheetViews>
  <sheetFormatPr defaultColWidth="11.421875" defaultRowHeight="15"/>
  <cols>
    <col min="2" max="2" width="34.57421875" style="0" customWidth="1"/>
    <col min="3" max="3" width="19.140625" style="0" customWidth="1"/>
    <col min="6" max="6" width="15.140625" style="0" customWidth="1"/>
    <col min="8" max="8" width="13.28125" style="0" customWidth="1"/>
  </cols>
  <sheetData>
    <row r="1" ht="15.75" thickBot="1"/>
    <row r="2" spans="3:6" ht="15.75" thickBot="1">
      <c r="C2" s="595" t="s">
        <v>550</v>
      </c>
      <c r="D2" s="596"/>
      <c r="E2" s="596"/>
      <c r="F2" s="597"/>
    </row>
    <row r="3" spans="2:6" ht="15.75" thickBot="1">
      <c r="B3" s="422" t="s">
        <v>239</v>
      </c>
      <c r="C3" s="496" t="s">
        <v>240</v>
      </c>
      <c r="D3" s="394" t="s">
        <v>241</v>
      </c>
      <c r="E3" s="497" t="s">
        <v>242</v>
      </c>
      <c r="F3" s="394" t="s">
        <v>243</v>
      </c>
    </row>
    <row r="4" spans="2:6" ht="15">
      <c r="B4" s="378" t="s">
        <v>204</v>
      </c>
      <c r="C4" s="379">
        <v>1</v>
      </c>
      <c r="D4" s="381" t="s">
        <v>551</v>
      </c>
      <c r="E4" s="381" t="s">
        <v>551</v>
      </c>
      <c r="F4" s="381" t="s">
        <v>552</v>
      </c>
    </row>
    <row r="5" spans="2:6" ht="15">
      <c r="B5" s="378" t="s">
        <v>553</v>
      </c>
      <c r="C5" s="379">
        <v>1</v>
      </c>
      <c r="D5" s="381" t="s">
        <v>554</v>
      </c>
      <c r="E5" s="381" t="s">
        <v>554</v>
      </c>
      <c r="F5" s="381" t="s">
        <v>555</v>
      </c>
    </row>
    <row r="6" spans="2:6" ht="15">
      <c r="B6" s="378" t="s">
        <v>218</v>
      </c>
      <c r="C6" s="379">
        <v>1</v>
      </c>
      <c r="D6" s="381" t="s">
        <v>556</v>
      </c>
      <c r="E6" s="381" t="s">
        <v>556</v>
      </c>
      <c r="F6" s="381" t="s">
        <v>557</v>
      </c>
    </row>
    <row r="7" spans="2:6" ht="15">
      <c r="B7" s="498" t="s">
        <v>244</v>
      </c>
      <c r="C7" s="379"/>
      <c r="D7" s="381"/>
      <c r="E7" s="381"/>
      <c r="F7" s="381"/>
    </row>
    <row r="8" spans="2:6" ht="15">
      <c r="B8" s="498" t="s">
        <v>245</v>
      </c>
      <c r="C8" s="379"/>
      <c r="D8" s="381"/>
      <c r="E8" s="381"/>
      <c r="F8" s="381"/>
    </row>
    <row r="9" spans="2:6" ht="15">
      <c r="B9" s="498" t="s">
        <v>246</v>
      </c>
      <c r="C9" s="379"/>
      <c r="D9" s="381"/>
      <c r="E9" s="381"/>
      <c r="F9" s="381"/>
    </row>
    <row r="10" spans="2:6" ht="15">
      <c r="B10" s="378" t="s">
        <v>391</v>
      </c>
      <c r="C10" s="379">
        <v>1</v>
      </c>
      <c r="D10" s="381" t="s">
        <v>558</v>
      </c>
      <c r="E10" s="381" t="s">
        <v>558</v>
      </c>
      <c r="F10" s="381" t="s">
        <v>559</v>
      </c>
    </row>
    <row r="11" spans="2:6" ht="15">
      <c r="B11" s="378" t="s">
        <v>247</v>
      </c>
      <c r="C11" s="379">
        <v>1</v>
      </c>
      <c r="D11" s="381" t="s">
        <v>538</v>
      </c>
      <c r="E11" s="381" t="s">
        <v>538</v>
      </c>
      <c r="F11" s="381" t="s">
        <v>539</v>
      </c>
    </row>
    <row r="12" spans="2:6" ht="15">
      <c r="B12" s="378" t="s">
        <v>210</v>
      </c>
      <c r="C12" s="379">
        <v>2</v>
      </c>
      <c r="D12" s="381" t="s">
        <v>560</v>
      </c>
      <c r="E12" s="381" t="s">
        <v>561</v>
      </c>
      <c r="F12" s="381" t="s">
        <v>562</v>
      </c>
    </row>
    <row r="13" spans="2:6" ht="15">
      <c r="B13" s="378" t="s">
        <v>30</v>
      </c>
      <c r="C13" s="379">
        <v>9</v>
      </c>
      <c r="D13" s="381" t="s">
        <v>554</v>
      </c>
      <c r="E13" s="381" t="s">
        <v>563</v>
      </c>
      <c r="F13" s="381" t="s">
        <v>564</v>
      </c>
    </row>
    <row r="14" spans="2:6" ht="15">
      <c r="B14" s="378" t="s">
        <v>31</v>
      </c>
      <c r="C14" s="379">
        <v>5</v>
      </c>
      <c r="D14" s="381" t="s">
        <v>556</v>
      </c>
      <c r="E14" s="381" t="s">
        <v>565</v>
      </c>
      <c r="F14" s="381" t="s">
        <v>566</v>
      </c>
    </row>
    <row r="15" spans="2:6" ht="15">
      <c r="B15" s="378" t="s">
        <v>29</v>
      </c>
      <c r="C15" s="379">
        <v>1</v>
      </c>
      <c r="D15" s="381" t="s">
        <v>533</v>
      </c>
      <c r="E15" s="381" t="s">
        <v>533</v>
      </c>
      <c r="F15" s="381" t="s">
        <v>567</v>
      </c>
    </row>
    <row r="16" spans="2:6" ht="15">
      <c r="B16" s="378" t="s">
        <v>250</v>
      </c>
      <c r="C16" s="379">
        <v>2</v>
      </c>
      <c r="D16" s="381" t="s">
        <v>556</v>
      </c>
      <c r="E16" s="381" t="s">
        <v>548</v>
      </c>
      <c r="F16" s="381" t="s">
        <v>568</v>
      </c>
    </row>
    <row r="17" spans="1:6" ht="15">
      <c r="A17" s="67"/>
      <c r="B17" s="378" t="s">
        <v>182</v>
      </c>
      <c r="C17" s="379">
        <v>6</v>
      </c>
      <c r="D17" s="381" t="s">
        <v>569</v>
      </c>
      <c r="E17" s="381" t="s">
        <v>570</v>
      </c>
      <c r="F17" s="381" t="s">
        <v>571</v>
      </c>
    </row>
    <row r="18" spans="1:6" ht="15">
      <c r="A18" s="67"/>
      <c r="B18" s="378" t="s">
        <v>531</v>
      </c>
      <c r="C18" s="379">
        <v>1</v>
      </c>
      <c r="D18" s="381" t="s">
        <v>532</v>
      </c>
      <c r="E18" s="381" t="s">
        <v>532</v>
      </c>
      <c r="F18" s="381" t="s">
        <v>533</v>
      </c>
    </row>
    <row r="19" spans="1:6" ht="15">
      <c r="A19" s="67"/>
      <c r="B19" s="378" t="s">
        <v>251</v>
      </c>
      <c r="C19" s="379">
        <v>1</v>
      </c>
      <c r="D19" s="381" t="s">
        <v>529</v>
      </c>
      <c r="E19" s="381" t="s">
        <v>529</v>
      </c>
      <c r="F19" s="381" t="s">
        <v>530</v>
      </c>
    </row>
    <row r="20" spans="1:6" ht="15">
      <c r="A20" s="67"/>
      <c r="B20" s="378" t="s">
        <v>194</v>
      </c>
      <c r="C20" s="379">
        <v>1</v>
      </c>
      <c r="D20" s="381" t="s">
        <v>527</v>
      </c>
      <c r="E20" s="381" t="s">
        <v>527</v>
      </c>
      <c r="F20" s="381" t="s">
        <v>528</v>
      </c>
    </row>
    <row r="21" spans="1:6" ht="15">
      <c r="A21" s="67"/>
      <c r="B21" s="378" t="s">
        <v>572</v>
      </c>
      <c r="C21" s="379">
        <v>1</v>
      </c>
      <c r="D21" s="381" t="s">
        <v>541</v>
      </c>
      <c r="E21" s="381" t="s">
        <v>541</v>
      </c>
      <c r="F21" s="381" t="s">
        <v>542</v>
      </c>
    </row>
    <row r="22" spans="1:6" ht="15.75" thickBot="1">
      <c r="A22" s="67"/>
      <c r="B22" s="378" t="s">
        <v>252</v>
      </c>
      <c r="C22" s="379">
        <v>1</v>
      </c>
      <c r="D22" s="402" t="s">
        <v>548</v>
      </c>
      <c r="E22" s="402" t="s">
        <v>548</v>
      </c>
      <c r="F22" s="402" t="s">
        <v>568</v>
      </c>
    </row>
    <row r="23" spans="2:6" ht="15.75" thickBot="1">
      <c r="B23" s="422" t="s">
        <v>253</v>
      </c>
      <c r="C23" s="386">
        <v>35</v>
      </c>
      <c r="D23" s="396" t="s">
        <v>573</v>
      </c>
      <c r="E23" s="396" t="s">
        <v>574</v>
      </c>
      <c r="F23" s="396" t="s">
        <v>575</v>
      </c>
    </row>
    <row r="24" spans="2:6" ht="15.75" thickBot="1">
      <c r="B24" s="387" t="s">
        <v>386</v>
      </c>
      <c r="C24" s="388"/>
      <c r="D24" s="388"/>
      <c r="E24" s="388"/>
      <c r="F24" s="389"/>
    </row>
    <row r="25" ht="15">
      <c r="H25" s="52" t="e">
        <f>+E22+'costos VARIABLES'!D24</f>
        <v>#VALUE!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3:I46"/>
  <sheetViews>
    <sheetView zoomScale="81" zoomScaleNormal="81" zoomScalePageLayoutView="0" workbookViewId="0" topLeftCell="A34">
      <selection activeCell="G33" sqref="G33"/>
    </sheetView>
  </sheetViews>
  <sheetFormatPr defaultColWidth="11.421875" defaultRowHeight="15"/>
  <cols>
    <col min="1" max="1" width="15.421875" style="0" customWidth="1"/>
    <col min="2" max="2" width="31.421875" style="0" customWidth="1"/>
    <col min="3" max="3" width="21.140625" style="0" customWidth="1"/>
    <col min="4" max="4" width="16.140625" style="0" customWidth="1"/>
    <col min="5" max="5" width="14.7109375" style="0" customWidth="1"/>
    <col min="6" max="6" width="16.421875" style="0" customWidth="1"/>
    <col min="19" max="19" width="19.00390625" style="0" customWidth="1"/>
    <col min="21" max="21" width="12.140625" style="0" customWidth="1"/>
    <col min="22" max="22" width="12.140625" style="0" bestFit="1" customWidth="1"/>
    <col min="23" max="23" width="13.28125" style="0" bestFit="1" customWidth="1"/>
  </cols>
  <sheetData>
    <row r="2" ht="15.75" thickBot="1"/>
    <row r="3" spans="2:5" ht="15">
      <c r="B3" s="535" t="s">
        <v>576</v>
      </c>
      <c r="C3" s="536"/>
      <c r="D3" s="536"/>
      <c r="E3" s="620"/>
    </row>
    <row r="4" spans="2:5" ht="15.75" thickBot="1">
      <c r="B4" s="538" t="s">
        <v>164</v>
      </c>
      <c r="C4" s="539"/>
      <c r="D4" s="539"/>
      <c r="E4" s="619"/>
    </row>
    <row r="5" spans="2:5" ht="30.75" customHeight="1" thickBot="1">
      <c r="B5" s="416" t="s">
        <v>97</v>
      </c>
      <c r="C5" s="499" t="s">
        <v>98</v>
      </c>
      <c r="D5" s="500" t="s">
        <v>165</v>
      </c>
      <c r="E5" s="501" t="s">
        <v>99</v>
      </c>
    </row>
    <row r="6" spans="2:5" ht="15">
      <c r="B6" s="502" t="s">
        <v>100</v>
      </c>
      <c r="C6" s="503" t="s">
        <v>166</v>
      </c>
      <c r="D6" s="504" t="s">
        <v>167</v>
      </c>
      <c r="E6" s="504" t="s">
        <v>168</v>
      </c>
    </row>
    <row r="7" spans="2:5" ht="15.75" thickBot="1">
      <c r="B7" s="502" t="s">
        <v>169</v>
      </c>
      <c r="C7" s="503" t="s">
        <v>170</v>
      </c>
      <c r="D7" s="504" t="s">
        <v>171</v>
      </c>
      <c r="E7" s="504" t="s">
        <v>171</v>
      </c>
    </row>
    <row r="8" spans="2:5" ht="15.75" thickBot="1">
      <c r="B8" s="482" t="s">
        <v>27</v>
      </c>
      <c r="C8" s="359" t="s">
        <v>166</v>
      </c>
      <c r="D8" s="464" t="s">
        <v>172</v>
      </c>
      <c r="E8" s="464" t="s">
        <v>173</v>
      </c>
    </row>
    <row r="9" spans="2:5" ht="15.75" thickBot="1">
      <c r="B9" s="319" t="s">
        <v>386</v>
      </c>
      <c r="C9" s="320"/>
      <c r="D9" s="320"/>
      <c r="E9" s="321"/>
    </row>
    <row r="10" ht="15.75" thickBot="1">
      <c r="D10" s="9"/>
    </row>
    <row r="11" spans="2:3" ht="21" customHeight="1" thickBot="1">
      <c r="B11" s="602" t="s">
        <v>577</v>
      </c>
      <c r="C11" s="604"/>
    </row>
    <row r="12" spans="2:3" ht="15">
      <c r="B12" s="101" t="s">
        <v>101</v>
      </c>
      <c r="C12" s="64">
        <v>96000</v>
      </c>
    </row>
    <row r="13" spans="2:3" ht="15">
      <c r="B13" s="18" t="s">
        <v>259</v>
      </c>
      <c r="C13" s="142">
        <v>0.105</v>
      </c>
    </row>
    <row r="14" spans="2:3" ht="15">
      <c r="B14" s="18" t="s">
        <v>254</v>
      </c>
      <c r="C14" s="147">
        <v>5</v>
      </c>
    </row>
    <row r="15" spans="2:3" ht="15">
      <c r="B15" s="18" t="s">
        <v>255</v>
      </c>
      <c r="C15" s="147">
        <v>1</v>
      </c>
    </row>
    <row r="16" spans="2:3" ht="15">
      <c r="B16" s="18" t="s">
        <v>102</v>
      </c>
      <c r="C16" s="147">
        <v>0</v>
      </c>
    </row>
    <row r="17" spans="2:3" ht="15.75" thickBot="1">
      <c r="B17" s="102" t="s">
        <v>103</v>
      </c>
      <c r="C17" s="141" t="s">
        <v>106</v>
      </c>
    </row>
    <row r="18" spans="2:3" ht="15.75" thickBot="1">
      <c r="B18" s="505" t="s">
        <v>386</v>
      </c>
      <c r="C18" s="321"/>
    </row>
    <row r="19" ht="15.75" thickBot="1"/>
    <row r="20" spans="2:6" ht="15.75" thickBot="1">
      <c r="B20" s="139" t="s">
        <v>258</v>
      </c>
      <c r="C20" s="135" t="s">
        <v>256</v>
      </c>
      <c r="D20" s="135" t="s">
        <v>104</v>
      </c>
      <c r="E20" s="135" t="s">
        <v>105</v>
      </c>
      <c r="F20" s="135" t="s">
        <v>257</v>
      </c>
    </row>
    <row r="21" spans="2:6" ht="15">
      <c r="B21" s="140" t="s">
        <v>106</v>
      </c>
      <c r="C21" s="118">
        <v>96000</v>
      </c>
      <c r="D21" s="118" t="s">
        <v>260</v>
      </c>
      <c r="E21" s="118" t="s">
        <v>260</v>
      </c>
      <c r="F21" s="118" t="s">
        <v>260</v>
      </c>
    </row>
    <row r="22" spans="2:8" ht="15">
      <c r="B22" s="140" t="s">
        <v>107</v>
      </c>
      <c r="C22" s="118">
        <f>+C21-D22</f>
        <v>80431.15244331239</v>
      </c>
      <c r="D22" s="118">
        <f>+F22-E22</f>
        <v>15568.847556687611</v>
      </c>
      <c r="E22" s="118">
        <f>+C21*0.105</f>
        <v>10080</v>
      </c>
      <c r="F22" s="118">
        <f>+$C$21*(0.105*(0.105+1)^$C$14)/(((1+0.105)^$C$14)-1)</f>
        <v>25648.84755668761</v>
      </c>
      <c r="H22">
        <f>+E22/12</f>
        <v>840</v>
      </c>
    </row>
    <row r="23" spans="2:6" ht="15">
      <c r="B23" s="140" t="s">
        <v>108</v>
      </c>
      <c r="C23" s="118">
        <f>+C22-D23</f>
        <v>63227.57589317257</v>
      </c>
      <c r="D23" s="118">
        <f>+F23-E23</f>
        <v>17203.576550139813</v>
      </c>
      <c r="E23" s="118">
        <f>+C22*0.105</f>
        <v>8445.2710065478</v>
      </c>
      <c r="F23" s="118">
        <f>+$C$21*(0.105*(0.105+1)^$C$14)/(((1+0.105)^$C$14)-1)</f>
        <v>25648.84755668761</v>
      </c>
    </row>
    <row r="24" spans="2:6" ht="15">
      <c r="B24" s="140" t="s">
        <v>109</v>
      </c>
      <c r="C24" s="118">
        <f>+C23-D24</f>
        <v>44217.623805268086</v>
      </c>
      <c r="D24" s="118">
        <f>+F24-E24</f>
        <v>19009.95208790449</v>
      </c>
      <c r="E24" s="118">
        <f>+C23*0.105</f>
        <v>6638.89546878312</v>
      </c>
      <c r="F24" s="118">
        <f>+$C$21*(0.105*(0.105+1)^$C$14)/(((1+0.105)^$C$14)-1)</f>
        <v>25648.84755668761</v>
      </c>
    </row>
    <row r="25" spans="2:6" ht="15">
      <c r="B25" s="140" t="s">
        <v>110</v>
      </c>
      <c r="C25" s="118">
        <f>+C24-D25</f>
        <v>23211.62674813362</v>
      </c>
      <c r="D25" s="118">
        <f>+F25-E25</f>
        <v>21005.997057134464</v>
      </c>
      <c r="E25" s="118">
        <f>+C24*0.105</f>
        <v>4642.850499553148</v>
      </c>
      <c r="F25" s="118">
        <f>+$C$21*(0.105*(0.105+1)^$C$14)/(((1+0.105)^$C$14)-1)</f>
        <v>25648.84755668761</v>
      </c>
    </row>
    <row r="26" spans="2:6" ht="15.75" thickBot="1">
      <c r="B26" s="140" t="s">
        <v>111</v>
      </c>
      <c r="C26" s="47">
        <v>0</v>
      </c>
      <c r="D26" s="118">
        <f>+F26-E26</f>
        <v>23211.62674813358</v>
      </c>
      <c r="E26" s="118">
        <f>+C25*0.105</f>
        <v>2437.22080855403</v>
      </c>
      <c r="F26" s="118">
        <f>+$C$21*(0.105*(0.105+1)^$C$14)/(((1+0.105)^$C$14)-1)</f>
        <v>25648.84755668761</v>
      </c>
    </row>
    <row r="27" spans="2:9" ht="15.75" thickBot="1">
      <c r="B27" s="506" t="s">
        <v>55</v>
      </c>
      <c r="C27" s="506"/>
      <c r="D27" s="507">
        <f>SUM(D21:D26)</f>
        <v>95999.99999999996</v>
      </c>
      <c r="E27" s="483">
        <f>SUM(E21:E26)</f>
        <v>32244.2377834381</v>
      </c>
      <c r="F27" s="484">
        <f>SUM(F21:F26)</f>
        <v>128244.23778343806</v>
      </c>
      <c r="G27">
        <f>+D27/12</f>
        <v>7999.999999999996</v>
      </c>
      <c r="H27">
        <f>+E27/12</f>
        <v>2687.019815286508</v>
      </c>
      <c r="I27">
        <f>+F27/12</f>
        <v>10687.019815286505</v>
      </c>
    </row>
    <row r="34" ht="15.75" thickBot="1"/>
    <row r="35" spans="2:3" ht="15">
      <c r="B35" s="535" t="s">
        <v>112</v>
      </c>
      <c r="C35" s="620"/>
    </row>
    <row r="36" spans="2:3" ht="15.75" thickBot="1">
      <c r="B36" s="538" t="s">
        <v>164</v>
      </c>
      <c r="C36" s="619"/>
    </row>
    <row r="37" spans="2:3" ht="15.75" thickBot="1">
      <c r="B37" s="143" t="s">
        <v>113</v>
      </c>
      <c r="C37" s="112" t="s">
        <v>27</v>
      </c>
    </row>
    <row r="38" spans="2:3" ht="15">
      <c r="B38" s="18" t="s">
        <v>114</v>
      </c>
      <c r="C38" s="146"/>
    </row>
    <row r="39" spans="2:3" ht="15">
      <c r="B39" s="145" t="s">
        <v>119</v>
      </c>
      <c r="C39" s="147" t="s">
        <v>174</v>
      </c>
    </row>
    <row r="40" spans="2:3" ht="15">
      <c r="B40" s="145" t="s">
        <v>176</v>
      </c>
      <c r="C40" s="147" t="s">
        <v>177</v>
      </c>
    </row>
    <row r="41" spans="2:3" ht="15">
      <c r="B41" s="145" t="s">
        <v>116</v>
      </c>
      <c r="C41" s="147" t="s">
        <v>178</v>
      </c>
    </row>
    <row r="42" spans="2:3" ht="15.75" thickBot="1">
      <c r="B42" s="145" t="s">
        <v>117</v>
      </c>
      <c r="C42" s="144" t="s">
        <v>179</v>
      </c>
    </row>
    <row r="43" spans="2:3" ht="15">
      <c r="B43" s="145"/>
      <c r="C43" s="147"/>
    </row>
    <row r="44" spans="2:3" ht="15">
      <c r="B44" s="18" t="s">
        <v>118</v>
      </c>
      <c r="C44" s="147" t="s">
        <v>172</v>
      </c>
    </row>
    <row r="45" spans="2:3" ht="15.75" thickBot="1">
      <c r="B45" s="145"/>
      <c r="C45" s="147"/>
    </row>
    <row r="46" spans="2:3" ht="15.75" thickBot="1">
      <c r="B46" s="301" t="s">
        <v>163</v>
      </c>
      <c r="C46" s="302" t="s">
        <v>172</v>
      </c>
    </row>
  </sheetData>
  <sheetProtection/>
  <mergeCells count="5">
    <mergeCell ref="B36:C36"/>
    <mergeCell ref="B35:C35"/>
    <mergeCell ref="B3:E3"/>
    <mergeCell ref="B4:E4"/>
    <mergeCell ref="B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B2:Q84"/>
  <sheetViews>
    <sheetView zoomScalePageLayoutView="0" workbookViewId="0" topLeftCell="B1">
      <selection activeCell="D26" sqref="D26"/>
    </sheetView>
  </sheetViews>
  <sheetFormatPr defaultColWidth="11.421875" defaultRowHeight="15"/>
  <cols>
    <col min="1" max="1" width="11.421875" style="160" customWidth="1"/>
    <col min="2" max="2" width="32.421875" style="160" customWidth="1"/>
    <col min="3" max="3" width="22.7109375" style="160" customWidth="1"/>
    <col min="4" max="4" width="13.421875" style="160" customWidth="1"/>
    <col min="5" max="5" width="12.140625" style="160" customWidth="1"/>
    <col min="6" max="6" width="14.421875" style="160" customWidth="1"/>
    <col min="7" max="7" width="14.57421875" style="160" customWidth="1"/>
    <col min="8" max="8" width="15.140625" style="160" customWidth="1"/>
    <col min="9" max="9" width="11.7109375" style="160" customWidth="1"/>
    <col min="10" max="10" width="11.421875" style="160" bestFit="1" customWidth="1"/>
    <col min="11" max="11" width="16.00390625" style="160" customWidth="1"/>
    <col min="12" max="12" width="15.28125" style="160" customWidth="1"/>
    <col min="13" max="13" width="11.57421875" style="160" bestFit="1" customWidth="1"/>
    <col min="14" max="14" width="11.421875" style="160" bestFit="1" customWidth="1"/>
    <col min="15" max="16384" width="11.421875" style="160" customWidth="1"/>
  </cols>
  <sheetData>
    <row r="1" ht="13.5" thickBot="1"/>
    <row r="2" spans="3:14" ht="15.75" thickBot="1">
      <c r="C2" s="633" t="s">
        <v>578</v>
      </c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5"/>
    </row>
    <row r="3" spans="2:17" ht="13.5" thickBot="1">
      <c r="B3" s="509" t="s">
        <v>261</v>
      </c>
      <c r="C3" s="508" t="s">
        <v>262</v>
      </c>
      <c r="D3" s="508" t="s">
        <v>263</v>
      </c>
      <c r="E3" s="508" t="s">
        <v>264</v>
      </c>
      <c r="F3" s="508" t="s">
        <v>265</v>
      </c>
      <c r="G3" s="508" t="s">
        <v>266</v>
      </c>
      <c r="H3" s="508" t="s">
        <v>267</v>
      </c>
      <c r="I3" s="508" t="s">
        <v>268</v>
      </c>
      <c r="J3" s="508" t="s">
        <v>269</v>
      </c>
      <c r="K3" s="508" t="s">
        <v>270</v>
      </c>
      <c r="L3" s="508" t="s">
        <v>271</v>
      </c>
      <c r="M3" s="508" t="s">
        <v>272</v>
      </c>
      <c r="N3" s="508" t="s">
        <v>273</v>
      </c>
      <c r="O3" s="161" t="s">
        <v>274</v>
      </c>
      <c r="Q3" s="162"/>
    </row>
    <row r="4" spans="2:17" ht="12.75">
      <c r="B4" s="150" t="s">
        <v>275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Q4" s="163">
        <v>200</v>
      </c>
    </row>
    <row r="5" spans="2:14" ht="12.75">
      <c r="B5" s="151" t="s">
        <v>276</v>
      </c>
      <c r="C5" s="152">
        <v>5.25</v>
      </c>
      <c r="D5" s="152">
        <v>5.25</v>
      </c>
      <c r="E5" s="152">
        <v>5.25</v>
      </c>
      <c r="F5" s="152">
        <v>5.25</v>
      </c>
      <c r="G5" s="152">
        <v>5.25</v>
      </c>
      <c r="H5" s="152">
        <v>5.25</v>
      </c>
      <c r="I5" s="152">
        <v>5.25</v>
      </c>
      <c r="J5" s="152">
        <v>5.25</v>
      </c>
      <c r="K5" s="152">
        <v>5.25</v>
      </c>
      <c r="L5" s="152">
        <v>5.25</v>
      </c>
      <c r="M5" s="152">
        <v>5.25</v>
      </c>
      <c r="N5" s="152">
        <v>5.25</v>
      </c>
    </row>
    <row r="6" spans="2:16" ht="12.75">
      <c r="B6" s="151" t="s">
        <v>53</v>
      </c>
      <c r="C6" s="153">
        <v>5200</v>
      </c>
      <c r="D6" s="153">
        <f>C6+$Q$4</f>
        <v>5400</v>
      </c>
      <c r="E6" s="153">
        <f>+D6+$Q$4</f>
        <v>5600</v>
      </c>
      <c r="F6" s="153">
        <f aca="true" t="shared" si="0" ref="F6:N6">+E6+$Q$4</f>
        <v>5800</v>
      </c>
      <c r="G6" s="153">
        <f t="shared" si="0"/>
        <v>6000</v>
      </c>
      <c r="H6" s="153">
        <f t="shared" si="0"/>
        <v>6200</v>
      </c>
      <c r="I6" s="153">
        <f t="shared" si="0"/>
        <v>6400</v>
      </c>
      <c r="J6" s="153">
        <f t="shared" si="0"/>
        <v>6600</v>
      </c>
      <c r="K6" s="153">
        <f t="shared" si="0"/>
        <v>6800</v>
      </c>
      <c r="L6" s="153">
        <f t="shared" si="0"/>
        <v>7000</v>
      </c>
      <c r="M6" s="153">
        <f t="shared" si="0"/>
        <v>7200</v>
      </c>
      <c r="N6" s="153">
        <f t="shared" si="0"/>
        <v>7400</v>
      </c>
      <c r="O6" s="515">
        <f>SUM(C6:N6)</f>
        <v>75600</v>
      </c>
      <c r="P6" s="203">
        <f>SUM(C6:O6)</f>
        <v>151200</v>
      </c>
    </row>
    <row r="7" spans="2:15" ht="29.25" customHeight="1">
      <c r="B7" s="154" t="s">
        <v>277</v>
      </c>
      <c r="C7" s="155">
        <f>+C6*C5</f>
        <v>27300</v>
      </c>
      <c r="D7" s="155">
        <f aca="true" t="shared" si="1" ref="D7:N7">+D6*D5</f>
        <v>28350</v>
      </c>
      <c r="E7" s="155">
        <f t="shared" si="1"/>
        <v>29400</v>
      </c>
      <c r="F7" s="155">
        <f t="shared" si="1"/>
        <v>30450</v>
      </c>
      <c r="G7" s="155">
        <f t="shared" si="1"/>
        <v>31500</v>
      </c>
      <c r="H7" s="155">
        <f t="shared" si="1"/>
        <v>32550</v>
      </c>
      <c r="I7" s="155">
        <f t="shared" si="1"/>
        <v>33600</v>
      </c>
      <c r="J7" s="155">
        <f t="shared" si="1"/>
        <v>34650</v>
      </c>
      <c r="K7" s="155">
        <f t="shared" si="1"/>
        <v>35700</v>
      </c>
      <c r="L7" s="155">
        <f t="shared" si="1"/>
        <v>36750</v>
      </c>
      <c r="M7" s="155">
        <f t="shared" si="1"/>
        <v>37800</v>
      </c>
      <c r="N7" s="155">
        <f t="shared" si="1"/>
        <v>38850</v>
      </c>
      <c r="O7" s="203">
        <f aca="true" t="shared" si="2" ref="O7:O18">SUM(C7:N7)</f>
        <v>396900</v>
      </c>
    </row>
    <row r="8" spans="2:15" ht="12.75">
      <c r="B8" s="150" t="s">
        <v>278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203">
        <f t="shared" si="2"/>
        <v>0</v>
      </c>
    </row>
    <row r="9" spans="2:16" ht="12.75">
      <c r="B9" s="156" t="s">
        <v>284</v>
      </c>
      <c r="C9" s="241">
        <f>+'costos VARIABLES'!J28</f>
        <v>14261.583333333332</v>
      </c>
      <c r="D9" s="241">
        <f>+'costos VARIABLES'!K28</f>
        <v>13051.583333333332</v>
      </c>
      <c r="E9" s="241">
        <f>+'costos VARIABLES'!L28</f>
        <v>13051.583333333332</v>
      </c>
      <c r="F9" s="241">
        <f>+'costos VARIABLES'!M28</f>
        <v>13051.583333333332</v>
      </c>
      <c r="G9" s="241">
        <f>+'costos VARIABLES'!N28</f>
        <v>13051.583333333332</v>
      </c>
      <c r="H9" s="241">
        <f>+'costos VARIABLES'!O28</f>
        <v>13361.583333333332</v>
      </c>
      <c r="I9" s="241">
        <f>+'costos VARIABLES'!P28</f>
        <v>13051.583333333332</v>
      </c>
      <c r="J9" s="241">
        <f>+'costos VARIABLES'!Q28</f>
        <v>13051.583333333332</v>
      </c>
      <c r="K9" s="241">
        <f>+'costos VARIABLES'!R28</f>
        <v>13051.583333333332</v>
      </c>
      <c r="L9" s="241">
        <f>+'costos VARIABLES'!S28</f>
        <v>13051.583333333332</v>
      </c>
      <c r="M9" s="241">
        <f>+'costos VARIABLES'!T28</f>
        <v>13051.583333333332</v>
      </c>
      <c r="N9" s="241">
        <f>+'costos VARIABLES'!U28</f>
        <v>13361.583333333332</v>
      </c>
      <c r="O9" s="203">
        <f t="shared" si="2"/>
        <v>158449</v>
      </c>
      <c r="P9" s="160">
        <f>+E9*0.15</f>
        <v>1957.7374999999997</v>
      </c>
    </row>
    <row r="10" spans="2:15" ht="12.75">
      <c r="B10" s="156" t="s">
        <v>279</v>
      </c>
      <c r="C10" s="157">
        <v>1100</v>
      </c>
      <c r="D10" s="157">
        <v>1100</v>
      </c>
      <c r="E10" s="239">
        <v>1100</v>
      </c>
      <c r="F10" s="239">
        <v>1100</v>
      </c>
      <c r="G10" s="239">
        <v>1100</v>
      </c>
      <c r="H10" s="239">
        <v>1100</v>
      </c>
      <c r="I10" s="239">
        <v>1100</v>
      </c>
      <c r="J10" s="239">
        <v>1100</v>
      </c>
      <c r="K10" s="239">
        <v>1100</v>
      </c>
      <c r="L10" s="239">
        <v>1100</v>
      </c>
      <c r="M10" s="239">
        <v>1100</v>
      </c>
      <c r="N10" s="239">
        <v>1100</v>
      </c>
      <c r="O10" s="203">
        <f t="shared" si="2"/>
        <v>13200</v>
      </c>
    </row>
    <row r="11" spans="2:15" ht="12.75">
      <c r="B11" s="156" t="s">
        <v>280</v>
      </c>
      <c r="C11" s="157">
        <v>6630</v>
      </c>
      <c r="D11" s="157">
        <v>6630</v>
      </c>
      <c r="E11" s="239">
        <v>6630</v>
      </c>
      <c r="F11" s="239">
        <v>6630</v>
      </c>
      <c r="G11" s="239">
        <v>6630</v>
      </c>
      <c r="H11" s="239">
        <v>6630</v>
      </c>
      <c r="I11" s="239">
        <v>6630</v>
      </c>
      <c r="J11" s="239">
        <v>6630</v>
      </c>
      <c r="K11" s="239">
        <v>6630</v>
      </c>
      <c r="L11" s="239">
        <v>6630</v>
      </c>
      <c r="M11" s="239">
        <v>6630</v>
      </c>
      <c r="N11" s="239">
        <v>6630</v>
      </c>
      <c r="O11" s="203">
        <f t="shared" si="2"/>
        <v>79560</v>
      </c>
    </row>
    <row r="12" spans="2:15" ht="12.75">
      <c r="B12" s="156" t="s">
        <v>281</v>
      </c>
      <c r="C12" s="157">
        <v>8206.5</v>
      </c>
      <c r="D12" s="157">
        <v>8206.5</v>
      </c>
      <c r="E12" s="239">
        <v>8206.5</v>
      </c>
      <c r="F12" s="239">
        <v>8206.5</v>
      </c>
      <c r="G12" s="239">
        <v>8206.5</v>
      </c>
      <c r="H12" s="239">
        <v>8206.5</v>
      </c>
      <c r="I12" s="239">
        <v>8206.5</v>
      </c>
      <c r="J12" s="239">
        <v>8206.5</v>
      </c>
      <c r="K12" s="239">
        <v>8206.5</v>
      </c>
      <c r="L12" s="239">
        <v>8206.5</v>
      </c>
      <c r="M12" s="239">
        <v>8206.5</v>
      </c>
      <c r="N12" s="239">
        <v>8206.5</v>
      </c>
      <c r="O12" s="203">
        <f t="shared" si="2"/>
        <v>98478</v>
      </c>
    </row>
    <row r="13" spans="2:15" ht="12.75">
      <c r="B13" s="156" t="s">
        <v>285</v>
      </c>
      <c r="C13" s="157">
        <v>70</v>
      </c>
      <c r="D13" s="157">
        <v>70</v>
      </c>
      <c r="E13" s="239">
        <v>70</v>
      </c>
      <c r="F13" s="239">
        <v>70</v>
      </c>
      <c r="G13" s="239">
        <v>70</v>
      </c>
      <c r="H13" s="239">
        <v>70</v>
      </c>
      <c r="I13" s="239">
        <v>70</v>
      </c>
      <c r="J13" s="239">
        <v>70</v>
      </c>
      <c r="K13" s="239">
        <v>70</v>
      </c>
      <c r="L13" s="239">
        <v>70</v>
      </c>
      <c r="M13" s="239">
        <v>70</v>
      </c>
      <c r="N13" s="239">
        <v>70</v>
      </c>
      <c r="O13" s="203">
        <f t="shared" si="2"/>
        <v>840</v>
      </c>
    </row>
    <row r="14" spans="2:15" ht="12.75">
      <c r="B14" s="156" t="s">
        <v>286</v>
      </c>
      <c r="C14" s="157">
        <v>130</v>
      </c>
      <c r="D14" s="157">
        <v>130</v>
      </c>
      <c r="E14" s="239">
        <v>130</v>
      </c>
      <c r="F14" s="239">
        <v>130</v>
      </c>
      <c r="G14" s="239">
        <v>130</v>
      </c>
      <c r="H14" s="239">
        <v>130</v>
      </c>
      <c r="I14" s="239">
        <v>130</v>
      </c>
      <c r="J14" s="239">
        <v>130</v>
      </c>
      <c r="K14" s="239">
        <v>130</v>
      </c>
      <c r="L14" s="239">
        <v>130</v>
      </c>
      <c r="M14" s="239">
        <v>130</v>
      </c>
      <c r="N14" s="239">
        <v>130</v>
      </c>
      <c r="O14" s="203">
        <f t="shared" si="2"/>
        <v>1560</v>
      </c>
    </row>
    <row r="15" spans="2:15" ht="12.75">
      <c r="B15" s="156" t="s">
        <v>287</v>
      </c>
      <c r="C15" s="157">
        <f>+INVERSION!H22</f>
        <v>840</v>
      </c>
      <c r="D15" s="157">
        <v>840</v>
      </c>
      <c r="E15" s="239">
        <v>840</v>
      </c>
      <c r="F15" s="239">
        <v>840</v>
      </c>
      <c r="G15" s="239">
        <v>840</v>
      </c>
      <c r="H15" s="239">
        <v>840</v>
      </c>
      <c r="I15" s="239">
        <v>840</v>
      </c>
      <c r="J15" s="239">
        <v>840</v>
      </c>
      <c r="K15" s="239">
        <v>840</v>
      </c>
      <c r="L15" s="239">
        <v>840</v>
      </c>
      <c r="M15" s="239">
        <v>840</v>
      </c>
      <c r="N15" s="239">
        <v>840</v>
      </c>
      <c r="O15" s="515">
        <f t="shared" si="2"/>
        <v>10080</v>
      </c>
    </row>
    <row r="16" spans="2:15" ht="12.75">
      <c r="B16" s="151" t="s">
        <v>282</v>
      </c>
      <c r="C16" s="208">
        <f aca="true" t="shared" si="3" ref="C16:K16">SUM(C9:C15)</f>
        <v>31238.083333333332</v>
      </c>
      <c r="D16" s="208">
        <f t="shared" si="3"/>
        <v>30028.083333333332</v>
      </c>
      <c r="E16" s="239">
        <f t="shared" si="3"/>
        <v>30028.083333333332</v>
      </c>
      <c r="F16" s="239">
        <f>SUM(F9:F15)</f>
        <v>30028.083333333332</v>
      </c>
      <c r="G16" s="239">
        <f t="shared" si="3"/>
        <v>30028.083333333332</v>
      </c>
      <c r="H16" s="239">
        <f t="shared" si="3"/>
        <v>30338.083333333332</v>
      </c>
      <c r="I16" s="239">
        <f t="shared" si="3"/>
        <v>30028.083333333332</v>
      </c>
      <c r="J16" s="239">
        <f t="shared" si="3"/>
        <v>30028.083333333332</v>
      </c>
      <c r="K16" s="239">
        <f t="shared" si="3"/>
        <v>30028.083333333332</v>
      </c>
      <c r="L16" s="239">
        <f>SUM(L9:L15)</f>
        <v>30028.083333333332</v>
      </c>
      <c r="M16" s="239">
        <f>SUM(M9:M15)</f>
        <v>30028.083333333332</v>
      </c>
      <c r="N16" s="239">
        <f>SUM(N9:N15)</f>
        <v>30338.083333333332</v>
      </c>
      <c r="O16" s="203">
        <f t="shared" si="2"/>
        <v>362166.99999999994</v>
      </c>
    </row>
    <row r="17" spans="2:15" ht="12.75">
      <c r="B17" s="158" t="s">
        <v>283</v>
      </c>
      <c r="C17" s="155">
        <f aca="true" t="shared" si="4" ref="C17:K17">+C7-C16</f>
        <v>-3938.083333333332</v>
      </c>
      <c r="D17" s="155">
        <f>+D7-D16</f>
        <v>-1678.0833333333321</v>
      </c>
      <c r="E17" s="155">
        <f t="shared" si="4"/>
        <v>-628.0833333333321</v>
      </c>
      <c r="F17" s="155">
        <f>+F7-F16</f>
        <v>421.9166666666679</v>
      </c>
      <c r="G17" s="155">
        <f t="shared" si="4"/>
        <v>1471.9166666666679</v>
      </c>
      <c r="H17" s="155">
        <f t="shared" si="4"/>
        <v>2211.916666666668</v>
      </c>
      <c r="I17" s="155">
        <f t="shared" si="4"/>
        <v>3571.916666666668</v>
      </c>
      <c r="J17" s="155">
        <f t="shared" si="4"/>
        <v>4621.916666666668</v>
      </c>
      <c r="K17" s="155">
        <f t="shared" si="4"/>
        <v>5671.916666666668</v>
      </c>
      <c r="L17" s="209">
        <f>SUM(L9:L16)</f>
        <v>60056.166666666664</v>
      </c>
      <c r="M17" s="240">
        <f>SUM(M9:M16)</f>
        <v>60056.166666666664</v>
      </c>
      <c r="N17" s="150">
        <f>SUM(N9:N16)</f>
        <v>60676.166666666664</v>
      </c>
      <c r="O17" s="203">
        <f t="shared" si="2"/>
        <v>192515.75</v>
      </c>
    </row>
    <row r="18" spans="2:15" ht="12.75">
      <c r="B18" s="510" t="s">
        <v>332</v>
      </c>
      <c r="C18" s="511">
        <f>+C17</f>
        <v>-3938.083333333332</v>
      </c>
      <c r="D18" s="511">
        <f>+D17+C18</f>
        <v>-5616.166666666664</v>
      </c>
      <c r="E18" s="511">
        <f aca="true" t="shared" si="5" ref="E18:K18">+E17+D18</f>
        <v>-6244.249999999996</v>
      </c>
      <c r="F18" s="511">
        <f t="shared" si="5"/>
        <v>-5822.3333333333285</v>
      </c>
      <c r="G18" s="511">
        <f>+G17+F18</f>
        <v>-4350.416666666661</v>
      </c>
      <c r="H18" s="511">
        <f t="shared" si="5"/>
        <v>-2138.4999999999927</v>
      </c>
      <c r="I18" s="511">
        <f t="shared" si="5"/>
        <v>1433.4166666666752</v>
      </c>
      <c r="J18" s="511">
        <f t="shared" si="5"/>
        <v>6055.333333333343</v>
      </c>
      <c r="K18" s="511">
        <f t="shared" si="5"/>
        <v>11727.250000000011</v>
      </c>
      <c r="L18" s="511">
        <f>+L17-K18</f>
        <v>48328.91666666666</v>
      </c>
      <c r="M18" s="511">
        <f>+M17-L18</f>
        <v>11727.250000000007</v>
      </c>
      <c r="N18" s="511">
        <f>+N17-M18</f>
        <v>48948.91666666666</v>
      </c>
      <c r="O18" s="203">
        <f t="shared" si="2"/>
        <v>100111.33333333337</v>
      </c>
    </row>
    <row r="19" spans="11:16" ht="12.75">
      <c r="K19" s="512"/>
      <c r="L19" s="513"/>
      <c r="M19" s="513"/>
      <c r="N19" s="513"/>
      <c r="O19" s="514"/>
      <c r="P19" s="512"/>
    </row>
    <row r="20" spans="11:16" ht="12.75">
      <c r="K20" s="512"/>
      <c r="L20" s="512"/>
      <c r="M20" s="512"/>
      <c r="N20" s="512"/>
      <c r="O20" s="514"/>
      <c r="P20" s="512"/>
    </row>
    <row r="21" spans="11:16" ht="12.75">
      <c r="K21" s="512"/>
      <c r="L21" s="512"/>
      <c r="M21" s="512"/>
      <c r="N21" s="512"/>
      <c r="O21" s="512"/>
      <c r="P21" s="512"/>
    </row>
    <row r="33" ht="13.5" thickBot="1"/>
    <row r="34" spans="2:8" ht="13.5" thickBot="1">
      <c r="B34" s="164"/>
      <c r="C34" s="165"/>
      <c r="D34" s="636" t="s">
        <v>288</v>
      </c>
      <c r="E34" s="636"/>
      <c r="F34" s="636"/>
      <c r="G34" s="636"/>
      <c r="H34" s="637"/>
    </row>
    <row r="35" spans="2:8" ht="13.5" thickBot="1">
      <c r="B35" s="166" t="s">
        <v>289</v>
      </c>
      <c r="C35" s="167" t="s">
        <v>293</v>
      </c>
      <c r="D35" s="167">
        <v>2011</v>
      </c>
      <c r="E35" s="167">
        <v>2012</v>
      </c>
      <c r="F35" s="167">
        <v>2013</v>
      </c>
      <c r="G35" s="167">
        <v>2014</v>
      </c>
      <c r="H35" s="168">
        <v>2015</v>
      </c>
    </row>
    <row r="36" spans="2:8" ht="13.5" thickBot="1">
      <c r="B36" s="169" t="s">
        <v>290</v>
      </c>
      <c r="C36" s="170"/>
      <c r="D36" s="232">
        <f>+C6</f>
        <v>5200</v>
      </c>
      <c r="E36" s="232">
        <f>+D6</f>
        <v>5400</v>
      </c>
      <c r="F36" s="232">
        <f>+E6</f>
        <v>5600</v>
      </c>
      <c r="G36" s="171">
        <f>+F36+200</f>
        <v>5800</v>
      </c>
      <c r="H36" s="172">
        <f>+G36+200</f>
        <v>6000</v>
      </c>
    </row>
    <row r="37" spans="2:8" ht="13.5" thickBot="1">
      <c r="B37" s="173" t="s">
        <v>291</v>
      </c>
      <c r="C37" s="174" t="s">
        <v>293</v>
      </c>
      <c r="D37" s="174">
        <v>2011</v>
      </c>
      <c r="E37" s="174">
        <v>2012</v>
      </c>
      <c r="F37" s="174">
        <v>2013</v>
      </c>
      <c r="G37" s="174">
        <v>2014</v>
      </c>
      <c r="H37" s="175">
        <v>2015</v>
      </c>
    </row>
    <row r="38" spans="2:8" ht="13.5" thickBot="1">
      <c r="B38" s="169" t="s">
        <v>290</v>
      </c>
      <c r="C38" s="170" t="s">
        <v>294</v>
      </c>
      <c r="D38" s="171">
        <v>0.65</v>
      </c>
      <c r="E38" s="171">
        <v>0.65</v>
      </c>
      <c r="F38" s="171">
        <v>0.65</v>
      </c>
      <c r="G38" s="171">
        <v>0.65</v>
      </c>
      <c r="H38" s="172">
        <v>0.65</v>
      </c>
    </row>
    <row r="39" spans="2:8" ht="13.5" thickBot="1">
      <c r="B39" s="166" t="s">
        <v>292</v>
      </c>
      <c r="C39" s="167" t="s">
        <v>293</v>
      </c>
      <c r="D39" s="167">
        <v>2011</v>
      </c>
      <c r="E39" s="167">
        <v>2012</v>
      </c>
      <c r="F39" s="167">
        <v>2013</v>
      </c>
      <c r="G39" s="167">
        <v>2014</v>
      </c>
      <c r="H39" s="168">
        <v>2015</v>
      </c>
    </row>
    <row r="40" spans="2:8" ht="13.5" thickBot="1">
      <c r="B40" s="176" t="s">
        <v>290</v>
      </c>
      <c r="C40" s="177"/>
      <c r="D40" s="178">
        <f>+D36*D38</f>
        <v>3380</v>
      </c>
      <c r="E40" s="178">
        <f>+E36*E38</f>
        <v>3510</v>
      </c>
      <c r="F40" s="178">
        <f>+F36*F38</f>
        <v>3640</v>
      </c>
      <c r="G40" s="178">
        <f>+G36*G38</f>
        <v>3770</v>
      </c>
      <c r="H40" s="179">
        <f>+H36*H38</f>
        <v>3900</v>
      </c>
    </row>
    <row r="45" ht="12.75">
      <c r="I45" s="160">
        <f>128*5</f>
        <v>640</v>
      </c>
    </row>
    <row r="46" ht="13.5" thickBot="1"/>
    <row r="47" spans="3:9" ht="12.75">
      <c r="C47" s="180" t="s">
        <v>295</v>
      </c>
      <c r="D47" s="627" t="s">
        <v>295</v>
      </c>
      <c r="E47" s="628"/>
      <c r="F47" s="628"/>
      <c r="G47" s="628"/>
      <c r="H47" s="628"/>
      <c r="I47" s="629"/>
    </row>
    <row r="48" spans="3:9" ht="12" customHeight="1" thickBot="1">
      <c r="C48" s="181" t="s">
        <v>296</v>
      </c>
      <c r="D48" s="630"/>
      <c r="E48" s="631"/>
      <c r="F48" s="631"/>
      <c r="G48" s="631"/>
      <c r="H48" s="631"/>
      <c r="I48" s="632"/>
    </row>
    <row r="49" spans="3:11" ht="15.75" customHeight="1" thickBot="1">
      <c r="C49" s="182" t="s">
        <v>297</v>
      </c>
      <c r="D49" s="200" t="s">
        <v>300</v>
      </c>
      <c r="E49" s="201" t="s">
        <v>301</v>
      </c>
      <c r="F49" s="202" t="s">
        <v>302</v>
      </c>
      <c r="G49" s="201" t="s">
        <v>303</v>
      </c>
      <c r="H49" s="202" t="s">
        <v>306</v>
      </c>
      <c r="I49" s="201" t="s">
        <v>307</v>
      </c>
      <c r="K49" s="206" t="s">
        <v>112</v>
      </c>
    </row>
    <row r="50" spans="3:12" ht="13.5" thickBot="1">
      <c r="C50" s="183" t="s">
        <v>305</v>
      </c>
      <c r="D50" s="184">
        <v>15000</v>
      </c>
      <c r="E50" s="185">
        <v>10</v>
      </c>
      <c r="F50" s="186">
        <f>+D50/E50</f>
        <v>1500</v>
      </c>
      <c r="G50" s="185">
        <v>5</v>
      </c>
      <c r="H50" s="186">
        <f>+F50*G50</f>
        <v>7500</v>
      </c>
      <c r="I50" s="185">
        <v>0</v>
      </c>
      <c r="K50" s="204" t="s">
        <v>164</v>
      </c>
      <c r="L50" s="207"/>
    </row>
    <row r="51" spans="3:12" ht="13.5" thickBot="1">
      <c r="C51" s="183" t="s">
        <v>304</v>
      </c>
      <c r="D51" s="184">
        <v>66733</v>
      </c>
      <c r="E51" s="185">
        <v>5</v>
      </c>
      <c r="F51" s="186">
        <f>+D51/E51</f>
        <v>13346.6</v>
      </c>
      <c r="G51" s="185">
        <v>5</v>
      </c>
      <c r="H51" s="186">
        <f>+F51*G51</f>
        <v>66733</v>
      </c>
      <c r="I51" s="185">
        <v>0</v>
      </c>
      <c r="K51" s="191" t="s">
        <v>113</v>
      </c>
      <c r="L51" s="205"/>
    </row>
    <row r="52" spans="3:12" ht="13.5" thickBot="1">
      <c r="C52" s="183" t="s">
        <v>298</v>
      </c>
      <c r="D52" s="184">
        <v>2300</v>
      </c>
      <c r="E52" s="185">
        <v>3</v>
      </c>
      <c r="F52" s="186">
        <f>+D52/E52</f>
        <v>766.6666666666666</v>
      </c>
      <c r="G52" s="185">
        <v>3</v>
      </c>
      <c r="H52" s="186">
        <f>+F52*G52</f>
        <v>2300</v>
      </c>
      <c r="I52" s="185">
        <v>0</v>
      </c>
      <c r="K52" s="193" t="s">
        <v>333</v>
      </c>
      <c r="L52" s="192" t="s">
        <v>27</v>
      </c>
    </row>
    <row r="53" spans="3:12" ht="13.5" thickBot="1">
      <c r="C53" s="183" t="s">
        <v>299</v>
      </c>
      <c r="D53" s="184">
        <v>30000</v>
      </c>
      <c r="E53" s="185">
        <v>10</v>
      </c>
      <c r="F53" s="187">
        <f>+D53/E53</f>
        <v>3000</v>
      </c>
      <c r="G53" s="188">
        <v>5</v>
      </c>
      <c r="H53" s="187">
        <f>+F53*G53</f>
        <v>15000</v>
      </c>
      <c r="I53" s="188">
        <v>0</v>
      </c>
      <c r="K53" s="195" t="s">
        <v>119</v>
      </c>
      <c r="L53" s="194"/>
    </row>
    <row r="54" spans="3:12" ht="13.5" thickBot="1">
      <c r="C54" s="624" t="s">
        <v>308</v>
      </c>
      <c r="D54" s="626"/>
      <c r="E54" s="625"/>
      <c r="F54" s="189">
        <f>SUM(F50:F53)</f>
        <v>18613.266666666666</v>
      </c>
      <c r="G54" s="624" t="s">
        <v>295</v>
      </c>
      <c r="H54" s="625"/>
      <c r="I54" s="190">
        <v>0</v>
      </c>
      <c r="K54" s="195" t="s">
        <v>115</v>
      </c>
      <c r="L54" s="196" t="s">
        <v>174</v>
      </c>
    </row>
    <row r="55" spans="11:12" ht="15.75" customHeight="1">
      <c r="K55" s="195" t="s">
        <v>176</v>
      </c>
      <c r="L55" s="196" t="s">
        <v>175</v>
      </c>
    </row>
    <row r="56" spans="6:12" ht="12.75">
      <c r="F56" s="160">
        <f>+F54/12</f>
        <v>1551.1055555555556</v>
      </c>
      <c r="K56" s="195" t="s">
        <v>116</v>
      </c>
      <c r="L56" s="196" t="s">
        <v>177</v>
      </c>
    </row>
    <row r="57" spans="11:12" ht="12.75">
      <c r="K57" s="195" t="s">
        <v>117</v>
      </c>
      <c r="L57" s="196" t="s">
        <v>178</v>
      </c>
    </row>
    <row r="58" spans="11:12" ht="13.5" thickBot="1">
      <c r="K58" s="195"/>
      <c r="L58" s="197" t="s">
        <v>179</v>
      </c>
    </row>
    <row r="59" spans="11:12" ht="15">
      <c r="K59" s="159" t="s">
        <v>118</v>
      </c>
      <c r="L59" s="196"/>
    </row>
    <row r="60" spans="11:12" ht="13.5" thickBot="1">
      <c r="K60" s="195" t="s">
        <v>162</v>
      </c>
      <c r="L60" s="196" t="s">
        <v>172</v>
      </c>
    </row>
    <row r="61" spans="11:12" ht="13.5" thickBot="1">
      <c r="K61" s="198" t="s">
        <v>163</v>
      </c>
      <c r="L61" s="196" t="s">
        <v>166</v>
      </c>
    </row>
    <row r="62" ht="13.5" thickBot="1">
      <c r="L62" s="199">
        <v>240000</v>
      </c>
    </row>
    <row r="63" ht="12.75">
      <c r="B63" s="160" t="s">
        <v>353</v>
      </c>
    </row>
    <row r="64" ht="12.75">
      <c r="B64" s="160" t="s">
        <v>354</v>
      </c>
    </row>
    <row r="66" ht="12.75">
      <c r="B66" s="160" t="s">
        <v>355</v>
      </c>
    </row>
    <row r="67" ht="12.75">
      <c r="B67" s="160" t="s">
        <v>356</v>
      </c>
    </row>
    <row r="68" ht="12.75">
      <c r="B68" s="160" t="s">
        <v>357</v>
      </c>
    </row>
    <row r="69" ht="12.75">
      <c r="B69" s="160" t="s">
        <v>358</v>
      </c>
    </row>
    <row r="70" ht="12.75">
      <c r="B70" s="160" t="s">
        <v>359</v>
      </c>
    </row>
    <row r="71" ht="12.75">
      <c r="B71" s="160" t="s">
        <v>360</v>
      </c>
    </row>
    <row r="72" ht="12.75">
      <c r="B72" s="160" t="s">
        <v>361</v>
      </c>
    </row>
    <row r="75" ht="13.5" thickBot="1"/>
    <row r="76" spans="2:4" ht="12.75">
      <c r="B76" s="621" t="s">
        <v>362</v>
      </c>
      <c r="C76" s="622"/>
      <c r="D76" s="623"/>
    </row>
    <row r="77" spans="2:4" ht="15">
      <c r="B77" s="260" t="s">
        <v>363</v>
      </c>
      <c r="C77" s="257"/>
      <c r="D77" s="261"/>
    </row>
    <row r="78" spans="2:4" ht="15">
      <c r="B78" s="262" t="s">
        <v>364</v>
      </c>
      <c r="C78" s="258"/>
      <c r="D78" s="263">
        <v>0.87</v>
      </c>
    </row>
    <row r="79" spans="2:4" ht="15">
      <c r="B79" s="264" t="s">
        <v>365</v>
      </c>
      <c r="C79" s="259"/>
      <c r="D79" s="265"/>
    </row>
    <row r="80" spans="2:4" ht="15">
      <c r="B80" s="264" t="s">
        <v>366</v>
      </c>
      <c r="C80" s="259"/>
      <c r="D80" s="266">
        <v>0.085</v>
      </c>
    </row>
    <row r="81" spans="2:4" ht="15">
      <c r="B81" s="264" t="s">
        <v>367</v>
      </c>
      <c r="C81" s="259"/>
      <c r="D81" s="267">
        <v>0.023</v>
      </c>
    </row>
    <row r="82" spans="2:4" ht="15">
      <c r="B82" s="268" t="s">
        <v>368</v>
      </c>
      <c r="C82" s="259"/>
      <c r="D82" s="269">
        <f>D81+(D78*D80)</f>
        <v>0.09695000000000001</v>
      </c>
    </row>
    <row r="83" spans="2:4" ht="15">
      <c r="B83" s="264" t="s">
        <v>369</v>
      </c>
      <c r="C83" s="259"/>
      <c r="D83" s="270">
        <v>0.1006</v>
      </c>
    </row>
    <row r="84" spans="2:4" ht="15.75" thickBot="1">
      <c r="B84" s="271" t="s">
        <v>370</v>
      </c>
      <c r="C84" s="272"/>
      <c r="D84" s="273">
        <f>D82+D83</f>
        <v>0.19755</v>
      </c>
    </row>
  </sheetData>
  <sheetProtection/>
  <mergeCells count="6">
    <mergeCell ref="B76:D76"/>
    <mergeCell ref="G54:H54"/>
    <mergeCell ref="C54:E54"/>
    <mergeCell ref="D47:I48"/>
    <mergeCell ref="C2:N2"/>
    <mergeCell ref="D34:H3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PageLayoutView="0" workbookViewId="0" topLeftCell="A48">
      <selection activeCell="F64" sqref="F64"/>
    </sheetView>
  </sheetViews>
  <sheetFormatPr defaultColWidth="11.421875" defaultRowHeight="15"/>
  <cols>
    <col min="2" max="2" width="35.28125" style="0" customWidth="1"/>
    <col min="3" max="3" width="13.7109375" style="0" bestFit="1" customWidth="1"/>
    <col min="4" max="4" width="14.57421875" style="0" bestFit="1" customWidth="1"/>
    <col min="5" max="5" width="13.00390625" style="0" bestFit="1" customWidth="1"/>
    <col min="6" max="6" width="16.421875" style="0" customWidth="1"/>
    <col min="7" max="7" width="13.421875" style="0" customWidth="1"/>
    <col min="8" max="8" width="12.7109375" style="0" customWidth="1"/>
    <col min="9" max="11" width="0" style="0" hidden="1" customWidth="1"/>
  </cols>
  <sheetData>
    <row r="1" ht="15">
      <c r="H1">
        <v>1536</v>
      </c>
    </row>
    <row r="2" ht="15" hidden="1"/>
    <row r="3" ht="15" hidden="1"/>
    <row r="4" ht="15" hidden="1"/>
    <row r="5" ht="15" hidden="1">
      <c r="H5">
        <f>1536*0.07</f>
        <v>107.52000000000001</v>
      </c>
    </row>
    <row r="6" ht="15" hidden="1"/>
    <row r="7" spans="8:9" ht="15" hidden="1">
      <c r="H7">
        <f>1536-1644</f>
        <v>-108</v>
      </c>
      <c r="I7">
        <v>0.0709</v>
      </c>
    </row>
    <row r="8" spans="8:10" ht="15" hidden="1">
      <c r="H8">
        <v>1536</v>
      </c>
      <c r="I8" s="234">
        <f>+(H8*$I$7)+H8</f>
        <v>1644.9024</v>
      </c>
      <c r="J8">
        <f>+(I8*$I$7)+I8</f>
        <v>1761.52598016</v>
      </c>
    </row>
    <row r="9" ht="15" hidden="1"/>
    <row r="10" ht="15" hidden="1">
      <c r="I10">
        <v>307200</v>
      </c>
    </row>
    <row r="11" ht="15" hidden="1">
      <c r="I11">
        <v>19200</v>
      </c>
    </row>
    <row r="12" ht="15" hidden="1">
      <c r="I12">
        <v>92400</v>
      </c>
    </row>
    <row r="13" ht="15" hidden="1">
      <c r="I13">
        <v>12000</v>
      </c>
    </row>
    <row r="14" ht="15" hidden="1">
      <c r="I14">
        <v>6600</v>
      </c>
    </row>
    <row r="15" ht="15" hidden="1">
      <c r="I15">
        <v>22201</v>
      </c>
    </row>
    <row r="16" ht="15" hidden="1">
      <c r="I16">
        <v>10452</v>
      </c>
    </row>
    <row r="17" ht="15" hidden="1">
      <c r="I17">
        <v>16558</v>
      </c>
    </row>
    <row r="18" spans="9:10" ht="15" hidden="1">
      <c r="I18">
        <f>SUM(I10:I17)</f>
        <v>486611</v>
      </c>
      <c r="J18">
        <f>576000-I18</f>
        <v>89389</v>
      </c>
    </row>
    <row r="19" ht="15" hidden="1">
      <c r="J19">
        <f>+J18*0.15</f>
        <v>13408.35</v>
      </c>
    </row>
    <row r="20" ht="15" hidden="1">
      <c r="J20">
        <f>+J19-J18</f>
        <v>-75980.65</v>
      </c>
    </row>
    <row r="21" ht="15" hidden="1">
      <c r="H21">
        <f>22201-38129+118267+22877</f>
        <v>125216</v>
      </c>
    </row>
    <row r="22" ht="15" hidden="1">
      <c r="I22">
        <f>56985+22201-25574</f>
        <v>53612</v>
      </c>
    </row>
    <row r="23" ht="15" hidden="1"/>
    <row r="24" spans="8:9" ht="15" hidden="1">
      <c r="H24">
        <f>1536-1644</f>
        <v>-108</v>
      </c>
      <c r="I24">
        <f>108-147</f>
        <v>-39</v>
      </c>
    </row>
    <row r="25" spans="8:9" ht="15" hidden="1">
      <c r="H25">
        <f>1644-1791</f>
        <v>-147</v>
      </c>
      <c r="I25">
        <f>147-162</f>
        <v>-15</v>
      </c>
    </row>
    <row r="26" ht="15" hidden="1">
      <c r="H26">
        <f>1791-1953</f>
        <v>-162</v>
      </c>
    </row>
    <row r="27" ht="15" hidden="1"/>
    <row r="28" ht="15" hidden="1"/>
    <row r="29" ht="15" hidden="1"/>
    <row r="30" ht="15.75" thickBot="1"/>
    <row r="31" spans="2:8" ht="21">
      <c r="B31" s="638" t="s">
        <v>309</v>
      </c>
      <c r="C31" s="639"/>
      <c r="D31" s="639"/>
      <c r="E31" s="639"/>
      <c r="F31" s="639"/>
      <c r="G31" s="639"/>
      <c r="H31" s="640"/>
    </row>
    <row r="32" spans="2:8" ht="15.75" thickBot="1">
      <c r="B32" s="516"/>
      <c r="C32" s="517"/>
      <c r="D32" s="517"/>
      <c r="E32" s="517"/>
      <c r="F32" s="517"/>
      <c r="G32" s="517"/>
      <c r="H32" s="518"/>
    </row>
    <row r="33" spans="2:8" ht="15.75" thickBot="1">
      <c r="B33" s="519" t="s">
        <v>310</v>
      </c>
      <c r="C33" s="520" t="s">
        <v>352</v>
      </c>
      <c r="D33" s="521" t="s">
        <v>311</v>
      </c>
      <c r="E33" s="520" t="s">
        <v>312</v>
      </c>
      <c r="F33" s="521" t="s">
        <v>313</v>
      </c>
      <c r="G33" s="520" t="s">
        <v>314</v>
      </c>
      <c r="H33" s="521" t="s">
        <v>315</v>
      </c>
    </row>
    <row r="34" spans="2:10" ht="15">
      <c r="B34" s="254" t="s">
        <v>316</v>
      </c>
      <c r="C34" s="243">
        <v>-225905.5</v>
      </c>
      <c r="D34" s="247"/>
      <c r="E34" s="251"/>
      <c r="F34" s="247"/>
      <c r="G34" s="251"/>
      <c r="H34" s="247"/>
      <c r="J34">
        <v>0.15</v>
      </c>
    </row>
    <row r="35" spans="2:10" ht="15">
      <c r="B35" s="254" t="s">
        <v>317</v>
      </c>
      <c r="C35" s="244">
        <v>-6322</v>
      </c>
      <c r="D35" s="242"/>
      <c r="E35" s="246"/>
      <c r="F35" s="242"/>
      <c r="G35" s="246"/>
      <c r="H35" s="242"/>
      <c r="J35">
        <v>0.04</v>
      </c>
    </row>
    <row r="36" spans="2:8" ht="15">
      <c r="B36" s="254" t="s">
        <v>318</v>
      </c>
      <c r="C36" s="245">
        <v>96000</v>
      </c>
      <c r="D36" s="242"/>
      <c r="E36" s="246"/>
      <c r="F36" s="242"/>
      <c r="G36" s="246"/>
      <c r="H36" s="242"/>
    </row>
    <row r="37" spans="2:8" ht="15">
      <c r="B37" s="254" t="s">
        <v>319</v>
      </c>
      <c r="C37" s="246"/>
      <c r="D37" s="242"/>
      <c r="E37" s="246"/>
      <c r="F37" s="242"/>
      <c r="G37" s="246"/>
      <c r="H37" s="242"/>
    </row>
    <row r="38" spans="2:8" ht="15">
      <c r="B38" s="254" t="s">
        <v>276</v>
      </c>
      <c r="C38" s="246"/>
      <c r="D38" s="248">
        <v>5.25</v>
      </c>
      <c r="E38" s="248">
        <v>5.25</v>
      </c>
      <c r="F38" s="248">
        <v>5.25</v>
      </c>
      <c r="G38" s="248">
        <v>5.25</v>
      </c>
      <c r="H38" s="248">
        <v>5.25</v>
      </c>
    </row>
    <row r="39" spans="1:8" ht="15">
      <c r="A39" s="53"/>
      <c r="B39" s="254" t="s">
        <v>53</v>
      </c>
      <c r="C39" s="246"/>
      <c r="D39" s="249">
        <f>+'FLUJO CAPITAL DE TRABAJO'!O6</f>
        <v>75600</v>
      </c>
      <c r="E39" s="245">
        <f>+D39*$J$34+D39</f>
        <v>86940</v>
      </c>
      <c r="F39" s="250">
        <f>+E39*$J$34+E39</f>
        <v>99981</v>
      </c>
      <c r="G39" s="245">
        <f>+F39*$J$34+F39</f>
        <v>114978.15</v>
      </c>
      <c r="H39" s="250">
        <f>+G39*$J$34+G39</f>
        <v>132224.8725</v>
      </c>
    </row>
    <row r="40" spans="1:8" ht="15">
      <c r="A40" s="53"/>
      <c r="B40" s="522" t="s">
        <v>320</v>
      </c>
      <c r="C40" s="523"/>
      <c r="D40" s="524">
        <f>+D38*D39</f>
        <v>396900</v>
      </c>
      <c r="E40" s="525">
        <f>+E38*E39</f>
        <v>456435</v>
      </c>
      <c r="F40" s="524">
        <f>+F38*F39</f>
        <v>524900.25</v>
      </c>
      <c r="G40" s="525">
        <f>+G38*G39</f>
        <v>603635.2875</v>
      </c>
      <c r="H40" s="524">
        <f>+H38*H39</f>
        <v>694180.580625</v>
      </c>
    </row>
    <row r="41" spans="1:8" ht="15">
      <c r="A41" s="53"/>
      <c r="B41" s="254" t="s">
        <v>321</v>
      </c>
      <c r="C41" s="246"/>
      <c r="D41" s="250"/>
      <c r="E41" s="245"/>
      <c r="F41" s="250"/>
      <c r="G41" s="245"/>
      <c r="H41" s="250"/>
    </row>
    <row r="42" spans="1:8" ht="15">
      <c r="A42" s="53"/>
      <c r="B42" s="255" t="s">
        <v>284</v>
      </c>
      <c r="C42" s="246"/>
      <c r="D42" s="250">
        <f>+'FLUJO CAPITAL DE TRABAJO'!O9</f>
        <v>158449</v>
      </c>
      <c r="E42" s="252">
        <f>+D42*$J$35+D42</f>
        <v>164786.96</v>
      </c>
      <c r="F42" s="250">
        <f>+E42*J35+E42</f>
        <v>171378.43839999998</v>
      </c>
      <c r="G42" s="245">
        <f>+F42*J35+F42</f>
        <v>178233.57593599998</v>
      </c>
      <c r="H42" s="250">
        <f>+G42*J35+G42</f>
        <v>185362.91897343998</v>
      </c>
    </row>
    <row r="43" spans="1:8" ht="15">
      <c r="A43" s="53"/>
      <c r="B43" s="255" t="s">
        <v>279</v>
      </c>
      <c r="C43" s="246"/>
      <c r="D43" s="250">
        <f>+'FLUJO CAPITAL DE TRABAJO'!O10</f>
        <v>13200</v>
      </c>
      <c r="E43" s="245">
        <f aca="true" t="shared" si="0" ref="E43:H45">+D43*$J$34+D43</f>
        <v>15180</v>
      </c>
      <c r="F43" s="250">
        <f t="shared" si="0"/>
        <v>17457</v>
      </c>
      <c r="G43" s="245">
        <f t="shared" si="0"/>
        <v>20075.55</v>
      </c>
      <c r="H43" s="250">
        <f t="shared" si="0"/>
        <v>23086.8825</v>
      </c>
    </row>
    <row r="44" spans="1:8" ht="15">
      <c r="A44" s="53"/>
      <c r="B44" s="255" t="s">
        <v>280</v>
      </c>
      <c r="C44" s="246"/>
      <c r="D44" s="250">
        <f>+'FLUJO CAPITAL DE TRABAJO'!O11</f>
        <v>79560</v>
      </c>
      <c r="E44" s="245">
        <f t="shared" si="0"/>
        <v>91494</v>
      </c>
      <c r="F44" s="250">
        <f t="shared" si="0"/>
        <v>105218.1</v>
      </c>
      <c r="G44" s="245">
        <f t="shared" si="0"/>
        <v>121000.815</v>
      </c>
      <c r="H44" s="250">
        <f t="shared" si="0"/>
        <v>139150.93725000002</v>
      </c>
    </row>
    <row r="45" spans="1:8" ht="15">
      <c r="A45" s="53"/>
      <c r="B45" s="255" t="s">
        <v>281</v>
      </c>
      <c r="C45" s="246"/>
      <c r="D45" s="250">
        <f>+'FLUJO CAPITAL DE TRABAJO'!O12</f>
        <v>98478</v>
      </c>
      <c r="E45" s="245">
        <f t="shared" si="0"/>
        <v>113249.7</v>
      </c>
      <c r="F45" s="250">
        <f t="shared" si="0"/>
        <v>130237.155</v>
      </c>
      <c r="G45" s="245">
        <f t="shared" si="0"/>
        <v>149772.72825</v>
      </c>
      <c r="H45" s="250">
        <f t="shared" si="0"/>
        <v>172238.63748749997</v>
      </c>
    </row>
    <row r="46" spans="1:8" ht="15">
      <c r="A46" s="53"/>
      <c r="B46" s="255" t="s">
        <v>285</v>
      </c>
      <c r="C46" s="246"/>
      <c r="D46" s="250">
        <f>+'FLUJO CAPITAL DE TRABAJO'!O13</f>
        <v>840</v>
      </c>
      <c r="E46" s="245">
        <f>840</f>
        <v>840</v>
      </c>
      <c r="F46" s="250">
        <f>840</f>
        <v>840</v>
      </c>
      <c r="G46" s="245">
        <f>840</f>
        <v>840</v>
      </c>
      <c r="H46" s="250">
        <f>840</f>
        <v>840</v>
      </c>
    </row>
    <row r="47" spans="1:8" ht="15">
      <c r="A47" s="53"/>
      <c r="B47" s="255" t="s">
        <v>286</v>
      </c>
      <c r="C47" s="246"/>
      <c r="D47" s="250">
        <f>+'FLUJO CAPITAL DE TRABAJO'!O14</f>
        <v>1560</v>
      </c>
      <c r="E47" s="245">
        <v>1560</v>
      </c>
      <c r="F47" s="250">
        <v>1560</v>
      </c>
      <c r="G47" s="245">
        <v>1560</v>
      </c>
      <c r="H47" s="250">
        <v>1560</v>
      </c>
    </row>
    <row r="48" spans="1:8" ht="15">
      <c r="A48" s="53"/>
      <c r="B48" s="255" t="s">
        <v>287</v>
      </c>
      <c r="C48" s="246"/>
      <c r="D48" s="250">
        <f>+'FLUJO CAPITAL DE TRABAJO'!O15</f>
        <v>10080</v>
      </c>
      <c r="E48" s="245">
        <f>+D48*$J$34+D48</f>
        <v>11592</v>
      </c>
      <c r="F48" s="250">
        <f>+E48*$J$34+E48</f>
        <v>13330.8</v>
      </c>
      <c r="G48" s="245">
        <f>+F48*$J$34+F48</f>
        <v>15330.419999999998</v>
      </c>
      <c r="H48" s="250">
        <f>+G48*$J$34+G48</f>
        <v>17629.982999999997</v>
      </c>
    </row>
    <row r="49" spans="1:8" ht="15">
      <c r="A49" s="53"/>
      <c r="B49" s="256" t="s">
        <v>322</v>
      </c>
      <c r="C49" s="246"/>
      <c r="D49" s="250">
        <f>+'FLUJO CAPITAL DE TRABAJO'!F54</f>
        <v>18613.266666666666</v>
      </c>
      <c r="E49" s="245">
        <v>18613.27</v>
      </c>
      <c r="F49" s="250">
        <v>18613.27</v>
      </c>
      <c r="G49" s="245">
        <v>18613.27</v>
      </c>
      <c r="H49" s="250">
        <v>18613.27</v>
      </c>
    </row>
    <row r="50" spans="1:8" ht="15">
      <c r="A50" s="53"/>
      <c r="B50" s="526" t="s">
        <v>351</v>
      </c>
      <c r="C50" s="523"/>
      <c r="D50" s="527">
        <f>SUM(D42:D49)</f>
        <v>380780.26666666666</v>
      </c>
      <c r="E50" s="528">
        <f>SUM(E42:E49)</f>
        <v>417315.93</v>
      </c>
      <c r="F50" s="527">
        <f>SUM(F42:F49)</f>
        <v>458634.7634</v>
      </c>
      <c r="G50" s="528">
        <f>SUM(G42:G49)</f>
        <v>505426.35918599996</v>
      </c>
      <c r="H50" s="527">
        <f>SUM(H42:H49)</f>
        <v>558482.62921094</v>
      </c>
    </row>
    <row r="51" spans="1:8" ht="15">
      <c r="A51" s="53"/>
      <c r="B51" s="256" t="s">
        <v>331</v>
      </c>
      <c r="C51" s="246"/>
      <c r="D51" s="250">
        <f>+D40-D50</f>
        <v>16119.733333333337</v>
      </c>
      <c r="E51" s="245">
        <f>+E40-E50</f>
        <v>39119.07000000001</v>
      </c>
      <c r="F51" s="250">
        <f>+F40-F50</f>
        <v>66265.4866</v>
      </c>
      <c r="G51" s="245">
        <f>+G40-G50</f>
        <v>98208.92831400002</v>
      </c>
      <c r="H51" s="250">
        <f>+H40-H50</f>
        <v>135697.95141405996</v>
      </c>
    </row>
    <row r="52" spans="1:8" ht="15">
      <c r="A52" s="53"/>
      <c r="B52" s="256" t="s">
        <v>323</v>
      </c>
      <c r="C52" s="246"/>
      <c r="D52" s="250">
        <f>+D51*0.15</f>
        <v>2417.9600000000005</v>
      </c>
      <c r="E52" s="245">
        <f>+E51*0.15</f>
        <v>5867.860500000001</v>
      </c>
      <c r="F52" s="250">
        <f>+F51*0.15</f>
        <v>9939.82299</v>
      </c>
      <c r="G52" s="245">
        <f>+G51*0.15</f>
        <v>14731.339247100002</v>
      </c>
      <c r="H52" s="250">
        <f>+H51*0.15</f>
        <v>20354.692712108994</v>
      </c>
    </row>
    <row r="53" spans="1:8" ht="15">
      <c r="A53" s="53"/>
      <c r="B53" s="526" t="s">
        <v>324</v>
      </c>
      <c r="C53" s="523"/>
      <c r="D53" s="529">
        <f>+D51-D52</f>
        <v>13701.773333333336</v>
      </c>
      <c r="E53" s="530">
        <f>+E51-E52</f>
        <v>33251.209500000004</v>
      </c>
      <c r="F53" s="529">
        <f>+F51-F52</f>
        <v>56325.66361</v>
      </c>
      <c r="G53" s="530">
        <f>+G51-G52</f>
        <v>83477.58906690002</v>
      </c>
      <c r="H53" s="529">
        <f>+H51-H52</f>
        <v>115343.25870195097</v>
      </c>
    </row>
    <row r="54" spans="2:8" ht="15">
      <c r="B54" s="256" t="s">
        <v>325</v>
      </c>
      <c r="C54" s="245"/>
      <c r="D54" s="250">
        <f>+D53*0.25</f>
        <v>3425.443333333334</v>
      </c>
      <c r="E54" s="245">
        <f>+E53*0.25</f>
        <v>8312.802375000001</v>
      </c>
      <c r="F54" s="250">
        <f>+F53*0.25</f>
        <v>14081.4159025</v>
      </c>
      <c r="G54" s="245">
        <f>+G53*0.25</f>
        <v>20869.397266725005</v>
      </c>
      <c r="H54" s="250">
        <f>+H53*0.25</f>
        <v>28835.81467548774</v>
      </c>
    </row>
    <row r="55" spans="2:8" ht="15">
      <c r="B55" s="526" t="s">
        <v>326</v>
      </c>
      <c r="C55" s="531"/>
      <c r="D55" s="529">
        <f>+D53-D54</f>
        <v>10276.330000000002</v>
      </c>
      <c r="E55" s="530">
        <f>+E53-E54</f>
        <v>24938.407125000005</v>
      </c>
      <c r="F55" s="529">
        <f>+F53-F54</f>
        <v>42244.247707500006</v>
      </c>
      <c r="G55" s="530">
        <f>+G53-G54</f>
        <v>62608.19180017502</v>
      </c>
      <c r="H55" s="529">
        <f>+H53-H54</f>
        <v>86507.44402646323</v>
      </c>
    </row>
    <row r="56" spans="2:8" ht="15">
      <c r="B56" s="256" t="s">
        <v>327</v>
      </c>
      <c r="C56" s="245"/>
      <c r="D56" s="250">
        <v>18613.27</v>
      </c>
      <c r="E56" s="245">
        <v>18613.27</v>
      </c>
      <c r="F56" s="250">
        <v>18613.27</v>
      </c>
      <c r="G56" s="245">
        <v>18613.27</v>
      </c>
      <c r="H56" s="250">
        <v>18613.27</v>
      </c>
    </row>
    <row r="57" spans="2:8" ht="15">
      <c r="B57" s="256" t="s">
        <v>328</v>
      </c>
      <c r="C57" s="245"/>
      <c r="D57" s="250">
        <v>-1551.11</v>
      </c>
      <c r="E57" s="245">
        <f>(D57*$J$34+D57)</f>
        <v>-1783.7765</v>
      </c>
      <c r="F57" s="250">
        <f>+E57*$J$34+E57</f>
        <v>-2051.342975</v>
      </c>
      <c r="G57" s="245">
        <f>+F57*$J$34+F57</f>
        <v>-2359.04442125</v>
      </c>
      <c r="H57" s="250">
        <f>+G57*$J$34+G57</f>
        <v>-2712.9010844375002</v>
      </c>
    </row>
    <row r="58" spans="2:8" ht="15">
      <c r="B58" s="256" t="s">
        <v>329</v>
      </c>
      <c r="C58" s="245"/>
      <c r="D58" s="250"/>
      <c r="E58" s="245"/>
      <c r="F58" s="250"/>
      <c r="G58" s="245"/>
      <c r="H58" s="242">
        <v>0</v>
      </c>
    </row>
    <row r="59" spans="2:8" ht="15">
      <c r="B59" s="256" t="s">
        <v>162</v>
      </c>
      <c r="C59" s="245"/>
      <c r="D59" s="250"/>
      <c r="E59" s="245"/>
      <c r="F59" s="250"/>
      <c r="G59" s="245"/>
      <c r="H59" s="253">
        <v>6322</v>
      </c>
    </row>
    <row r="60" spans="2:8" ht="15.75" thickBot="1">
      <c r="B60" s="532" t="s">
        <v>330</v>
      </c>
      <c r="C60" s="533">
        <f>SUM(C33:C36)</f>
        <v>-136227.5</v>
      </c>
      <c r="D60" s="534">
        <f>+D55+D56-D57</f>
        <v>30440.710000000003</v>
      </c>
      <c r="E60" s="533">
        <f>+E55+E56-E57</f>
        <v>45335.453625</v>
      </c>
      <c r="F60" s="534">
        <f>+F55+F56-F57</f>
        <v>62908.86068250001</v>
      </c>
      <c r="G60" s="533">
        <f>+G55+G56-G57</f>
        <v>83580.50622142502</v>
      </c>
      <c r="H60" s="534">
        <f>+H55+H56-H57+H59</f>
        <v>114155.61511090073</v>
      </c>
    </row>
    <row r="61" ht="15.75" thickBot="1"/>
    <row r="62" spans="2:3" ht="15.75" thickBot="1">
      <c r="B62" s="275" t="s">
        <v>371</v>
      </c>
      <c r="C62" s="278">
        <f>+IRR(C60:H60)</f>
        <v>0.3080823263517091</v>
      </c>
    </row>
    <row r="63" spans="2:3" ht="15.75" thickBot="1">
      <c r="B63" s="275" t="s">
        <v>372</v>
      </c>
      <c r="C63" s="277">
        <f>NPV(C64,D60:H60)+C60</f>
        <v>44393.90415744978</v>
      </c>
    </row>
    <row r="64" spans="2:3" ht="15.75" thickBot="1">
      <c r="B64" s="274" t="s">
        <v>373</v>
      </c>
      <c r="C64" s="276">
        <v>0.1976</v>
      </c>
    </row>
    <row r="65" ht="15.75" thickBot="1"/>
    <row r="66" ht="15.75" thickBot="1">
      <c r="D66" s="277">
        <f>NPV(D67,E63:I63)+D63</f>
        <v>0</v>
      </c>
    </row>
  </sheetData>
  <sheetProtection/>
  <mergeCells count="1">
    <mergeCell ref="B31:H3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Cardenas</cp:lastModifiedBy>
  <dcterms:created xsi:type="dcterms:W3CDTF">2009-12-12T20:45:36Z</dcterms:created>
  <dcterms:modified xsi:type="dcterms:W3CDTF">2010-02-20T02:45:07Z</dcterms:modified>
  <cp:category/>
  <cp:version/>
  <cp:contentType/>
  <cp:contentStatus/>
</cp:coreProperties>
</file>