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15" windowHeight="8250" activeTab="0"/>
  </bookViews>
  <sheets>
    <sheet name="Depreciacion" sheetId="1" r:id="rId1"/>
    <sheet name="FLUJO CAJA" sheetId="2" r:id="rId2"/>
    <sheet name="Payback" sheetId="3" r:id="rId3"/>
    <sheet name="Analisis Univariable (Precio)" sheetId="4" r:id="rId4"/>
    <sheet name="Analisis Univariable (Cantidad)" sheetId="5" r:id="rId5"/>
  </sheets>
  <externalReferences>
    <externalReference r:id="rId8"/>
  </externalReferences>
  <definedNames>
    <definedName name="_xlnm.Print_Area" localSheetId="4">'Analisis Univariable (Cantidad)'!$A$2:$G$46</definedName>
    <definedName name="_xlnm.Print_Area" localSheetId="3">'Analisis Univariable (Precio)'!$A$2:$G$46</definedName>
    <definedName name="_xlnm.Print_Area" localSheetId="1">'FLUJO CAJA'!$A$4:$G$48</definedName>
    <definedName name="i">'[1]CB'!$B$4</definedName>
  </definedNames>
  <calcPr fullCalcOnLoad="1"/>
</workbook>
</file>

<file path=xl/sharedStrings.xml><?xml version="1.0" encoding="utf-8"?>
<sst xmlns="http://schemas.openxmlformats.org/spreadsheetml/2006/main" count="172" uniqueCount="83">
  <si>
    <t>Anexo 6.5. Flujo de Caja del Proyecto Puro</t>
  </si>
  <si>
    <t>TOTAL INGRESOS</t>
  </si>
  <si>
    <t>Sueldos Administrativos</t>
  </si>
  <si>
    <t>Gastos por Servicios Basicos</t>
  </si>
  <si>
    <t>Gastos Generales y Administración</t>
  </si>
  <si>
    <t>TOTAL EGRESOS</t>
  </si>
  <si>
    <t>UTILIDAD NETA ANTES PAT</t>
  </si>
  <si>
    <t>15% PAT</t>
  </si>
  <si>
    <t>Utilidad antes IR</t>
  </si>
  <si>
    <t>25% IR</t>
  </si>
  <si>
    <t xml:space="preserve">Utilidad neta   </t>
  </si>
  <si>
    <t>(+)Depreciación</t>
  </si>
  <si>
    <t>Inversion Inicial</t>
  </si>
  <si>
    <t>Valor de Desecho</t>
  </si>
  <si>
    <t>Capital de trabajo</t>
  </si>
  <si>
    <t>Flujo Efectivo Neto</t>
  </si>
  <si>
    <t>TIR</t>
  </si>
  <si>
    <t>Tasa de Descuento (CAPM)</t>
  </si>
  <si>
    <t>RF</t>
  </si>
  <si>
    <t>BETA DE LA INDUSTRIA</t>
  </si>
  <si>
    <t>Prima por Riesgo</t>
  </si>
  <si>
    <t>CAPM</t>
  </si>
  <si>
    <t>RIESGO PAIS (Julio 07)</t>
  </si>
  <si>
    <t>Elaboración: Los autores</t>
  </si>
  <si>
    <t xml:space="preserve">Ingreso por ventas </t>
  </si>
  <si>
    <t>Costo materia prima</t>
  </si>
  <si>
    <t>Costo GLP</t>
  </si>
  <si>
    <t>Costo Combustible</t>
  </si>
  <si>
    <t>Costo Insumos</t>
  </si>
  <si>
    <t>Gastos de Alquiler</t>
  </si>
  <si>
    <t>Total Costos variables</t>
  </si>
  <si>
    <t>Total Costos fijos</t>
  </si>
  <si>
    <t>OBRAS COMPLEMENTARIAS</t>
  </si>
  <si>
    <t>OBRAS FISICAS</t>
  </si>
  <si>
    <t>EQUIPOS</t>
  </si>
  <si>
    <t>Vehículos motorizados</t>
  </si>
  <si>
    <t>Caseta térmica</t>
  </si>
  <si>
    <t>Congelador</t>
  </si>
  <si>
    <t>Mesas de  trabajo</t>
  </si>
  <si>
    <t>Vitrinas</t>
  </si>
  <si>
    <t>Horno</t>
  </si>
  <si>
    <t>Paletas</t>
  </si>
  <si>
    <t>Porta bandejas</t>
  </si>
  <si>
    <t>Cantidad</t>
  </si>
  <si>
    <t>Total</t>
  </si>
  <si>
    <t>Demanda</t>
  </si>
  <si>
    <t>Precio</t>
  </si>
  <si>
    <t>Depreciación</t>
  </si>
  <si>
    <t>Período de Recuperación de la Inversión (Payback)</t>
  </si>
  <si>
    <t>Periodo</t>
  </si>
  <si>
    <t>Saldo</t>
  </si>
  <si>
    <t>Flujo</t>
  </si>
  <si>
    <t>Rentabilidad</t>
  </si>
  <si>
    <t>Recuperación</t>
  </si>
  <si>
    <t>(años)</t>
  </si>
  <si>
    <t>inversión</t>
  </si>
  <si>
    <t>de caja</t>
  </si>
  <si>
    <t>exigida</t>
  </si>
  <si>
    <t>Inversión</t>
  </si>
  <si>
    <t>VAN</t>
  </si>
  <si>
    <t>Concepto</t>
  </si>
  <si>
    <t>UN</t>
  </si>
  <si>
    <t>USD</t>
  </si>
  <si>
    <t>Total Inversió Inicial</t>
  </si>
  <si>
    <t>Valor
 Unitario</t>
  </si>
  <si>
    <t>Obras Complementarias</t>
  </si>
  <si>
    <t>Obras físicas</t>
  </si>
  <si>
    <t>Maquinaria &amp; Equipos</t>
  </si>
  <si>
    <t>Gastos de Publicidad</t>
  </si>
  <si>
    <t>Método Línea Recta</t>
  </si>
  <si>
    <t>Dep. 
Acum. (c)</t>
  </si>
  <si>
    <t>Costo 
Total (a)</t>
  </si>
  <si>
    <t>3 (b)</t>
  </si>
  <si>
    <t>Inversión en Equipos</t>
  </si>
  <si>
    <t>Valor Desecho (a+b-c)</t>
  </si>
  <si>
    <t>Total Maq. Y Equipos</t>
  </si>
  <si>
    <t>PAN ARTESANAL</t>
  </si>
  <si>
    <t>DEPRECIACION</t>
  </si>
  <si>
    <t>FLUJOS DE CAJA PROYECTO PERIODO DE INVERSION 5 AÑOS</t>
  </si>
  <si>
    <t>ANALISIS PAYBACK - PERIODO DE RECUPERACION</t>
  </si>
  <si>
    <t>TASA DSCTO.</t>
  </si>
  <si>
    <t>ANALISIS UNIVARIABLE - VARIACION PRECIO DE VENTA UNITARIO</t>
  </si>
  <si>
    <t>ANALISIS UNIVARIABLE - VARIACION CANTIDAD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</si>
</sst>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[$$-300A]\ #,##0.00"/>
    <numFmt numFmtId="177" formatCode="0.000"/>
    <numFmt numFmtId="178" formatCode="#,##0.00\ _€"/>
    <numFmt numFmtId="179" formatCode="_ [$$-2C0A]\ * #,##0.00_ ;_ [$$-2C0A]\ * \-#,##0.00_ ;_ [$$-2C0A]\ * &quot;-&quot;??_ ;_ @_ "/>
    <numFmt numFmtId="180" formatCode="&quot;$&quot;\ #,##0.00"/>
    <numFmt numFmtId="181" formatCode="0.00_ ;\-0.00\ "/>
    <numFmt numFmtId="182" formatCode="#,##0\ _€"/>
    <numFmt numFmtId="183" formatCode="[$$-300A]\ #,##0.0000"/>
    <numFmt numFmtId="184" formatCode="&quot;$&quot;#,##0.00"/>
    <numFmt numFmtId="185" formatCode="_-* #,##0\ _€_-;\-* #,##0\ _€_-;_-* &quot;-&quot;??\ _€_-;_-@_-"/>
    <numFmt numFmtId="186" formatCode="&quot;$&quot;#,##0"/>
    <numFmt numFmtId="187" formatCode="[$$-300A]\ #,##0"/>
    <numFmt numFmtId="188" formatCode="_(* #,##0.00_);_(* \(#,##0.00\);_(* &quot;-&quot;??_);_(@_)"/>
    <numFmt numFmtId="189" formatCode="_ [$$-2C0A]\ * #,##0_ ;_ [$$-2C0A]\ * \-#,##0_ ;_ [$$-2C0A]\ * &quot;-&quot;??_ ;_ @_ "/>
    <numFmt numFmtId="190" formatCode="_-* #,##0_-;\-* #,##0_-;_-* &quot;-&quot;??_-;_-@_-"/>
    <numFmt numFmtId="191" formatCode="_(* #,##0_);_(* \(#,##0\);_(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-* #,##0.0\ _€_-;\-* #,##0.0\ _€_-;_-* &quot;-&quot;??\ _€_-;_-@_-"/>
    <numFmt numFmtId="197" formatCode="&quot;$&quot;#,##0_);[Red]\(&quot;$&quot;#,##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0.00000%"/>
    <numFmt numFmtId="202" formatCode="&quot;$&quot;#,##0.00_);\(&quot;$&quot;#,##0.00\)"/>
    <numFmt numFmtId="203" formatCode="_([$€]* #,##0.00_);_([$€]* \(#,##0.00\);_([$€]* &quot;-&quot;??_);_(@_)"/>
    <numFmt numFmtId="204" formatCode="#,##0\ &quot;€&quot;;\-#,##0\ &quot;€&quot;"/>
    <numFmt numFmtId="205" formatCode="#,##0\ &quot;€&quot;;[Red]\-#,##0\ &quot;€&quot;"/>
    <numFmt numFmtId="206" formatCode="#,##0.00\ &quot;€&quot;;\-#,##0.00\ &quot;€&quot;"/>
    <numFmt numFmtId="207" formatCode="#,##0.00\ &quot;€&quot;;[Red]\-#,##0.00\ &quot;€&quot;"/>
    <numFmt numFmtId="208" formatCode="&quot;$&quot;\ #,##0_);[Red]\(&quot;$&quot;\ #,##0\)"/>
    <numFmt numFmtId="209" formatCode="&quot;$&quot;#,##0_);\(&quot;$&quot;#,##0\)"/>
    <numFmt numFmtId="210" formatCode="&quot;$&quot;#,##0.00_);[Red]\(&quot;$&quot;#,##0.00\)"/>
    <numFmt numFmtId="211" formatCode="m/d/yy\ h:mm"/>
    <numFmt numFmtId="212" formatCode="0E+00"/>
    <numFmt numFmtId="213" formatCode="&quot;$&quot;\ #,##0.0_);[Red]\(&quot;$&quot;\ #,##0.0\)"/>
    <numFmt numFmtId="214" formatCode="&quot;$&quot;\ #,##0.00_);[Red]\(&quot;$&quot;\ #,##0.00\)"/>
    <numFmt numFmtId="215" formatCode="0.0%"/>
    <numFmt numFmtId="216" formatCode="[$$-300A]\ #,##0.0"/>
    <numFmt numFmtId="217" formatCode="#,##0.0"/>
    <numFmt numFmtId="218" formatCode="_(* #,##0.0_);_(* \(#,##0.0\);_(* &quot;-&quot;?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22" fillId="24" borderId="11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 wrapText="1"/>
    </xf>
    <xf numFmtId="0" fontId="22" fillId="24" borderId="14" xfId="0" applyFont="1" applyFill="1" applyBorder="1" applyAlignment="1">
      <alignment horizontal="center" wrapText="1"/>
    </xf>
    <xf numFmtId="0" fontId="22" fillId="24" borderId="15" xfId="0" applyFont="1" applyFill="1" applyBorder="1" applyAlignment="1">
      <alignment horizontal="center" wrapText="1"/>
    </xf>
    <xf numFmtId="0" fontId="22" fillId="24" borderId="16" xfId="0" applyFont="1" applyFill="1" applyBorder="1" applyAlignment="1">
      <alignment horizontal="center" wrapText="1"/>
    </xf>
    <xf numFmtId="0" fontId="22" fillId="24" borderId="17" xfId="0" applyFont="1" applyFill="1" applyBorder="1" applyAlignment="1">
      <alignment horizontal="center" wrapText="1"/>
    </xf>
    <xf numFmtId="0" fontId="22" fillId="24" borderId="18" xfId="0" applyFont="1" applyFill="1" applyBorder="1" applyAlignment="1">
      <alignment horizontal="center" wrapText="1"/>
    </xf>
    <xf numFmtId="0" fontId="23" fillId="25" borderId="19" xfId="0" applyFont="1" applyFill="1" applyBorder="1" applyAlignment="1">
      <alignment horizontal="center" wrapText="1"/>
    </xf>
    <xf numFmtId="191" fontId="23" fillId="25" borderId="10" xfId="51" applyNumberFormat="1" applyFont="1" applyFill="1" applyBorder="1" applyAlignment="1">
      <alignment horizontal="center" wrapText="1"/>
    </xf>
    <xf numFmtId="191" fontId="23" fillId="25" borderId="20" xfId="0" applyNumberFormat="1" applyFont="1" applyFill="1" applyBorder="1" applyAlignment="1">
      <alignment horizontal="center" wrapText="1"/>
    </xf>
    <xf numFmtId="0" fontId="22" fillId="24" borderId="19" xfId="0" applyFont="1" applyFill="1" applyBorder="1" applyAlignment="1">
      <alignment horizontal="center" wrapText="1"/>
    </xf>
    <xf numFmtId="191" fontId="22" fillId="24" borderId="10" xfId="51" applyNumberFormat="1" applyFont="1" applyFill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right"/>
    </xf>
    <xf numFmtId="181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82" fontId="21" fillId="0" borderId="0" xfId="0" applyNumberFormat="1" applyFont="1" applyFill="1" applyAlignment="1">
      <alignment horizontal="center"/>
    </xf>
    <xf numFmtId="181" fontId="21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24" fillId="0" borderId="0" xfId="0" applyNumberFormat="1" applyFont="1" applyFill="1" applyBorder="1" applyAlignment="1">
      <alignment/>
    </xf>
    <xf numFmtId="181" fontId="21" fillId="25" borderId="10" xfId="0" applyNumberFormat="1" applyFont="1" applyFill="1" applyBorder="1" applyAlignment="1">
      <alignment/>
    </xf>
    <xf numFmtId="10" fontId="21" fillId="25" borderId="10" xfId="56" applyNumberFormat="1" applyFont="1" applyFill="1" applyBorder="1" applyAlignment="1">
      <alignment horizontal="right"/>
    </xf>
    <xf numFmtId="176" fontId="25" fillId="0" borderId="0" xfId="0" applyNumberFormat="1" applyFont="1" applyFill="1" applyBorder="1" applyAlignment="1">
      <alignment/>
    </xf>
    <xf numFmtId="185" fontId="25" fillId="0" borderId="0" xfId="49" applyNumberFormat="1" applyFont="1" applyFill="1" applyBorder="1" applyAlignment="1">
      <alignment/>
    </xf>
    <xf numFmtId="181" fontId="25" fillId="0" borderId="0" xfId="0" applyNumberFormat="1" applyFont="1" applyFill="1" applyAlignment="1">
      <alignment/>
    </xf>
    <xf numFmtId="191" fontId="0" fillId="25" borderId="16" xfId="49" applyNumberFormat="1" applyFont="1" applyFill="1" applyBorder="1" applyAlignment="1">
      <alignment/>
    </xf>
    <xf numFmtId="185" fontId="21" fillId="0" borderId="0" xfId="49" applyNumberFormat="1" applyFont="1" applyFill="1" applyAlignment="1">
      <alignment/>
    </xf>
    <xf numFmtId="181" fontId="25" fillId="0" borderId="0" xfId="0" applyNumberFormat="1" applyFont="1" applyFill="1" applyAlignment="1">
      <alignment horizontal="center"/>
    </xf>
    <xf numFmtId="183" fontId="25" fillId="0" borderId="0" xfId="0" applyNumberFormat="1" applyFont="1" applyFill="1" applyBorder="1" applyAlignment="1">
      <alignment/>
    </xf>
    <xf numFmtId="176" fontId="25" fillId="0" borderId="0" xfId="0" applyNumberFormat="1" applyFont="1" applyFill="1" applyAlignment="1">
      <alignment/>
    </xf>
    <xf numFmtId="9" fontId="0" fillId="25" borderId="10" xfId="56" applyNumberFormat="1" applyFont="1" applyFill="1" applyBorder="1" applyAlignment="1">
      <alignment horizontal="right"/>
    </xf>
    <xf numFmtId="10" fontId="0" fillId="0" borderId="0" xfId="56" applyNumberFormat="1" applyFont="1" applyFill="1" applyAlignment="1">
      <alignment/>
    </xf>
    <xf numFmtId="2" fontId="0" fillId="25" borderId="10" xfId="56" applyNumberFormat="1" applyFont="1" applyFill="1" applyBorder="1" applyAlignment="1">
      <alignment horizontal="right"/>
    </xf>
    <xf numFmtId="10" fontId="0" fillId="25" borderId="10" xfId="56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82" fontId="21" fillId="24" borderId="21" xfId="0" applyNumberFormat="1" applyFont="1" applyFill="1" applyBorder="1" applyAlignment="1">
      <alignment horizontal="center"/>
    </xf>
    <xf numFmtId="182" fontId="21" fillId="24" borderId="22" xfId="0" applyNumberFormat="1" applyFont="1" applyFill="1" applyBorder="1" applyAlignment="1">
      <alignment horizontal="center"/>
    </xf>
    <xf numFmtId="182" fontId="21" fillId="24" borderId="23" xfId="0" applyNumberFormat="1" applyFont="1" applyFill="1" applyBorder="1" applyAlignment="1">
      <alignment horizontal="center"/>
    </xf>
    <xf numFmtId="182" fontId="0" fillId="25" borderId="24" xfId="0" applyNumberFormat="1" applyFont="1" applyFill="1" applyBorder="1" applyAlignment="1">
      <alignment horizontal="left"/>
    </xf>
    <xf numFmtId="191" fontId="21" fillId="25" borderId="10" xfId="49" applyNumberFormat="1" applyFont="1" applyFill="1" applyBorder="1" applyAlignment="1">
      <alignment horizontal="center" vertical="center"/>
    </xf>
    <xf numFmtId="191" fontId="21" fillId="25" borderId="16" xfId="49" applyNumberFormat="1" applyFont="1" applyFill="1" applyBorder="1" applyAlignment="1">
      <alignment vertical="center"/>
    </xf>
    <xf numFmtId="191" fontId="21" fillId="25" borderId="25" xfId="49" applyNumberFormat="1" applyFont="1" applyFill="1" applyBorder="1" applyAlignment="1">
      <alignment vertical="center"/>
    </xf>
    <xf numFmtId="188" fontId="21" fillId="25" borderId="16" xfId="49" applyNumberFormat="1" applyFont="1" applyFill="1" applyBorder="1" applyAlignment="1">
      <alignment vertical="center"/>
    </xf>
    <xf numFmtId="188" fontId="21" fillId="25" borderId="25" xfId="49" applyNumberFormat="1" applyFont="1" applyFill="1" applyBorder="1" applyAlignment="1">
      <alignment vertical="center"/>
    </xf>
    <xf numFmtId="182" fontId="21" fillId="25" borderId="24" xfId="0" applyNumberFormat="1" applyFont="1" applyFill="1" applyBorder="1" applyAlignment="1">
      <alignment horizontal="center"/>
    </xf>
    <xf numFmtId="191" fontId="21" fillId="25" borderId="26" xfId="49" applyNumberFormat="1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/>
    </xf>
    <xf numFmtId="191" fontId="0" fillId="25" borderId="10" xfId="49" applyNumberFormat="1" applyFont="1" applyFill="1" applyBorder="1" applyAlignment="1">
      <alignment vertical="center"/>
    </xf>
    <xf numFmtId="191" fontId="0" fillId="25" borderId="26" xfId="49" applyNumberFormat="1" applyFont="1" applyFill="1" applyBorder="1" applyAlignment="1">
      <alignment vertical="center"/>
    </xf>
    <xf numFmtId="181" fontId="21" fillId="25" borderId="24" xfId="0" applyNumberFormat="1" applyFont="1" applyFill="1" applyBorder="1" applyAlignment="1">
      <alignment/>
    </xf>
    <xf numFmtId="191" fontId="21" fillId="25" borderId="10" xfId="49" applyNumberFormat="1" applyFont="1" applyFill="1" applyBorder="1" applyAlignment="1">
      <alignment vertical="center"/>
    </xf>
    <xf numFmtId="181" fontId="0" fillId="25" borderId="24" xfId="0" applyNumberFormat="1" applyFont="1" applyFill="1" applyBorder="1" applyAlignment="1">
      <alignment/>
    </xf>
    <xf numFmtId="191" fontId="0" fillId="25" borderId="16" xfId="49" applyNumberFormat="1" applyFont="1" applyFill="1" applyBorder="1" applyAlignment="1">
      <alignment vertical="center"/>
    </xf>
    <xf numFmtId="191" fontId="0" fillId="25" borderId="25" xfId="49" applyNumberFormat="1" applyFont="1" applyFill="1" applyBorder="1" applyAlignment="1">
      <alignment vertical="center"/>
    </xf>
    <xf numFmtId="191" fontId="21" fillId="25" borderId="12" xfId="49" applyNumberFormat="1" applyFont="1" applyFill="1" applyBorder="1" applyAlignment="1">
      <alignment vertical="center"/>
    </xf>
    <xf numFmtId="191" fontId="21" fillId="25" borderId="27" xfId="49" applyNumberFormat="1" applyFont="1" applyFill="1" applyBorder="1" applyAlignment="1">
      <alignment vertical="center"/>
    </xf>
    <xf numFmtId="181" fontId="0" fillId="25" borderId="28" xfId="0" applyNumberFormat="1" applyFont="1" applyFill="1" applyBorder="1" applyAlignment="1">
      <alignment/>
    </xf>
    <xf numFmtId="191" fontId="0" fillId="25" borderId="12" xfId="49" applyNumberFormat="1" applyFont="1" applyFill="1" applyBorder="1" applyAlignment="1">
      <alignment vertical="center"/>
    </xf>
    <xf numFmtId="191" fontId="0" fillId="25" borderId="27" xfId="49" applyNumberFormat="1" applyFont="1" applyFill="1" applyBorder="1" applyAlignment="1">
      <alignment vertical="center"/>
    </xf>
    <xf numFmtId="181" fontId="21" fillId="25" borderId="29" xfId="0" applyNumberFormat="1" applyFont="1" applyFill="1" applyBorder="1" applyAlignment="1">
      <alignment/>
    </xf>
    <xf numFmtId="191" fontId="21" fillId="25" borderId="30" xfId="49" applyNumberFormat="1" applyFont="1" applyFill="1" applyBorder="1" applyAlignment="1">
      <alignment vertical="center"/>
    </xf>
    <xf numFmtId="191" fontId="21" fillId="25" borderId="31" xfId="49" applyNumberFormat="1" applyFont="1" applyFill="1" applyBorder="1" applyAlignment="1">
      <alignment vertical="center"/>
    </xf>
    <xf numFmtId="181" fontId="0" fillId="25" borderId="32" xfId="0" applyNumberFormat="1" applyFont="1" applyFill="1" applyBorder="1" applyAlignment="1">
      <alignment/>
    </xf>
    <xf numFmtId="191" fontId="0" fillId="25" borderId="33" xfId="49" applyNumberFormat="1" applyFont="1" applyFill="1" applyBorder="1" applyAlignment="1">
      <alignment vertical="center"/>
    </xf>
    <xf numFmtId="191" fontId="0" fillId="25" borderId="34" xfId="49" applyNumberFormat="1" applyFont="1" applyFill="1" applyBorder="1" applyAlignment="1">
      <alignment vertical="center"/>
    </xf>
    <xf numFmtId="181" fontId="0" fillId="25" borderId="35" xfId="0" applyNumberFormat="1" applyFont="1" applyFill="1" applyBorder="1" applyAlignment="1">
      <alignment/>
    </xf>
    <xf numFmtId="181" fontId="21" fillId="24" borderId="29" xfId="0" applyNumberFormat="1" applyFont="1" applyFill="1" applyBorder="1" applyAlignment="1">
      <alignment/>
    </xf>
    <xf numFmtId="191" fontId="21" fillId="24" borderId="30" xfId="49" applyNumberFormat="1" applyFont="1" applyFill="1" applyBorder="1" applyAlignment="1">
      <alignment vertical="center"/>
    </xf>
    <xf numFmtId="191" fontId="21" fillId="24" borderId="31" xfId="49" applyNumberFormat="1" applyFont="1" applyFill="1" applyBorder="1" applyAlignment="1">
      <alignment vertical="center"/>
    </xf>
    <xf numFmtId="181" fontId="21" fillId="0" borderId="0" xfId="0" applyNumberFormat="1" applyFont="1" applyAlignment="1">
      <alignment/>
    </xf>
    <xf numFmtId="10" fontId="0" fillId="0" borderId="0" xfId="56" applyNumberFormat="1" applyFont="1" applyAlignment="1">
      <alignment/>
    </xf>
    <xf numFmtId="0" fontId="0" fillId="25" borderId="17" xfId="0" applyFont="1" applyFill="1" applyBorder="1" applyAlignment="1">
      <alignment horizontal="center"/>
    </xf>
    <xf numFmtId="181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82" fontId="21" fillId="0" borderId="0" xfId="0" applyNumberFormat="1" applyFont="1" applyFill="1" applyAlignment="1">
      <alignment horizontal="center" vertical="center"/>
    </xf>
    <xf numFmtId="181" fontId="21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24" fillId="0" borderId="13" xfId="0" applyNumberFormat="1" applyFont="1" applyFill="1" applyBorder="1" applyAlignment="1">
      <alignment vertical="center"/>
    </xf>
    <xf numFmtId="181" fontId="21" fillId="25" borderId="10" xfId="0" applyNumberFormat="1" applyFont="1" applyFill="1" applyBorder="1" applyAlignment="1">
      <alignment vertical="center"/>
    </xf>
    <xf numFmtId="10" fontId="21" fillId="25" borderId="10" xfId="56" applyNumberFormat="1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vertical="center"/>
    </xf>
    <xf numFmtId="185" fontId="25" fillId="0" borderId="0" xfId="49" applyNumberFormat="1" applyFont="1" applyFill="1" applyBorder="1" applyAlignment="1">
      <alignment vertical="center"/>
    </xf>
    <xf numFmtId="181" fontId="25" fillId="0" borderId="0" xfId="0" applyNumberFormat="1" applyFont="1" applyFill="1" applyAlignment="1">
      <alignment vertical="center"/>
    </xf>
    <xf numFmtId="191" fontId="0" fillId="25" borderId="10" xfId="49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85" fontId="21" fillId="0" borderId="0" xfId="49" applyNumberFormat="1" applyFont="1" applyFill="1" applyAlignment="1">
      <alignment vertical="center"/>
    </xf>
    <xf numFmtId="182" fontId="21" fillId="24" borderId="22" xfId="0" applyNumberFormat="1" applyFont="1" applyFill="1" applyBorder="1" applyAlignment="1">
      <alignment horizontal="center" vertical="center"/>
    </xf>
    <xf numFmtId="182" fontId="21" fillId="24" borderId="23" xfId="0" applyNumberFormat="1" applyFont="1" applyFill="1" applyBorder="1" applyAlignment="1">
      <alignment horizontal="center" vertical="center"/>
    </xf>
    <xf numFmtId="182" fontId="0" fillId="25" borderId="24" xfId="0" applyNumberFormat="1" applyFont="1" applyFill="1" applyBorder="1" applyAlignment="1">
      <alignment horizontal="left" vertical="center"/>
    </xf>
    <xf numFmtId="182" fontId="21" fillId="25" borderId="24" xfId="0" applyNumberFormat="1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vertical="center"/>
    </xf>
    <xf numFmtId="181" fontId="21" fillId="25" borderId="24" xfId="0" applyNumberFormat="1" applyFont="1" applyFill="1" applyBorder="1" applyAlignment="1">
      <alignment vertical="center"/>
    </xf>
    <xf numFmtId="181" fontId="0" fillId="25" borderId="24" xfId="0" applyNumberFormat="1" applyFont="1" applyFill="1" applyBorder="1" applyAlignment="1">
      <alignment vertical="center"/>
    </xf>
    <xf numFmtId="181" fontId="0" fillId="25" borderId="28" xfId="0" applyNumberFormat="1" applyFont="1" applyFill="1" applyBorder="1" applyAlignment="1">
      <alignment vertical="center"/>
    </xf>
    <xf numFmtId="181" fontId="21" fillId="25" borderId="29" xfId="0" applyNumberFormat="1" applyFont="1" applyFill="1" applyBorder="1" applyAlignment="1">
      <alignment vertical="center"/>
    </xf>
    <xf numFmtId="181" fontId="0" fillId="25" borderId="32" xfId="0" applyNumberFormat="1" applyFont="1" applyFill="1" applyBorder="1" applyAlignment="1">
      <alignment vertical="center"/>
    </xf>
    <xf numFmtId="181" fontId="0" fillId="25" borderId="35" xfId="0" applyNumberFormat="1" applyFont="1" applyFill="1" applyBorder="1" applyAlignment="1">
      <alignment vertical="center"/>
    </xf>
    <xf numFmtId="181" fontId="21" fillId="24" borderId="29" xfId="0" applyNumberFormat="1" applyFont="1" applyFill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13. Caso Picapiedra I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fredo\Tesis%20Ing%20Comercial\Capitulo5%20Teoria\ESTUDIO.FINANCI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q.xCont. (2)"/>
      <sheetName val="Dim.Maquina"/>
      <sheetName val="Maq.xCont."/>
      <sheetName val="EQUIPOS"/>
      <sheetName val="PERSONAL"/>
      <sheetName val="Tamaño Bodega"/>
      <sheetName val="Localiz.Bodega"/>
      <sheetName val="Inver.inicial"/>
      <sheetName val="Equipamiento"/>
      <sheetName val="Sueldos"/>
      <sheetName val="Gstosoper"/>
      <sheetName val="Alquiler"/>
      <sheetName val="Publi"/>
      <sheetName val="Depr"/>
      <sheetName val="Demanda real"/>
      <sheetName val="Dem.Maq.Mens."/>
      <sheetName val="Cap_Trab"/>
      <sheetName val="Dem.NP2"/>
      <sheetName val="Dem.NP"/>
      <sheetName val="Demproy"/>
      <sheetName val="Dem.Maq.Anual"/>
      <sheetName val="FLUJO CAJA"/>
      <sheetName val="Payback"/>
      <sheetName val="CB"/>
      <sheetName val="REPORTCB"/>
    </sheetNames>
    <sheetDataSet>
      <sheetData sheetId="23">
        <row r="4">
          <cell r="B4">
            <v>0.3029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27.140625" style="2" bestFit="1" customWidth="1"/>
    <col min="2" max="9" width="9.00390625" style="2" customWidth="1"/>
    <col min="10" max="10" width="11.7109375" style="2" customWidth="1"/>
    <col min="11" max="16384" width="11.421875" style="2" customWidth="1"/>
  </cols>
  <sheetData>
    <row r="1" ht="12.75">
      <c r="A1" s="1" t="s">
        <v>76</v>
      </c>
    </row>
    <row r="2" ht="12.75">
      <c r="A2" s="1" t="s">
        <v>77</v>
      </c>
    </row>
    <row r="3" ht="12.75">
      <c r="A3" s="1"/>
    </row>
    <row r="4" spans="1:9" s="4" customFormat="1" ht="12.75">
      <c r="A4" s="3" t="s">
        <v>34</v>
      </c>
      <c r="B4" s="3"/>
      <c r="C4" s="3"/>
      <c r="D4" s="3">
        <v>0</v>
      </c>
      <c r="E4" s="3">
        <v>1</v>
      </c>
      <c r="F4" s="3">
        <v>2</v>
      </c>
      <c r="G4" s="3">
        <v>3</v>
      </c>
      <c r="H4" s="3">
        <v>4</v>
      </c>
      <c r="I4" s="3">
        <v>5</v>
      </c>
    </row>
    <row r="5" spans="1:9" ht="12.75">
      <c r="A5" s="5" t="s">
        <v>67</v>
      </c>
      <c r="B5" s="5"/>
      <c r="C5" s="5"/>
      <c r="D5" s="9">
        <v>10090</v>
      </c>
      <c r="E5" s="9"/>
      <c r="F5" s="9"/>
      <c r="G5" s="9"/>
      <c r="H5" s="5"/>
      <c r="I5" s="5"/>
    </row>
    <row r="6" spans="1:9" ht="12.75">
      <c r="A6" s="5" t="s">
        <v>32</v>
      </c>
      <c r="B6" s="5"/>
      <c r="C6" s="5"/>
      <c r="D6" s="9">
        <v>2000</v>
      </c>
      <c r="E6" s="9"/>
      <c r="F6" s="9"/>
      <c r="G6" s="9">
        <v>1000</v>
      </c>
      <c r="H6" s="5"/>
      <c r="I6" s="5"/>
    </row>
    <row r="7" spans="1:9" ht="12.75">
      <c r="A7" s="5" t="s">
        <v>33</v>
      </c>
      <c r="B7" s="5"/>
      <c r="C7" s="5"/>
      <c r="D7" s="9">
        <v>2100</v>
      </c>
      <c r="E7" s="9"/>
      <c r="F7" s="9"/>
      <c r="G7" s="9"/>
      <c r="H7" s="5"/>
      <c r="I7" s="5"/>
    </row>
    <row r="8" spans="1:9" s="1" customFormat="1" ht="12.75">
      <c r="A8" s="6" t="s">
        <v>63</v>
      </c>
      <c r="B8" s="6"/>
      <c r="C8" s="6"/>
      <c r="D8" s="24">
        <f>+SUM(D5:D7)</f>
        <v>14190</v>
      </c>
      <c r="E8" s="24"/>
      <c r="F8" s="24"/>
      <c r="G8" s="24">
        <f>+SUM(G5:G7)</f>
        <v>1000</v>
      </c>
      <c r="H8" s="6"/>
      <c r="I8" s="6"/>
    </row>
    <row r="11" spans="1:10" ht="24" customHeight="1">
      <c r="A11" s="6" t="s">
        <v>69</v>
      </c>
      <c r="B11" s="5"/>
      <c r="C11" s="5"/>
      <c r="D11" s="5"/>
      <c r="E11" s="3">
        <v>1</v>
      </c>
      <c r="F11" s="3">
        <v>2</v>
      </c>
      <c r="G11" s="3">
        <v>3</v>
      </c>
      <c r="H11" s="3">
        <v>4</v>
      </c>
      <c r="I11" s="3">
        <v>5</v>
      </c>
      <c r="J11" s="23" t="s">
        <v>70</v>
      </c>
    </row>
    <row r="12" spans="1:10" ht="12.75">
      <c r="A12" s="5" t="s">
        <v>35</v>
      </c>
      <c r="B12" s="5"/>
      <c r="C12" s="5"/>
      <c r="D12" s="5"/>
      <c r="E12" s="9">
        <f>+D25/5</f>
        <v>600</v>
      </c>
      <c r="F12" s="9">
        <f>+E12</f>
        <v>600</v>
      </c>
      <c r="G12" s="9">
        <f aca="true" t="shared" si="0" ref="G12:G19">+F12+(G25/10)</f>
        <v>600</v>
      </c>
      <c r="H12" s="9">
        <f aca="true" t="shared" si="1" ref="H12:I19">+G12</f>
        <v>600</v>
      </c>
      <c r="I12" s="9">
        <f t="shared" si="1"/>
        <v>600</v>
      </c>
      <c r="J12" s="9">
        <f>+SUM(E12:I12)</f>
        <v>3000</v>
      </c>
    </row>
    <row r="13" spans="1:10" ht="12.75">
      <c r="A13" s="5" t="s">
        <v>36</v>
      </c>
      <c r="B13" s="5"/>
      <c r="C13" s="5"/>
      <c r="D13" s="5"/>
      <c r="E13" s="9">
        <f aca="true" t="shared" si="2" ref="E13:E19">+D26/10</f>
        <v>200</v>
      </c>
      <c r="F13" s="9">
        <f aca="true" t="shared" si="3" ref="F13:F19">+E13</f>
        <v>200</v>
      </c>
      <c r="G13" s="9">
        <f t="shared" si="0"/>
        <v>200</v>
      </c>
      <c r="H13" s="9">
        <f t="shared" si="1"/>
        <v>200</v>
      </c>
      <c r="I13" s="9">
        <f t="shared" si="1"/>
        <v>200</v>
      </c>
      <c r="J13" s="9">
        <f aca="true" t="shared" si="4" ref="J13:J19">+SUM(E13:I13)</f>
        <v>1000</v>
      </c>
    </row>
    <row r="14" spans="1:10" ht="12.75">
      <c r="A14" s="5" t="s">
        <v>37</v>
      </c>
      <c r="B14" s="5"/>
      <c r="C14" s="5"/>
      <c r="D14" s="5"/>
      <c r="E14" s="9">
        <f t="shared" si="2"/>
        <v>120</v>
      </c>
      <c r="F14" s="9">
        <f t="shared" si="3"/>
        <v>120</v>
      </c>
      <c r="G14" s="9">
        <f t="shared" si="0"/>
        <v>120</v>
      </c>
      <c r="H14" s="9">
        <f t="shared" si="1"/>
        <v>120</v>
      </c>
      <c r="I14" s="9">
        <f t="shared" si="1"/>
        <v>120</v>
      </c>
      <c r="J14" s="9">
        <f t="shared" si="4"/>
        <v>600</v>
      </c>
    </row>
    <row r="15" spans="1:10" ht="12.75">
      <c r="A15" s="5" t="s">
        <v>38</v>
      </c>
      <c r="B15" s="5"/>
      <c r="C15" s="5"/>
      <c r="D15" s="5"/>
      <c r="E15" s="9">
        <f t="shared" si="2"/>
        <v>100</v>
      </c>
      <c r="F15" s="9">
        <f t="shared" si="3"/>
        <v>100</v>
      </c>
      <c r="G15" s="9">
        <f t="shared" si="0"/>
        <v>100</v>
      </c>
      <c r="H15" s="9">
        <f t="shared" si="1"/>
        <v>100</v>
      </c>
      <c r="I15" s="9">
        <f t="shared" si="1"/>
        <v>100</v>
      </c>
      <c r="J15" s="9">
        <f t="shared" si="4"/>
        <v>500</v>
      </c>
    </row>
    <row r="16" spans="1:10" ht="12.75">
      <c r="A16" s="5" t="s">
        <v>39</v>
      </c>
      <c r="B16" s="5"/>
      <c r="C16" s="5"/>
      <c r="D16" s="5"/>
      <c r="E16" s="9">
        <f t="shared" si="2"/>
        <v>30</v>
      </c>
      <c r="F16" s="9">
        <f t="shared" si="3"/>
        <v>30</v>
      </c>
      <c r="G16" s="9">
        <f t="shared" si="0"/>
        <v>30</v>
      </c>
      <c r="H16" s="9">
        <f t="shared" si="1"/>
        <v>30</v>
      </c>
      <c r="I16" s="9">
        <f t="shared" si="1"/>
        <v>30</v>
      </c>
      <c r="J16" s="9">
        <f t="shared" si="4"/>
        <v>150</v>
      </c>
    </row>
    <row r="17" spans="1:10" ht="12.75">
      <c r="A17" s="5" t="s">
        <v>40</v>
      </c>
      <c r="B17" s="5"/>
      <c r="C17" s="5"/>
      <c r="D17" s="5"/>
      <c r="E17" s="9">
        <f t="shared" si="2"/>
        <v>150</v>
      </c>
      <c r="F17" s="9">
        <f t="shared" si="3"/>
        <v>150</v>
      </c>
      <c r="G17" s="9">
        <f t="shared" si="0"/>
        <v>300</v>
      </c>
      <c r="H17" s="9">
        <f t="shared" si="1"/>
        <v>300</v>
      </c>
      <c r="I17" s="9">
        <f t="shared" si="1"/>
        <v>300</v>
      </c>
      <c r="J17" s="9">
        <f t="shared" si="4"/>
        <v>1200</v>
      </c>
    </row>
    <row r="18" spans="1:10" ht="12.75">
      <c r="A18" s="5" t="s">
        <v>41</v>
      </c>
      <c r="B18" s="5"/>
      <c r="C18" s="5"/>
      <c r="D18" s="5"/>
      <c r="E18" s="9">
        <f t="shared" si="2"/>
        <v>4</v>
      </c>
      <c r="F18" s="9">
        <f t="shared" si="3"/>
        <v>4</v>
      </c>
      <c r="G18" s="9">
        <f t="shared" si="0"/>
        <v>4</v>
      </c>
      <c r="H18" s="9">
        <f t="shared" si="1"/>
        <v>4</v>
      </c>
      <c r="I18" s="9">
        <f t="shared" si="1"/>
        <v>4</v>
      </c>
      <c r="J18" s="9">
        <f t="shared" si="4"/>
        <v>20</v>
      </c>
    </row>
    <row r="19" spans="1:10" ht="12.75">
      <c r="A19" s="5" t="s">
        <v>42</v>
      </c>
      <c r="B19" s="5"/>
      <c r="C19" s="5"/>
      <c r="D19" s="5"/>
      <c r="E19" s="9">
        <f t="shared" si="2"/>
        <v>105</v>
      </c>
      <c r="F19" s="9">
        <f t="shared" si="3"/>
        <v>105</v>
      </c>
      <c r="G19" s="9">
        <f t="shared" si="0"/>
        <v>210</v>
      </c>
      <c r="H19" s="9">
        <f t="shared" si="1"/>
        <v>210</v>
      </c>
      <c r="I19" s="9">
        <f t="shared" si="1"/>
        <v>210</v>
      </c>
      <c r="J19" s="9">
        <f t="shared" si="4"/>
        <v>840</v>
      </c>
    </row>
    <row r="20" spans="1:10" ht="12.75">
      <c r="A20" s="5" t="s">
        <v>65</v>
      </c>
      <c r="B20" s="5"/>
      <c r="C20" s="5"/>
      <c r="D20" s="5"/>
      <c r="E20" s="9">
        <f>+D6/20</f>
        <v>100</v>
      </c>
      <c r="F20" s="9">
        <f>+E20</f>
        <v>100</v>
      </c>
      <c r="G20" s="9">
        <f>+F20+(G6/20)</f>
        <v>150</v>
      </c>
      <c r="H20" s="9">
        <f>+G20+(H6/20)</f>
        <v>150</v>
      </c>
      <c r="I20" s="9">
        <f>+H20+(I6/20)</f>
        <v>150</v>
      </c>
      <c r="J20" s="9">
        <f>+SUM(E20:I20)</f>
        <v>650</v>
      </c>
    </row>
    <row r="21" spans="1:10" ht="12.75">
      <c r="A21" s="5" t="s">
        <v>66</v>
      </c>
      <c r="B21" s="5"/>
      <c r="C21" s="5"/>
      <c r="D21" s="5"/>
      <c r="E21" s="9">
        <f>+D7/20</f>
        <v>105</v>
      </c>
      <c r="F21" s="9">
        <f>+E21</f>
        <v>105</v>
      </c>
      <c r="G21" s="9">
        <f>+F21+(G27/20)</f>
        <v>105</v>
      </c>
      <c r="H21" s="9">
        <f>+G21</f>
        <v>105</v>
      </c>
      <c r="I21" s="9">
        <f>+H21</f>
        <v>105</v>
      </c>
      <c r="J21" s="9">
        <f>+SUM(E21:I21)</f>
        <v>525</v>
      </c>
    </row>
    <row r="22" spans="1:10" s="1" customFormat="1" ht="12.75">
      <c r="A22" s="6" t="s">
        <v>44</v>
      </c>
      <c r="B22" s="6"/>
      <c r="C22" s="6"/>
      <c r="D22" s="6"/>
      <c r="E22" s="24">
        <f aca="true" t="shared" si="5" ref="E22:J22">+SUM(E12:E21)</f>
        <v>1514</v>
      </c>
      <c r="F22" s="24">
        <f t="shared" si="5"/>
        <v>1514</v>
      </c>
      <c r="G22" s="24">
        <f t="shared" si="5"/>
        <v>1819</v>
      </c>
      <c r="H22" s="24">
        <f t="shared" si="5"/>
        <v>1819</v>
      </c>
      <c r="I22" s="24">
        <f t="shared" si="5"/>
        <v>1819</v>
      </c>
      <c r="J22" s="24">
        <f t="shared" si="5"/>
        <v>8485</v>
      </c>
    </row>
    <row r="24" spans="1:10" ht="38.25">
      <c r="A24" s="3" t="s">
        <v>73</v>
      </c>
      <c r="B24" s="3" t="s">
        <v>43</v>
      </c>
      <c r="C24" s="7" t="s">
        <v>64</v>
      </c>
      <c r="D24" s="7" t="s">
        <v>71</v>
      </c>
      <c r="E24" s="3">
        <v>1</v>
      </c>
      <c r="F24" s="3">
        <v>2</v>
      </c>
      <c r="G24" s="3" t="s">
        <v>72</v>
      </c>
      <c r="H24" s="3">
        <v>4</v>
      </c>
      <c r="I24" s="3">
        <v>5</v>
      </c>
      <c r="J24" s="7" t="s">
        <v>74</v>
      </c>
    </row>
    <row r="25" spans="1:10" ht="12.75">
      <c r="A25" s="5" t="s">
        <v>35</v>
      </c>
      <c r="B25" s="8">
        <v>2</v>
      </c>
      <c r="C25" s="9">
        <v>1500</v>
      </c>
      <c r="D25" s="9">
        <f>+B25*C25</f>
        <v>3000</v>
      </c>
      <c r="E25" s="9"/>
      <c r="F25" s="9"/>
      <c r="G25" s="9"/>
      <c r="H25" s="9"/>
      <c r="I25" s="9"/>
      <c r="J25" s="9">
        <v>500</v>
      </c>
    </row>
    <row r="26" spans="1:10" ht="12.75">
      <c r="A26" s="5" t="s">
        <v>36</v>
      </c>
      <c r="B26" s="8">
        <v>2</v>
      </c>
      <c r="C26" s="9">
        <v>1000</v>
      </c>
      <c r="D26" s="9">
        <f aca="true" t="shared" si="6" ref="D26:D32">+B26*C26</f>
        <v>2000</v>
      </c>
      <c r="E26" s="9"/>
      <c r="F26" s="9"/>
      <c r="G26" s="9"/>
      <c r="H26" s="9"/>
      <c r="I26" s="9"/>
      <c r="J26" s="9">
        <f>+D26-J13</f>
        <v>1000</v>
      </c>
    </row>
    <row r="27" spans="1:10" ht="12.75">
      <c r="A27" s="5" t="s">
        <v>37</v>
      </c>
      <c r="B27" s="8">
        <v>1</v>
      </c>
      <c r="C27" s="9">
        <v>1200</v>
      </c>
      <c r="D27" s="9">
        <f t="shared" si="6"/>
        <v>1200</v>
      </c>
      <c r="E27" s="9"/>
      <c r="F27" s="9"/>
      <c r="G27" s="9"/>
      <c r="H27" s="9"/>
      <c r="I27" s="9"/>
      <c r="J27" s="9">
        <f>+D27-J14</f>
        <v>600</v>
      </c>
    </row>
    <row r="28" spans="1:10" ht="12.75">
      <c r="A28" s="5" t="s">
        <v>38</v>
      </c>
      <c r="B28" s="8">
        <v>2</v>
      </c>
      <c r="C28" s="8">
        <v>500</v>
      </c>
      <c r="D28" s="9">
        <f t="shared" si="6"/>
        <v>1000</v>
      </c>
      <c r="E28" s="9"/>
      <c r="F28" s="9"/>
      <c r="G28" s="9"/>
      <c r="H28" s="9"/>
      <c r="I28" s="9"/>
      <c r="J28" s="9">
        <f>+D28-J15</f>
        <v>500</v>
      </c>
    </row>
    <row r="29" spans="1:10" ht="12.75">
      <c r="A29" s="5" t="s">
        <v>39</v>
      </c>
      <c r="B29" s="8">
        <v>1</v>
      </c>
      <c r="C29" s="8">
        <v>300</v>
      </c>
      <c r="D29" s="9">
        <f t="shared" si="6"/>
        <v>300</v>
      </c>
      <c r="E29" s="9"/>
      <c r="F29" s="9"/>
      <c r="G29" s="9"/>
      <c r="H29" s="9"/>
      <c r="I29" s="9"/>
      <c r="J29" s="9">
        <f>+D29-J16</f>
        <v>150</v>
      </c>
    </row>
    <row r="30" spans="1:10" ht="12.75">
      <c r="A30" s="5" t="s">
        <v>40</v>
      </c>
      <c r="B30" s="8">
        <v>1</v>
      </c>
      <c r="C30" s="9">
        <v>1500</v>
      </c>
      <c r="D30" s="9">
        <f t="shared" si="6"/>
        <v>1500</v>
      </c>
      <c r="E30" s="9"/>
      <c r="F30" s="9"/>
      <c r="G30" s="9">
        <v>1500</v>
      </c>
      <c r="H30" s="9"/>
      <c r="I30" s="9"/>
      <c r="J30" s="9">
        <f>+D30-J17+G30</f>
        <v>1800</v>
      </c>
    </row>
    <row r="31" spans="1:10" ht="12.75">
      <c r="A31" s="5" t="s">
        <v>41</v>
      </c>
      <c r="B31" s="8">
        <v>2</v>
      </c>
      <c r="C31" s="8">
        <v>20</v>
      </c>
      <c r="D31" s="9">
        <f t="shared" si="6"/>
        <v>40</v>
      </c>
      <c r="E31" s="9"/>
      <c r="F31" s="9"/>
      <c r="G31" s="9"/>
      <c r="H31" s="9"/>
      <c r="I31" s="9"/>
      <c r="J31" s="9">
        <f>+D31-J18</f>
        <v>20</v>
      </c>
    </row>
    <row r="32" spans="1:10" ht="12.75">
      <c r="A32" s="5" t="s">
        <v>42</v>
      </c>
      <c r="B32" s="8">
        <v>3</v>
      </c>
      <c r="C32" s="8">
        <v>350</v>
      </c>
      <c r="D32" s="9">
        <f t="shared" si="6"/>
        <v>1050</v>
      </c>
      <c r="E32" s="9"/>
      <c r="F32" s="9"/>
      <c r="G32" s="9">
        <v>1050</v>
      </c>
      <c r="H32" s="9"/>
      <c r="I32" s="9"/>
      <c r="J32" s="9">
        <f>+D32-J19+G32</f>
        <v>1260</v>
      </c>
    </row>
    <row r="33" spans="1:10" ht="12.75">
      <c r="A33" s="6" t="s">
        <v>75</v>
      </c>
      <c r="B33" s="6"/>
      <c r="C33" s="6"/>
      <c r="D33" s="24">
        <f>+SUM(D25:D32)</f>
        <v>10090</v>
      </c>
      <c r="E33" s="24"/>
      <c r="F33" s="24"/>
      <c r="G33" s="24">
        <f>+SUM(G25:G32)</f>
        <v>2550</v>
      </c>
      <c r="H33" s="24"/>
      <c r="I33" s="24"/>
      <c r="J33" s="24">
        <f>+SUM(J25:J32)</f>
        <v>5830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49"/>
  <sheetViews>
    <sheetView zoomScale="115" zoomScaleNormal="115" zoomScalePageLayoutView="0" workbookViewId="0" topLeftCell="A1">
      <selection activeCell="A2" sqref="A1:A2"/>
    </sheetView>
  </sheetViews>
  <sheetFormatPr defaultColWidth="11.421875" defaultRowHeight="12.75"/>
  <cols>
    <col min="1" max="1" width="28.8515625" style="45" customWidth="1"/>
    <col min="2" max="7" width="8.28125" style="46" customWidth="1"/>
    <col min="8" max="16384" width="11.421875" style="45" customWidth="1"/>
  </cols>
  <sheetData>
    <row r="1" ht="12.75">
      <c r="A1" s="81" t="s">
        <v>76</v>
      </c>
    </row>
    <row r="2" ht="12.75">
      <c r="A2" s="81" t="s">
        <v>78</v>
      </c>
    </row>
    <row r="4" s="25" customFormat="1" ht="12.75">
      <c r="B4" s="28" t="s">
        <v>0</v>
      </c>
    </row>
    <row r="5" spans="2:7" s="25" customFormat="1" ht="15" customHeight="1" thickBot="1">
      <c r="B5" s="26"/>
      <c r="C5" s="26"/>
      <c r="D5" s="26"/>
      <c r="E5" s="26"/>
      <c r="F5" s="26"/>
      <c r="G5" s="26"/>
    </row>
    <row r="6" spans="1:7" s="27" customFormat="1" ht="12" customHeight="1">
      <c r="A6" s="47" t="s">
        <v>60</v>
      </c>
      <c r="B6" s="48">
        <v>0</v>
      </c>
      <c r="C6" s="48">
        <v>1</v>
      </c>
      <c r="D6" s="48">
        <v>2</v>
      </c>
      <c r="E6" s="48">
        <v>3</v>
      </c>
      <c r="F6" s="48">
        <v>4</v>
      </c>
      <c r="G6" s="49">
        <v>5</v>
      </c>
    </row>
    <row r="7" spans="1:7" s="27" customFormat="1" ht="12" customHeight="1">
      <c r="A7" s="50" t="s">
        <v>45</v>
      </c>
      <c r="B7" s="51" t="s">
        <v>61</v>
      </c>
      <c r="C7" s="52">
        <v>450000</v>
      </c>
      <c r="D7" s="52">
        <v>495000</v>
      </c>
      <c r="E7" s="52">
        <v>544500</v>
      </c>
      <c r="F7" s="52">
        <v>598950</v>
      </c>
      <c r="G7" s="53">
        <v>658845</v>
      </c>
    </row>
    <row r="8" spans="1:7" s="27" customFormat="1" ht="12" customHeight="1">
      <c r="A8" s="50" t="s">
        <v>46</v>
      </c>
      <c r="B8" s="51" t="s">
        <v>62</v>
      </c>
      <c r="C8" s="54">
        <v>0.22</v>
      </c>
      <c r="D8" s="54">
        <f>+C8</f>
        <v>0.22</v>
      </c>
      <c r="E8" s="54">
        <f>+D8</f>
        <v>0.22</v>
      </c>
      <c r="F8" s="54">
        <f>+E8</f>
        <v>0.22</v>
      </c>
      <c r="G8" s="55">
        <f>+F8</f>
        <v>0.22</v>
      </c>
    </row>
    <row r="9" spans="1:7" s="27" customFormat="1" ht="12" customHeight="1">
      <c r="A9" s="56"/>
      <c r="B9" s="51"/>
      <c r="C9" s="51"/>
      <c r="D9" s="51"/>
      <c r="E9" s="51"/>
      <c r="F9" s="51"/>
      <c r="G9" s="57"/>
    </row>
    <row r="10" spans="1:7" s="25" customFormat="1" ht="12" customHeight="1">
      <c r="A10" s="58" t="s">
        <v>24</v>
      </c>
      <c r="B10" s="59"/>
      <c r="C10" s="59">
        <f>+C7*C8</f>
        <v>99000</v>
      </c>
      <c r="D10" s="59">
        <f>+D7*D8</f>
        <v>108900</v>
      </c>
      <c r="E10" s="59">
        <f>+E7*E8</f>
        <v>119790</v>
      </c>
      <c r="F10" s="59">
        <f>+F7*F8</f>
        <v>131769</v>
      </c>
      <c r="G10" s="60">
        <f>+G7*G8</f>
        <v>144945.9</v>
      </c>
    </row>
    <row r="11" spans="1:7" s="28" customFormat="1" ht="12" customHeight="1">
      <c r="A11" s="61" t="s">
        <v>1</v>
      </c>
      <c r="B11" s="62"/>
      <c r="C11" s="52">
        <f>SUM(C10:C10)</f>
        <v>99000</v>
      </c>
      <c r="D11" s="52">
        <f>SUM(D10:D10)</f>
        <v>108900</v>
      </c>
      <c r="E11" s="52">
        <f>SUM(E10:E10)</f>
        <v>119790</v>
      </c>
      <c r="F11" s="52">
        <f>SUM(F10:F10)</f>
        <v>131769</v>
      </c>
      <c r="G11" s="53">
        <f>SUM(G10:G10)</f>
        <v>144945.9</v>
      </c>
    </row>
    <row r="12" spans="1:7" s="28" customFormat="1" ht="12" customHeight="1">
      <c r="A12" s="63"/>
      <c r="B12" s="62"/>
      <c r="C12" s="52"/>
      <c r="D12" s="52"/>
      <c r="E12" s="52"/>
      <c r="F12" s="52"/>
      <c r="G12" s="53"/>
    </row>
    <row r="13" spans="1:7" s="28" customFormat="1" ht="12" customHeight="1">
      <c r="A13" s="63" t="s">
        <v>25</v>
      </c>
      <c r="B13" s="59"/>
      <c r="C13" s="64">
        <v>54000</v>
      </c>
      <c r="D13" s="64">
        <f aca="true" t="shared" si="0" ref="D13:G16">+C13*1.1</f>
        <v>59400.00000000001</v>
      </c>
      <c r="E13" s="64">
        <f t="shared" si="0"/>
        <v>65340.000000000015</v>
      </c>
      <c r="F13" s="64">
        <f t="shared" si="0"/>
        <v>71874.00000000001</v>
      </c>
      <c r="G13" s="65">
        <f t="shared" si="0"/>
        <v>79061.40000000002</v>
      </c>
    </row>
    <row r="14" spans="1:7" s="28" customFormat="1" ht="12" customHeight="1">
      <c r="A14" s="63" t="s">
        <v>26</v>
      </c>
      <c r="B14" s="59"/>
      <c r="C14" s="64">
        <v>4320</v>
      </c>
      <c r="D14" s="64">
        <f t="shared" si="0"/>
        <v>4752</v>
      </c>
      <c r="E14" s="64">
        <f t="shared" si="0"/>
        <v>5227.200000000001</v>
      </c>
      <c r="F14" s="64">
        <f t="shared" si="0"/>
        <v>5749.920000000001</v>
      </c>
      <c r="G14" s="65">
        <f t="shared" si="0"/>
        <v>6324.912000000001</v>
      </c>
    </row>
    <row r="15" spans="1:7" s="28" customFormat="1" ht="12" customHeight="1">
      <c r="A15" s="63" t="s">
        <v>27</v>
      </c>
      <c r="B15" s="59"/>
      <c r="C15" s="64">
        <v>3600</v>
      </c>
      <c r="D15" s="64">
        <f t="shared" si="0"/>
        <v>3960.0000000000005</v>
      </c>
      <c r="E15" s="64">
        <f t="shared" si="0"/>
        <v>4356.000000000001</v>
      </c>
      <c r="F15" s="64">
        <f t="shared" si="0"/>
        <v>4791.600000000001</v>
      </c>
      <c r="G15" s="65">
        <f t="shared" si="0"/>
        <v>5270.760000000002</v>
      </c>
    </row>
    <row r="16" spans="1:7" s="28" customFormat="1" ht="12" customHeight="1">
      <c r="A16" s="63" t="s">
        <v>28</v>
      </c>
      <c r="B16" s="59"/>
      <c r="C16" s="64">
        <v>900</v>
      </c>
      <c r="D16" s="64">
        <f t="shared" si="0"/>
        <v>990.0000000000001</v>
      </c>
      <c r="E16" s="64">
        <f t="shared" si="0"/>
        <v>1089.0000000000002</v>
      </c>
      <c r="F16" s="64">
        <f t="shared" si="0"/>
        <v>1197.9000000000003</v>
      </c>
      <c r="G16" s="65">
        <f t="shared" si="0"/>
        <v>1317.6900000000005</v>
      </c>
    </row>
    <row r="17" spans="1:7" s="28" customFormat="1" ht="12" customHeight="1">
      <c r="A17" s="61" t="s">
        <v>30</v>
      </c>
      <c r="B17" s="62"/>
      <c r="C17" s="52">
        <f>+SUM(C13:C16)</f>
        <v>62820</v>
      </c>
      <c r="D17" s="52">
        <f>+SUM(D13:D16)</f>
        <v>69102.00000000001</v>
      </c>
      <c r="E17" s="52">
        <f>+SUM(E13:E16)</f>
        <v>76012.20000000001</v>
      </c>
      <c r="F17" s="52">
        <f>+SUM(F13:F16)</f>
        <v>83613.42000000001</v>
      </c>
      <c r="G17" s="53">
        <f>+SUM(G13:G16)</f>
        <v>91974.76200000002</v>
      </c>
    </row>
    <row r="18" spans="1:7" s="25" customFormat="1" ht="12" customHeight="1">
      <c r="A18" s="63" t="s">
        <v>2</v>
      </c>
      <c r="B18" s="59"/>
      <c r="C18" s="59">
        <v>22800</v>
      </c>
      <c r="D18" s="64">
        <f>+C18</f>
        <v>22800</v>
      </c>
      <c r="E18" s="64">
        <f>+D18</f>
        <v>22800</v>
      </c>
      <c r="F18" s="64">
        <f>+E18</f>
        <v>22800</v>
      </c>
      <c r="G18" s="65">
        <f>+F18</f>
        <v>22800</v>
      </c>
    </row>
    <row r="19" spans="1:7" s="25" customFormat="1" ht="12" customHeight="1">
      <c r="A19" s="63" t="s">
        <v>68</v>
      </c>
      <c r="B19" s="59"/>
      <c r="C19" s="59">
        <v>4000</v>
      </c>
      <c r="D19" s="64"/>
      <c r="E19" s="64"/>
      <c r="F19" s="64"/>
      <c r="G19" s="65"/>
    </row>
    <row r="20" spans="1:7" s="25" customFormat="1" ht="12" customHeight="1">
      <c r="A20" s="63" t="s">
        <v>3</v>
      </c>
      <c r="B20" s="59"/>
      <c r="C20" s="59">
        <v>3600</v>
      </c>
      <c r="D20" s="59">
        <v>3600</v>
      </c>
      <c r="E20" s="59">
        <v>3600</v>
      </c>
      <c r="F20" s="59">
        <v>3600</v>
      </c>
      <c r="G20" s="60">
        <v>3600</v>
      </c>
    </row>
    <row r="21" spans="1:7" s="25" customFormat="1" ht="12" customHeight="1">
      <c r="A21" s="63" t="s">
        <v>4</v>
      </c>
      <c r="B21" s="59"/>
      <c r="C21" s="59">
        <f>391.6+150</f>
        <v>541.6</v>
      </c>
      <c r="D21" s="59">
        <f>391.6+150</f>
        <v>541.6</v>
      </c>
      <c r="E21" s="59">
        <f>391.6+150</f>
        <v>541.6</v>
      </c>
      <c r="F21" s="59">
        <f>391.6+150</f>
        <v>541.6</v>
      </c>
      <c r="G21" s="60">
        <f>391.6+150</f>
        <v>541.6</v>
      </c>
    </row>
    <row r="22" spans="1:7" s="25" customFormat="1" ht="12" customHeight="1">
      <c r="A22" s="63" t="s">
        <v>29</v>
      </c>
      <c r="B22" s="59"/>
      <c r="C22" s="59">
        <v>4200</v>
      </c>
      <c r="D22" s="59">
        <v>4200</v>
      </c>
      <c r="E22" s="59">
        <v>4200</v>
      </c>
      <c r="F22" s="64">
        <v>4800</v>
      </c>
      <c r="G22" s="65">
        <v>4800</v>
      </c>
    </row>
    <row r="23" spans="1:7" s="28" customFormat="1" ht="12" customHeight="1">
      <c r="A23" s="61" t="s">
        <v>31</v>
      </c>
      <c r="B23" s="62"/>
      <c r="C23" s="66">
        <f>+SUM(C18:C22)</f>
        <v>35141.6</v>
      </c>
      <c r="D23" s="66">
        <f>+SUM(D18:D22)</f>
        <v>31141.6</v>
      </c>
      <c r="E23" s="66">
        <f>+SUM(E18:E22)</f>
        <v>31141.6</v>
      </c>
      <c r="F23" s="66">
        <f>+SUM(F18:F22)</f>
        <v>31741.6</v>
      </c>
      <c r="G23" s="67">
        <f>+SUM(G18:G22)</f>
        <v>31741.6</v>
      </c>
    </row>
    <row r="24" spans="1:7" s="25" customFormat="1" ht="12" customHeight="1" thickBot="1">
      <c r="A24" s="68" t="s">
        <v>47</v>
      </c>
      <c r="B24" s="69"/>
      <c r="C24" s="69">
        <f>+Depreciacion!E22</f>
        <v>1514</v>
      </c>
      <c r="D24" s="69">
        <f>+Depreciacion!F22</f>
        <v>1514</v>
      </c>
      <c r="E24" s="69">
        <f>+Depreciacion!G22</f>
        <v>1819</v>
      </c>
      <c r="F24" s="69">
        <f>+Depreciacion!H22</f>
        <v>1819</v>
      </c>
      <c r="G24" s="70">
        <f>+Depreciacion!I22</f>
        <v>1819</v>
      </c>
    </row>
    <row r="25" spans="1:7" s="25" customFormat="1" ht="12" customHeight="1" thickBot="1">
      <c r="A25" s="71" t="s">
        <v>5</v>
      </c>
      <c r="B25" s="72"/>
      <c r="C25" s="72">
        <f>+C17+C23+C24</f>
        <v>99475.6</v>
      </c>
      <c r="D25" s="72">
        <f>+D17+D23+D24</f>
        <v>101757.6</v>
      </c>
      <c r="E25" s="72">
        <f>+E17+E23+E24</f>
        <v>108972.80000000002</v>
      </c>
      <c r="F25" s="72">
        <f>+F17+F23+F24</f>
        <v>117174.02000000002</v>
      </c>
      <c r="G25" s="73">
        <f>+G17+G23+G24</f>
        <v>125535.36200000002</v>
      </c>
    </row>
    <row r="26" spans="1:7" s="28" customFormat="1" ht="12" customHeight="1" thickBot="1">
      <c r="A26" s="71" t="s">
        <v>6</v>
      </c>
      <c r="B26" s="72"/>
      <c r="C26" s="72">
        <f>+C11-C25</f>
        <v>-475.6000000000058</v>
      </c>
      <c r="D26" s="72">
        <f>+D11-D25</f>
        <v>7142.399999999994</v>
      </c>
      <c r="E26" s="72">
        <f>+E11-E25</f>
        <v>10817.199999999983</v>
      </c>
      <c r="F26" s="72">
        <f>+F11-F25</f>
        <v>14594.979999999981</v>
      </c>
      <c r="G26" s="73">
        <f>+G11-G25</f>
        <v>19410.53799999997</v>
      </c>
    </row>
    <row r="27" spans="1:7" s="25" customFormat="1" ht="12" customHeight="1" thickBot="1">
      <c r="A27" s="74" t="s">
        <v>7</v>
      </c>
      <c r="B27" s="75"/>
      <c r="C27" s="75">
        <f>+C26*0.15</f>
        <v>-71.34000000000087</v>
      </c>
      <c r="D27" s="75">
        <f>+D26*0.15</f>
        <v>1071.359999999999</v>
      </c>
      <c r="E27" s="75">
        <f>+E26*0.15</f>
        <v>1622.5799999999974</v>
      </c>
      <c r="F27" s="75">
        <f>+F26*0.15</f>
        <v>2189.246999999997</v>
      </c>
      <c r="G27" s="76">
        <f>+G26*0.15</f>
        <v>2911.5806999999954</v>
      </c>
    </row>
    <row r="28" spans="1:7" s="28" customFormat="1" ht="12" customHeight="1" thickBot="1">
      <c r="A28" s="71" t="s">
        <v>8</v>
      </c>
      <c r="B28" s="72"/>
      <c r="C28" s="72">
        <f>C26-C27</f>
        <v>-404.26000000000494</v>
      </c>
      <c r="D28" s="72">
        <f>D26-D27</f>
        <v>6071.039999999995</v>
      </c>
      <c r="E28" s="72">
        <f>E26-E27</f>
        <v>9194.619999999984</v>
      </c>
      <c r="F28" s="72">
        <f>F26-F27</f>
        <v>12405.732999999984</v>
      </c>
      <c r="G28" s="73">
        <f>G26-G27</f>
        <v>16498.957299999976</v>
      </c>
    </row>
    <row r="29" spans="1:7" s="25" customFormat="1" ht="12" customHeight="1" thickBot="1">
      <c r="A29" s="74" t="s">
        <v>9</v>
      </c>
      <c r="B29" s="75"/>
      <c r="C29" s="75">
        <f>+C28*0.25</f>
        <v>-101.06500000000123</v>
      </c>
      <c r="D29" s="75">
        <f>+D28*0.25</f>
        <v>1517.7599999999989</v>
      </c>
      <c r="E29" s="75">
        <f>+E28*0.25</f>
        <v>2298.654999999996</v>
      </c>
      <c r="F29" s="75">
        <f>+F28*0.25</f>
        <v>3101.433249999996</v>
      </c>
      <c r="G29" s="76">
        <f>+G28*0.25</f>
        <v>4124.739324999994</v>
      </c>
    </row>
    <row r="30" spans="1:7" s="28" customFormat="1" ht="12" customHeight="1" thickBot="1">
      <c r="A30" s="71" t="s">
        <v>10</v>
      </c>
      <c r="B30" s="72"/>
      <c r="C30" s="72">
        <f>+C28-C29</f>
        <v>-303.1950000000037</v>
      </c>
      <c r="D30" s="72">
        <f>+D28-D29</f>
        <v>4553.279999999997</v>
      </c>
      <c r="E30" s="72">
        <f>+E28-E29</f>
        <v>6895.964999999988</v>
      </c>
      <c r="F30" s="72">
        <f>+F28-F29</f>
        <v>9304.299749999987</v>
      </c>
      <c r="G30" s="73">
        <f>+G28-G29</f>
        <v>12374.217974999981</v>
      </c>
    </row>
    <row r="31" spans="1:7" s="25" customFormat="1" ht="12" customHeight="1">
      <c r="A31" s="77" t="s">
        <v>11</v>
      </c>
      <c r="B31" s="64"/>
      <c r="C31" s="64">
        <f>+C24</f>
        <v>1514</v>
      </c>
      <c r="D31" s="64">
        <f>+D24</f>
        <v>1514</v>
      </c>
      <c r="E31" s="64">
        <f>+E24</f>
        <v>1819</v>
      </c>
      <c r="F31" s="64">
        <f>+F24</f>
        <v>1819</v>
      </c>
      <c r="G31" s="65">
        <f>+G24</f>
        <v>1819</v>
      </c>
    </row>
    <row r="32" spans="1:7" s="25" customFormat="1" ht="12" customHeight="1">
      <c r="A32" s="63" t="s">
        <v>12</v>
      </c>
      <c r="B32" s="59">
        <v>-16090</v>
      </c>
      <c r="C32" s="64"/>
      <c r="D32" s="64"/>
      <c r="E32" s="64"/>
      <c r="F32" s="64"/>
      <c r="G32" s="65"/>
    </row>
    <row r="33" spans="1:7" s="25" customFormat="1" ht="12" customHeight="1">
      <c r="A33" s="63" t="s">
        <v>13</v>
      </c>
      <c r="B33" s="59"/>
      <c r="C33" s="59"/>
      <c r="D33" s="59"/>
      <c r="E33" s="59"/>
      <c r="F33" s="59"/>
      <c r="G33" s="60">
        <v>5830</v>
      </c>
    </row>
    <row r="34" spans="1:7" s="25" customFormat="1" ht="12" customHeight="1" thickBot="1">
      <c r="A34" s="68" t="s">
        <v>14</v>
      </c>
      <c r="B34" s="69">
        <v>-160</v>
      </c>
      <c r="C34" s="69"/>
      <c r="D34" s="69"/>
      <c r="E34" s="69"/>
      <c r="F34" s="69"/>
      <c r="G34" s="70"/>
    </row>
    <row r="35" spans="1:7" s="28" customFormat="1" ht="12" customHeight="1" thickBot="1">
      <c r="A35" s="78" t="s">
        <v>15</v>
      </c>
      <c r="B35" s="79">
        <f>SUM(B32:B34)</f>
        <v>-16250</v>
      </c>
      <c r="C35" s="79">
        <f>SUM(C30:C34)</f>
        <v>1210.8049999999962</v>
      </c>
      <c r="D35" s="79">
        <f>SUM(D30:D34)</f>
        <v>6067.279999999997</v>
      </c>
      <c r="E35" s="79">
        <f>SUM(E30:E34)</f>
        <v>8714.96499999999</v>
      </c>
      <c r="F35" s="79">
        <f>SUM(F30:F34)</f>
        <v>11123.299749999987</v>
      </c>
      <c r="G35" s="80">
        <f>SUM(G30:G34)</f>
        <v>20023.21797499998</v>
      </c>
    </row>
    <row r="36" spans="1:7" s="25" customFormat="1" ht="12" customHeight="1">
      <c r="A36" s="2"/>
      <c r="B36" s="29"/>
      <c r="C36" s="30"/>
      <c r="D36" s="29"/>
      <c r="E36" s="29"/>
      <c r="F36" s="29"/>
      <c r="G36" s="29"/>
    </row>
    <row r="37" spans="1:7" s="35" customFormat="1" ht="12" customHeight="1">
      <c r="A37" s="31" t="s">
        <v>16</v>
      </c>
      <c r="B37" s="32">
        <f>IRR(B35:G35)</f>
        <v>0.3337732621343939</v>
      </c>
      <c r="C37" s="33"/>
      <c r="D37" s="34"/>
      <c r="E37" s="33"/>
      <c r="F37" s="33"/>
      <c r="G37" s="33"/>
    </row>
    <row r="38" spans="1:7" s="25" customFormat="1" ht="12" customHeight="1">
      <c r="A38" s="31" t="s">
        <v>59</v>
      </c>
      <c r="B38" s="36">
        <f>NPV(B39,C35:G35)+B35</f>
        <v>9670.108027237446</v>
      </c>
      <c r="C38" s="29"/>
      <c r="D38" s="37"/>
      <c r="E38" s="29"/>
      <c r="F38" s="29"/>
      <c r="G38" s="29"/>
    </row>
    <row r="39" spans="1:7" s="25" customFormat="1" ht="12" customHeight="1">
      <c r="A39" s="31" t="s">
        <v>17</v>
      </c>
      <c r="B39" s="32">
        <f>+B46</f>
        <v>0.17070000000000002</v>
      </c>
      <c r="C39" s="26"/>
      <c r="D39" s="26"/>
      <c r="E39" s="26"/>
      <c r="F39" s="26"/>
      <c r="G39" s="26"/>
    </row>
    <row r="40" spans="2:7" s="35" customFormat="1" ht="12" customHeight="1">
      <c r="B40" s="38"/>
      <c r="D40" s="39"/>
      <c r="E40" s="40"/>
      <c r="F40" s="40"/>
      <c r="G40" s="40"/>
    </row>
    <row r="41" spans="1:7" s="25" customFormat="1" ht="12" customHeight="1">
      <c r="A41" s="31" t="s">
        <v>18</v>
      </c>
      <c r="B41" s="41">
        <v>0.0262</v>
      </c>
      <c r="C41" s="42"/>
      <c r="D41" s="26"/>
      <c r="E41" s="26"/>
      <c r="F41" s="26"/>
      <c r="G41" s="26"/>
    </row>
    <row r="42" spans="1:7" s="25" customFormat="1" ht="12" customHeight="1">
      <c r="A42" s="31" t="s">
        <v>19</v>
      </c>
      <c r="B42" s="43">
        <v>0.78</v>
      </c>
      <c r="C42" s="42"/>
      <c r="D42" s="26"/>
      <c r="E42" s="26"/>
      <c r="F42" s="26"/>
      <c r="G42" s="26"/>
    </row>
    <row r="43" spans="1:7" s="25" customFormat="1" ht="12" customHeight="1">
      <c r="A43" s="31" t="s">
        <v>20</v>
      </c>
      <c r="B43" s="41">
        <v>0.09</v>
      </c>
      <c r="C43" s="42"/>
      <c r="D43" s="26"/>
      <c r="E43" s="26"/>
      <c r="F43" s="26"/>
      <c r="G43" s="26"/>
    </row>
    <row r="44" spans="1:7" s="25" customFormat="1" ht="12" customHeight="1">
      <c r="A44" s="31" t="s">
        <v>21</v>
      </c>
      <c r="B44" s="44">
        <f>B41+B42*(B43)</f>
        <v>0.0964</v>
      </c>
      <c r="C44" s="42"/>
      <c r="D44" s="26"/>
      <c r="E44" s="26"/>
      <c r="F44" s="26"/>
      <c r="G44" s="26"/>
    </row>
    <row r="45" spans="1:7" s="25" customFormat="1" ht="12" customHeight="1">
      <c r="A45" s="31" t="s">
        <v>22</v>
      </c>
      <c r="B45" s="44">
        <v>0.0743</v>
      </c>
      <c r="C45" s="42"/>
      <c r="D45" s="26"/>
      <c r="E45" s="26"/>
      <c r="F45" s="26"/>
      <c r="G45" s="26"/>
    </row>
    <row r="46" spans="1:7" s="25" customFormat="1" ht="12" customHeight="1">
      <c r="A46" s="31" t="s">
        <v>17</v>
      </c>
      <c r="B46" s="32">
        <f>B44+B45</f>
        <v>0.17070000000000002</v>
      </c>
      <c r="C46" s="42"/>
      <c r="D46" s="26"/>
      <c r="E46" s="26"/>
      <c r="F46" s="26"/>
      <c r="G46" s="26"/>
    </row>
    <row r="47" spans="2:7" s="25" customFormat="1" ht="12.75">
      <c r="B47" s="26"/>
      <c r="C47" s="26"/>
      <c r="D47" s="26"/>
      <c r="E47" s="26"/>
      <c r="F47" s="26"/>
      <c r="G47" s="26"/>
    </row>
    <row r="48" spans="1:7" s="25" customFormat="1" ht="12.75">
      <c r="A48" s="2" t="s">
        <v>23</v>
      </c>
      <c r="B48" s="26"/>
      <c r="C48" s="26"/>
      <c r="D48" s="26"/>
      <c r="E48" s="26"/>
      <c r="F48" s="26"/>
      <c r="G48" s="26"/>
    </row>
    <row r="49" spans="2:7" s="25" customFormat="1" ht="12.75">
      <c r="B49" s="26"/>
      <c r="C49" s="26"/>
      <c r="D49" s="26"/>
      <c r="E49" s="26"/>
      <c r="F49" s="26"/>
      <c r="G49" s="26"/>
    </row>
  </sheetData>
  <sheetProtection/>
  <printOptions horizontalCentered="1" verticalCentered="1"/>
  <pageMargins left="0.57" right="0.42" top="0.5905511811023623" bottom="0.5905511811023623" header="0" footer="0.3937007874015748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13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4.8515625" style="2" customWidth="1"/>
    <col min="2" max="2" width="11.28125" style="2" customWidth="1"/>
    <col min="3" max="3" width="12.421875" style="2" customWidth="1"/>
    <col min="4" max="4" width="11.8515625" style="2" customWidth="1"/>
    <col min="5" max="5" width="13.421875" style="2" customWidth="1"/>
    <col min="6" max="6" width="13.57421875" style="2" customWidth="1"/>
    <col min="7" max="16384" width="11.421875" style="2" customWidth="1"/>
  </cols>
  <sheetData>
    <row r="1" ht="12.75">
      <c r="A1" s="1" t="s">
        <v>76</v>
      </c>
    </row>
    <row r="2" ht="12.75">
      <c r="A2" s="1" t="s">
        <v>79</v>
      </c>
    </row>
    <row r="4" spans="2:3" ht="12.75">
      <c r="B4" s="1" t="s">
        <v>80</v>
      </c>
      <c r="C4" s="82">
        <v>0.1707</v>
      </c>
    </row>
    <row r="6" spans="2:6" ht="12.75">
      <c r="B6" s="83" t="s">
        <v>48</v>
      </c>
      <c r="C6" s="83"/>
      <c r="D6" s="83"/>
      <c r="E6" s="83"/>
      <c r="F6" s="83"/>
    </row>
    <row r="7" spans="2:6" ht="12.75">
      <c r="B7" s="10" t="s">
        <v>49</v>
      </c>
      <c r="C7" s="11" t="s">
        <v>50</v>
      </c>
      <c r="D7" s="12" t="s">
        <v>51</v>
      </c>
      <c r="E7" s="11" t="s">
        <v>52</v>
      </c>
      <c r="F7" s="13" t="s">
        <v>53</v>
      </c>
    </row>
    <row r="8" spans="2:6" ht="12.75">
      <c r="B8" s="14" t="s">
        <v>54</v>
      </c>
      <c r="C8" s="15" t="s">
        <v>55</v>
      </c>
      <c r="D8" s="16" t="s">
        <v>56</v>
      </c>
      <c r="E8" s="15" t="s">
        <v>57</v>
      </c>
      <c r="F8" s="17" t="s">
        <v>58</v>
      </c>
    </row>
    <row r="9" spans="2:6" ht="12.75">
      <c r="B9" s="18">
        <v>1</v>
      </c>
      <c r="C9" s="19">
        <f>-'FLUJO CAJA'!B35</f>
        <v>16250</v>
      </c>
      <c r="D9" s="19">
        <f>+'FLUJO CAJA'!C35</f>
        <v>1210.8049999999962</v>
      </c>
      <c r="E9" s="19">
        <f>+C9*$C$4</f>
        <v>2773.875</v>
      </c>
      <c r="F9" s="20">
        <f>+D9-E9</f>
        <v>-1563.0700000000038</v>
      </c>
    </row>
    <row r="10" spans="2:6" ht="12.75">
      <c r="B10" s="18">
        <v>2</v>
      </c>
      <c r="C10" s="19">
        <f>C9-F9</f>
        <v>17813.070000000003</v>
      </c>
      <c r="D10" s="19">
        <f>+'FLUJO CAJA'!D35</f>
        <v>6067.279999999997</v>
      </c>
      <c r="E10" s="19">
        <f>+C10*$C$4</f>
        <v>3040.6910490000005</v>
      </c>
      <c r="F10" s="20">
        <f>+D10-E10</f>
        <v>3026.5889509999965</v>
      </c>
    </row>
    <row r="11" spans="2:6" ht="12.75">
      <c r="B11" s="18">
        <v>3</v>
      </c>
      <c r="C11" s="19">
        <f>C10-F10</f>
        <v>14786.481049000007</v>
      </c>
      <c r="D11" s="19">
        <f>+'FLUJO CAJA'!E35</f>
        <v>8714.96499999999</v>
      </c>
      <c r="E11" s="19">
        <f>+C11*$C$4</f>
        <v>2524.052315064301</v>
      </c>
      <c r="F11" s="20">
        <f>+D11-E11</f>
        <v>6190.912684935688</v>
      </c>
    </row>
    <row r="12" spans="2:6" ht="12.75">
      <c r="B12" s="18">
        <v>4</v>
      </c>
      <c r="C12" s="19">
        <f>C11-F11</f>
        <v>8595.568364064318</v>
      </c>
      <c r="D12" s="19">
        <f>+'FLUJO CAJA'!F35</f>
        <v>11123.299749999987</v>
      </c>
      <c r="E12" s="19">
        <f>+C12*$C$4</f>
        <v>1467.2635197457791</v>
      </c>
      <c r="F12" s="20">
        <f>+D12-E12</f>
        <v>9656.036230254209</v>
      </c>
    </row>
    <row r="13" spans="2:6" ht="12.75">
      <c r="B13" s="21">
        <v>5</v>
      </c>
      <c r="C13" s="22">
        <f>C12-F12</f>
        <v>-1060.4678661898906</v>
      </c>
      <c r="D13" s="22">
        <f>+'FLUJO CAJA'!G35</f>
        <v>20023.21797499998</v>
      </c>
      <c r="E13" s="22">
        <f>+C13*$C$4</f>
        <v>-181.02186475861433</v>
      </c>
      <c r="F13" s="22">
        <f>+D13-E13</f>
        <v>20204.239839758597</v>
      </c>
    </row>
  </sheetData>
  <sheetProtection/>
  <mergeCells count="1">
    <mergeCell ref="B6:F6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47"/>
  <sheetViews>
    <sheetView zoomScale="115" zoomScaleNormal="115" zoomScalePageLayoutView="0" workbookViewId="0" topLeftCell="A1">
      <selection activeCell="A1" sqref="A1:A2"/>
    </sheetView>
  </sheetViews>
  <sheetFormatPr defaultColWidth="11.421875" defaultRowHeight="12.75"/>
  <cols>
    <col min="1" max="1" width="30.8515625" style="45" customWidth="1"/>
    <col min="2" max="2" width="8.140625" style="46" customWidth="1"/>
    <col min="3" max="7" width="8.421875" style="46" customWidth="1"/>
    <col min="8" max="16384" width="11.421875" style="45" customWidth="1"/>
  </cols>
  <sheetData>
    <row r="1" ht="12.75">
      <c r="A1" s="81" t="s">
        <v>76</v>
      </c>
    </row>
    <row r="2" spans="1:2" s="25" customFormat="1" ht="12.75">
      <c r="A2" s="28" t="s">
        <v>81</v>
      </c>
      <c r="B2" s="28"/>
    </row>
    <row r="3" spans="2:7" s="84" customFormat="1" ht="12" customHeight="1" thickBot="1">
      <c r="B3" s="85"/>
      <c r="C3" s="85"/>
      <c r="D3" s="85"/>
      <c r="E3" s="85"/>
      <c r="F3" s="85"/>
      <c r="G3" s="85"/>
    </row>
    <row r="4" spans="1:7" s="86" customFormat="1" ht="12" customHeight="1">
      <c r="A4" s="47" t="s">
        <v>60</v>
      </c>
      <c r="B4" s="99">
        <v>0</v>
      </c>
      <c r="C4" s="99">
        <v>1</v>
      </c>
      <c r="D4" s="99">
        <v>2</v>
      </c>
      <c r="E4" s="99">
        <v>3</v>
      </c>
      <c r="F4" s="99">
        <v>4</v>
      </c>
      <c r="G4" s="100">
        <v>5</v>
      </c>
    </row>
    <row r="5" spans="1:7" s="86" customFormat="1" ht="12" customHeight="1">
      <c r="A5" s="101" t="s">
        <v>45</v>
      </c>
      <c r="B5" s="51"/>
      <c r="C5" s="52">
        <v>450000</v>
      </c>
      <c r="D5" s="52">
        <v>495000</v>
      </c>
      <c r="E5" s="52">
        <v>544500</v>
      </c>
      <c r="F5" s="52">
        <v>598950</v>
      </c>
      <c r="G5" s="53">
        <v>658845</v>
      </c>
    </row>
    <row r="6" spans="1:7" s="86" customFormat="1" ht="12" customHeight="1">
      <c r="A6" s="101" t="s">
        <v>46</v>
      </c>
      <c r="B6" s="51"/>
      <c r="C6" s="54">
        <v>0.25</v>
      </c>
      <c r="D6" s="54">
        <f>+C6</f>
        <v>0.25</v>
      </c>
      <c r="E6" s="54">
        <f>+D6</f>
        <v>0.25</v>
      </c>
      <c r="F6" s="54">
        <f>+E6</f>
        <v>0.25</v>
      </c>
      <c r="G6" s="55">
        <f>+F6</f>
        <v>0.25</v>
      </c>
    </row>
    <row r="7" spans="1:7" s="86" customFormat="1" ht="12" customHeight="1">
      <c r="A7" s="102"/>
      <c r="B7" s="51"/>
      <c r="C7" s="51"/>
      <c r="D7" s="51"/>
      <c r="E7" s="51"/>
      <c r="F7" s="51"/>
      <c r="G7" s="57"/>
    </row>
    <row r="8" spans="1:7" s="84" customFormat="1" ht="12" customHeight="1">
      <c r="A8" s="103" t="s">
        <v>24</v>
      </c>
      <c r="B8" s="59"/>
      <c r="C8" s="59">
        <f>+C5*C6</f>
        <v>112500</v>
      </c>
      <c r="D8" s="59">
        <f>+D5*D6</f>
        <v>123750</v>
      </c>
      <c r="E8" s="59">
        <f>+E5*E6</f>
        <v>136125</v>
      </c>
      <c r="F8" s="59">
        <f>+F5*F6</f>
        <v>149737.5</v>
      </c>
      <c r="G8" s="60">
        <f>+G5*G6</f>
        <v>164711.25</v>
      </c>
    </row>
    <row r="9" spans="1:7" s="87" customFormat="1" ht="12" customHeight="1">
      <c r="A9" s="104" t="s">
        <v>1</v>
      </c>
      <c r="B9" s="62"/>
      <c r="C9" s="52">
        <f>SUM(C8:C8)</f>
        <v>112500</v>
      </c>
      <c r="D9" s="52">
        <f>SUM(D8:D8)</f>
        <v>123750</v>
      </c>
      <c r="E9" s="52">
        <f>SUM(E8:E8)</f>
        <v>136125</v>
      </c>
      <c r="F9" s="52">
        <f>SUM(F8:F8)</f>
        <v>149737.5</v>
      </c>
      <c r="G9" s="53">
        <f>SUM(G8:G8)</f>
        <v>164711.25</v>
      </c>
    </row>
    <row r="10" spans="1:7" s="87" customFormat="1" ht="12" customHeight="1">
      <c r="A10" s="105"/>
      <c r="B10" s="62"/>
      <c r="C10" s="52"/>
      <c r="D10" s="52"/>
      <c r="E10" s="52"/>
      <c r="F10" s="52"/>
      <c r="G10" s="53"/>
    </row>
    <row r="11" spans="1:7" s="87" customFormat="1" ht="12" customHeight="1">
      <c r="A11" s="105" t="s">
        <v>25</v>
      </c>
      <c r="B11" s="59"/>
      <c r="C11" s="64">
        <v>54000</v>
      </c>
      <c r="D11" s="64">
        <f aca="true" t="shared" si="0" ref="D11:G14">+C11*1.1</f>
        <v>59400.00000000001</v>
      </c>
      <c r="E11" s="64">
        <f t="shared" si="0"/>
        <v>65340.000000000015</v>
      </c>
      <c r="F11" s="64">
        <f t="shared" si="0"/>
        <v>71874.00000000001</v>
      </c>
      <c r="G11" s="65">
        <f t="shared" si="0"/>
        <v>79061.40000000002</v>
      </c>
    </row>
    <row r="12" spans="1:7" s="87" customFormat="1" ht="12" customHeight="1">
      <c r="A12" s="105" t="s">
        <v>26</v>
      </c>
      <c r="B12" s="59"/>
      <c r="C12" s="64">
        <v>4320</v>
      </c>
      <c r="D12" s="64">
        <f t="shared" si="0"/>
        <v>4752</v>
      </c>
      <c r="E12" s="64">
        <f t="shared" si="0"/>
        <v>5227.200000000001</v>
      </c>
      <c r="F12" s="64">
        <f t="shared" si="0"/>
        <v>5749.920000000001</v>
      </c>
      <c r="G12" s="65">
        <f t="shared" si="0"/>
        <v>6324.912000000001</v>
      </c>
    </row>
    <row r="13" spans="1:7" s="87" customFormat="1" ht="12" customHeight="1">
      <c r="A13" s="105" t="s">
        <v>27</v>
      </c>
      <c r="B13" s="59"/>
      <c r="C13" s="64">
        <v>3600</v>
      </c>
      <c r="D13" s="64">
        <f t="shared" si="0"/>
        <v>3960.0000000000005</v>
      </c>
      <c r="E13" s="64">
        <f t="shared" si="0"/>
        <v>4356.000000000001</v>
      </c>
      <c r="F13" s="64">
        <f t="shared" si="0"/>
        <v>4791.600000000001</v>
      </c>
      <c r="G13" s="65">
        <f t="shared" si="0"/>
        <v>5270.760000000002</v>
      </c>
    </row>
    <row r="14" spans="1:7" s="87" customFormat="1" ht="12" customHeight="1">
      <c r="A14" s="105" t="s">
        <v>28</v>
      </c>
      <c r="B14" s="59"/>
      <c r="C14" s="64">
        <v>900</v>
      </c>
      <c r="D14" s="64">
        <f t="shared" si="0"/>
        <v>990.0000000000001</v>
      </c>
      <c r="E14" s="64">
        <f t="shared" si="0"/>
        <v>1089.0000000000002</v>
      </c>
      <c r="F14" s="64">
        <f t="shared" si="0"/>
        <v>1197.9000000000003</v>
      </c>
      <c r="G14" s="65">
        <f t="shared" si="0"/>
        <v>1317.6900000000005</v>
      </c>
    </row>
    <row r="15" spans="1:7" s="87" customFormat="1" ht="12" customHeight="1">
      <c r="A15" s="104" t="s">
        <v>30</v>
      </c>
      <c r="B15" s="62"/>
      <c r="C15" s="52">
        <f>+SUM(C11:C14)</f>
        <v>62820</v>
      </c>
      <c r="D15" s="52">
        <f>+SUM(D11:D14)</f>
        <v>69102.00000000001</v>
      </c>
      <c r="E15" s="52">
        <f>+SUM(E11:E14)</f>
        <v>76012.20000000001</v>
      </c>
      <c r="F15" s="52">
        <f>+SUM(F11:F14)</f>
        <v>83613.42000000001</v>
      </c>
      <c r="G15" s="53">
        <f>+SUM(G11:G14)</f>
        <v>91974.76200000002</v>
      </c>
    </row>
    <row r="16" spans="1:7" s="84" customFormat="1" ht="12" customHeight="1">
      <c r="A16" s="105" t="s">
        <v>2</v>
      </c>
      <c r="B16" s="59"/>
      <c r="C16" s="59">
        <v>22800</v>
      </c>
      <c r="D16" s="64">
        <f>+C16</f>
        <v>22800</v>
      </c>
      <c r="E16" s="64">
        <f>+D16</f>
        <v>22800</v>
      </c>
      <c r="F16" s="64">
        <f>+E16</f>
        <v>22800</v>
      </c>
      <c r="G16" s="65">
        <f>+F16</f>
        <v>22800</v>
      </c>
    </row>
    <row r="17" spans="1:7" s="84" customFormat="1" ht="12" customHeight="1">
      <c r="A17" s="105" t="s">
        <v>3</v>
      </c>
      <c r="B17" s="59"/>
      <c r="C17" s="59">
        <v>3600</v>
      </c>
      <c r="D17" s="59">
        <v>3600</v>
      </c>
      <c r="E17" s="59">
        <v>3600</v>
      </c>
      <c r="F17" s="59">
        <v>3600</v>
      </c>
      <c r="G17" s="60">
        <v>3600</v>
      </c>
    </row>
    <row r="18" spans="1:7" s="84" customFormat="1" ht="12" customHeight="1">
      <c r="A18" s="105" t="s">
        <v>68</v>
      </c>
      <c r="B18" s="59"/>
      <c r="C18" s="59">
        <v>4000</v>
      </c>
      <c r="D18" s="59"/>
      <c r="E18" s="59"/>
      <c r="F18" s="59"/>
      <c r="G18" s="60"/>
    </row>
    <row r="19" spans="1:7" s="84" customFormat="1" ht="12" customHeight="1">
      <c r="A19" s="105" t="s">
        <v>4</v>
      </c>
      <c r="B19" s="59"/>
      <c r="C19" s="59">
        <f>391.6+150</f>
        <v>541.6</v>
      </c>
      <c r="D19" s="59">
        <f>391.6+150</f>
        <v>541.6</v>
      </c>
      <c r="E19" s="59">
        <f>391.6+150</f>
        <v>541.6</v>
      </c>
      <c r="F19" s="59">
        <f>391.6+150</f>
        <v>541.6</v>
      </c>
      <c r="G19" s="60">
        <f>391.6+150</f>
        <v>541.6</v>
      </c>
    </row>
    <row r="20" spans="1:7" s="84" customFormat="1" ht="12" customHeight="1">
      <c r="A20" s="105" t="s">
        <v>29</v>
      </c>
      <c r="B20" s="59"/>
      <c r="C20" s="59">
        <v>4200</v>
      </c>
      <c r="D20" s="59">
        <v>4200</v>
      </c>
      <c r="E20" s="59">
        <v>4200</v>
      </c>
      <c r="F20" s="64">
        <v>4800</v>
      </c>
      <c r="G20" s="65">
        <v>4800</v>
      </c>
    </row>
    <row r="21" spans="1:7" s="87" customFormat="1" ht="12" customHeight="1">
      <c r="A21" s="104" t="s">
        <v>31</v>
      </c>
      <c r="B21" s="62"/>
      <c r="C21" s="66">
        <f>+SUM(C16:C20)</f>
        <v>35141.6</v>
      </c>
      <c r="D21" s="66">
        <f>+SUM(D16:D20)</f>
        <v>31141.6</v>
      </c>
      <c r="E21" s="66">
        <f>+SUM(E16:E20)</f>
        <v>31141.6</v>
      </c>
      <c r="F21" s="66">
        <f>+SUM(F16:F20)</f>
        <v>31741.6</v>
      </c>
      <c r="G21" s="67">
        <f>+SUM(G16:G20)</f>
        <v>31741.6</v>
      </c>
    </row>
    <row r="22" spans="1:7" s="84" customFormat="1" ht="12" customHeight="1" thickBot="1">
      <c r="A22" s="106" t="s">
        <v>47</v>
      </c>
      <c r="B22" s="69"/>
      <c r="C22" s="69">
        <f>+Depreciacion!E22</f>
        <v>1514</v>
      </c>
      <c r="D22" s="69">
        <f>+Depreciacion!F22</f>
        <v>1514</v>
      </c>
      <c r="E22" s="69">
        <f>+Depreciacion!G22</f>
        <v>1819</v>
      </c>
      <c r="F22" s="69">
        <f>+Depreciacion!H22</f>
        <v>1819</v>
      </c>
      <c r="G22" s="70">
        <f>+Depreciacion!I22</f>
        <v>1819</v>
      </c>
    </row>
    <row r="23" spans="1:7" s="84" customFormat="1" ht="12" customHeight="1" thickBot="1">
      <c r="A23" s="107" t="s">
        <v>5</v>
      </c>
      <c r="B23" s="72"/>
      <c r="C23" s="72">
        <f>+C15+C21+C22</f>
        <v>99475.6</v>
      </c>
      <c r="D23" s="72">
        <f>+D15+D21+D22</f>
        <v>101757.6</v>
      </c>
      <c r="E23" s="72">
        <f>+E15+E21+E22</f>
        <v>108972.80000000002</v>
      </c>
      <c r="F23" s="72">
        <f>+F15+F21+F22</f>
        <v>117174.02000000002</v>
      </c>
      <c r="G23" s="73">
        <f>+G15+G21+G22</f>
        <v>125535.36200000002</v>
      </c>
    </row>
    <row r="24" spans="1:7" s="87" customFormat="1" ht="12" customHeight="1" thickBot="1">
      <c r="A24" s="107" t="s">
        <v>6</v>
      </c>
      <c r="B24" s="72"/>
      <c r="C24" s="72">
        <f>+C9-C23</f>
        <v>13024.399999999994</v>
      </c>
      <c r="D24" s="72">
        <f>+D9-D23</f>
        <v>21992.399999999994</v>
      </c>
      <c r="E24" s="72">
        <f>+E9-E23</f>
        <v>27152.199999999983</v>
      </c>
      <c r="F24" s="72">
        <f>+F9-F23</f>
        <v>32563.47999999998</v>
      </c>
      <c r="G24" s="73">
        <f>+G9-G23</f>
        <v>39175.88799999998</v>
      </c>
    </row>
    <row r="25" spans="1:7" s="84" customFormat="1" ht="12" customHeight="1" thickBot="1">
      <c r="A25" s="108" t="s">
        <v>7</v>
      </c>
      <c r="B25" s="75"/>
      <c r="C25" s="75">
        <f>+C24*0.15</f>
        <v>1953.659999999999</v>
      </c>
      <c r="D25" s="75">
        <f>+D24*0.15</f>
        <v>3298.859999999999</v>
      </c>
      <c r="E25" s="75">
        <f>+E24*0.15</f>
        <v>4072.829999999997</v>
      </c>
      <c r="F25" s="75">
        <f>+F24*0.15</f>
        <v>4884.521999999997</v>
      </c>
      <c r="G25" s="76">
        <f>+G24*0.15</f>
        <v>5876.383199999997</v>
      </c>
    </row>
    <row r="26" spans="1:7" s="87" customFormat="1" ht="12" customHeight="1" thickBot="1">
      <c r="A26" s="107" t="s">
        <v>8</v>
      </c>
      <c r="B26" s="72"/>
      <c r="C26" s="72">
        <f>C24-C25</f>
        <v>11070.739999999994</v>
      </c>
      <c r="D26" s="72">
        <f>D24-D25</f>
        <v>18693.539999999994</v>
      </c>
      <c r="E26" s="72">
        <f>E24-E25</f>
        <v>23079.369999999984</v>
      </c>
      <c r="F26" s="72">
        <f>F24-F25</f>
        <v>27678.957999999984</v>
      </c>
      <c r="G26" s="73">
        <f>G24-G25</f>
        <v>33299.50479999998</v>
      </c>
    </row>
    <row r="27" spans="1:7" s="84" customFormat="1" ht="12" customHeight="1" thickBot="1">
      <c r="A27" s="108" t="s">
        <v>9</v>
      </c>
      <c r="B27" s="75"/>
      <c r="C27" s="75">
        <f>+C26*0.25</f>
        <v>2767.6849999999986</v>
      </c>
      <c r="D27" s="75">
        <f>+D26*0.25</f>
        <v>4673.384999999998</v>
      </c>
      <c r="E27" s="75">
        <f>+E26*0.25</f>
        <v>5769.842499999996</v>
      </c>
      <c r="F27" s="75">
        <f>+F26*0.25</f>
        <v>6919.739499999996</v>
      </c>
      <c r="G27" s="76">
        <f>+G26*0.25</f>
        <v>8324.876199999995</v>
      </c>
    </row>
    <row r="28" spans="1:7" s="87" customFormat="1" ht="12" customHeight="1" thickBot="1">
      <c r="A28" s="107" t="s">
        <v>10</v>
      </c>
      <c r="B28" s="72"/>
      <c r="C28" s="72">
        <f>+C26-C27</f>
        <v>8303.054999999997</v>
      </c>
      <c r="D28" s="72">
        <f>+D26-D27</f>
        <v>14020.154999999995</v>
      </c>
      <c r="E28" s="72">
        <f>+E26-E27</f>
        <v>17309.52749999999</v>
      </c>
      <c r="F28" s="72">
        <f>+F26-F27</f>
        <v>20759.218499999988</v>
      </c>
      <c r="G28" s="73">
        <f>+G26-G27</f>
        <v>24974.628599999985</v>
      </c>
    </row>
    <row r="29" spans="1:7" s="84" customFormat="1" ht="12" customHeight="1">
      <c r="A29" s="109" t="s">
        <v>11</v>
      </c>
      <c r="B29" s="64"/>
      <c r="C29" s="64">
        <f>+C22</f>
        <v>1514</v>
      </c>
      <c r="D29" s="64">
        <f>+D22</f>
        <v>1514</v>
      </c>
      <c r="E29" s="64">
        <f>+E22</f>
        <v>1819</v>
      </c>
      <c r="F29" s="64">
        <f>+F22</f>
        <v>1819</v>
      </c>
      <c r="G29" s="65">
        <f>+G22</f>
        <v>1819</v>
      </c>
    </row>
    <row r="30" spans="1:7" s="84" customFormat="1" ht="12" customHeight="1">
      <c r="A30" s="105" t="s">
        <v>12</v>
      </c>
      <c r="B30" s="59">
        <v>-16090</v>
      </c>
      <c r="C30" s="64"/>
      <c r="D30" s="64"/>
      <c r="E30" s="64"/>
      <c r="F30" s="64"/>
      <c r="G30" s="65"/>
    </row>
    <row r="31" spans="1:7" s="84" customFormat="1" ht="12" customHeight="1">
      <c r="A31" s="105" t="s">
        <v>13</v>
      </c>
      <c r="B31" s="59"/>
      <c r="C31" s="59"/>
      <c r="D31" s="59"/>
      <c r="E31" s="59"/>
      <c r="F31" s="59"/>
      <c r="G31" s="60">
        <v>5830</v>
      </c>
    </row>
    <row r="32" spans="1:7" s="84" customFormat="1" ht="12" customHeight="1" thickBot="1">
      <c r="A32" s="106" t="s">
        <v>14</v>
      </c>
      <c r="B32" s="69">
        <v>-160</v>
      </c>
      <c r="C32" s="69"/>
      <c r="D32" s="69"/>
      <c r="E32" s="69"/>
      <c r="F32" s="69"/>
      <c r="G32" s="70"/>
    </row>
    <row r="33" spans="1:7" s="87" customFormat="1" ht="12" customHeight="1" thickBot="1">
      <c r="A33" s="110" t="s">
        <v>15</v>
      </c>
      <c r="B33" s="79">
        <f>SUM(B30:B32)</f>
        <v>-16250</v>
      </c>
      <c r="C33" s="79">
        <f>SUM(C28:C32)</f>
        <v>9817.054999999997</v>
      </c>
      <c r="D33" s="79">
        <f>SUM(D28:D32)</f>
        <v>15534.154999999995</v>
      </c>
      <c r="E33" s="79">
        <f>SUM(E28:E32)</f>
        <v>19128.52749999999</v>
      </c>
      <c r="F33" s="79">
        <f>SUM(F28:F32)</f>
        <v>22578.218499999988</v>
      </c>
      <c r="G33" s="80">
        <f>SUM(G28:G32)</f>
        <v>32623.628599999985</v>
      </c>
    </row>
    <row r="34" spans="1:7" s="84" customFormat="1" ht="12" customHeight="1">
      <c r="A34" s="88"/>
      <c r="B34" s="89"/>
      <c r="C34" s="90"/>
      <c r="D34" s="89"/>
      <c r="E34" s="89"/>
      <c r="F34" s="89"/>
      <c r="G34" s="89"/>
    </row>
    <row r="35" spans="1:7" s="95" customFormat="1" ht="12" customHeight="1">
      <c r="A35" s="91" t="s">
        <v>16</v>
      </c>
      <c r="B35" s="92">
        <f>IRR(B33:G33)</f>
        <v>0.8523719519770333</v>
      </c>
      <c r="C35" s="93"/>
      <c r="D35" s="94"/>
      <c r="E35" s="93"/>
      <c r="F35" s="93"/>
      <c r="G35" s="93"/>
    </row>
    <row r="36" spans="1:7" s="84" customFormat="1" ht="12" customHeight="1">
      <c r="A36" s="91" t="s">
        <v>59</v>
      </c>
      <c r="B36" s="96">
        <f>NPV(B37,C33:G33)+B33</f>
        <v>42247.49414572682</v>
      </c>
      <c r="C36" s="97"/>
      <c r="D36" s="98"/>
      <c r="E36" s="97"/>
      <c r="F36" s="97"/>
      <c r="G36" s="97"/>
    </row>
    <row r="37" spans="1:7" s="84" customFormat="1" ht="12" customHeight="1">
      <c r="A37" s="91" t="s">
        <v>17</v>
      </c>
      <c r="B37" s="92">
        <f>+B44</f>
        <v>0.17070000000000002</v>
      </c>
      <c r="C37" s="85"/>
      <c r="D37" s="85"/>
      <c r="E37" s="85"/>
      <c r="F37" s="85"/>
      <c r="G37" s="85"/>
    </row>
    <row r="38" spans="2:7" s="35" customFormat="1" ht="12.75">
      <c r="B38" s="38"/>
      <c r="D38" s="39"/>
      <c r="E38" s="40"/>
      <c r="F38" s="40"/>
      <c r="G38" s="40"/>
    </row>
    <row r="39" spans="1:7" s="25" customFormat="1" ht="12.75">
      <c r="A39" s="31" t="s">
        <v>18</v>
      </c>
      <c r="B39" s="41">
        <v>0.0262</v>
      </c>
      <c r="C39" s="42"/>
      <c r="D39" s="26"/>
      <c r="E39" s="26"/>
      <c r="F39" s="26"/>
      <c r="G39" s="26"/>
    </row>
    <row r="40" spans="1:7" s="25" customFormat="1" ht="12.75">
      <c r="A40" s="31" t="s">
        <v>19</v>
      </c>
      <c r="B40" s="43">
        <v>0.78</v>
      </c>
      <c r="C40" s="42"/>
      <c r="D40" s="26"/>
      <c r="E40" s="26"/>
      <c r="F40" s="26"/>
      <c r="G40" s="26"/>
    </row>
    <row r="41" spans="1:7" s="25" customFormat="1" ht="12.75">
      <c r="A41" s="31" t="s">
        <v>20</v>
      </c>
      <c r="B41" s="41">
        <v>0.09</v>
      </c>
      <c r="C41" s="42"/>
      <c r="D41" s="26"/>
      <c r="E41" s="26"/>
      <c r="F41" s="26"/>
      <c r="G41" s="26"/>
    </row>
    <row r="42" spans="1:7" s="25" customFormat="1" ht="12.75">
      <c r="A42" s="31" t="s">
        <v>21</v>
      </c>
      <c r="B42" s="44">
        <f>B39+B40*(B41)</f>
        <v>0.0964</v>
      </c>
      <c r="C42" s="42"/>
      <c r="D42" s="26"/>
      <c r="E42" s="26"/>
      <c r="F42" s="26"/>
      <c r="G42" s="26"/>
    </row>
    <row r="43" spans="1:7" s="25" customFormat="1" ht="12.75">
      <c r="A43" s="31" t="s">
        <v>22</v>
      </c>
      <c r="B43" s="44">
        <v>0.0743</v>
      </c>
      <c r="C43" s="42"/>
      <c r="D43" s="26"/>
      <c r="E43" s="26"/>
      <c r="F43" s="26"/>
      <c r="G43" s="26"/>
    </row>
    <row r="44" spans="1:7" s="25" customFormat="1" ht="12.75">
      <c r="A44" s="31" t="s">
        <v>17</v>
      </c>
      <c r="B44" s="32">
        <f>B42+B43</f>
        <v>0.17070000000000002</v>
      </c>
      <c r="C44" s="42"/>
      <c r="D44" s="26"/>
      <c r="E44" s="26"/>
      <c r="F44" s="26"/>
      <c r="G44" s="26"/>
    </row>
    <row r="45" spans="2:7" s="25" customFormat="1" ht="12.75">
      <c r="B45" s="26"/>
      <c r="C45" s="26"/>
      <c r="D45" s="26"/>
      <c r="E45" s="26"/>
      <c r="F45" s="26"/>
      <c r="G45" s="26"/>
    </row>
    <row r="46" spans="1:7" s="25" customFormat="1" ht="12.75">
      <c r="A46" s="2" t="s">
        <v>23</v>
      </c>
      <c r="B46" s="26"/>
      <c r="C46" s="26"/>
      <c r="D46" s="26"/>
      <c r="E46" s="26"/>
      <c r="F46" s="26"/>
      <c r="G46" s="26"/>
    </row>
    <row r="47" spans="2:7" s="25" customFormat="1" ht="12.75">
      <c r="B47" s="26"/>
      <c r="C47" s="26"/>
      <c r="D47" s="26"/>
      <c r="E47" s="26"/>
      <c r="F47" s="26"/>
      <c r="G47" s="26"/>
    </row>
  </sheetData>
  <sheetProtection/>
  <printOptions horizontalCentered="1" verticalCentered="1"/>
  <pageMargins left="0.57" right="0.42" top="0.5905511811023623" bottom="0.5905511811023623" header="0" footer="0.3937007874015748"/>
  <pageSetup fitToHeight="1" fitToWidth="1" horizontalDpi="600" verticalDpi="600" orientation="landscape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47"/>
  <sheetViews>
    <sheetView zoomScale="115" zoomScaleNormal="115" zoomScalePageLayoutView="0" workbookViewId="0" topLeftCell="A1">
      <selection activeCell="H27" sqref="H27"/>
    </sheetView>
  </sheetViews>
  <sheetFormatPr defaultColWidth="11.421875" defaultRowHeight="12.75"/>
  <cols>
    <col min="1" max="1" width="32.57421875" style="45" customWidth="1"/>
    <col min="2" max="2" width="8.140625" style="46" customWidth="1"/>
    <col min="3" max="7" width="8.421875" style="46" customWidth="1"/>
    <col min="8" max="16384" width="11.421875" style="45" customWidth="1"/>
  </cols>
  <sheetData>
    <row r="1" ht="12.75">
      <c r="A1" s="81" t="s">
        <v>76</v>
      </c>
    </row>
    <row r="2" spans="1:2" s="25" customFormat="1" ht="12.75">
      <c r="A2" s="28" t="s">
        <v>82</v>
      </c>
      <c r="B2" s="28"/>
    </row>
    <row r="3" spans="2:7" s="84" customFormat="1" ht="12" customHeight="1" thickBot="1">
      <c r="B3" s="85"/>
      <c r="C3" s="85"/>
      <c r="D3" s="85"/>
      <c r="E3" s="85"/>
      <c r="F3" s="85"/>
      <c r="G3" s="85"/>
    </row>
    <row r="4" spans="1:7" s="86" customFormat="1" ht="12" customHeight="1">
      <c r="A4" s="47" t="s">
        <v>60</v>
      </c>
      <c r="B4" s="99">
        <v>0</v>
      </c>
      <c r="C4" s="99">
        <v>1</v>
      </c>
      <c r="D4" s="99">
        <v>2</v>
      </c>
      <c r="E4" s="99">
        <v>3</v>
      </c>
      <c r="F4" s="99">
        <v>4</v>
      </c>
      <c r="G4" s="100">
        <v>5</v>
      </c>
    </row>
    <row r="5" spans="1:7" s="86" customFormat="1" ht="12" customHeight="1">
      <c r="A5" s="101" t="s">
        <v>45</v>
      </c>
      <c r="B5" s="51"/>
      <c r="C5" s="52">
        <v>540000</v>
      </c>
      <c r="D5" s="52">
        <f>+C5</f>
        <v>540000</v>
      </c>
      <c r="E5" s="52">
        <f>+D5*1.1</f>
        <v>594000</v>
      </c>
      <c r="F5" s="52">
        <f>+E5*1.1</f>
        <v>653400</v>
      </c>
      <c r="G5" s="53">
        <f>+F5*1.1</f>
        <v>718740</v>
      </c>
    </row>
    <row r="6" spans="1:7" s="86" customFormat="1" ht="12" customHeight="1">
      <c r="A6" s="101" t="s">
        <v>46</v>
      </c>
      <c r="B6" s="51"/>
      <c r="C6" s="54">
        <v>0.22</v>
      </c>
      <c r="D6" s="54">
        <f>+C6</f>
        <v>0.22</v>
      </c>
      <c r="E6" s="54">
        <f>+D6</f>
        <v>0.22</v>
      </c>
      <c r="F6" s="54">
        <f>+E6</f>
        <v>0.22</v>
      </c>
      <c r="G6" s="55">
        <f>+F6</f>
        <v>0.22</v>
      </c>
    </row>
    <row r="7" spans="1:7" s="86" customFormat="1" ht="12" customHeight="1">
      <c r="A7" s="102"/>
      <c r="B7" s="51"/>
      <c r="C7" s="51"/>
      <c r="D7" s="51"/>
      <c r="E7" s="51"/>
      <c r="F7" s="51"/>
      <c r="G7" s="57"/>
    </row>
    <row r="8" spans="1:7" s="84" customFormat="1" ht="12" customHeight="1">
      <c r="A8" s="103" t="s">
        <v>24</v>
      </c>
      <c r="B8" s="59"/>
      <c r="C8" s="59">
        <f>+C5*C6</f>
        <v>118800</v>
      </c>
      <c r="D8" s="59">
        <f>+D5*D6</f>
        <v>118800</v>
      </c>
      <c r="E8" s="59">
        <f>+E5*E6</f>
        <v>130680</v>
      </c>
      <c r="F8" s="59">
        <f>+F5*F6</f>
        <v>143748</v>
      </c>
      <c r="G8" s="60">
        <f>+G5*G6</f>
        <v>158122.8</v>
      </c>
    </row>
    <row r="9" spans="1:7" s="87" customFormat="1" ht="12" customHeight="1">
      <c r="A9" s="104" t="s">
        <v>1</v>
      </c>
      <c r="B9" s="62"/>
      <c r="C9" s="52">
        <f>SUM(C8:C8)</f>
        <v>118800</v>
      </c>
      <c r="D9" s="52">
        <f>SUM(D8:D8)</f>
        <v>118800</v>
      </c>
      <c r="E9" s="52">
        <f>SUM(E8:E8)</f>
        <v>130680</v>
      </c>
      <c r="F9" s="52">
        <f>SUM(F8:F8)</f>
        <v>143748</v>
      </c>
      <c r="G9" s="53">
        <f>SUM(G8:G8)</f>
        <v>158122.8</v>
      </c>
    </row>
    <row r="10" spans="1:7" s="87" customFormat="1" ht="12" customHeight="1">
      <c r="A10" s="105"/>
      <c r="B10" s="62"/>
      <c r="C10" s="52"/>
      <c r="D10" s="52"/>
      <c r="E10" s="52"/>
      <c r="F10" s="52"/>
      <c r="G10" s="53"/>
    </row>
    <row r="11" spans="1:7" s="87" customFormat="1" ht="12" customHeight="1">
      <c r="A11" s="105" t="s">
        <v>25</v>
      </c>
      <c r="B11" s="59"/>
      <c r="C11" s="64">
        <v>54000</v>
      </c>
      <c r="D11" s="64">
        <f aca="true" t="shared" si="0" ref="D11:G14">+C11*1.1</f>
        <v>59400.00000000001</v>
      </c>
      <c r="E11" s="64">
        <f t="shared" si="0"/>
        <v>65340.000000000015</v>
      </c>
      <c r="F11" s="64">
        <f t="shared" si="0"/>
        <v>71874.00000000001</v>
      </c>
      <c r="G11" s="65">
        <f t="shared" si="0"/>
        <v>79061.40000000002</v>
      </c>
    </row>
    <row r="12" spans="1:7" s="87" customFormat="1" ht="12" customHeight="1">
      <c r="A12" s="105" t="s">
        <v>26</v>
      </c>
      <c r="B12" s="59"/>
      <c r="C12" s="64">
        <v>4320</v>
      </c>
      <c r="D12" s="64">
        <f t="shared" si="0"/>
        <v>4752</v>
      </c>
      <c r="E12" s="64">
        <f t="shared" si="0"/>
        <v>5227.200000000001</v>
      </c>
      <c r="F12" s="64">
        <f t="shared" si="0"/>
        <v>5749.920000000001</v>
      </c>
      <c r="G12" s="65">
        <f t="shared" si="0"/>
        <v>6324.912000000001</v>
      </c>
    </row>
    <row r="13" spans="1:7" s="87" customFormat="1" ht="12" customHeight="1">
      <c r="A13" s="105" t="s">
        <v>27</v>
      </c>
      <c r="B13" s="59"/>
      <c r="C13" s="64">
        <v>3600</v>
      </c>
      <c r="D13" s="64">
        <f t="shared" si="0"/>
        <v>3960.0000000000005</v>
      </c>
      <c r="E13" s="64">
        <f t="shared" si="0"/>
        <v>4356.000000000001</v>
      </c>
      <c r="F13" s="64">
        <f t="shared" si="0"/>
        <v>4791.600000000001</v>
      </c>
      <c r="G13" s="65">
        <f t="shared" si="0"/>
        <v>5270.760000000002</v>
      </c>
    </row>
    <row r="14" spans="1:7" s="87" customFormat="1" ht="12" customHeight="1">
      <c r="A14" s="105" t="s">
        <v>28</v>
      </c>
      <c r="B14" s="59"/>
      <c r="C14" s="64">
        <v>900</v>
      </c>
      <c r="D14" s="64">
        <f t="shared" si="0"/>
        <v>990.0000000000001</v>
      </c>
      <c r="E14" s="64">
        <f t="shared" si="0"/>
        <v>1089.0000000000002</v>
      </c>
      <c r="F14" s="64">
        <f t="shared" si="0"/>
        <v>1197.9000000000003</v>
      </c>
      <c r="G14" s="65">
        <f t="shared" si="0"/>
        <v>1317.6900000000005</v>
      </c>
    </row>
    <row r="15" spans="1:7" s="87" customFormat="1" ht="12" customHeight="1">
      <c r="A15" s="104" t="s">
        <v>30</v>
      </c>
      <c r="B15" s="62"/>
      <c r="C15" s="52">
        <f>+SUM(C11:C14)</f>
        <v>62820</v>
      </c>
      <c r="D15" s="52">
        <f>+SUM(D11:D14)</f>
        <v>69102.00000000001</v>
      </c>
      <c r="E15" s="52">
        <f>+SUM(E11:E14)</f>
        <v>76012.20000000001</v>
      </c>
      <c r="F15" s="52">
        <f>+SUM(F11:F14)</f>
        <v>83613.42000000001</v>
      </c>
      <c r="G15" s="53">
        <f>+SUM(G11:G14)</f>
        <v>91974.76200000002</v>
      </c>
    </row>
    <row r="16" spans="1:7" s="84" customFormat="1" ht="12" customHeight="1">
      <c r="A16" s="105" t="s">
        <v>2</v>
      </c>
      <c r="B16" s="59"/>
      <c r="C16" s="59">
        <v>22800</v>
      </c>
      <c r="D16" s="64">
        <f>+C16</f>
        <v>22800</v>
      </c>
      <c r="E16" s="64">
        <f>+D16</f>
        <v>22800</v>
      </c>
      <c r="F16" s="64">
        <f>+E16</f>
        <v>22800</v>
      </c>
      <c r="G16" s="65">
        <f>+F16</f>
        <v>22800</v>
      </c>
    </row>
    <row r="17" spans="1:7" s="84" customFormat="1" ht="12" customHeight="1">
      <c r="A17" s="105" t="s">
        <v>3</v>
      </c>
      <c r="B17" s="59"/>
      <c r="C17" s="59">
        <v>3600</v>
      </c>
      <c r="D17" s="59">
        <v>3600</v>
      </c>
      <c r="E17" s="59">
        <v>3600</v>
      </c>
      <c r="F17" s="59">
        <v>3600</v>
      </c>
      <c r="G17" s="60">
        <v>3600</v>
      </c>
    </row>
    <row r="18" spans="1:7" s="84" customFormat="1" ht="12" customHeight="1">
      <c r="A18" s="105" t="s">
        <v>68</v>
      </c>
      <c r="B18" s="59"/>
      <c r="C18" s="59">
        <v>4000</v>
      </c>
      <c r="D18" s="59"/>
      <c r="E18" s="59"/>
      <c r="F18" s="59"/>
      <c r="G18" s="60"/>
    </row>
    <row r="19" spans="1:7" s="84" customFormat="1" ht="12" customHeight="1">
      <c r="A19" s="105" t="s">
        <v>4</v>
      </c>
      <c r="B19" s="59"/>
      <c r="C19" s="59">
        <f>391.6+150</f>
        <v>541.6</v>
      </c>
      <c r="D19" s="59">
        <f>391.6+150</f>
        <v>541.6</v>
      </c>
      <c r="E19" s="59">
        <f>391.6+150</f>
        <v>541.6</v>
      </c>
      <c r="F19" s="59">
        <f>391.6+150</f>
        <v>541.6</v>
      </c>
      <c r="G19" s="60">
        <f>391.6+150</f>
        <v>541.6</v>
      </c>
    </row>
    <row r="20" spans="1:7" s="84" customFormat="1" ht="12" customHeight="1">
      <c r="A20" s="105" t="s">
        <v>29</v>
      </c>
      <c r="B20" s="59"/>
      <c r="C20" s="59">
        <v>4200</v>
      </c>
      <c r="D20" s="59">
        <v>4200</v>
      </c>
      <c r="E20" s="59">
        <v>4200</v>
      </c>
      <c r="F20" s="64">
        <v>4800</v>
      </c>
      <c r="G20" s="65">
        <v>4800</v>
      </c>
    </row>
    <row r="21" spans="1:7" s="87" customFormat="1" ht="12" customHeight="1">
      <c r="A21" s="104" t="s">
        <v>31</v>
      </c>
      <c r="B21" s="62"/>
      <c r="C21" s="66">
        <f>+SUM(C16:C20)</f>
        <v>35141.6</v>
      </c>
      <c r="D21" s="66">
        <f>+SUM(D16:D20)</f>
        <v>31141.6</v>
      </c>
      <c r="E21" s="66">
        <f>+SUM(E16:E20)</f>
        <v>31141.6</v>
      </c>
      <c r="F21" s="66">
        <f>+SUM(F16:F20)</f>
        <v>31741.6</v>
      </c>
      <c r="G21" s="67">
        <f>+SUM(G16:G20)</f>
        <v>31741.6</v>
      </c>
    </row>
    <row r="22" spans="1:7" s="84" customFormat="1" ht="12" customHeight="1" thickBot="1">
      <c r="A22" s="106" t="s">
        <v>47</v>
      </c>
      <c r="B22" s="69"/>
      <c r="C22" s="69">
        <f>+Depreciacion!E22</f>
        <v>1514</v>
      </c>
      <c r="D22" s="69">
        <f>+Depreciacion!F22</f>
        <v>1514</v>
      </c>
      <c r="E22" s="69">
        <f>+Depreciacion!G22</f>
        <v>1819</v>
      </c>
      <c r="F22" s="69">
        <f>+Depreciacion!H22</f>
        <v>1819</v>
      </c>
      <c r="G22" s="70">
        <f>+Depreciacion!I22</f>
        <v>1819</v>
      </c>
    </row>
    <row r="23" spans="1:7" s="84" customFormat="1" ht="12" customHeight="1" thickBot="1">
      <c r="A23" s="107" t="s">
        <v>5</v>
      </c>
      <c r="B23" s="72"/>
      <c r="C23" s="72">
        <f>+C15+C21+C22</f>
        <v>99475.6</v>
      </c>
      <c r="D23" s="72">
        <f>+D15+D21+D22</f>
        <v>101757.6</v>
      </c>
      <c r="E23" s="72">
        <f>+E15+E21+E22</f>
        <v>108972.80000000002</v>
      </c>
      <c r="F23" s="72">
        <f>+F15+F21+F22</f>
        <v>117174.02000000002</v>
      </c>
      <c r="G23" s="73">
        <f>+G15+G21+G22</f>
        <v>125535.36200000002</v>
      </c>
    </row>
    <row r="24" spans="1:7" s="87" customFormat="1" ht="12" customHeight="1" thickBot="1">
      <c r="A24" s="107" t="s">
        <v>6</v>
      </c>
      <c r="B24" s="72"/>
      <c r="C24" s="72">
        <f>+C9-C23</f>
        <v>19324.399999999994</v>
      </c>
      <c r="D24" s="72">
        <f>+D9-D23</f>
        <v>17042.399999999994</v>
      </c>
      <c r="E24" s="72">
        <f>+E9-E23</f>
        <v>21707.199999999983</v>
      </c>
      <c r="F24" s="72">
        <f>+F9-F23</f>
        <v>26573.97999999998</v>
      </c>
      <c r="G24" s="73">
        <f>+G9-G23</f>
        <v>32587.437999999966</v>
      </c>
    </row>
    <row r="25" spans="1:7" s="84" customFormat="1" ht="12" customHeight="1" thickBot="1">
      <c r="A25" s="108" t="s">
        <v>7</v>
      </c>
      <c r="B25" s="75"/>
      <c r="C25" s="75">
        <f>+C24*0.15</f>
        <v>2898.659999999999</v>
      </c>
      <c r="D25" s="75">
        <f>+D24*0.15</f>
        <v>2556.359999999999</v>
      </c>
      <c r="E25" s="75">
        <f>+E24*0.15</f>
        <v>3256.079999999997</v>
      </c>
      <c r="F25" s="75">
        <f>+F24*0.15</f>
        <v>3986.096999999997</v>
      </c>
      <c r="G25" s="76">
        <f>+G24*0.15</f>
        <v>4888.115699999995</v>
      </c>
    </row>
    <row r="26" spans="1:7" s="87" customFormat="1" ht="12" customHeight="1" thickBot="1">
      <c r="A26" s="107" t="s">
        <v>8</v>
      </c>
      <c r="B26" s="72"/>
      <c r="C26" s="72">
        <f>C24-C25</f>
        <v>16425.739999999994</v>
      </c>
      <c r="D26" s="72">
        <f>D24-D25</f>
        <v>14486.039999999995</v>
      </c>
      <c r="E26" s="72">
        <f>E24-E25</f>
        <v>18451.119999999984</v>
      </c>
      <c r="F26" s="72">
        <f>F24-F25</f>
        <v>22587.882999999983</v>
      </c>
      <c r="G26" s="73">
        <f>G24-G25</f>
        <v>27699.32229999997</v>
      </c>
    </row>
    <row r="27" spans="1:7" s="84" customFormat="1" ht="12" customHeight="1" thickBot="1">
      <c r="A27" s="108" t="s">
        <v>9</v>
      </c>
      <c r="B27" s="75"/>
      <c r="C27" s="75">
        <f>+C26*0.25</f>
        <v>4106.434999999999</v>
      </c>
      <c r="D27" s="75">
        <f>+D26*0.25</f>
        <v>3621.509999999999</v>
      </c>
      <c r="E27" s="75">
        <f>+E26*0.25</f>
        <v>4612.779999999996</v>
      </c>
      <c r="F27" s="75">
        <f>+F26*0.25</f>
        <v>5646.970749999996</v>
      </c>
      <c r="G27" s="76">
        <f>+G26*0.25</f>
        <v>6924.830574999993</v>
      </c>
    </row>
    <row r="28" spans="1:7" s="87" customFormat="1" ht="12" customHeight="1" thickBot="1">
      <c r="A28" s="107" t="s">
        <v>10</v>
      </c>
      <c r="B28" s="72"/>
      <c r="C28" s="72">
        <f>+C26-C27</f>
        <v>12319.304999999997</v>
      </c>
      <c r="D28" s="72">
        <f>+D26-D27</f>
        <v>10864.529999999997</v>
      </c>
      <c r="E28" s="72">
        <f>+E26-E27</f>
        <v>13838.33999999999</v>
      </c>
      <c r="F28" s="72">
        <f>+F26-F27</f>
        <v>16940.912249999987</v>
      </c>
      <c r="G28" s="73">
        <f>+G26-G27</f>
        <v>20774.491724999978</v>
      </c>
    </row>
    <row r="29" spans="1:7" s="84" customFormat="1" ht="12" customHeight="1">
      <c r="A29" s="109" t="s">
        <v>11</v>
      </c>
      <c r="B29" s="64"/>
      <c r="C29" s="64">
        <f>+C22</f>
        <v>1514</v>
      </c>
      <c r="D29" s="64">
        <f>+D22</f>
        <v>1514</v>
      </c>
      <c r="E29" s="64">
        <f>+E22</f>
        <v>1819</v>
      </c>
      <c r="F29" s="64">
        <f>+F22</f>
        <v>1819</v>
      </c>
      <c r="G29" s="65">
        <f>+G22</f>
        <v>1819</v>
      </c>
    </row>
    <row r="30" spans="1:7" s="84" customFormat="1" ht="12" customHeight="1">
      <c r="A30" s="105" t="s">
        <v>12</v>
      </c>
      <c r="B30" s="59">
        <v>-16090</v>
      </c>
      <c r="C30" s="64"/>
      <c r="D30" s="64"/>
      <c r="E30" s="64"/>
      <c r="F30" s="64"/>
      <c r="G30" s="65"/>
    </row>
    <row r="31" spans="1:7" s="84" customFormat="1" ht="12" customHeight="1">
      <c r="A31" s="105" t="s">
        <v>13</v>
      </c>
      <c r="B31" s="59"/>
      <c r="C31" s="59"/>
      <c r="D31" s="59"/>
      <c r="E31" s="59"/>
      <c r="F31" s="59"/>
      <c r="G31" s="60">
        <v>5830</v>
      </c>
    </row>
    <row r="32" spans="1:7" s="84" customFormat="1" ht="12" customHeight="1" thickBot="1">
      <c r="A32" s="106" t="s">
        <v>14</v>
      </c>
      <c r="B32" s="69">
        <v>-160</v>
      </c>
      <c r="C32" s="69"/>
      <c r="D32" s="69"/>
      <c r="E32" s="69"/>
      <c r="F32" s="69"/>
      <c r="G32" s="70"/>
    </row>
    <row r="33" spans="1:7" s="87" customFormat="1" ht="12" customHeight="1" thickBot="1">
      <c r="A33" s="110" t="s">
        <v>15</v>
      </c>
      <c r="B33" s="79">
        <f>SUM(B30:B32)</f>
        <v>-16250</v>
      </c>
      <c r="C33" s="79">
        <f>SUM(C28:C32)</f>
        <v>13833.304999999997</v>
      </c>
      <c r="D33" s="79">
        <f>SUM(D28:D32)</f>
        <v>12378.529999999997</v>
      </c>
      <c r="E33" s="79">
        <f>SUM(E28:E32)</f>
        <v>15657.33999999999</v>
      </c>
      <c r="F33" s="79">
        <f>SUM(F28:F32)</f>
        <v>18759.912249999987</v>
      </c>
      <c r="G33" s="80">
        <f>SUM(G28:G32)</f>
        <v>28423.491724999978</v>
      </c>
    </row>
    <row r="34" spans="1:7" s="84" customFormat="1" ht="12" customHeight="1">
      <c r="A34" s="88"/>
      <c r="B34" s="89"/>
      <c r="C34" s="90"/>
      <c r="D34" s="89"/>
      <c r="E34" s="89"/>
      <c r="F34" s="89"/>
      <c r="G34" s="89"/>
    </row>
    <row r="35" spans="1:7" s="95" customFormat="1" ht="12" customHeight="1">
      <c r="A35" s="91" t="s">
        <v>16</v>
      </c>
      <c r="B35" s="92">
        <f>IRR(B33:G33)</f>
        <v>0.8623023483702963</v>
      </c>
      <c r="C35" s="93"/>
      <c r="D35" s="94"/>
      <c r="E35" s="93"/>
      <c r="F35" s="93"/>
      <c r="G35" s="93"/>
    </row>
    <row r="36" spans="1:7" s="84" customFormat="1" ht="12" customHeight="1">
      <c r="A36" s="91" t="s">
        <v>59</v>
      </c>
      <c r="B36" s="96">
        <f>NPV(B37,C33:G33)+B33</f>
        <v>37269.46221926815</v>
      </c>
      <c r="C36" s="97"/>
      <c r="D36" s="98"/>
      <c r="E36" s="97"/>
      <c r="F36" s="97"/>
      <c r="G36" s="97"/>
    </row>
    <row r="37" spans="1:7" s="84" customFormat="1" ht="12" customHeight="1">
      <c r="A37" s="91" t="s">
        <v>17</v>
      </c>
      <c r="B37" s="92">
        <f>+B44</f>
        <v>0.17070000000000002</v>
      </c>
      <c r="C37" s="85"/>
      <c r="D37" s="85"/>
      <c r="E37" s="85"/>
      <c r="F37" s="85"/>
      <c r="G37" s="85"/>
    </row>
    <row r="38" spans="2:7" s="35" customFormat="1" ht="12.75">
      <c r="B38" s="38"/>
      <c r="D38" s="39"/>
      <c r="E38" s="40"/>
      <c r="F38" s="40"/>
      <c r="G38" s="40"/>
    </row>
    <row r="39" spans="1:7" s="25" customFormat="1" ht="12.75">
      <c r="A39" s="31" t="s">
        <v>18</v>
      </c>
      <c r="B39" s="41">
        <v>0.0262</v>
      </c>
      <c r="C39" s="42"/>
      <c r="D39" s="26"/>
      <c r="E39" s="26"/>
      <c r="F39" s="26"/>
      <c r="G39" s="26"/>
    </row>
    <row r="40" spans="1:7" s="25" customFormat="1" ht="12.75">
      <c r="A40" s="31" t="s">
        <v>19</v>
      </c>
      <c r="B40" s="43">
        <v>0.78</v>
      </c>
      <c r="C40" s="42"/>
      <c r="D40" s="26"/>
      <c r="E40" s="26"/>
      <c r="F40" s="26"/>
      <c r="G40" s="26"/>
    </row>
    <row r="41" spans="1:7" s="25" customFormat="1" ht="12.75">
      <c r="A41" s="31" t="s">
        <v>20</v>
      </c>
      <c r="B41" s="41">
        <v>0.09</v>
      </c>
      <c r="C41" s="42"/>
      <c r="D41" s="26"/>
      <c r="E41" s="26"/>
      <c r="F41" s="26"/>
      <c r="G41" s="26"/>
    </row>
    <row r="42" spans="1:7" s="25" customFormat="1" ht="12.75">
      <c r="A42" s="31" t="s">
        <v>21</v>
      </c>
      <c r="B42" s="44">
        <f>B39+B40*(B41)</f>
        <v>0.0964</v>
      </c>
      <c r="C42" s="42"/>
      <c r="D42" s="26"/>
      <c r="E42" s="26"/>
      <c r="F42" s="26"/>
      <c r="G42" s="26"/>
    </row>
    <row r="43" spans="1:7" s="25" customFormat="1" ht="12.75">
      <c r="A43" s="31" t="s">
        <v>22</v>
      </c>
      <c r="B43" s="44">
        <v>0.0743</v>
      </c>
      <c r="C43" s="42"/>
      <c r="D43" s="26"/>
      <c r="E43" s="26"/>
      <c r="F43" s="26"/>
      <c r="G43" s="26"/>
    </row>
    <row r="44" spans="1:7" s="25" customFormat="1" ht="12.75">
      <c r="A44" s="31" t="s">
        <v>17</v>
      </c>
      <c r="B44" s="32">
        <f>B42+B43</f>
        <v>0.17070000000000002</v>
      </c>
      <c r="C44" s="42"/>
      <c r="D44" s="26"/>
      <c r="E44" s="26"/>
      <c r="F44" s="26"/>
      <c r="G44" s="26"/>
    </row>
    <row r="45" spans="2:7" s="25" customFormat="1" ht="12.75">
      <c r="B45" s="26"/>
      <c r="C45" s="26"/>
      <c r="D45" s="26"/>
      <c r="E45" s="26"/>
      <c r="F45" s="26"/>
      <c r="G45" s="26"/>
    </row>
    <row r="46" spans="1:7" s="25" customFormat="1" ht="12.75">
      <c r="A46" s="2" t="s">
        <v>23</v>
      </c>
      <c r="B46" s="26"/>
      <c r="C46" s="26"/>
      <c r="D46" s="26"/>
      <c r="E46" s="26"/>
      <c r="F46" s="26"/>
      <c r="G46" s="26"/>
    </row>
    <row r="47" spans="2:7" s="25" customFormat="1" ht="12.75">
      <c r="B47" s="26"/>
      <c r="C47" s="26"/>
      <c r="D47" s="26"/>
      <c r="E47" s="26"/>
      <c r="F47" s="26"/>
      <c r="G47" s="26"/>
    </row>
  </sheetData>
  <sheetProtection/>
  <printOptions horizontalCentered="1" verticalCentered="1"/>
  <pageMargins left="0.57" right="0.42" top="0.5905511811023623" bottom="0.5905511811023623" header="0" footer="0.3937007874015748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Arteaga Cordero</dc:creator>
  <cp:keywords/>
  <dc:description/>
  <cp:lastModifiedBy> </cp:lastModifiedBy>
  <dcterms:created xsi:type="dcterms:W3CDTF">2010-01-23T14:44:38Z</dcterms:created>
  <dcterms:modified xsi:type="dcterms:W3CDTF">2010-02-22T05:33:08Z</dcterms:modified>
  <cp:category/>
  <cp:version/>
  <cp:contentType/>
  <cp:contentStatus/>
</cp:coreProperties>
</file>