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056" windowWidth="15435" windowHeight="6375" firstSheet="1" activeTab="3"/>
  </bookViews>
  <sheets>
    <sheet name="CB_DATA_" sheetId="1" state="veryHidden" r:id="rId1"/>
    <sheet name="INFORMACION FINANCIERA" sheetId="2" r:id="rId2"/>
    <sheet name="AMORTIZACIÓN DEUDA L.P" sheetId="3" r:id="rId3"/>
    <sheet name="Anexo 2 Ecuindex" sheetId="4" r:id="rId4"/>
    <sheet name="anexo 3 Tasa de bonos americano" sheetId="5" r:id="rId5"/>
  </sheets>
  <externalReferences>
    <externalReference r:id="rId8"/>
  </externalReferences>
  <definedNames>
    <definedName name="CBWorkbookPriority" hidden="1">-1131759343</definedName>
    <definedName name="CBx_2bf57990456d4dfba5d0e4ff24115d08" localSheetId="0" hidden="1">"'CB_DATA_'!$A$1"</definedName>
    <definedName name="CBx_f22cc5ceb3614ccc93b91a6229970bd2" localSheetId="0" hidden="1">"'Hoja1'!$A$1"</definedName>
    <definedName name="CBx_Sheet_Guid" localSheetId="0" hidden="1">"'2bf57990-456d-4dfb-a5d0-e4ff24115d08"</definedName>
    <definedName name="CBx_StorageType" localSheetId="0" hidden="1">1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D245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OJO NO ESTA AMARRADO A NADA
</t>
        </r>
      </text>
    </comment>
  </commentList>
</comments>
</file>

<file path=xl/sharedStrings.xml><?xml version="1.0" encoding="utf-8"?>
<sst xmlns="http://schemas.openxmlformats.org/spreadsheetml/2006/main" count="430" uniqueCount="304">
  <si>
    <t>Inversión total de obra física</t>
  </si>
  <si>
    <t>Inversión de activos fijos</t>
  </si>
  <si>
    <t>Inversión total</t>
  </si>
  <si>
    <t xml:space="preserve">INVERSIÓN INICIAL </t>
  </si>
  <si>
    <t>Porcentaje Apalancamiento</t>
  </si>
  <si>
    <t>ESTRUCTURA DE FINANCIAMIENTO</t>
  </si>
  <si>
    <t>Inversión</t>
  </si>
  <si>
    <t>Capital Propio</t>
  </si>
  <si>
    <t>Préstamo</t>
  </si>
  <si>
    <t>Cuota</t>
  </si>
  <si>
    <t>Importe del préstamo</t>
  </si>
  <si>
    <t>Nro. de Cuotas</t>
  </si>
  <si>
    <t>Comisión de Apertura</t>
  </si>
  <si>
    <t>Comisión de Mínima</t>
  </si>
  <si>
    <t>Tasa de interes</t>
  </si>
  <si>
    <t>T.E.M</t>
  </si>
  <si>
    <t>Tasa Cobrada</t>
  </si>
  <si>
    <t>N° de Cuota</t>
  </si>
  <si>
    <t>Deuda Cap.</t>
  </si>
  <si>
    <t>Interés</t>
  </si>
  <si>
    <t>Amortización</t>
  </si>
  <si>
    <t>Cap. Cancel.</t>
  </si>
  <si>
    <t>TOTAL</t>
  </si>
  <si>
    <t>Producto</t>
  </si>
  <si>
    <t>Cantidad/Libras</t>
  </si>
  <si>
    <t>Precio/libra</t>
  </si>
  <si>
    <t>Precio</t>
  </si>
  <si>
    <t>TMAR</t>
  </si>
  <si>
    <t>Sueldo Anual</t>
  </si>
  <si>
    <t>Gerente General</t>
  </si>
  <si>
    <t xml:space="preserve">Contador </t>
  </si>
  <si>
    <t>Jefe de Planta</t>
  </si>
  <si>
    <t>Operadores/obreros</t>
  </si>
  <si>
    <t>TOTAL ANUAL</t>
  </si>
  <si>
    <t>PAGINA WEB</t>
  </si>
  <si>
    <t>AFICHES</t>
  </si>
  <si>
    <t>BANNERS</t>
  </si>
  <si>
    <t>EXHIBIDORES</t>
  </si>
  <si>
    <t>EVENTOS Y EXPOSICIONES</t>
  </si>
  <si>
    <t>RADIO</t>
  </si>
  <si>
    <t>OTROS</t>
  </si>
  <si>
    <t>TOTAL MENSUAL DE PUBLICIDAD Y PROMOCION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</si>
  <si>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</si>
  <si>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</si>
  <si>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</si>
  <si>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</si>
  <si>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</si>
  <si>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</si>
  <si>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</si>
  <si>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</si>
  <si>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</si>
  <si>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</si>
  <si>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RUBRO</t>
  </si>
  <si>
    <t>PRESUPUESTO DE INVERSION EN ACTIVOS FIJOS</t>
  </si>
  <si>
    <t>CANTIDAD</t>
  </si>
  <si>
    <t>PRECIO</t>
  </si>
  <si>
    <t>MUEBLES Y ENSERES</t>
  </si>
  <si>
    <t>MATERIALES DE OFICINA</t>
  </si>
  <si>
    <t>COUNTER</t>
  </si>
  <si>
    <t>ESCRITORIOS</t>
  </si>
  <si>
    <t>SILLAS EJECUTIVAS</t>
  </si>
  <si>
    <t>SILLAS SENCILLAS</t>
  </si>
  <si>
    <t>SILLAS DE ESPERA</t>
  </si>
  <si>
    <t>SILLAS CONFIDENTE</t>
  </si>
  <si>
    <t>DIVISIONES</t>
  </si>
  <si>
    <t>ARCHIVADORES</t>
  </si>
  <si>
    <t>OTROS ENSERES</t>
  </si>
  <si>
    <t>TOTAL MUEBLES Y ENSERES</t>
  </si>
  <si>
    <t>EQUIPOS DE COMPUTO</t>
  </si>
  <si>
    <t>COMPUTADORAS PORTATIL</t>
  </si>
  <si>
    <t>COMPUTADORAS PC</t>
  </si>
  <si>
    <t>IMPRESORA</t>
  </si>
  <si>
    <t>ESCANER</t>
  </si>
  <si>
    <t>TOTAL EQUIPOS DE COMPUTO</t>
  </si>
  <si>
    <t>REDES Y EQUIPOS DE COMUNICACIÓN</t>
  </si>
  <si>
    <t>REDES Y CABLEADO</t>
  </si>
  <si>
    <t>CENTRAL TELEFONICA</t>
  </si>
  <si>
    <t>TELEFONOS DIGITALES</t>
  </si>
  <si>
    <t>TELEFONOS SENCILLOS</t>
  </si>
  <si>
    <t>DERECHO DE LINEAS</t>
  </si>
  <si>
    <t>FAX</t>
  </si>
  <si>
    <t>TOTAL REDES Y EQUIPOS DE COMUNICACIÓN</t>
  </si>
  <si>
    <t>OTROS ACTIVOS</t>
  </si>
  <si>
    <t>TOTAL DE ACTIVOS FIJOS</t>
  </si>
  <si>
    <t>Maquina despulpadora de fruta</t>
  </si>
  <si>
    <t>Selladora de bolsa</t>
  </si>
  <si>
    <t>Intercambiador de calor de tubo</t>
  </si>
  <si>
    <t>Cámara de frío</t>
  </si>
  <si>
    <t>Camión 2,5 toneladas</t>
  </si>
  <si>
    <t>Galpones</t>
  </si>
  <si>
    <t>Agua</t>
  </si>
  <si>
    <t>Internet</t>
  </si>
  <si>
    <t>VALORACIÓN DE ACTIVOS (VALOR DE DESECHO)</t>
  </si>
  <si>
    <t>MÉTODO CONTABLE</t>
  </si>
  <si>
    <t>Valoración de Activos para un Flujo de 10 años</t>
  </si>
  <si>
    <t>Activo</t>
  </si>
  <si>
    <t>Valor de Compra</t>
  </si>
  <si>
    <t>Vida Contable</t>
  </si>
  <si>
    <t>Depreciación Anual</t>
  </si>
  <si>
    <t>Años de Depreciación</t>
  </si>
  <si>
    <t>Depreciación Acumulada</t>
  </si>
  <si>
    <t>Valor en Libros</t>
  </si>
  <si>
    <t>Máquina</t>
  </si>
  <si>
    <t>Camión</t>
  </si>
  <si>
    <t>Equipos de computación</t>
  </si>
  <si>
    <t>Muebles y Enseres</t>
  </si>
  <si>
    <t>Deprec. Acumulada</t>
  </si>
  <si>
    <t>CAPITAL DE TRABAJO</t>
  </si>
  <si>
    <t>PROYECCIÓN CAPITAL DE TRABAJO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</si>
  <si>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</si>
  <si>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</si>
  <si>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</si>
  <si>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</si>
  <si>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</si>
  <si>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</si>
  <si>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</si>
  <si>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</si>
  <si>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</si>
  <si>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</si>
  <si>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</si>
  <si>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</si>
  <si>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Ventas/Unidades</t>
  </si>
  <si>
    <t>Total Ingresos</t>
  </si>
  <si>
    <t>INGRESOS</t>
  </si>
  <si>
    <t>50% al contado</t>
  </si>
  <si>
    <t>30% a 30 días</t>
  </si>
  <si>
    <t>20% a 60 días</t>
  </si>
  <si>
    <t>Ingreso Mensual</t>
  </si>
  <si>
    <t>EGRESOS</t>
  </si>
  <si>
    <t>Costos Variables</t>
  </si>
  <si>
    <t>Total Costos Variables</t>
  </si>
  <si>
    <t>Costo Fijos</t>
  </si>
  <si>
    <t>Total Costos Fijos</t>
  </si>
  <si>
    <t>Egreso Mensual</t>
  </si>
  <si>
    <t>Saldo Mensual</t>
  </si>
  <si>
    <t>Saldo Acumulado</t>
  </si>
  <si>
    <t>Costos Fijos</t>
  </si>
  <si>
    <t>UAI</t>
  </si>
  <si>
    <t>Precio/Caja</t>
  </si>
  <si>
    <t>terreno+construcción</t>
  </si>
  <si>
    <t>CANTIDAD DE MATERIA PRIMA POR CAJA</t>
  </si>
  <si>
    <t>Valor de desecho</t>
  </si>
  <si>
    <t>Capital de Trabajo</t>
  </si>
  <si>
    <t>VAN</t>
  </si>
  <si>
    <t>TIR</t>
  </si>
  <si>
    <t>PAY BACK</t>
  </si>
  <si>
    <t>Arazá</t>
  </si>
  <si>
    <t>Despachador</t>
  </si>
  <si>
    <t>CALCULO TMAR</t>
  </si>
  <si>
    <t>Tasa del prestamo</t>
  </si>
  <si>
    <t>Ecuindex</t>
  </si>
  <si>
    <t>Tasa del tesoro americano/10 años</t>
  </si>
  <si>
    <t>anexo2</t>
  </si>
  <si>
    <t>Anexo3</t>
  </si>
  <si>
    <t>R o Tmar</t>
  </si>
  <si>
    <t>Gastos de Constitucion</t>
  </si>
  <si>
    <t>ESTADO DE RESULTADOS</t>
  </si>
  <si>
    <t>Ingreso</t>
  </si>
  <si>
    <t>año1</t>
  </si>
  <si>
    <t>año2</t>
  </si>
  <si>
    <t>año3</t>
  </si>
  <si>
    <t>año4</t>
  </si>
  <si>
    <t>año5</t>
  </si>
  <si>
    <t>año6</t>
  </si>
  <si>
    <t>año7</t>
  </si>
  <si>
    <t>año8</t>
  </si>
  <si>
    <t>año9</t>
  </si>
  <si>
    <t>año10</t>
  </si>
  <si>
    <t>Costo Produccion</t>
  </si>
  <si>
    <t>Margen Bruto</t>
  </si>
  <si>
    <t>PARTICIPACION DE TRABAJADORES</t>
  </si>
  <si>
    <t>IMPUESTOS</t>
  </si>
  <si>
    <t>UTILIDAD NETA</t>
  </si>
  <si>
    <t>MARGEN NETO</t>
  </si>
  <si>
    <t>FLUJO DE CAJA</t>
  </si>
  <si>
    <t>TOTAL INGRESOS</t>
  </si>
  <si>
    <t>G.ADMINISTRATVOS</t>
  </si>
  <si>
    <t>G. FINANCIEROS</t>
  </si>
  <si>
    <t>PART .TRABAJADORES</t>
  </si>
  <si>
    <t>INGRESOS X VENTAS</t>
  </si>
  <si>
    <t>OTROS INGRESOS</t>
  </si>
  <si>
    <t xml:space="preserve">INGRESOS </t>
  </si>
  <si>
    <t>AMORTIZACION DE K</t>
  </si>
  <si>
    <t>FLUJOS ANUALES</t>
  </si>
  <si>
    <t>TOTAL EGRESOS</t>
  </si>
  <si>
    <t>AÑO 0</t>
  </si>
  <si>
    <t>Asesores comerciales</t>
  </si>
  <si>
    <t>b</t>
  </si>
  <si>
    <t>SUELDOS Y SALARIOS</t>
  </si>
  <si>
    <t>Cargo</t>
  </si>
  <si>
    <t>No. Personas</t>
  </si>
  <si>
    <t>Sueldo Mensual</t>
  </si>
  <si>
    <t>Total Nomina</t>
  </si>
  <si>
    <t>Comision por ventas(% ventas)</t>
  </si>
  <si>
    <t>Director Comercial</t>
  </si>
  <si>
    <t>Mensajero</t>
  </si>
  <si>
    <t>Personal de Aseo</t>
  </si>
  <si>
    <t>Gastos de Marketing</t>
  </si>
  <si>
    <t>Concepto</t>
  </si>
  <si>
    <t>Cantidad Mensual</t>
  </si>
  <si>
    <t>C.Unitario</t>
  </si>
  <si>
    <t>Costo Mensual</t>
  </si>
  <si>
    <t>Costo Anual</t>
  </si>
  <si>
    <t>Año1</t>
  </si>
  <si>
    <t>Año3</t>
  </si>
  <si>
    <t>Año4</t>
  </si>
  <si>
    <t>Año5</t>
  </si>
  <si>
    <t>Año6</t>
  </si>
  <si>
    <t>Año7</t>
  </si>
  <si>
    <t>Año8</t>
  </si>
  <si>
    <t>Año9</t>
  </si>
  <si>
    <t>Año10</t>
  </si>
  <si>
    <t xml:space="preserve">AÑO 1 </t>
  </si>
  <si>
    <t>AÑO2</t>
  </si>
  <si>
    <t>TASA DE CRECIMIENTO</t>
  </si>
  <si>
    <t xml:space="preserve">TOTAL </t>
  </si>
  <si>
    <t>MAQUINAS Y VEHICULOS</t>
  </si>
  <si>
    <t>TOTAL MAQUINAS Y VEHICULOS</t>
  </si>
  <si>
    <t>COSTOS VARIABLES</t>
  </si>
  <si>
    <t>ESTIMACION DE LA DEMANDA</t>
  </si>
  <si>
    <t>DETALLE</t>
  </si>
  <si>
    <t># GUAYAQUILEÑOS</t>
  </si>
  <si>
    <t>% GANA MAS DE $700</t>
  </si>
  <si>
    <t>TOTAL DEMANDA DEL MERCADO</t>
  </si>
  <si>
    <t>UNIDADES</t>
  </si>
  <si>
    <t>% EXPECTATIVAS DE NUESTRA EMPRESA</t>
  </si>
  <si>
    <t xml:space="preserve">TOTAL DE UNIDADES A VENDER </t>
  </si>
  <si>
    <t>ASUMIENDO EL ESCENARIO MAS PESIMISTA, EN EL QUE POR LO MENOS COMPRA UNA UNIDAD AL MES</t>
  </si>
  <si>
    <t>UNIDADES MENSUALES</t>
  </si>
  <si>
    <t>PROYECCION DE INGRESOS</t>
  </si>
  <si>
    <t>MONTO</t>
  </si>
  <si>
    <t>INGRESO</t>
  </si>
  <si>
    <t>AÑO1</t>
  </si>
  <si>
    <t>AÑO3</t>
  </si>
  <si>
    <t>AÑO4</t>
  </si>
  <si>
    <t>AÑO5</t>
  </si>
  <si>
    <t>AÑO6</t>
  </si>
  <si>
    <t>AÑO7</t>
  </si>
  <si>
    <t>AÑO8</t>
  </si>
  <si>
    <t>AÑO9</t>
  </si>
  <si>
    <t>AÑO10</t>
  </si>
  <si>
    <t>DEMANDA</t>
  </si>
  <si>
    <t>PROYECCION DELA DEMANDA ANUAL</t>
  </si>
  <si>
    <t>COSTOS FIJOS</t>
  </si>
  <si>
    <t xml:space="preserve">SUELDOS Y SALARIOS </t>
  </si>
  <si>
    <t>MENSUAL</t>
  </si>
  <si>
    <t>TOTAL NOMINA MENSUAL</t>
  </si>
  <si>
    <t>PUBLICIDAD Y PROMOCION</t>
  </si>
  <si>
    <t>Costo materia prima</t>
  </si>
  <si>
    <t>Precio/gramo</t>
  </si>
  <si>
    <t>Valor de Rescate</t>
  </si>
  <si>
    <t>PRESTAMO</t>
  </si>
  <si>
    <t>AMORTIZACION PRESTAMO</t>
  </si>
  <si>
    <t>VALOR</t>
  </si>
  <si>
    <t>TASA DE INTERES</t>
  </si>
  <si>
    <t>TIEMPO</t>
  </si>
  <si>
    <t xml:space="preserve">TASA DE INTERES </t>
  </si>
  <si>
    <t>AÑOS</t>
  </si>
  <si>
    <t>TABLA DE AMORTIZACION</t>
  </si>
  <si>
    <t>PERIODO</t>
  </si>
  <si>
    <t>INTERESES</t>
  </si>
  <si>
    <t>AMORTIZACION</t>
  </si>
  <si>
    <t>PAGO</t>
  </si>
  <si>
    <t>SALDO</t>
  </si>
  <si>
    <t>PROYECCION COSTO DE PRODUCCION</t>
  </si>
  <si>
    <t xml:space="preserve">UNIDADES </t>
  </si>
  <si>
    <t>desperdicio x gramo</t>
  </si>
  <si>
    <t>Gastos</t>
  </si>
  <si>
    <t>SERVICIOS BASICOS</t>
  </si>
  <si>
    <t>DEPRECIACION</t>
  </si>
  <si>
    <t xml:space="preserve">COMISIONES </t>
  </si>
  <si>
    <t>PAGO A PROVEEDORES</t>
  </si>
  <si>
    <t>INVERSION INICIAL</t>
  </si>
  <si>
    <t>FLUJO AÑO 1</t>
  </si>
  <si>
    <t>FLUJO AÑO2</t>
  </si>
  <si>
    <t>FLUJO AÑO 3</t>
  </si>
  <si>
    <t>FLUJO AÑO4</t>
  </si>
  <si>
    <t>FLUJO AÑO5</t>
  </si>
  <si>
    <t>RECUPERACION</t>
  </si>
  <si>
    <t>FLUJO AÑO6</t>
  </si>
  <si>
    <t>FLUJO AÑO7</t>
  </si>
  <si>
    <t>FLUJO AÑO8</t>
  </si>
  <si>
    <t>FLUJO AÑO9</t>
  </si>
  <si>
    <t>FLUJO AÑO10</t>
  </si>
  <si>
    <t>TASA DE DESCUENTO</t>
  </si>
  <si>
    <t>PUNTO DE EQUILIBRIO</t>
  </si>
  <si>
    <t>% Contribucion Marginal</t>
  </si>
  <si>
    <t>Pto Equilibrio en Dolares</t>
  </si>
  <si>
    <t>Pto Equilibrio en Cantidades</t>
  </si>
  <si>
    <t>PERIODO DE RECUPERACION AÑO 3</t>
  </si>
  <si>
    <t>EL PUNTO DE EQUILIBRIO REPRESENTA DEL TOTAL DE LAS UNIDADES PROYECTADAS A VENDER</t>
  </si>
  <si>
    <t>ANALISIS DE SENSIBILIDAD</t>
  </si>
  <si>
    <t>Gastos Administrativos</t>
  </si>
  <si>
    <t>No. Unidades Vendidas</t>
  </si>
  <si>
    <t>una disminucion del 56,34% de las ventas provoca que el proyecto no se viable, ya que obtenemos Van negativo y por ende una TIR menor que la TMAR</t>
  </si>
  <si>
    <t>un aumento del 110,8% en los gastos Administrativos provocaria que nuestro proyecto deje de ser viable. Se puede entender con el Van negativo y la Tir menor que la Tmar</t>
  </si>
  <si>
    <t>% PERSONAS MAYORES 25</t>
  </si>
  <si>
    <t>% CONSUMEN FRUTAS PROCESADAS</t>
  </si>
  <si>
    <t>% ESATN DISPUESTOS A PROBAR ARAZA</t>
  </si>
  <si>
    <t>Luz</t>
  </si>
  <si>
    <t>Telefono</t>
  </si>
  <si>
    <t>Interpretacion del cuadrito del TIR Y VAN rojo ante variaciones de Gastos Administrativos</t>
  </si>
  <si>
    <t>AMORTIZACION DEUDA LARGO PLAZO</t>
  </si>
  <si>
    <t>La interpretacion del cuadro rojo del TIR y el VaN ante Variaciones de las Ventas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</si>
</sst>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\ #,##0_);[Red]\(&quot;$&quot;\ #,##0\)"/>
    <numFmt numFmtId="167" formatCode="&quot;$&quot;\ #,##0.00_);[Red]\(&quot;$&quot;\ #,##0.00\)"/>
    <numFmt numFmtId="168" formatCode="_(&quot;$&quot;\ * #,##0.00_);_(&quot;$&quot;\ * \(#,##0.00\);_(&quot;$&quot;\ * &quot;-&quot;??_);_(@_)"/>
    <numFmt numFmtId="169" formatCode="&quot;$&quot;\ #,##0;[Red]&quot;$&quot;\ \-#,##0"/>
    <numFmt numFmtId="170" formatCode="&quot;$&quot;\ #,##0.00;[Red]&quot;$&quot;\ \-#,##0.00"/>
    <numFmt numFmtId="171" formatCode="_ * #,##0.00_ ;_ * \-#,##0.00_ ;_ * &quot;-&quot;??_ ;_ @_ "/>
    <numFmt numFmtId="172" formatCode="&quot;$&quot;\ #,##0.00"/>
    <numFmt numFmtId="173" formatCode="&quot;$&quot;\ #,##0.000000"/>
    <numFmt numFmtId="174" formatCode="&quot;$&quot;\ #,##0"/>
    <numFmt numFmtId="175" formatCode="_-* #,##0\ _€_-;\-* #,##0\ _€_-;_-* &quot;-&quot;??\ _€_-;_-@_-"/>
    <numFmt numFmtId="176" formatCode="_(&quot;$&quot;\ * #,##0_);_(&quot;$&quot;\ * \(#,##0\);_(&quot;$&quot;\ * &quot;-&quot;??_);_(@_)"/>
    <numFmt numFmtId="177" formatCode="_ &quot;$&quot;\ * #,##0.00_ ;_ &quot;$&quot;\ * \-#,##0.00_ ;_ &quot;$&quot;\ * &quot;-&quot;??_ ;_ @_ "/>
    <numFmt numFmtId="178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9"/>
      <name val="Tahoma"/>
      <family val="2"/>
    </font>
    <font>
      <b/>
      <sz val="8"/>
      <color indexed="9"/>
      <name val="Tahoma"/>
      <family val="2"/>
    </font>
    <font>
      <b/>
      <sz val="8"/>
      <color indexed="56"/>
      <name val="Tahoma"/>
      <family val="2"/>
    </font>
    <font>
      <sz val="10"/>
      <color indexed="9"/>
      <name val="Arial"/>
      <family val="2"/>
    </font>
    <font>
      <b/>
      <sz val="8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9.25"/>
      <color indexed="8"/>
      <name val="Arial"/>
      <family val="0"/>
    </font>
    <font>
      <b/>
      <sz val="14"/>
      <color indexed="8"/>
      <name val="Arial"/>
      <family val="0"/>
    </font>
    <font>
      <sz val="8.25"/>
      <color indexed="8"/>
      <name val="Arial"/>
      <family val="0"/>
    </font>
    <font>
      <sz val="7.75"/>
      <color indexed="8"/>
      <name val="Arial"/>
      <family val="0"/>
    </font>
    <font>
      <b/>
      <sz val="7.25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361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4" fontId="4" fillId="0" borderId="10" xfId="79" applyNumberFormat="1" applyFont="1" applyFill="1" applyBorder="1" applyAlignment="1" applyProtection="1">
      <alignment horizontal="center"/>
      <protection/>
    </xf>
    <xf numFmtId="9" fontId="4" fillId="0" borderId="10" xfId="79" applyFont="1" applyFill="1" applyBorder="1" applyAlignment="1" applyProtection="1">
      <alignment horizontal="center"/>
      <protection/>
    </xf>
    <xf numFmtId="10" fontId="4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172" fontId="8" fillId="0" borderId="18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right" wrapText="1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9" fillId="0" borderId="18" xfId="0" applyFont="1" applyBorder="1" applyAlignment="1">
      <alignment/>
    </xf>
    <xf numFmtId="0" fontId="7" fillId="0" borderId="21" xfId="0" applyFont="1" applyBorder="1" applyAlignment="1">
      <alignment/>
    </xf>
    <xf numFmtId="166" fontId="8" fillId="0" borderId="22" xfId="0" applyNumberFormat="1" applyFont="1" applyBorder="1" applyAlignment="1">
      <alignment/>
    </xf>
    <xf numFmtId="0" fontId="8" fillId="0" borderId="22" xfId="0" applyFont="1" applyBorder="1" applyAlignment="1">
      <alignment/>
    </xf>
    <xf numFmtId="166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66" fontId="8" fillId="0" borderId="20" xfId="0" applyNumberFormat="1" applyFont="1" applyBorder="1" applyAlignment="1">
      <alignment/>
    </xf>
    <xf numFmtId="167" fontId="8" fillId="0" borderId="10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0" fontId="7" fillId="0" borderId="23" xfId="0" applyFont="1" applyBorder="1" applyAlignment="1">
      <alignment/>
    </xf>
    <xf numFmtId="166" fontId="7" fillId="0" borderId="23" xfId="0" applyNumberFormat="1" applyFont="1" applyBorder="1" applyAlignment="1">
      <alignment/>
    </xf>
    <xf numFmtId="167" fontId="8" fillId="0" borderId="20" xfId="0" applyNumberFormat="1" applyFont="1" applyBorder="1" applyAlignment="1">
      <alignment/>
    </xf>
    <xf numFmtId="0" fontId="7" fillId="0" borderId="14" xfId="0" applyFont="1" applyBorder="1" applyAlignment="1">
      <alignment/>
    </xf>
    <xf numFmtId="167" fontId="8" fillId="0" borderId="18" xfId="0" applyNumberFormat="1" applyFont="1" applyBorder="1" applyAlignment="1">
      <alignment/>
    </xf>
    <xf numFmtId="167" fontId="8" fillId="0" borderId="15" xfId="0" applyNumberFormat="1" applyFont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1" xfId="0" applyFont="1" applyFill="1" applyBorder="1" applyAlignment="1">
      <alignment/>
    </xf>
    <xf numFmtId="167" fontId="8" fillId="0" borderId="16" xfId="0" applyNumberFormat="1" applyFont="1" applyBorder="1" applyAlignment="1">
      <alignment/>
    </xf>
    <xf numFmtId="167" fontId="8" fillId="0" borderId="17" xfId="0" applyNumberFormat="1" applyFont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174" fontId="8" fillId="0" borderId="20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7" fillId="0" borderId="24" xfId="0" applyFont="1" applyBorder="1" applyAlignment="1">
      <alignment/>
    </xf>
    <xf numFmtId="174" fontId="8" fillId="0" borderId="16" xfId="0" applyNumberFormat="1" applyFont="1" applyBorder="1" applyAlignment="1">
      <alignment/>
    </xf>
    <xf numFmtId="174" fontId="8" fillId="0" borderId="18" xfId="0" applyNumberFormat="1" applyFont="1" applyBorder="1" applyAlignment="1">
      <alignment/>
    </xf>
    <xf numFmtId="174" fontId="8" fillId="0" borderId="15" xfId="0" applyNumberFormat="1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21" xfId="0" applyNumberFormat="1" applyFont="1" applyBorder="1" applyAlignment="1">
      <alignment/>
    </xf>
    <xf numFmtId="166" fontId="8" fillId="0" borderId="19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174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174" fontId="8" fillId="0" borderId="27" xfId="0" applyNumberFormat="1" applyFont="1" applyBorder="1" applyAlignment="1">
      <alignment/>
    </xf>
    <xf numFmtId="174" fontId="8" fillId="0" borderId="28" xfId="0" applyNumberFormat="1" applyFont="1" applyBorder="1" applyAlignment="1">
      <alignment/>
    </xf>
    <xf numFmtId="0" fontId="11" fillId="33" borderId="12" xfId="0" applyFont="1" applyFill="1" applyBorder="1" applyAlignment="1">
      <alignment horizontal="left"/>
    </xf>
    <xf numFmtId="0" fontId="11" fillId="33" borderId="10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174" fontId="7" fillId="33" borderId="19" xfId="0" applyNumberFormat="1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justify" vertical="top" wrapText="1"/>
    </xf>
    <xf numFmtId="0" fontId="8" fillId="34" borderId="11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9" fontId="8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168" fontId="11" fillId="0" borderId="30" xfId="48" applyFont="1" applyBorder="1" applyAlignment="1">
      <alignment/>
    </xf>
    <xf numFmtId="0" fontId="8" fillId="0" borderId="0" xfId="0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8" fillId="35" borderId="2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168" fontId="0" fillId="0" borderId="0" xfId="48" applyFont="1" applyBorder="1" applyAlignment="1">
      <alignment/>
    </xf>
    <xf numFmtId="168" fontId="0" fillId="0" borderId="25" xfId="48" applyFont="1" applyBorder="1" applyAlignment="1">
      <alignment/>
    </xf>
    <xf numFmtId="9" fontId="0" fillId="0" borderId="0" xfId="0" applyNumberFormat="1" applyBorder="1" applyAlignment="1">
      <alignment/>
    </xf>
    <xf numFmtId="10" fontId="0" fillId="0" borderId="0" xfId="79" applyNumberFormat="1" applyFont="1" applyBorder="1" applyAlignment="1">
      <alignment/>
    </xf>
    <xf numFmtId="10" fontId="0" fillId="0" borderId="25" xfId="79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0" fontId="14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68" fontId="14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25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11" fillId="0" borderId="10" xfId="0" applyFont="1" applyBorder="1" applyAlignment="1">
      <alignment horizontal="left"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/>
      <protection locked="0"/>
    </xf>
    <xf numFmtId="168" fontId="10" fillId="0" borderId="10" xfId="48" applyFont="1" applyFill="1" applyBorder="1" applyAlignment="1">
      <alignment/>
    </xf>
    <xf numFmtId="168" fontId="0" fillId="0" borderId="10" xfId="48" applyFont="1" applyBorder="1" applyAlignment="1">
      <alignment/>
    </xf>
    <xf numFmtId="176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58" fillId="36" borderId="0" xfId="0" applyFont="1" applyFill="1" applyAlignment="1">
      <alignment/>
    </xf>
    <xf numFmtId="168" fontId="9" fillId="0" borderId="10" xfId="48" applyFont="1" applyBorder="1" applyAlignment="1">
      <alignment horizontal="right" wrapText="1"/>
    </xf>
    <xf numFmtId="168" fontId="9" fillId="0" borderId="20" xfId="48" applyFont="1" applyBorder="1" applyAlignment="1">
      <alignment horizontal="left"/>
    </xf>
    <xf numFmtId="168" fontId="9" fillId="0" borderId="15" xfId="48" applyFont="1" applyBorder="1" applyAlignment="1">
      <alignment horizontal="left"/>
    </xf>
    <xf numFmtId="168" fontId="9" fillId="0" borderId="18" xfId="48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168" fontId="0" fillId="0" borderId="10" xfId="0" applyNumberForma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11" fillId="0" borderId="29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168" fontId="9" fillId="0" borderId="20" xfId="48" applyFont="1" applyBorder="1" applyAlignment="1">
      <alignment horizontal="right"/>
    </xf>
    <xf numFmtId="168" fontId="9" fillId="0" borderId="20" xfId="48" applyFont="1" applyBorder="1" applyAlignment="1">
      <alignment/>
    </xf>
    <xf numFmtId="168" fontId="11" fillId="0" borderId="20" xfId="48" applyFont="1" applyBorder="1" applyAlignment="1">
      <alignment/>
    </xf>
    <xf numFmtId="168" fontId="10" fillId="0" borderId="10" xfId="48" applyFont="1" applyBorder="1" applyAlignment="1">
      <alignment horizontal="right" vertical="top" wrapText="1"/>
    </xf>
    <xf numFmtId="168" fontId="11" fillId="0" borderId="36" xfId="48" applyFont="1" applyBorder="1" applyAlignment="1">
      <alignment/>
    </xf>
    <xf numFmtId="168" fontId="9" fillId="0" borderId="15" xfId="48" applyFont="1" applyBorder="1" applyAlignment="1">
      <alignment/>
    </xf>
    <xf numFmtId="0" fontId="11" fillId="0" borderId="37" xfId="0" applyFont="1" applyBorder="1" applyAlignment="1">
      <alignment horizontal="left"/>
    </xf>
    <xf numFmtId="168" fontId="11" fillId="0" borderId="38" xfId="48" applyFont="1" applyBorder="1" applyAlignment="1">
      <alignment/>
    </xf>
    <xf numFmtId="168" fontId="9" fillId="0" borderId="10" xfId="48" applyFont="1" applyBorder="1" applyAlignment="1">
      <alignment horizontal="left"/>
    </xf>
    <xf numFmtId="168" fontId="9" fillId="0" borderId="18" xfId="48" applyFont="1" applyBorder="1" applyAlignment="1">
      <alignment/>
    </xf>
    <xf numFmtId="168" fontId="9" fillId="0" borderId="10" xfId="48" applyFont="1" applyBorder="1" applyAlignment="1">
      <alignment horizontal="right"/>
    </xf>
    <xf numFmtId="168" fontId="9" fillId="0" borderId="10" xfId="48" applyFont="1" applyBorder="1" applyAlignment="1">
      <alignment/>
    </xf>
    <xf numFmtId="9" fontId="0" fillId="36" borderId="10" xfId="0" applyNumberFormat="1" applyFill="1" applyBorder="1" applyAlignment="1">
      <alignment/>
    </xf>
    <xf numFmtId="168" fontId="0" fillId="0" borderId="0" xfId="48" applyFont="1" applyAlignment="1">
      <alignment/>
    </xf>
    <xf numFmtId="0" fontId="0" fillId="36" borderId="39" xfId="0" applyFill="1" applyBorder="1" applyAlignment="1">
      <alignment/>
    </xf>
    <xf numFmtId="168" fontId="0" fillId="36" borderId="40" xfId="48" applyFont="1" applyFill="1" applyBorder="1" applyAlignment="1">
      <alignment/>
    </xf>
    <xf numFmtId="168" fontId="0" fillId="0" borderId="0" xfId="0" applyNumberFormat="1" applyAlignment="1">
      <alignment/>
    </xf>
    <xf numFmtId="168" fontId="0" fillId="0" borderId="10" xfId="48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168" fontId="0" fillId="0" borderId="18" xfId="0" applyNumberFormat="1" applyBorder="1" applyAlignment="1">
      <alignment/>
    </xf>
    <xf numFmtId="168" fontId="0" fillId="0" borderId="18" xfId="48" applyFont="1" applyBorder="1" applyAlignment="1">
      <alignment/>
    </xf>
    <xf numFmtId="168" fontId="0" fillId="0" borderId="15" xfId="48" applyFont="1" applyBorder="1" applyAlignment="1">
      <alignment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168" fontId="8" fillId="0" borderId="16" xfId="48" applyFont="1" applyBorder="1" applyAlignment="1">
      <alignment/>
    </xf>
    <xf numFmtId="168" fontId="8" fillId="0" borderId="10" xfId="48" applyFont="1" applyBorder="1" applyAlignment="1">
      <alignment/>
    </xf>
    <xf numFmtId="176" fontId="0" fillId="0" borderId="10" xfId="48" applyNumberFormat="1" applyFont="1" applyBorder="1" applyAlignment="1">
      <alignment/>
    </xf>
    <xf numFmtId="176" fontId="0" fillId="0" borderId="20" xfId="0" applyNumberFormat="1" applyBorder="1" applyAlignment="1">
      <alignment/>
    </xf>
    <xf numFmtId="168" fontId="0" fillId="0" borderId="20" xfId="0" applyNumberFormat="1" applyBorder="1" applyAlignment="1">
      <alignment/>
    </xf>
    <xf numFmtId="176" fontId="0" fillId="0" borderId="20" xfId="48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168" fontId="0" fillId="0" borderId="15" xfId="0" applyNumberFormat="1" applyBorder="1" applyAlignment="1">
      <alignment/>
    </xf>
    <xf numFmtId="0" fontId="8" fillId="0" borderId="31" xfId="0" applyFont="1" applyBorder="1" applyAlignment="1">
      <alignment/>
    </xf>
    <xf numFmtId="174" fontId="8" fillId="0" borderId="35" xfId="0" applyNumberFormat="1" applyFont="1" applyBorder="1" applyAlignment="1">
      <alignment/>
    </xf>
    <xf numFmtId="174" fontId="8" fillId="0" borderId="36" xfId="0" applyNumberFormat="1" applyFont="1" applyBorder="1" applyAlignment="1">
      <alignment/>
    </xf>
    <xf numFmtId="168" fontId="8" fillId="0" borderId="11" xfId="48" applyFont="1" applyBorder="1" applyAlignment="1">
      <alignment/>
    </xf>
    <xf numFmtId="0" fontId="8" fillId="0" borderId="31" xfId="0" applyFont="1" applyFill="1" applyBorder="1" applyAlignment="1">
      <alignment/>
    </xf>
    <xf numFmtId="166" fontId="8" fillId="0" borderId="41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8" fillId="36" borderId="15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8" fillId="0" borderId="35" xfId="0" applyFont="1" applyBorder="1" applyAlignment="1">
      <alignment/>
    </xf>
    <xf numFmtId="167" fontId="8" fillId="0" borderId="35" xfId="0" applyNumberFormat="1" applyFont="1" applyBorder="1" applyAlignment="1">
      <alignment/>
    </xf>
    <xf numFmtId="167" fontId="8" fillId="0" borderId="36" xfId="0" applyNumberFormat="1" applyFont="1" applyBorder="1" applyAlignment="1">
      <alignment/>
    </xf>
    <xf numFmtId="168" fontId="8" fillId="0" borderId="18" xfId="48" applyFont="1" applyBorder="1" applyAlignment="1">
      <alignment/>
    </xf>
    <xf numFmtId="168" fontId="8" fillId="0" borderId="0" xfId="48" applyFont="1" applyBorder="1" applyAlignment="1">
      <alignment/>
    </xf>
    <xf numFmtId="168" fontId="8" fillId="0" borderId="35" xfId="48" applyFont="1" applyBorder="1" applyAlignment="1">
      <alignment/>
    </xf>
    <xf numFmtId="168" fontId="8" fillId="0" borderId="41" xfId="48" applyFont="1" applyBorder="1" applyAlignment="1">
      <alignment/>
    </xf>
    <xf numFmtId="168" fontId="8" fillId="0" borderId="21" xfId="48" applyFont="1" applyBorder="1" applyAlignment="1">
      <alignment/>
    </xf>
    <xf numFmtId="168" fontId="8" fillId="34" borderId="17" xfId="48" applyFont="1" applyFill="1" applyBorder="1" applyAlignment="1">
      <alignment/>
    </xf>
    <xf numFmtId="168" fontId="8" fillId="34" borderId="36" xfId="48" applyFont="1" applyFill="1" applyBorder="1" applyAlignment="1">
      <alignment/>
    </xf>
    <xf numFmtId="168" fontId="8" fillId="34" borderId="42" xfId="48" applyFont="1" applyFill="1" applyBorder="1" applyAlignment="1">
      <alignment/>
    </xf>
    <xf numFmtId="168" fontId="7" fillId="34" borderId="19" xfId="48" applyFont="1" applyFill="1" applyBorder="1" applyAlignment="1">
      <alignment/>
    </xf>
    <xf numFmtId="168" fontId="8" fillId="0" borderId="15" xfId="48" applyFont="1" applyBorder="1" applyAlignment="1">
      <alignment/>
    </xf>
    <xf numFmtId="168" fontId="8" fillId="0" borderId="10" xfId="0" applyNumberFormat="1" applyFont="1" applyBorder="1" applyAlignment="1">
      <alignment/>
    </xf>
    <xf numFmtId="168" fontId="8" fillId="0" borderId="18" xfId="0" applyNumberFormat="1" applyFont="1" applyBorder="1" applyAlignment="1">
      <alignment/>
    </xf>
    <xf numFmtId="0" fontId="8" fillId="0" borderId="41" xfId="0" applyFont="1" applyBorder="1" applyAlignment="1">
      <alignment/>
    </xf>
    <xf numFmtId="166" fontId="8" fillId="0" borderId="40" xfId="48" applyNumberFormat="1" applyFont="1" applyBorder="1" applyAlignment="1">
      <alignment/>
    </xf>
    <xf numFmtId="166" fontId="8" fillId="0" borderId="23" xfId="48" applyNumberFormat="1" applyFont="1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6" fontId="8" fillId="0" borderId="14" xfId="48" applyNumberFormat="1" applyFon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4" xfId="48" applyFont="1" applyBorder="1" applyAlignment="1">
      <alignment/>
    </xf>
    <xf numFmtId="43" fontId="0" fillId="0" borderId="0" xfId="46" applyFont="1" applyBorder="1" applyAlignment="1">
      <alignment/>
    </xf>
    <xf numFmtId="172" fontId="0" fillId="0" borderId="0" xfId="0" applyNumberFormat="1" applyBorder="1" applyAlignment="1">
      <alignment/>
    </xf>
    <xf numFmtId="168" fontId="0" fillId="0" borderId="0" xfId="48" applyFont="1" applyBorder="1" applyAlignment="1">
      <alignment/>
    </xf>
    <xf numFmtId="0" fontId="58" fillId="36" borderId="24" xfId="0" applyFont="1" applyFill="1" applyBorder="1" applyAlignment="1">
      <alignment/>
    </xf>
    <xf numFmtId="166" fontId="0" fillId="0" borderId="0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0" fontId="59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13" fillId="0" borderId="24" xfId="0" applyFont="1" applyBorder="1" applyAlignment="1">
      <alignment/>
    </xf>
    <xf numFmtId="166" fontId="0" fillId="0" borderId="0" xfId="0" applyNumberFormat="1" applyBorder="1" applyAlignment="1">
      <alignment/>
    </xf>
    <xf numFmtId="168" fontId="13" fillId="0" borderId="0" xfId="48" applyFont="1" applyBorder="1" applyAlignment="1">
      <alignment/>
    </xf>
    <xf numFmtId="0" fontId="0" fillId="36" borderId="24" xfId="0" applyFill="1" applyBorder="1" applyAlignment="1">
      <alignment/>
    </xf>
    <xf numFmtId="10" fontId="0" fillId="36" borderId="0" xfId="0" applyNumberFormat="1" applyFill="1" applyBorder="1" applyAlignment="1">
      <alignment/>
    </xf>
    <xf numFmtId="0" fontId="0" fillId="37" borderId="24" xfId="0" applyFill="1" applyBorder="1" applyAlignment="1">
      <alignment/>
    </xf>
    <xf numFmtId="169" fontId="0" fillId="37" borderId="0" xfId="0" applyNumberFormat="1" applyFill="1" applyBorder="1" applyAlignment="1">
      <alignment/>
    </xf>
    <xf numFmtId="0" fontId="8" fillId="36" borderId="10" xfId="0" applyFont="1" applyFill="1" applyBorder="1" applyAlignment="1">
      <alignment/>
    </xf>
    <xf numFmtId="10" fontId="8" fillId="36" borderId="10" xfId="0" applyNumberFormat="1" applyFont="1" applyFill="1" applyBorder="1" applyAlignment="1">
      <alignment/>
    </xf>
    <xf numFmtId="0" fontId="0" fillId="38" borderId="26" xfId="0" applyFill="1" applyBorder="1" applyAlignment="1">
      <alignment/>
    </xf>
    <xf numFmtId="9" fontId="0" fillId="38" borderId="27" xfId="0" applyNumberFormat="1" applyFill="1" applyBorder="1" applyAlignment="1">
      <alignment/>
    </xf>
    <xf numFmtId="0" fontId="18" fillId="0" borderId="0" xfId="0" applyFont="1" applyAlignment="1">
      <alignment/>
    </xf>
    <xf numFmtId="177" fontId="0" fillId="0" borderId="0" xfId="48" applyNumberFormat="1" applyFont="1" applyAlignment="1">
      <alignment/>
    </xf>
    <xf numFmtId="0" fontId="18" fillId="0" borderId="11" xfId="0" applyFont="1" applyBorder="1" applyAlignment="1">
      <alignment/>
    </xf>
    <xf numFmtId="0" fontId="18" fillId="0" borderId="17" xfId="0" applyFont="1" applyBorder="1" applyAlignment="1">
      <alignment/>
    </xf>
    <xf numFmtId="168" fontId="0" fillId="0" borderId="20" xfId="48" applyFont="1" applyBorder="1" applyAlignment="1">
      <alignment/>
    </xf>
    <xf numFmtId="0" fontId="0" fillId="0" borderId="29" xfId="0" applyBorder="1" applyAlignment="1">
      <alignment/>
    </xf>
    <xf numFmtId="168" fontId="0" fillId="0" borderId="36" xfId="48" applyFont="1" applyBorder="1" applyAlignment="1">
      <alignment/>
    </xf>
    <xf numFmtId="0" fontId="0" fillId="0" borderId="43" xfId="0" applyBorder="1" applyAlignment="1">
      <alignment/>
    </xf>
    <xf numFmtId="168" fontId="0" fillId="0" borderId="44" xfId="48" applyFont="1" applyBorder="1" applyAlignment="1">
      <alignment/>
    </xf>
    <xf numFmtId="0" fontId="18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18" fillId="0" borderId="16" xfId="0" applyFont="1" applyBorder="1" applyAlignment="1">
      <alignment/>
    </xf>
    <xf numFmtId="168" fontId="0" fillId="0" borderId="14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18" fillId="0" borderId="45" xfId="0" applyFont="1" applyBorder="1" applyAlignment="1">
      <alignment/>
    </xf>
    <xf numFmtId="165" fontId="0" fillId="0" borderId="46" xfId="0" applyNumberFormat="1" applyBorder="1" applyAlignment="1">
      <alignment/>
    </xf>
    <xf numFmtId="165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58" fillId="39" borderId="33" xfId="0" applyFont="1" applyFill="1" applyBorder="1" applyAlignment="1">
      <alignment/>
    </xf>
    <xf numFmtId="9" fontId="0" fillId="0" borderId="0" xfId="79" applyFont="1" applyAlignment="1">
      <alignment/>
    </xf>
    <xf numFmtId="10" fontId="0" fillId="0" borderId="0" xfId="79" applyNumberFormat="1" applyFont="1" applyAlignment="1">
      <alignment/>
    </xf>
    <xf numFmtId="177" fontId="0" fillId="0" borderId="10" xfId="48" applyNumberFormat="1" applyFont="1" applyBorder="1" applyAlignment="1">
      <alignment/>
    </xf>
    <xf numFmtId="0" fontId="18" fillId="0" borderId="12" xfId="0" applyFont="1" applyBorder="1" applyAlignment="1">
      <alignment/>
    </xf>
    <xf numFmtId="177" fontId="0" fillId="0" borderId="20" xfId="48" applyNumberFormat="1" applyFont="1" applyBorder="1" applyAlignment="1">
      <alignment/>
    </xf>
    <xf numFmtId="0" fontId="18" fillId="0" borderId="14" xfId="0" applyFont="1" applyBorder="1" applyAlignment="1">
      <alignment/>
    </xf>
    <xf numFmtId="9" fontId="0" fillId="0" borderId="18" xfId="79" applyNumberFormat="1" applyFont="1" applyBorder="1" applyAlignment="1">
      <alignment/>
    </xf>
    <xf numFmtId="9" fontId="0" fillId="0" borderId="15" xfId="79" applyNumberFormat="1" applyFont="1" applyBorder="1" applyAlignment="1">
      <alignment/>
    </xf>
    <xf numFmtId="0" fontId="18" fillId="36" borderId="11" xfId="0" applyFont="1" applyFill="1" applyBorder="1" applyAlignment="1">
      <alignment/>
    </xf>
    <xf numFmtId="165" fontId="0" fillId="36" borderId="16" xfId="0" applyNumberFormat="1" applyFill="1" applyBorder="1" applyAlignment="1">
      <alignment/>
    </xf>
    <xf numFmtId="165" fontId="0" fillId="36" borderId="17" xfId="0" applyNumberFormat="1" applyFill="1" applyBorder="1" applyAlignment="1">
      <alignment/>
    </xf>
    <xf numFmtId="0" fontId="18" fillId="36" borderId="14" xfId="0" applyFont="1" applyFill="1" applyBorder="1" applyAlignment="1">
      <alignment/>
    </xf>
    <xf numFmtId="175" fontId="0" fillId="36" borderId="18" xfId="46" applyNumberFormat="1" applyFont="1" applyFill="1" applyBorder="1" applyAlignment="1">
      <alignment/>
    </xf>
    <xf numFmtId="175" fontId="0" fillId="36" borderId="15" xfId="46" applyNumberFormat="1" applyFont="1" applyFill="1" applyBorder="1" applyAlignment="1">
      <alignment/>
    </xf>
    <xf numFmtId="0" fontId="0" fillId="40" borderId="13" xfId="0" applyFill="1" applyBorder="1" applyAlignment="1">
      <alignment/>
    </xf>
    <xf numFmtId="168" fontId="18" fillId="40" borderId="19" xfId="48" applyFont="1" applyFill="1" applyBorder="1" applyAlignment="1">
      <alignment/>
    </xf>
    <xf numFmtId="0" fontId="0" fillId="40" borderId="0" xfId="0" applyFill="1" applyBorder="1" applyAlignment="1">
      <alignment/>
    </xf>
    <xf numFmtId="0" fontId="18" fillId="0" borderId="10" xfId="59" applyFont="1" applyFill="1" applyBorder="1">
      <alignment/>
      <protection/>
    </xf>
    <xf numFmtId="10" fontId="18" fillId="0" borderId="10" xfId="69" applyNumberFormat="1" applyFill="1" applyBorder="1">
      <alignment/>
      <protection/>
    </xf>
    <xf numFmtId="10" fontId="18" fillId="0" borderId="10" xfId="65" applyNumberFormat="1" applyFill="1" applyBorder="1">
      <alignment/>
      <protection/>
    </xf>
    <xf numFmtId="10" fontId="18" fillId="0" borderId="10" xfId="60" applyNumberFormat="1" applyFill="1" applyBorder="1">
      <alignment/>
      <protection/>
    </xf>
    <xf numFmtId="10" fontId="18" fillId="0" borderId="10" xfId="63" applyNumberFormat="1" applyFill="1" applyBorder="1">
      <alignment/>
      <protection/>
    </xf>
    <xf numFmtId="10" fontId="18" fillId="0" borderId="10" xfId="67" applyNumberFormat="1" applyFill="1" applyBorder="1">
      <alignment/>
      <protection/>
    </xf>
    <xf numFmtId="10" fontId="18" fillId="0" borderId="10" xfId="70" applyNumberFormat="1" applyFill="1" applyBorder="1">
      <alignment/>
      <protection/>
    </xf>
    <xf numFmtId="10" fontId="18" fillId="0" borderId="10" xfId="71" applyNumberFormat="1" applyFill="1" applyBorder="1">
      <alignment/>
      <protection/>
    </xf>
    <xf numFmtId="0" fontId="18" fillId="36" borderId="12" xfId="59" applyFont="1" applyFill="1" applyBorder="1">
      <alignment/>
      <protection/>
    </xf>
    <xf numFmtId="0" fontId="18" fillId="38" borderId="12" xfId="59" applyFont="1" applyFill="1" applyBorder="1">
      <alignment/>
      <protection/>
    </xf>
    <xf numFmtId="0" fontId="18" fillId="38" borderId="14" xfId="59" applyFont="1" applyFill="1" applyBorder="1">
      <alignment/>
      <protection/>
    </xf>
    <xf numFmtId="10" fontId="19" fillId="38" borderId="10" xfId="59" applyNumberFormat="1" applyFont="1" applyFill="1" applyBorder="1">
      <alignment/>
      <protection/>
    </xf>
    <xf numFmtId="9" fontId="19" fillId="38" borderId="10" xfId="59" applyNumberFormat="1" applyFont="1" applyFill="1" applyBorder="1">
      <alignment/>
      <protection/>
    </xf>
    <xf numFmtId="9" fontId="58" fillId="38" borderId="10" xfId="0" applyNumberFormat="1" applyFont="1" applyFill="1" applyBorder="1" applyAlignment="1">
      <alignment/>
    </xf>
    <xf numFmtId="10" fontId="58" fillId="38" borderId="20" xfId="0" applyNumberFormat="1" applyFont="1" applyFill="1" applyBorder="1" applyAlignment="1">
      <alignment/>
    </xf>
    <xf numFmtId="10" fontId="18" fillId="41" borderId="10" xfId="79" applyNumberFormat="1" applyFont="1" applyFill="1" applyBorder="1" applyAlignment="1">
      <alignment/>
    </xf>
    <xf numFmtId="168" fontId="18" fillId="41" borderId="10" xfId="48" applyFont="1" applyFill="1" applyBorder="1" applyAlignment="1">
      <alignment/>
    </xf>
    <xf numFmtId="168" fontId="0" fillId="41" borderId="15" xfId="48" applyFont="1" applyFill="1" applyBorder="1" applyAlignment="1">
      <alignment/>
    </xf>
    <xf numFmtId="10" fontId="0" fillId="41" borderId="20" xfId="79" applyNumberFormat="1" applyFont="1" applyFill="1" applyBorder="1" applyAlignment="1">
      <alignment/>
    </xf>
    <xf numFmtId="10" fontId="18" fillId="12" borderId="10" xfId="79" applyNumberFormat="1" applyFont="1" applyFill="1" applyBorder="1" applyAlignment="1">
      <alignment/>
    </xf>
    <xf numFmtId="168" fontId="18" fillId="12" borderId="18" xfId="48" applyFont="1" applyFill="1" applyBorder="1" applyAlignment="1">
      <alignment/>
    </xf>
    <xf numFmtId="164" fontId="18" fillId="12" borderId="18" xfId="64" applyNumberFormat="1" applyFill="1" applyBorder="1">
      <alignment/>
      <protection/>
    </xf>
    <xf numFmtId="164" fontId="18" fillId="12" borderId="18" xfId="61" applyNumberFormat="1" applyFill="1" applyBorder="1">
      <alignment/>
      <protection/>
    </xf>
    <xf numFmtId="164" fontId="18" fillId="12" borderId="18" xfId="62" applyNumberFormat="1" applyFill="1" applyBorder="1">
      <alignment/>
      <protection/>
    </xf>
    <xf numFmtId="164" fontId="18" fillId="12" borderId="18" xfId="75" applyNumberFormat="1" applyFill="1" applyBorder="1">
      <alignment/>
      <protection/>
    </xf>
    <xf numFmtId="164" fontId="18" fillId="12" borderId="18" xfId="66" applyNumberFormat="1" applyFill="1" applyBorder="1">
      <alignment/>
      <protection/>
    </xf>
    <xf numFmtId="164" fontId="18" fillId="12" borderId="18" xfId="68" applyNumberFormat="1" applyFill="1" applyBorder="1">
      <alignment/>
      <protection/>
    </xf>
    <xf numFmtId="164" fontId="18" fillId="12" borderId="18" xfId="72" applyNumberFormat="1" applyFill="1" applyBorder="1">
      <alignment/>
      <protection/>
    </xf>
    <xf numFmtId="164" fontId="18" fillId="12" borderId="10" xfId="58" applyNumberFormat="1" applyFill="1" applyBorder="1">
      <alignment/>
      <protection/>
    </xf>
    <xf numFmtId="164" fontId="18" fillId="12" borderId="10" xfId="76" applyNumberFormat="1" applyFill="1" applyBorder="1">
      <alignment/>
      <protection/>
    </xf>
    <xf numFmtId="164" fontId="18" fillId="12" borderId="10" xfId="51" applyNumberFormat="1" applyFill="1" applyBorder="1">
      <alignment/>
      <protection/>
    </xf>
    <xf numFmtId="164" fontId="18" fillId="12" borderId="10" xfId="75" applyNumberFormat="1" applyFill="1" applyBorder="1">
      <alignment/>
      <protection/>
    </xf>
    <xf numFmtId="164" fontId="18" fillId="12" borderId="10" xfId="53" applyNumberFormat="1" applyFill="1" applyBorder="1">
      <alignment/>
      <protection/>
    </xf>
    <xf numFmtId="164" fontId="18" fillId="12" borderId="10" xfId="55" applyNumberFormat="1" applyFill="1" applyBorder="1">
      <alignment/>
      <protection/>
    </xf>
    <xf numFmtId="164" fontId="18" fillId="12" borderId="10" xfId="73" applyNumberFormat="1" applyFill="1" applyBorder="1">
      <alignment/>
      <protection/>
    </xf>
    <xf numFmtId="168" fontId="0" fillId="12" borderId="20" xfId="48" applyFont="1" applyFill="1" applyBorder="1" applyAlignment="1">
      <alignment/>
    </xf>
    <xf numFmtId="10" fontId="0" fillId="12" borderId="20" xfId="79" applyNumberFormat="1" applyFont="1" applyFill="1" applyBorder="1" applyAlignment="1">
      <alignment/>
    </xf>
    <xf numFmtId="10" fontId="18" fillId="12" borderId="10" xfId="57" applyNumberFormat="1" applyFont="1" applyFill="1" applyBorder="1">
      <alignment/>
      <protection/>
    </xf>
    <xf numFmtId="10" fontId="18" fillId="12" borderId="10" xfId="77" applyNumberFormat="1" applyFont="1" applyFill="1" applyBorder="1">
      <alignment/>
      <protection/>
    </xf>
    <xf numFmtId="10" fontId="18" fillId="12" borderId="10" xfId="52" applyNumberFormat="1" applyFont="1" applyFill="1" applyBorder="1">
      <alignment/>
      <protection/>
    </xf>
    <xf numFmtId="178" fontId="18" fillId="12" borderId="10" xfId="69" applyNumberFormat="1" applyFont="1" applyFill="1" applyBorder="1">
      <alignment/>
      <protection/>
    </xf>
    <xf numFmtId="10" fontId="18" fillId="12" borderId="10" xfId="54" applyNumberFormat="1" applyFont="1" applyFill="1" applyBorder="1">
      <alignment/>
      <protection/>
    </xf>
    <xf numFmtId="10" fontId="18" fillId="12" borderId="10" xfId="56" applyNumberFormat="1" applyFont="1" applyFill="1" applyBorder="1">
      <alignment/>
      <protection/>
    </xf>
    <xf numFmtId="10" fontId="18" fillId="12" borderId="10" xfId="74" applyNumberFormat="1" applyFont="1" applyFill="1" applyBorder="1">
      <alignment/>
      <protection/>
    </xf>
    <xf numFmtId="10" fontId="18" fillId="12" borderId="10" xfId="65" applyNumberFormat="1" applyFont="1" applyFill="1" applyBorder="1">
      <alignment/>
      <protection/>
    </xf>
    <xf numFmtId="10" fontId="18" fillId="12" borderId="10" xfId="60" applyNumberFormat="1" applyFont="1" applyFill="1" applyBorder="1">
      <alignment/>
      <protection/>
    </xf>
    <xf numFmtId="10" fontId="18" fillId="12" borderId="10" xfId="63" applyNumberFormat="1" applyFont="1" applyFill="1" applyBorder="1">
      <alignment/>
      <protection/>
    </xf>
    <xf numFmtId="178" fontId="20" fillId="12" borderId="10" xfId="0" applyNumberFormat="1" applyFont="1" applyFill="1" applyBorder="1" applyAlignment="1">
      <alignment/>
    </xf>
    <xf numFmtId="10" fontId="18" fillId="12" borderId="10" xfId="67" applyNumberFormat="1" applyFont="1" applyFill="1" applyBorder="1">
      <alignment/>
      <protection/>
    </xf>
    <xf numFmtId="178" fontId="18" fillId="12" borderId="10" xfId="70" applyNumberFormat="1" applyFont="1" applyFill="1" applyBorder="1">
      <alignment/>
      <protection/>
    </xf>
    <xf numFmtId="10" fontId="18" fillId="12" borderId="10" xfId="71" applyNumberFormat="1" applyFont="1" applyFill="1" applyBorder="1">
      <alignment/>
      <protection/>
    </xf>
    <xf numFmtId="0" fontId="18" fillId="40" borderId="12" xfId="59" applyFont="1" applyFill="1" applyBorder="1">
      <alignment/>
      <protection/>
    </xf>
    <xf numFmtId="0" fontId="19" fillId="36" borderId="12" xfId="59" applyFont="1" applyFill="1" applyBorder="1">
      <alignment/>
      <protection/>
    </xf>
    <xf numFmtId="0" fontId="5" fillId="15" borderId="10" xfId="0" applyFont="1" applyFill="1" applyBorder="1" applyAlignment="1">
      <alignment/>
    </xf>
    <xf numFmtId="4" fontId="5" fillId="15" borderId="10" xfId="0" applyNumberFormat="1" applyFont="1" applyFill="1" applyBorder="1" applyAlignment="1">
      <alignment/>
    </xf>
    <xf numFmtId="0" fontId="11" fillId="0" borderId="11" xfId="59" applyFont="1" applyBorder="1" applyAlignment="1">
      <alignment horizontal="center"/>
      <protection/>
    </xf>
    <xf numFmtId="0" fontId="11" fillId="0" borderId="16" xfId="59" applyFont="1" applyBorder="1" applyAlignment="1">
      <alignment horizontal="center"/>
      <protection/>
    </xf>
    <xf numFmtId="0" fontId="11" fillId="0" borderId="17" xfId="59" applyFont="1" applyBorder="1" applyAlignment="1">
      <alignment horizontal="center"/>
      <protection/>
    </xf>
    <xf numFmtId="0" fontId="58" fillId="0" borderId="0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168" fontId="0" fillId="0" borderId="47" xfId="0" applyNumberFormat="1" applyBorder="1" applyAlignment="1">
      <alignment horizontal="center"/>
    </xf>
    <xf numFmtId="168" fontId="0" fillId="0" borderId="48" xfId="0" applyNumberFormat="1" applyBorder="1" applyAlignment="1">
      <alignment horizontal="center"/>
    </xf>
    <xf numFmtId="168" fontId="0" fillId="0" borderId="49" xfId="0" applyNumberForma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39" xfId="0" applyFont="1" applyBorder="1" applyAlignment="1">
      <alignment horizontal="center"/>
    </xf>
    <xf numFmtId="0" fontId="58" fillId="0" borderId="50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53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2" fillId="42" borderId="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2 2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29" xfId="68"/>
    <cellStyle name="Normal 3" xfId="69"/>
    <cellStyle name="Normal 30" xfId="70"/>
    <cellStyle name="Normal 32" xfId="71"/>
    <cellStyle name="Normal 33" xfId="72"/>
    <cellStyle name="Normal 35" xfId="73"/>
    <cellStyle name="Normal 36" xfId="74"/>
    <cellStyle name="Normal 6" xfId="75"/>
    <cellStyle name="Normal 7" xfId="76"/>
    <cellStyle name="Normal 8" xfId="77"/>
    <cellStyle name="Notas" xfId="78"/>
    <cellStyle name="Percent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Ventas Mensuales 3 Años</a:t>
            </a:r>
          </a:p>
        </c:rich>
      </c:tx>
      <c:layout>
        <c:manualLayout>
          <c:xMode val="factor"/>
          <c:yMode val="factor"/>
          <c:x val="-0.0085"/>
          <c:y val="-0.004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70"/>
      <c:rAngAx val="1"/>
    </c:view3D>
    <c:plotArea>
      <c:layout>
        <c:manualLayout>
          <c:xMode val="edge"/>
          <c:yMode val="edge"/>
          <c:x val="0.08125"/>
          <c:y val="0.1875"/>
          <c:w val="0.91775"/>
          <c:h val="0.64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'[1]Hoja1'!$B$26:$AK$26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'[1]Hoja1'!$B$27:$AK$27</c:f>
              <c:numCache>
                <c:ptCount val="36"/>
                <c:pt idx="0">
                  <c:v>23287.5</c:v>
                </c:pt>
                <c:pt idx="1">
                  <c:v>23357.362499999996</c:v>
                </c:pt>
                <c:pt idx="2">
                  <c:v>23427.43458749999</c:v>
                </c:pt>
                <c:pt idx="3">
                  <c:v>23732.694060175116</c:v>
                </c:pt>
                <c:pt idx="4">
                  <c:v>24041.931063779197</c:v>
                </c:pt>
                <c:pt idx="5">
                  <c:v>24355.197425540235</c:v>
                </c:pt>
                <c:pt idx="6">
                  <c:v>24672.545647995023</c:v>
                </c:pt>
                <c:pt idx="7">
                  <c:v>24994.028917788397</c:v>
                </c:pt>
                <c:pt idx="8">
                  <c:v>25319.701114587173</c:v>
                </c:pt>
                <c:pt idx="9">
                  <c:v>25649.616820110237</c:v>
                </c:pt>
                <c:pt idx="10">
                  <c:v>25983.83132727627</c:v>
                </c:pt>
                <c:pt idx="11">
                  <c:v>26322.40064947068</c:v>
                </c:pt>
                <c:pt idx="12">
                  <c:v>26665.381529933282</c:v>
                </c:pt>
                <c:pt idx="13">
                  <c:v>27012.831451268303</c:v>
                </c:pt>
                <c:pt idx="14">
                  <c:v>27364.80864507833</c:v>
                </c:pt>
                <c:pt idx="15">
                  <c:v>27721.3721017237</c:v>
                </c:pt>
                <c:pt idx="16">
                  <c:v>28082.581580209157</c:v>
                </c:pt>
                <c:pt idx="17">
                  <c:v>28448.49761819928</c:v>
                </c:pt>
                <c:pt idx="18">
                  <c:v>28819.18154216441</c:v>
                </c:pt>
                <c:pt idx="19">
                  <c:v>29194.69547765881</c:v>
                </c:pt>
                <c:pt idx="20">
                  <c:v>29575.1023597327</c:v>
                </c:pt>
                <c:pt idx="21">
                  <c:v>29960.46594348002</c:v>
                </c:pt>
                <c:pt idx="22">
                  <c:v>30350.85081472356</c:v>
                </c:pt>
                <c:pt idx="23">
                  <c:v>30746.322400839403</c:v>
                </c:pt>
                <c:pt idx="24">
                  <c:v>31146.946981722343</c:v>
                </c:pt>
                <c:pt idx="25">
                  <c:v>31552.79170089418</c:v>
                </c:pt>
                <c:pt idx="26">
                  <c:v>31963.924576756835</c:v>
                </c:pt>
                <c:pt idx="27">
                  <c:v>32380.414513991967</c:v>
                </c:pt>
                <c:pt idx="28">
                  <c:v>32802.33131510928</c:v>
                </c:pt>
                <c:pt idx="29">
                  <c:v>33229.74569214515</c:v>
                </c:pt>
                <c:pt idx="30">
                  <c:v>33662.72927851379</c:v>
                </c:pt>
                <c:pt idx="31">
                  <c:v>34101.354641012826</c:v>
                </c:pt>
                <c:pt idx="32">
                  <c:v>34545.69529198523</c:v>
                </c:pt>
                <c:pt idx="33">
                  <c:v>34995.82570163979</c:v>
                </c:pt>
                <c:pt idx="34">
                  <c:v>35451.821310532156</c:v>
                </c:pt>
                <c:pt idx="35">
                  <c:v>35913.75854220839</c:v>
                </c:pt>
              </c:numCache>
            </c:numRef>
          </c:val>
          <c:shape val="box"/>
        </c:ser>
        <c:gapWidth val="20"/>
        <c:gapDepth val="170"/>
        <c:shape val="box"/>
        <c:axId val="58520493"/>
        <c:axId val="56922390"/>
      </c:bar3DChart>
      <c:catAx>
        <c:axId val="5852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22390"/>
        <c:crosses val="autoZero"/>
        <c:auto val="1"/>
        <c:lblOffset val="100"/>
        <c:tickLblSkip val="2"/>
        <c:noMultiLvlLbl val="0"/>
      </c:catAx>
      <c:valAx>
        <c:axId val="56922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520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Crecimiento Acumulado 10 Años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09375"/>
          <c:w val="0.91275"/>
          <c:h val="0.92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'[1]Hoja1'!$B$1:$B$11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'[1]Hoja1'!$A$1:$A$11</c:f>
              <c:numCache>
                <c:ptCount val="11"/>
                <c:pt idx="0">
                  <c:v>0</c:v>
                </c:pt>
                <c:pt idx="1">
                  <c:v>0.09368527268436089</c:v>
                </c:pt>
                <c:pt idx="2">
                  <c:v>0.22051030281633066</c:v>
                </c:pt>
                <c:pt idx="3">
                  <c:v>0.34733533294830043</c:v>
                </c:pt>
                <c:pt idx="4">
                  <c:v>0.39850141803859973</c:v>
                </c:pt>
                <c:pt idx="5">
                  <c:v>0.449667503128899</c:v>
                </c:pt>
                <c:pt idx="6">
                  <c:v>0.5008335882191983</c:v>
                </c:pt>
                <c:pt idx="7">
                  <c:v>0.5519996733094976</c:v>
                </c:pt>
                <c:pt idx="8">
                  <c:v>0.6031657583997969</c:v>
                </c:pt>
                <c:pt idx="9">
                  <c:v>0.6543318434900962</c:v>
                </c:pt>
                <c:pt idx="10">
                  <c:v>0.7054979285803955</c:v>
                </c:pt>
              </c:numCache>
            </c:numRef>
          </c:val>
          <c:smooth val="1"/>
        </c:ser>
        <c:marker val="1"/>
        <c:axId val="42539463"/>
        <c:axId val="47310848"/>
      </c:lineChart>
      <c:catAx>
        <c:axId val="4253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solidFill>
                      <a:srgbClr val="000000"/>
                    </a:solidFill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.0322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47310848"/>
        <c:crosses val="autoZero"/>
        <c:auto val="1"/>
        <c:lblOffset val="100"/>
        <c:tickLblSkip val="1"/>
        <c:noMultiLvlLbl val="0"/>
      </c:catAx>
      <c:valAx>
        <c:axId val="47310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4253946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Ventas Mensuales 3 Años</a:t>
            </a:r>
          </a:p>
        </c:rich>
      </c:tx>
      <c:layout>
        <c:manualLayout>
          <c:xMode val="factor"/>
          <c:yMode val="factor"/>
          <c:x val="-0.0085"/>
          <c:y val="-0.004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70"/>
      <c:rAngAx val="1"/>
    </c:view3D>
    <c:plotArea>
      <c:layout>
        <c:manualLayout>
          <c:xMode val="edge"/>
          <c:yMode val="edge"/>
          <c:x val="0.08125"/>
          <c:y val="0.1875"/>
          <c:w val="0.91775"/>
          <c:h val="0.64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'[1]Hoja1'!$B$26:$AK$26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'[1]Hoja1'!$B$27:$AK$27</c:f>
              <c:numCache>
                <c:ptCount val="36"/>
                <c:pt idx="0">
                  <c:v>23287.5</c:v>
                </c:pt>
                <c:pt idx="1">
                  <c:v>23357.362499999996</c:v>
                </c:pt>
                <c:pt idx="2">
                  <c:v>23427.43458749999</c:v>
                </c:pt>
                <c:pt idx="3">
                  <c:v>23732.694060175116</c:v>
                </c:pt>
                <c:pt idx="4">
                  <c:v>24041.931063779197</c:v>
                </c:pt>
                <c:pt idx="5">
                  <c:v>24355.197425540235</c:v>
                </c:pt>
                <c:pt idx="6">
                  <c:v>24672.545647995023</c:v>
                </c:pt>
                <c:pt idx="7">
                  <c:v>24994.028917788397</c:v>
                </c:pt>
                <c:pt idx="8">
                  <c:v>25319.701114587173</c:v>
                </c:pt>
                <c:pt idx="9">
                  <c:v>25649.616820110237</c:v>
                </c:pt>
                <c:pt idx="10">
                  <c:v>25983.83132727627</c:v>
                </c:pt>
                <c:pt idx="11">
                  <c:v>26322.40064947068</c:v>
                </c:pt>
                <c:pt idx="12">
                  <c:v>26665.381529933282</c:v>
                </c:pt>
                <c:pt idx="13">
                  <c:v>27012.831451268303</c:v>
                </c:pt>
                <c:pt idx="14">
                  <c:v>27364.80864507833</c:v>
                </c:pt>
                <c:pt idx="15">
                  <c:v>27721.3721017237</c:v>
                </c:pt>
                <c:pt idx="16">
                  <c:v>28082.581580209157</c:v>
                </c:pt>
                <c:pt idx="17">
                  <c:v>28448.49761819928</c:v>
                </c:pt>
                <c:pt idx="18">
                  <c:v>28819.18154216441</c:v>
                </c:pt>
                <c:pt idx="19">
                  <c:v>29194.69547765881</c:v>
                </c:pt>
                <c:pt idx="20">
                  <c:v>29575.1023597327</c:v>
                </c:pt>
                <c:pt idx="21">
                  <c:v>29960.46594348002</c:v>
                </c:pt>
                <c:pt idx="22">
                  <c:v>30350.85081472356</c:v>
                </c:pt>
                <c:pt idx="23">
                  <c:v>30746.322400839403</c:v>
                </c:pt>
                <c:pt idx="24">
                  <c:v>31146.946981722343</c:v>
                </c:pt>
                <c:pt idx="25">
                  <c:v>31552.79170089418</c:v>
                </c:pt>
                <c:pt idx="26">
                  <c:v>31963.924576756835</c:v>
                </c:pt>
                <c:pt idx="27">
                  <c:v>32380.414513991967</c:v>
                </c:pt>
                <c:pt idx="28">
                  <c:v>32802.33131510928</c:v>
                </c:pt>
                <c:pt idx="29">
                  <c:v>33229.74569214515</c:v>
                </c:pt>
                <c:pt idx="30">
                  <c:v>33662.72927851379</c:v>
                </c:pt>
                <c:pt idx="31">
                  <c:v>34101.354641012826</c:v>
                </c:pt>
                <c:pt idx="32">
                  <c:v>34545.69529198523</c:v>
                </c:pt>
                <c:pt idx="33">
                  <c:v>34995.82570163979</c:v>
                </c:pt>
                <c:pt idx="34">
                  <c:v>35451.821310532156</c:v>
                </c:pt>
                <c:pt idx="35">
                  <c:v>35913.75854220839</c:v>
                </c:pt>
              </c:numCache>
            </c:numRef>
          </c:val>
          <c:shape val="box"/>
        </c:ser>
        <c:gapWidth val="20"/>
        <c:gapDepth val="170"/>
        <c:shape val="box"/>
        <c:axId val="23144449"/>
        <c:axId val="6973450"/>
      </c:bar3DChart>
      <c:catAx>
        <c:axId val="2314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73450"/>
        <c:crosses val="autoZero"/>
        <c:auto val="1"/>
        <c:lblOffset val="100"/>
        <c:tickLblSkip val="2"/>
        <c:noMultiLvlLbl val="0"/>
      </c:catAx>
      <c:valAx>
        <c:axId val="6973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144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Crecimiento Acumulado 10 Años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09375"/>
          <c:w val="0.91275"/>
          <c:h val="0.92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'[1]Hoja1'!$B$1:$B$11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'[1]Hoja1'!$A$1:$A$11</c:f>
              <c:numCache>
                <c:ptCount val="11"/>
                <c:pt idx="0">
                  <c:v>0</c:v>
                </c:pt>
                <c:pt idx="1">
                  <c:v>0.09368527268436089</c:v>
                </c:pt>
                <c:pt idx="2">
                  <c:v>0.22051030281633066</c:v>
                </c:pt>
                <c:pt idx="3">
                  <c:v>0.34733533294830043</c:v>
                </c:pt>
                <c:pt idx="4">
                  <c:v>0.39850141803859973</c:v>
                </c:pt>
                <c:pt idx="5">
                  <c:v>0.449667503128899</c:v>
                </c:pt>
                <c:pt idx="6">
                  <c:v>0.5008335882191983</c:v>
                </c:pt>
                <c:pt idx="7">
                  <c:v>0.5519996733094976</c:v>
                </c:pt>
                <c:pt idx="8">
                  <c:v>0.6031657583997969</c:v>
                </c:pt>
                <c:pt idx="9">
                  <c:v>0.6543318434900962</c:v>
                </c:pt>
                <c:pt idx="10">
                  <c:v>0.7054979285803955</c:v>
                </c:pt>
              </c:numCache>
            </c:numRef>
          </c:val>
          <c:smooth val="1"/>
        </c:ser>
        <c:marker val="1"/>
        <c:axId val="62761051"/>
        <c:axId val="27978548"/>
      </c:lineChart>
      <c:catAx>
        <c:axId val="62761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solidFill>
                      <a:srgbClr val="000000"/>
                    </a:solidFill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.0322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27978548"/>
        <c:crosses val="autoZero"/>
        <c:auto val="1"/>
        <c:lblOffset val="100"/>
        <c:tickLblSkip val="1"/>
        <c:noMultiLvlLbl val="0"/>
      </c:catAx>
      <c:valAx>
        <c:axId val="27978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6276105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338</xdr:row>
      <xdr:rowOff>133350</xdr:rowOff>
    </xdr:from>
    <xdr:to>
      <xdr:col>2</xdr:col>
      <xdr:colOff>476250</xdr:colOff>
      <xdr:row>347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92" t="34666" r="36621" b="41000"/>
        <a:stretch>
          <a:fillRect/>
        </a:stretch>
      </xdr:blipFill>
      <xdr:spPr>
        <a:xfrm>
          <a:off x="923925" y="66922650"/>
          <a:ext cx="3181350" cy="1762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9</xdr:col>
      <xdr:colOff>695325</xdr:colOff>
      <xdr:row>40</xdr:row>
      <xdr:rowOff>66675</xdr:rowOff>
    </xdr:to>
    <xdr:graphicFrame>
      <xdr:nvGraphicFramePr>
        <xdr:cNvPr id="1" name="Chart 39"/>
        <xdr:cNvGraphicFramePr/>
      </xdr:nvGraphicFramePr>
      <xdr:xfrm>
        <a:off x="762000" y="5391150"/>
        <a:ext cx="67913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704850</xdr:colOff>
      <xdr:row>53</xdr:row>
      <xdr:rowOff>66675</xdr:rowOff>
    </xdr:to>
    <xdr:graphicFrame>
      <xdr:nvGraphicFramePr>
        <xdr:cNvPr id="2" name="Chart 30"/>
        <xdr:cNvGraphicFramePr/>
      </xdr:nvGraphicFramePr>
      <xdr:xfrm>
        <a:off x="762000" y="8058150"/>
        <a:ext cx="29908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695325</xdr:colOff>
      <xdr:row>40</xdr:row>
      <xdr:rowOff>66675</xdr:rowOff>
    </xdr:to>
    <xdr:graphicFrame>
      <xdr:nvGraphicFramePr>
        <xdr:cNvPr id="3" name="Chart 39"/>
        <xdr:cNvGraphicFramePr/>
      </xdr:nvGraphicFramePr>
      <xdr:xfrm>
        <a:off x="762000" y="5391150"/>
        <a:ext cx="679132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704850</xdr:colOff>
      <xdr:row>53</xdr:row>
      <xdr:rowOff>66675</xdr:rowOff>
    </xdr:to>
    <xdr:graphicFrame>
      <xdr:nvGraphicFramePr>
        <xdr:cNvPr id="4" name="Chart 30"/>
        <xdr:cNvGraphicFramePr/>
      </xdr:nvGraphicFramePr>
      <xdr:xfrm>
        <a:off x="762000" y="8058150"/>
        <a:ext cx="299085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17</xdr:col>
      <xdr:colOff>0</xdr:colOff>
      <xdr:row>50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12192000" cy="914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17</xdr:col>
      <xdr:colOff>0</xdr:colOff>
      <xdr:row>50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12192000" cy="914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19</xdr:col>
      <xdr:colOff>0</xdr:colOff>
      <xdr:row>52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762000"/>
          <a:ext cx="12192000" cy="914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19</xdr:col>
      <xdr:colOff>0</xdr:colOff>
      <xdr:row>52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762000"/>
          <a:ext cx="12192000" cy="914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BACZ\Documents\Tesis%20y%20proyectos\TESIS\proyectos%20finalizados\Proyecto%20lanzamiento%20velas%20de%20chocolate%20terminado\aspectos%20financieros%20velas%20de%20choco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Hoja1"/>
      <sheetName val="Ingresos"/>
      <sheetName val="Ventas unitarias"/>
      <sheetName val="Ventas Proyectadas"/>
      <sheetName val="Equipo de Trabajo"/>
      <sheetName val="gastos publicidad"/>
      <sheetName val="Gastos Preoperativos"/>
      <sheetName val="Inversion en activos fijos"/>
      <sheetName val="Muebles, maquinarias y equipos"/>
      <sheetName val="Resumen de Gastos e inversiones"/>
      <sheetName val="Capital de Trabajo"/>
      <sheetName val="ke"/>
      <sheetName val="Financiamiento"/>
      <sheetName val="Hoja2"/>
      <sheetName val="Amortizacion Deuda CP"/>
      <sheetName val="Amortizacion Deudas LP"/>
      <sheetName val="Estados Proforma"/>
      <sheetName val="Evaluacion Financiera"/>
      <sheetName val="Flujo Social"/>
      <sheetName val="Punto de equilibrio"/>
      <sheetName val="Gráfico equilibrio años"/>
      <sheetName val="Gráfico equilibrio escenarios"/>
      <sheetName val="Analisis de Sensibilidad"/>
      <sheetName val="Gráfico Variacion Ventas"/>
      <sheetName val="Gráfico Variacion Costos"/>
      <sheetName val="Gráfico Variacion Gastos"/>
    </sheetNames>
    <sheetDataSet>
      <sheetData sheetId="1">
        <row r="1">
          <cell r="A1">
            <v>0</v>
          </cell>
          <cell r="B1">
            <v>0</v>
          </cell>
        </row>
        <row r="2">
          <cell r="A2">
            <v>0.09368527268436089</v>
          </cell>
          <cell r="B2">
            <v>1</v>
          </cell>
        </row>
        <row r="3">
          <cell r="A3">
            <v>0.22051030281633066</v>
          </cell>
          <cell r="B3">
            <v>2</v>
          </cell>
        </row>
        <row r="4">
          <cell r="A4">
            <v>0.34733533294830043</v>
          </cell>
          <cell r="B4">
            <v>3</v>
          </cell>
        </row>
        <row r="5">
          <cell r="A5">
            <v>0.39850141803859973</v>
          </cell>
          <cell r="B5">
            <v>4</v>
          </cell>
        </row>
        <row r="6">
          <cell r="A6">
            <v>0.449667503128899</v>
          </cell>
          <cell r="B6">
            <v>5</v>
          </cell>
        </row>
        <row r="7">
          <cell r="A7">
            <v>0.5008335882191983</v>
          </cell>
          <cell r="B7">
            <v>6</v>
          </cell>
        </row>
        <row r="8">
          <cell r="A8">
            <v>0.5519996733094976</v>
          </cell>
          <cell r="B8">
            <v>7</v>
          </cell>
        </row>
        <row r="9">
          <cell r="A9">
            <v>0.6031657583997969</v>
          </cell>
          <cell r="B9">
            <v>8</v>
          </cell>
        </row>
        <row r="10">
          <cell r="A10">
            <v>0.6543318434900962</v>
          </cell>
          <cell r="B10">
            <v>9</v>
          </cell>
        </row>
        <row r="11">
          <cell r="A11">
            <v>0.7054979285803955</v>
          </cell>
          <cell r="B11">
            <v>10</v>
          </cell>
        </row>
        <row r="26">
          <cell r="B26">
            <v>1</v>
          </cell>
          <cell r="C26">
            <v>2</v>
          </cell>
          <cell r="D26">
            <v>3</v>
          </cell>
          <cell r="E26">
            <v>4</v>
          </cell>
          <cell r="F26">
            <v>5</v>
          </cell>
          <cell r="G26">
            <v>6</v>
          </cell>
          <cell r="H26">
            <v>7</v>
          </cell>
          <cell r="I26">
            <v>8</v>
          </cell>
          <cell r="J26">
            <v>9</v>
          </cell>
          <cell r="K26">
            <v>10</v>
          </cell>
          <cell r="L26">
            <v>11</v>
          </cell>
          <cell r="M26">
            <v>12</v>
          </cell>
          <cell r="N26">
            <v>13</v>
          </cell>
          <cell r="O26">
            <v>14</v>
          </cell>
          <cell r="P26">
            <v>15</v>
          </cell>
          <cell r="Q26">
            <v>16</v>
          </cell>
          <cell r="R26">
            <v>17</v>
          </cell>
          <cell r="S26">
            <v>18</v>
          </cell>
          <cell r="T26">
            <v>19</v>
          </cell>
          <cell r="U26">
            <v>20</v>
          </cell>
          <cell r="V26">
            <v>21</v>
          </cell>
          <cell r="W26">
            <v>22</v>
          </cell>
          <cell r="X26">
            <v>23</v>
          </cell>
          <cell r="Y26">
            <v>24</v>
          </cell>
          <cell r="Z26">
            <v>25</v>
          </cell>
          <cell r="AA26">
            <v>26</v>
          </cell>
          <cell r="AB26">
            <v>27</v>
          </cell>
          <cell r="AC26">
            <v>28</v>
          </cell>
          <cell r="AD26">
            <v>29</v>
          </cell>
          <cell r="AE26">
            <v>30</v>
          </cell>
          <cell r="AF26">
            <v>31</v>
          </cell>
          <cell r="AG26">
            <v>32</v>
          </cell>
          <cell r="AH26">
            <v>33</v>
          </cell>
          <cell r="AI26">
            <v>34</v>
          </cell>
          <cell r="AJ26">
            <v>35</v>
          </cell>
          <cell r="AK26">
            <v>36</v>
          </cell>
        </row>
        <row r="27">
          <cell r="B27">
            <v>23287.5</v>
          </cell>
          <cell r="C27">
            <v>23357.362499999996</v>
          </cell>
          <cell r="D27">
            <v>23427.43458749999</v>
          </cell>
          <cell r="E27">
            <v>23732.694060175116</v>
          </cell>
          <cell r="F27">
            <v>24041.931063779197</v>
          </cell>
          <cell r="G27">
            <v>24355.197425540235</v>
          </cell>
          <cell r="H27">
            <v>24672.545647995023</v>
          </cell>
          <cell r="I27">
            <v>24994.028917788397</v>
          </cell>
          <cell r="J27">
            <v>25319.701114587173</v>
          </cell>
          <cell r="K27">
            <v>25649.616820110237</v>
          </cell>
          <cell r="L27">
            <v>25983.83132727627</v>
          </cell>
          <cell r="M27">
            <v>26322.40064947068</v>
          </cell>
          <cell r="N27">
            <v>26665.381529933282</v>
          </cell>
          <cell r="O27">
            <v>27012.831451268303</v>
          </cell>
          <cell r="P27">
            <v>27364.80864507833</v>
          </cell>
          <cell r="Q27">
            <v>27721.3721017237</v>
          </cell>
          <cell r="R27">
            <v>28082.581580209157</v>
          </cell>
          <cell r="S27">
            <v>28448.49761819928</v>
          </cell>
          <cell r="T27">
            <v>28819.18154216441</v>
          </cell>
          <cell r="U27">
            <v>29194.69547765881</v>
          </cell>
          <cell r="V27">
            <v>29575.1023597327</v>
          </cell>
          <cell r="W27">
            <v>29960.46594348002</v>
          </cell>
          <cell r="X27">
            <v>30350.85081472356</v>
          </cell>
          <cell r="Y27">
            <v>30746.322400839403</v>
          </cell>
          <cell r="Z27">
            <v>31146.946981722343</v>
          </cell>
          <cell r="AA27">
            <v>31552.79170089418</v>
          </cell>
          <cell r="AB27">
            <v>31963.924576756835</v>
          </cell>
          <cell r="AC27">
            <v>32380.414513991967</v>
          </cell>
          <cell r="AD27">
            <v>32802.33131510928</v>
          </cell>
          <cell r="AE27">
            <v>33229.74569214515</v>
          </cell>
          <cell r="AF27">
            <v>33662.72927851379</v>
          </cell>
          <cell r="AG27">
            <v>34101.354641012826</v>
          </cell>
          <cell r="AH27">
            <v>34545.69529198523</v>
          </cell>
          <cell r="AI27">
            <v>34995.82570163979</v>
          </cell>
          <cell r="AJ27">
            <v>35451.821310532156</v>
          </cell>
          <cell r="AK27">
            <v>35913.75854220839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2"/>
  <sheetViews>
    <sheetView zoomScale="70" zoomScaleNormal="70" zoomScalePageLayoutView="0" workbookViewId="0" topLeftCell="B1">
      <selection activeCell="D3" sqref="D3:D6"/>
    </sheetView>
  </sheetViews>
  <sheetFormatPr defaultColWidth="11.421875" defaultRowHeight="15"/>
  <cols>
    <col min="2" max="2" width="43.00390625" style="0" bestFit="1" customWidth="1"/>
    <col min="3" max="3" width="21.00390625" style="0" bestFit="1" customWidth="1"/>
    <col min="4" max="4" width="95.00390625" style="0" bestFit="1" customWidth="1"/>
    <col min="5" max="5" width="28.8515625" style="0" customWidth="1"/>
    <col min="6" max="6" width="22.7109375" style="0" bestFit="1" customWidth="1"/>
    <col min="7" max="7" width="29.140625" style="0" bestFit="1" customWidth="1"/>
    <col min="8" max="8" width="31.8515625" style="0" customWidth="1"/>
    <col min="9" max="9" width="25.57421875" style="0" bestFit="1" customWidth="1"/>
    <col min="10" max="10" width="21.421875" style="0" bestFit="1" customWidth="1"/>
    <col min="11" max="11" width="21.8515625" style="0" bestFit="1" customWidth="1"/>
    <col min="12" max="12" width="23.7109375" style="0" bestFit="1" customWidth="1"/>
    <col min="13" max="13" width="26.421875" style="0" customWidth="1"/>
    <col min="14" max="14" width="22.7109375" style="0" bestFit="1" customWidth="1"/>
    <col min="15" max="17" width="14.140625" style="0" bestFit="1" customWidth="1"/>
    <col min="18" max="20" width="14.00390625" style="0" bestFit="1" customWidth="1"/>
  </cols>
  <sheetData>
    <row r="1" spans="9:10" ht="15">
      <c r="I1" t="s">
        <v>214</v>
      </c>
      <c r="J1">
        <v>1.05</v>
      </c>
    </row>
    <row r="2" ht="15">
      <c r="B2" s="131" t="s">
        <v>188</v>
      </c>
    </row>
    <row r="3" ht="15">
      <c r="I3" s="131" t="s">
        <v>188</v>
      </c>
    </row>
    <row r="4" spans="2:20" ht="15">
      <c r="B4" s="123" t="s">
        <v>189</v>
      </c>
      <c r="C4" s="123" t="s">
        <v>190</v>
      </c>
      <c r="D4" s="123" t="s">
        <v>191</v>
      </c>
      <c r="E4" s="123" t="s">
        <v>246</v>
      </c>
      <c r="F4" s="123" t="s">
        <v>28</v>
      </c>
      <c r="G4" s="123" t="s">
        <v>192</v>
      </c>
      <c r="H4" s="123" t="s">
        <v>193</v>
      </c>
      <c r="J4" s="123" t="s">
        <v>189</v>
      </c>
      <c r="K4" s="139" t="s">
        <v>212</v>
      </c>
      <c r="L4" s="139" t="s">
        <v>213</v>
      </c>
      <c r="M4" s="139" t="s">
        <v>44</v>
      </c>
      <c r="N4" s="139" t="s">
        <v>45</v>
      </c>
      <c r="O4" s="139" t="s">
        <v>46</v>
      </c>
      <c r="P4" s="139" t="s">
        <v>47</v>
      </c>
      <c r="Q4" s="139" t="s">
        <v>48</v>
      </c>
      <c r="R4" s="139" t="s">
        <v>49</v>
      </c>
      <c r="S4" s="139" t="s">
        <v>50</v>
      </c>
      <c r="T4" s="139" t="s">
        <v>51</v>
      </c>
    </row>
    <row r="5" spans="2:20" ht="15.75">
      <c r="B5" s="124" t="s">
        <v>29</v>
      </c>
      <c r="C5" s="125">
        <v>1</v>
      </c>
      <c r="D5" s="126">
        <v>1200</v>
      </c>
      <c r="E5" s="126">
        <f>+C5*D5</f>
        <v>1200</v>
      </c>
      <c r="F5" s="127">
        <f>+D5*12</f>
        <v>14400</v>
      </c>
      <c r="G5" s="128">
        <f aca="true" t="shared" si="0" ref="G5:G13">+F5*C5</f>
        <v>14400</v>
      </c>
      <c r="H5" s="129">
        <v>0</v>
      </c>
      <c r="J5" s="124" t="s">
        <v>29</v>
      </c>
      <c r="K5" s="128">
        <f>+G5</f>
        <v>14400</v>
      </c>
      <c r="L5" s="127">
        <f>+K5*$J$1</f>
        <v>15120</v>
      </c>
      <c r="M5" s="127">
        <f aca="true" t="shared" si="1" ref="M5:T5">+L5*$J$1</f>
        <v>15876</v>
      </c>
      <c r="N5" s="127">
        <f t="shared" si="1"/>
        <v>16669.8</v>
      </c>
      <c r="O5" s="127">
        <f t="shared" si="1"/>
        <v>17503.29</v>
      </c>
      <c r="P5" s="127">
        <f t="shared" si="1"/>
        <v>18378.454500000003</v>
      </c>
      <c r="Q5" s="127">
        <f t="shared" si="1"/>
        <v>19297.377225000004</v>
      </c>
      <c r="R5" s="127">
        <f t="shared" si="1"/>
        <v>20262.246086250005</v>
      </c>
      <c r="S5" s="127">
        <f t="shared" si="1"/>
        <v>21275.358390562506</v>
      </c>
      <c r="T5" s="127">
        <f t="shared" si="1"/>
        <v>22339.126310090633</v>
      </c>
    </row>
    <row r="6" spans="2:20" ht="15.75">
      <c r="B6" s="124" t="s">
        <v>194</v>
      </c>
      <c r="C6" s="125">
        <v>1</v>
      </c>
      <c r="D6" s="126">
        <v>800</v>
      </c>
      <c r="E6" s="126">
        <f aca="true" t="shared" si="2" ref="E6:E13">+C6*D6</f>
        <v>800</v>
      </c>
      <c r="F6" s="127">
        <f aca="true" t="shared" si="3" ref="F6:F13">+D6*12</f>
        <v>9600</v>
      </c>
      <c r="G6" s="128">
        <f t="shared" si="0"/>
        <v>9600</v>
      </c>
      <c r="H6" s="130">
        <v>0.015</v>
      </c>
      <c r="J6" s="124" t="s">
        <v>194</v>
      </c>
      <c r="K6" s="128">
        <f aca="true" t="shared" si="4" ref="K6:K13">+G6</f>
        <v>9600</v>
      </c>
      <c r="L6" s="127">
        <f aca="true" t="shared" si="5" ref="L6:T13">+K6*$J$1</f>
        <v>10080</v>
      </c>
      <c r="M6" s="127">
        <f t="shared" si="5"/>
        <v>10584</v>
      </c>
      <c r="N6" s="127">
        <f t="shared" si="5"/>
        <v>11113.2</v>
      </c>
      <c r="O6" s="127">
        <f t="shared" si="5"/>
        <v>11668.86</v>
      </c>
      <c r="P6" s="127">
        <f t="shared" si="5"/>
        <v>12252.303000000002</v>
      </c>
      <c r="Q6" s="127">
        <f t="shared" si="5"/>
        <v>12864.918150000003</v>
      </c>
      <c r="R6" s="127">
        <f t="shared" si="5"/>
        <v>13508.164057500004</v>
      </c>
      <c r="S6" s="127">
        <f t="shared" si="5"/>
        <v>14183.572260375004</v>
      </c>
      <c r="T6" s="127">
        <f t="shared" si="5"/>
        <v>14892.750873393754</v>
      </c>
    </row>
    <row r="7" spans="2:20" ht="15.75">
      <c r="B7" s="124" t="s">
        <v>30</v>
      </c>
      <c r="C7" s="125">
        <v>1</v>
      </c>
      <c r="D7" s="126">
        <v>800</v>
      </c>
      <c r="E7" s="126">
        <f t="shared" si="2"/>
        <v>800</v>
      </c>
      <c r="F7" s="127">
        <f t="shared" si="3"/>
        <v>9600</v>
      </c>
      <c r="G7" s="128">
        <f t="shared" si="0"/>
        <v>9600</v>
      </c>
      <c r="H7" s="129">
        <v>0</v>
      </c>
      <c r="J7" s="124" t="s">
        <v>30</v>
      </c>
      <c r="K7" s="128">
        <f t="shared" si="4"/>
        <v>9600</v>
      </c>
      <c r="L7" s="127">
        <f t="shared" si="5"/>
        <v>10080</v>
      </c>
      <c r="M7" s="127">
        <f t="shared" si="5"/>
        <v>10584</v>
      </c>
      <c r="N7" s="127">
        <f t="shared" si="5"/>
        <v>11113.2</v>
      </c>
      <c r="O7" s="127">
        <f t="shared" si="5"/>
        <v>11668.86</v>
      </c>
      <c r="P7" s="127">
        <f t="shared" si="5"/>
        <v>12252.303000000002</v>
      </c>
      <c r="Q7" s="127">
        <f t="shared" si="5"/>
        <v>12864.918150000003</v>
      </c>
      <c r="R7" s="127">
        <f t="shared" si="5"/>
        <v>13508.164057500004</v>
      </c>
      <c r="S7" s="127">
        <f t="shared" si="5"/>
        <v>14183.572260375004</v>
      </c>
      <c r="T7" s="127">
        <f t="shared" si="5"/>
        <v>14892.750873393754</v>
      </c>
    </row>
    <row r="8" spans="2:20" ht="15.75">
      <c r="B8" s="124" t="s">
        <v>31</v>
      </c>
      <c r="C8" s="125">
        <v>1</v>
      </c>
      <c r="D8" s="126">
        <v>800</v>
      </c>
      <c r="E8" s="126">
        <f t="shared" si="2"/>
        <v>800</v>
      </c>
      <c r="F8" s="127">
        <f t="shared" si="3"/>
        <v>9600</v>
      </c>
      <c r="G8" s="128">
        <f t="shared" si="0"/>
        <v>9600</v>
      </c>
      <c r="H8" s="129">
        <v>0</v>
      </c>
      <c r="J8" s="124" t="s">
        <v>31</v>
      </c>
      <c r="K8" s="128">
        <f t="shared" si="4"/>
        <v>9600</v>
      </c>
      <c r="L8" s="127">
        <f t="shared" si="5"/>
        <v>10080</v>
      </c>
      <c r="M8" s="127">
        <f t="shared" si="5"/>
        <v>10584</v>
      </c>
      <c r="N8" s="127">
        <f t="shared" si="5"/>
        <v>11113.2</v>
      </c>
      <c r="O8" s="127">
        <f t="shared" si="5"/>
        <v>11668.86</v>
      </c>
      <c r="P8" s="127">
        <f t="shared" si="5"/>
        <v>12252.303000000002</v>
      </c>
      <c r="Q8" s="127">
        <f t="shared" si="5"/>
        <v>12864.918150000003</v>
      </c>
      <c r="R8" s="127">
        <f t="shared" si="5"/>
        <v>13508.164057500004</v>
      </c>
      <c r="S8" s="127">
        <f t="shared" si="5"/>
        <v>14183.572260375004</v>
      </c>
      <c r="T8" s="127">
        <f t="shared" si="5"/>
        <v>14892.750873393754</v>
      </c>
    </row>
    <row r="9" spans="2:20" ht="15.75">
      <c r="B9" s="124" t="s">
        <v>196</v>
      </c>
      <c r="C9" s="125">
        <v>2</v>
      </c>
      <c r="D9" s="126">
        <v>300</v>
      </c>
      <c r="E9" s="126">
        <f t="shared" si="2"/>
        <v>600</v>
      </c>
      <c r="F9" s="127">
        <f t="shared" si="3"/>
        <v>3600</v>
      </c>
      <c r="G9" s="128">
        <f t="shared" si="0"/>
        <v>7200</v>
      </c>
      <c r="H9" s="129">
        <v>0</v>
      </c>
      <c r="J9" s="124" t="s">
        <v>196</v>
      </c>
      <c r="K9" s="128">
        <f t="shared" si="4"/>
        <v>7200</v>
      </c>
      <c r="L9" s="127">
        <f>+K9*$J$1</f>
        <v>7560</v>
      </c>
      <c r="M9" s="127">
        <f t="shared" si="5"/>
        <v>7938</v>
      </c>
      <c r="N9" s="127">
        <f t="shared" si="5"/>
        <v>8334.9</v>
      </c>
      <c r="O9" s="127">
        <f t="shared" si="5"/>
        <v>8751.645</v>
      </c>
      <c r="P9" s="127">
        <f t="shared" si="5"/>
        <v>9189.227250000002</v>
      </c>
      <c r="Q9" s="127">
        <f t="shared" si="5"/>
        <v>9648.688612500002</v>
      </c>
      <c r="R9" s="127">
        <f t="shared" si="5"/>
        <v>10131.123043125002</v>
      </c>
      <c r="S9" s="127">
        <f t="shared" si="5"/>
        <v>10637.679195281253</v>
      </c>
      <c r="T9" s="127">
        <f t="shared" si="5"/>
        <v>11169.563155045316</v>
      </c>
    </row>
    <row r="10" spans="2:20" ht="15.75">
      <c r="B10" s="124" t="s">
        <v>195</v>
      </c>
      <c r="C10" s="125">
        <v>1</v>
      </c>
      <c r="D10" s="126">
        <v>350</v>
      </c>
      <c r="E10" s="126">
        <f t="shared" si="2"/>
        <v>350</v>
      </c>
      <c r="F10" s="127">
        <f t="shared" si="3"/>
        <v>4200</v>
      </c>
      <c r="G10" s="128">
        <f t="shared" si="0"/>
        <v>4200</v>
      </c>
      <c r="H10" s="129">
        <v>0</v>
      </c>
      <c r="J10" s="124" t="s">
        <v>195</v>
      </c>
      <c r="K10" s="128">
        <f t="shared" si="4"/>
        <v>4200</v>
      </c>
      <c r="L10" s="127">
        <f t="shared" si="5"/>
        <v>4410</v>
      </c>
      <c r="M10" s="127">
        <f t="shared" si="5"/>
        <v>4630.5</v>
      </c>
      <c r="N10" s="127">
        <f t="shared" si="5"/>
        <v>4862.025000000001</v>
      </c>
      <c r="O10" s="127">
        <f t="shared" si="5"/>
        <v>5105.126250000001</v>
      </c>
      <c r="P10" s="127">
        <f t="shared" si="5"/>
        <v>5360.382562500002</v>
      </c>
      <c r="Q10" s="127">
        <f t="shared" si="5"/>
        <v>5628.401690625002</v>
      </c>
      <c r="R10" s="127">
        <f t="shared" si="5"/>
        <v>5909.821775156252</v>
      </c>
      <c r="S10" s="127">
        <f t="shared" si="5"/>
        <v>6205.312863914065</v>
      </c>
      <c r="T10" s="127">
        <f t="shared" si="5"/>
        <v>6515.578507109769</v>
      </c>
    </row>
    <row r="11" spans="2:20" ht="15.75">
      <c r="B11" s="124" t="s">
        <v>186</v>
      </c>
      <c r="C11" s="125">
        <v>5</v>
      </c>
      <c r="D11" s="126">
        <v>600</v>
      </c>
      <c r="E11" s="126">
        <f t="shared" si="2"/>
        <v>3000</v>
      </c>
      <c r="F11" s="127">
        <f t="shared" si="3"/>
        <v>7200</v>
      </c>
      <c r="G11" s="128">
        <f t="shared" si="0"/>
        <v>36000</v>
      </c>
      <c r="H11" s="130">
        <v>0.015</v>
      </c>
      <c r="J11" s="124" t="s">
        <v>186</v>
      </c>
      <c r="K11" s="128">
        <f t="shared" si="4"/>
        <v>36000</v>
      </c>
      <c r="L11" s="127">
        <f t="shared" si="5"/>
        <v>37800</v>
      </c>
      <c r="M11" s="127">
        <f t="shared" si="5"/>
        <v>39690</v>
      </c>
      <c r="N11" s="127">
        <f t="shared" si="5"/>
        <v>41674.5</v>
      </c>
      <c r="O11" s="127">
        <f t="shared" si="5"/>
        <v>43758.225</v>
      </c>
      <c r="P11" s="127">
        <f t="shared" si="5"/>
        <v>45946.13625</v>
      </c>
      <c r="Q11" s="127">
        <f t="shared" si="5"/>
        <v>48243.4430625</v>
      </c>
      <c r="R11" s="127">
        <f t="shared" si="5"/>
        <v>50655.615215625</v>
      </c>
      <c r="S11" s="127">
        <f t="shared" si="5"/>
        <v>53188.39597640625</v>
      </c>
      <c r="T11" s="127">
        <f t="shared" si="5"/>
        <v>55847.81577522657</v>
      </c>
    </row>
    <row r="12" spans="2:20" ht="15.75">
      <c r="B12" s="124" t="s">
        <v>147</v>
      </c>
      <c r="C12" s="125">
        <v>3</v>
      </c>
      <c r="D12" s="126">
        <v>350</v>
      </c>
      <c r="E12" s="126">
        <f t="shared" si="2"/>
        <v>1050</v>
      </c>
      <c r="F12" s="127">
        <f t="shared" si="3"/>
        <v>4200</v>
      </c>
      <c r="G12" s="128">
        <f t="shared" si="0"/>
        <v>12600</v>
      </c>
      <c r="H12" s="129">
        <v>0</v>
      </c>
      <c r="J12" s="124" t="s">
        <v>147</v>
      </c>
      <c r="K12" s="128">
        <f t="shared" si="4"/>
        <v>12600</v>
      </c>
      <c r="L12" s="127">
        <f t="shared" si="5"/>
        <v>13230</v>
      </c>
      <c r="M12" s="127">
        <f t="shared" si="5"/>
        <v>13891.5</v>
      </c>
      <c r="N12" s="127">
        <f t="shared" si="5"/>
        <v>14586.075</v>
      </c>
      <c r="O12" s="127">
        <f t="shared" si="5"/>
        <v>15315.378750000002</v>
      </c>
      <c r="P12" s="127">
        <f t="shared" si="5"/>
        <v>16081.147687500003</v>
      </c>
      <c r="Q12" s="127">
        <f t="shared" si="5"/>
        <v>16885.205071875003</v>
      </c>
      <c r="R12" s="127">
        <f t="shared" si="5"/>
        <v>17729.465325468755</v>
      </c>
      <c r="S12" s="127">
        <f t="shared" si="5"/>
        <v>18615.938591742193</v>
      </c>
      <c r="T12" s="127">
        <f t="shared" si="5"/>
        <v>19546.735521329305</v>
      </c>
    </row>
    <row r="13" spans="2:20" ht="15.75">
      <c r="B13" s="124" t="s">
        <v>32</v>
      </c>
      <c r="C13" s="125">
        <v>12</v>
      </c>
      <c r="D13" s="126">
        <v>300</v>
      </c>
      <c r="E13" s="126">
        <f t="shared" si="2"/>
        <v>3600</v>
      </c>
      <c r="F13" s="127">
        <f t="shared" si="3"/>
        <v>3600</v>
      </c>
      <c r="G13" s="128">
        <f t="shared" si="0"/>
        <v>43200</v>
      </c>
      <c r="H13" s="129">
        <v>0</v>
      </c>
      <c r="J13" s="124" t="s">
        <v>32</v>
      </c>
      <c r="K13" s="128">
        <f t="shared" si="4"/>
        <v>43200</v>
      </c>
      <c r="L13" s="127">
        <f t="shared" si="5"/>
        <v>45360</v>
      </c>
      <c r="M13" s="127">
        <f t="shared" si="5"/>
        <v>47628</v>
      </c>
      <c r="N13" s="127">
        <f t="shared" si="5"/>
        <v>50009.4</v>
      </c>
      <c r="O13" s="127">
        <f t="shared" si="5"/>
        <v>52509.87</v>
      </c>
      <c r="P13" s="127">
        <f t="shared" si="5"/>
        <v>55135.36350000001</v>
      </c>
      <c r="Q13" s="127">
        <f t="shared" si="5"/>
        <v>57892.13167500001</v>
      </c>
      <c r="R13" s="127">
        <f t="shared" si="5"/>
        <v>60786.73825875002</v>
      </c>
      <c r="S13" s="127">
        <f t="shared" si="5"/>
        <v>63826.075171687524</v>
      </c>
      <c r="T13" s="127">
        <f t="shared" si="5"/>
        <v>67017.37893027191</v>
      </c>
    </row>
    <row r="14" spans="2:20" ht="15.75">
      <c r="B14" s="124" t="s">
        <v>22</v>
      </c>
      <c r="C14" s="123">
        <f>SUM(C5:C13)</f>
        <v>27</v>
      </c>
      <c r="D14" s="159">
        <f>SUM(D5:D13)</f>
        <v>5500</v>
      </c>
      <c r="E14" s="159">
        <f>SUM(E5:E13)</f>
        <v>12200</v>
      </c>
      <c r="F14" s="159">
        <f>SUM(F5:F13)</f>
        <v>66000</v>
      </c>
      <c r="G14" s="159">
        <f>SUM(G5:G13)</f>
        <v>146400</v>
      </c>
      <c r="H14" s="123"/>
      <c r="J14" s="124" t="s">
        <v>215</v>
      </c>
      <c r="K14" s="128">
        <f>+SUM(K5:K13)</f>
        <v>146400</v>
      </c>
      <c r="L14" s="128">
        <f aca="true" t="shared" si="6" ref="L14:S14">+SUM(L5:L13)</f>
        <v>153720</v>
      </c>
      <c r="M14" s="128">
        <f t="shared" si="6"/>
        <v>161406</v>
      </c>
      <c r="N14" s="128">
        <f t="shared" si="6"/>
        <v>169476.3</v>
      </c>
      <c r="O14" s="128">
        <f t="shared" si="6"/>
        <v>177950.115</v>
      </c>
      <c r="P14" s="128">
        <f t="shared" si="6"/>
        <v>186847.62075</v>
      </c>
      <c r="Q14" s="128">
        <f t="shared" si="6"/>
        <v>196190.00178750005</v>
      </c>
      <c r="R14" s="128">
        <f t="shared" si="6"/>
        <v>205999.50187687506</v>
      </c>
      <c r="S14" s="128">
        <f t="shared" si="6"/>
        <v>216299.4769707188</v>
      </c>
      <c r="T14" s="128">
        <f>+SUM(T5:T13)</f>
        <v>227114.45081925474</v>
      </c>
    </row>
    <row r="16" spans="2:13" ht="16.5" thickBot="1">
      <c r="B16" s="355" t="s">
        <v>197</v>
      </c>
      <c r="C16" s="355"/>
      <c r="D16" s="355"/>
      <c r="E16" s="355"/>
      <c r="F16" s="355"/>
      <c r="I16" s="355" t="s">
        <v>197</v>
      </c>
      <c r="J16" s="355"/>
      <c r="K16" s="355"/>
      <c r="L16" s="355"/>
      <c r="M16" s="355"/>
    </row>
    <row r="17" spans="2:18" ht="15.75">
      <c r="B17" s="25" t="s">
        <v>198</v>
      </c>
      <c r="C17" s="26" t="s">
        <v>199</v>
      </c>
      <c r="D17" s="26" t="s">
        <v>200</v>
      </c>
      <c r="E17" s="27" t="s">
        <v>201</v>
      </c>
      <c r="F17" s="28" t="s">
        <v>202</v>
      </c>
      <c r="H17" s="121" t="s">
        <v>198</v>
      </c>
      <c r="I17" s="123" t="s">
        <v>203</v>
      </c>
      <c r="J17" s="123" t="s">
        <v>159</v>
      </c>
      <c r="K17" s="123" t="s">
        <v>204</v>
      </c>
      <c r="L17" s="123" t="s">
        <v>205</v>
      </c>
      <c r="M17" s="123" t="s">
        <v>206</v>
      </c>
      <c r="N17" s="123" t="s">
        <v>207</v>
      </c>
      <c r="O17" s="123" t="s">
        <v>208</v>
      </c>
      <c r="P17" s="123" t="s">
        <v>209</v>
      </c>
      <c r="Q17" s="123" t="s">
        <v>210</v>
      </c>
      <c r="R17" s="123" t="s">
        <v>211</v>
      </c>
    </row>
    <row r="18" spans="2:18" ht="15.75">
      <c r="B18" s="29" t="s">
        <v>34</v>
      </c>
      <c r="C18" s="30">
        <v>1</v>
      </c>
      <c r="D18" s="132">
        <v>80</v>
      </c>
      <c r="E18" s="132">
        <f>C18*D18</f>
        <v>80</v>
      </c>
      <c r="F18" s="133">
        <f>E18*12</f>
        <v>960</v>
      </c>
      <c r="H18" s="136" t="s">
        <v>34</v>
      </c>
      <c r="I18" s="137">
        <f>+F18</f>
        <v>960</v>
      </c>
      <c r="J18" s="127">
        <f>+I18*$J$1</f>
        <v>1008</v>
      </c>
      <c r="K18" s="127">
        <f aca="true" t="shared" si="7" ref="K18:R18">+J18*$J$1</f>
        <v>1058.4</v>
      </c>
      <c r="L18" s="127">
        <f t="shared" si="7"/>
        <v>1111.3200000000002</v>
      </c>
      <c r="M18" s="127">
        <f t="shared" si="7"/>
        <v>1166.8860000000002</v>
      </c>
      <c r="N18" s="127">
        <f t="shared" si="7"/>
        <v>1225.2303000000002</v>
      </c>
      <c r="O18" s="127">
        <f t="shared" si="7"/>
        <v>1286.4918150000003</v>
      </c>
      <c r="P18" s="127">
        <f t="shared" si="7"/>
        <v>1350.8164057500003</v>
      </c>
      <c r="Q18" s="127">
        <f t="shared" si="7"/>
        <v>1418.3572260375004</v>
      </c>
      <c r="R18" s="127">
        <f t="shared" si="7"/>
        <v>1489.2750873393754</v>
      </c>
    </row>
    <row r="19" spans="2:18" ht="15.75">
      <c r="B19" s="29" t="s">
        <v>35</v>
      </c>
      <c r="C19" s="30">
        <v>200</v>
      </c>
      <c r="D19" s="132">
        <v>1</v>
      </c>
      <c r="E19" s="132">
        <f aca="true" t="shared" si="8" ref="E19:E24">C19*D19</f>
        <v>200</v>
      </c>
      <c r="F19" s="133">
        <f aca="true" t="shared" si="9" ref="F19:F25">E19*12</f>
        <v>2400</v>
      </c>
      <c r="H19" s="136" t="s">
        <v>35</v>
      </c>
      <c r="I19" s="137">
        <f aca="true" t="shared" si="10" ref="I19:I24">+F19</f>
        <v>2400</v>
      </c>
      <c r="J19" s="127">
        <f aca="true" t="shared" si="11" ref="J19:R24">+I19*$J$1</f>
        <v>2520</v>
      </c>
      <c r="K19" s="127">
        <f t="shared" si="11"/>
        <v>2646</v>
      </c>
      <c r="L19" s="127">
        <f t="shared" si="11"/>
        <v>2778.3</v>
      </c>
      <c r="M19" s="127">
        <f t="shared" si="11"/>
        <v>2917.215</v>
      </c>
      <c r="N19" s="127">
        <f t="shared" si="11"/>
        <v>3063.0757500000004</v>
      </c>
      <c r="O19" s="127">
        <f t="shared" si="11"/>
        <v>3216.229537500001</v>
      </c>
      <c r="P19" s="127">
        <f t="shared" si="11"/>
        <v>3377.041014375001</v>
      </c>
      <c r="Q19" s="127">
        <f t="shared" si="11"/>
        <v>3545.893065093751</v>
      </c>
      <c r="R19" s="127">
        <f t="shared" si="11"/>
        <v>3723.1877183484385</v>
      </c>
    </row>
    <row r="20" spans="2:18" ht="15.75">
      <c r="B20" s="31" t="s">
        <v>36</v>
      </c>
      <c r="C20" s="30">
        <v>0</v>
      </c>
      <c r="D20" s="132">
        <v>25</v>
      </c>
      <c r="E20" s="132">
        <f t="shared" si="8"/>
        <v>0</v>
      </c>
      <c r="F20" s="133">
        <f t="shared" si="9"/>
        <v>0</v>
      </c>
      <c r="H20" s="38" t="s">
        <v>36</v>
      </c>
      <c r="I20" s="137">
        <f t="shared" si="10"/>
        <v>0</v>
      </c>
      <c r="J20" s="127">
        <f t="shared" si="11"/>
        <v>0</v>
      </c>
      <c r="K20" s="127">
        <f t="shared" si="11"/>
        <v>0</v>
      </c>
      <c r="L20" s="127">
        <f t="shared" si="11"/>
        <v>0</v>
      </c>
      <c r="M20" s="127">
        <f t="shared" si="11"/>
        <v>0</v>
      </c>
      <c r="N20" s="127">
        <f t="shared" si="11"/>
        <v>0</v>
      </c>
      <c r="O20" s="127">
        <f t="shared" si="11"/>
        <v>0</v>
      </c>
      <c r="P20" s="127">
        <f t="shared" si="11"/>
        <v>0</v>
      </c>
      <c r="Q20" s="127">
        <f t="shared" si="11"/>
        <v>0</v>
      </c>
      <c r="R20" s="127">
        <f t="shared" si="11"/>
        <v>0</v>
      </c>
    </row>
    <row r="21" spans="2:18" ht="15.75">
      <c r="B21" s="29" t="s">
        <v>37</v>
      </c>
      <c r="C21" s="30">
        <v>20</v>
      </c>
      <c r="D21" s="132">
        <v>15</v>
      </c>
      <c r="E21" s="132">
        <f t="shared" si="8"/>
        <v>300</v>
      </c>
      <c r="F21" s="133">
        <f t="shared" si="9"/>
        <v>3600</v>
      </c>
      <c r="H21" s="136" t="s">
        <v>37</v>
      </c>
      <c r="I21" s="137">
        <f t="shared" si="10"/>
        <v>3600</v>
      </c>
      <c r="J21" s="127">
        <f t="shared" si="11"/>
        <v>3780</v>
      </c>
      <c r="K21" s="127">
        <f t="shared" si="11"/>
        <v>3969</v>
      </c>
      <c r="L21" s="127">
        <f t="shared" si="11"/>
        <v>4167.45</v>
      </c>
      <c r="M21" s="127">
        <f t="shared" si="11"/>
        <v>4375.8225</v>
      </c>
      <c r="N21" s="127">
        <f t="shared" si="11"/>
        <v>4594.613625000001</v>
      </c>
      <c r="O21" s="127">
        <f t="shared" si="11"/>
        <v>4824.344306250001</v>
      </c>
      <c r="P21" s="127">
        <f t="shared" si="11"/>
        <v>5065.561521562501</v>
      </c>
      <c r="Q21" s="127">
        <f t="shared" si="11"/>
        <v>5318.839597640626</v>
      </c>
      <c r="R21" s="127">
        <f t="shared" si="11"/>
        <v>5584.781577522658</v>
      </c>
    </row>
    <row r="22" spans="2:18" ht="30">
      <c r="B22" s="29" t="s">
        <v>38</v>
      </c>
      <c r="C22" s="30">
        <v>2</v>
      </c>
      <c r="D22" s="132">
        <v>180</v>
      </c>
      <c r="E22" s="132">
        <f t="shared" si="8"/>
        <v>360</v>
      </c>
      <c r="F22" s="133">
        <f t="shared" si="9"/>
        <v>4320</v>
      </c>
      <c r="H22" s="136" t="s">
        <v>38</v>
      </c>
      <c r="I22" s="137">
        <f t="shared" si="10"/>
        <v>4320</v>
      </c>
      <c r="J22" s="127">
        <f t="shared" si="11"/>
        <v>4536</v>
      </c>
      <c r="K22" s="127">
        <f t="shared" si="11"/>
        <v>4762.8</v>
      </c>
      <c r="L22" s="127">
        <f t="shared" si="11"/>
        <v>5000.9400000000005</v>
      </c>
      <c r="M22" s="127">
        <f t="shared" si="11"/>
        <v>5250.987000000001</v>
      </c>
      <c r="N22" s="127">
        <f t="shared" si="11"/>
        <v>5513.536350000001</v>
      </c>
      <c r="O22" s="127">
        <f t="shared" si="11"/>
        <v>5789.213167500002</v>
      </c>
      <c r="P22" s="127">
        <f>+O22*$J$1</f>
        <v>6078.673825875002</v>
      </c>
      <c r="Q22" s="127">
        <f t="shared" si="11"/>
        <v>6382.607517168753</v>
      </c>
      <c r="R22" s="127">
        <f t="shared" si="11"/>
        <v>6701.737893027191</v>
      </c>
    </row>
    <row r="23" spans="2:18" ht="15.75">
      <c r="B23" s="29" t="s">
        <v>39</v>
      </c>
      <c r="C23" s="30">
        <v>1</v>
      </c>
      <c r="D23" s="132">
        <v>1680</v>
      </c>
      <c r="E23" s="132">
        <f t="shared" si="8"/>
        <v>1680</v>
      </c>
      <c r="F23" s="133">
        <f t="shared" si="9"/>
        <v>20160</v>
      </c>
      <c r="H23" s="136" t="s">
        <v>39</v>
      </c>
      <c r="I23" s="137">
        <f t="shared" si="10"/>
        <v>20160</v>
      </c>
      <c r="J23" s="127">
        <f t="shared" si="11"/>
        <v>21168</v>
      </c>
      <c r="K23" s="127">
        <f>+J23*$J$1</f>
        <v>22226.4</v>
      </c>
      <c r="L23" s="127">
        <f t="shared" si="11"/>
        <v>23337.72</v>
      </c>
      <c r="M23" s="127">
        <f t="shared" si="11"/>
        <v>24504.606000000003</v>
      </c>
      <c r="N23" s="127">
        <f t="shared" si="11"/>
        <v>25729.836300000006</v>
      </c>
      <c r="O23" s="127">
        <f t="shared" si="11"/>
        <v>27016.328115000008</v>
      </c>
      <c r="P23" s="127">
        <f t="shared" si="11"/>
        <v>28367.144520750007</v>
      </c>
      <c r="Q23" s="127">
        <f t="shared" si="11"/>
        <v>29785.501746787508</v>
      </c>
      <c r="R23" s="127">
        <f t="shared" si="11"/>
        <v>31274.776834126886</v>
      </c>
    </row>
    <row r="24" spans="2:18" ht="15.75">
      <c r="B24" s="29" t="s">
        <v>40</v>
      </c>
      <c r="C24" s="30">
        <v>0</v>
      </c>
      <c r="D24" s="132">
        <v>500</v>
      </c>
      <c r="E24" s="132">
        <f t="shared" si="8"/>
        <v>0</v>
      </c>
      <c r="F24" s="133">
        <f t="shared" si="9"/>
        <v>0</v>
      </c>
      <c r="H24" s="136" t="s">
        <v>40</v>
      </c>
      <c r="I24" s="137">
        <f t="shared" si="10"/>
        <v>0</v>
      </c>
      <c r="J24" s="127">
        <f t="shared" si="11"/>
        <v>0</v>
      </c>
      <c r="K24" s="127">
        <f t="shared" si="11"/>
        <v>0</v>
      </c>
      <c r="L24" s="127">
        <f t="shared" si="11"/>
        <v>0</v>
      </c>
      <c r="M24" s="127">
        <f t="shared" si="11"/>
        <v>0</v>
      </c>
      <c r="N24" s="127">
        <f t="shared" si="11"/>
        <v>0</v>
      </c>
      <c r="O24" s="127">
        <f t="shared" si="11"/>
        <v>0</v>
      </c>
      <c r="P24" s="127">
        <f t="shared" si="11"/>
        <v>0</v>
      </c>
      <c r="Q24" s="127">
        <f t="shared" si="11"/>
        <v>0</v>
      </c>
      <c r="R24" s="127">
        <f t="shared" si="11"/>
        <v>0</v>
      </c>
    </row>
    <row r="25" spans="2:18" ht="16.5" thickBot="1">
      <c r="B25" s="356" t="s">
        <v>41</v>
      </c>
      <c r="C25" s="357"/>
      <c r="D25" s="358"/>
      <c r="E25" s="135">
        <f>SUM(E18:E24)</f>
        <v>2620</v>
      </c>
      <c r="F25" s="134">
        <f t="shared" si="9"/>
        <v>31440</v>
      </c>
      <c r="H25" s="138" t="s">
        <v>33</v>
      </c>
      <c r="I25" s="137">
        <f>+SUM(I18:I24)</f>
        <v>31440</v>
      </c>
      <c r="J25" s="137">
        <f>+SUM(J18:J24)</f>
        <v>33012</v>
      </c>
      <c r="K25" s="137">
        <f aca="true" t="shared" si="12" ref="K25:Q25">+SUM(K18:K24)</f>
        <v>34662.600000000006</v>
      </c>
      <c r="L25" s="137">
        <f t="shared" si="12"/>
        <v>36395.73</v>
      </c>
      <c r="M25" s="137">
        <f t="shared" si="12"/>
        <v>38215.516500000005</v>
      </c>
      <c r="N25" s="137">
        <f t="shared" si="12"/>
        <v>40126.29232500001</v>
      </c>
      <c r="O25" s="137">
        <f t="shared" si="12"/>
        <v>42132.60694125001</v>
      </c>
      <c r="P25" s="137">
        <f t="shared" si="12"/>
        <v>44239.237288312506</v>
      </c>
      <c r="Q25" s="137">
        <f t="shared" si="12"/>
        <v>46451.199152728135</v>
      </c>
      <c r="R25" s="137">
        <f>+SUM(R18:R24)</f>
        <v>48773.75911036455</v>
      </c>
    </row>
    <row r="29" spans="2:5" ht="16.5" thickBot="1">
      <c r="B29" s="355" t="s">
        <v>53</v>
      </c>
      <c r="C29" s="355"/>
      <c r="D29" s="355"/>
      <c r="E29" s="355"/>
    </row>
    <row r="30" spans="2:5" ht="15.75">
      <c r="B30" s="32"/>
      <c r="C30" s="33"/>
      <c r="D30" s="33"/>
      <c r="E30" s="34"/>
    </row>
    <row r="31" spans="2:5" ht="15.75">
      <c r="B31" s="83" t="s">
        <v>52</v>
      </c>
      <c r="C31" s="84" t="s">
        <v>54</v>
      </c>
      <c r="D31" s="84" t="s">
        <v>55</v>
      </c>
      <c r="E31" s="85" t="s">
        <v>22</v>
      </c>
    </row>
    <row r="32" spans="2:5" ht="15.75">
      <c r="B32" s="350" t="s">
        <v>56</v>
      </c>
      <c r="C32" s="351"/>
      <c r="D32" s="351"/>
      <c r="E32" s="35"/>
    </row>
    <row r="33" spans="2:5" ht="15.75">
      <c r="B33" s="31" t="s">
        <v>57</v>
      </c>
      <c r="C33" s="36">
        <v>8</v>
      </c>
      <c r="D33" s="152">
        <v>25</v>
      </c>
      <c r="E33" s="142">
        <f aca="true" t="shared" si="13" ref="E33:E42">C33*D33</f>
        <v>200</v>
      </c>
    </row>
    <row r="34" spans="2:5" ht="15.75">
      <c r="B34" s="31" t="s">
        <v>58</v>
      </c>
      <c r="C34" s="37">
        <v>1</v>
      </c>
      <c r="D34" s="153">
        <v>650</v>
      </c>
      <c r="E34" s="143">
        <f t="shared" si="13"/>
        <v>650</v>
      </c>
    </row>
    <row r="35" spans="2:5" ht="15.75">
      <c r="B35" s="31" t="s">
        <v>59</v>
      </c>
      <c r="C35" s="37">
        <v>5</v>
      </c>
      <c r="D35" s="153">
        <v>500</v>
      </c>
      <c r="E35" s="143">
        <f t="shared" si="13"/>
        <v>2500</v>
      </c>
    </row>
    <row r="36" spans="2:5" ht="15.75">
      <c r="B36" s="31" t="s">
        <v>60</v>
      </c>
      <c r="C36" s="37">
        <v>1</v>
      </c>
      <c r="D36" s="153">
        <v>70</v>
      </c>
      <c r="E36" s="143">
        <f t="shared" si="13"/>
        <v>70</v>
      </c>
    </row>
    <row r="37" spans="2:5" ht="15.75">
      <c r="B37" s="31" t="s">
        <v>61</v>
      </c>
      <c r="C37" s="37">
        <v>4</v>
      </c>
      <c r="D37" s="153">
        <v>15</v>
      </c>
      <c r="E37" s="143">
        <f t="shared" si="13"/>
        <v>60</v>
      </c>
    </row>
    <row r="38" spans="2:5" ht="15.75">
      <c r="B38" s="31" t="s">
        <v>62</v>
      </c>
      <c r="C38" s="37">
        <v>1</v>
      </c>
      <c r="D38" s="153">
        <v>300</v>
      </c>
      <c r="E38" s="143">
        <f t="shared" si="13"/>
        <v>300</v>
      </c>
    </row>
    <row r="39" spans="2:5" ht="15.75">
      <c r="B39" s="31" t="s">
        <v>63</v>
      </c>
      <c r="C39" s="37">
        <v>4</v>
      </c>
      <c r="D39" s="153">
        <v>25</v>
      </c>
      <c r="E39" s="143">
        <f t="shared" si="13"/>
        <v>100</v>
      </c>
    </row>
    <row r="40" spans="2:5" ht="15.75">
      <c r="B40" s="31" t="s">
        <v>64</v>
      </c>
      <c r="C40" s="37">
        <v>2</v>
      </c>
      <c r="D40" s="153">
        <v>2500</v>
      </c>
      <c r="E40" s="143">
        <f t="shared" si="13"/>
        <v>5000</v>
      </c>
    </row>
    <row r="41" spans="2:5" ht="15.75">
      <c r="B41" s="31" t="s">
        <v>65</v>
      </c>
      <c r="C41" s="37">
        <v>4</v>
      </c>
      <c r="D41" s="153">
        <v>140</v>
      </c>
      <c r="E41" s="143">
        <f t="shared" si="13"/>
        <v>560</v>
      </c>
    </row>
    <row r="42" spans="2:5" ht="15.75">
      <c r="B42" s="31" t="s">
        <v>66</v>
      </c>
      <c r="C42" s="37">
        <v>1</v>
      </c>
      <c r="D42" s="153">
        <v>80</v>
      </c>
      <c r="E42" s="143">
        <f t="shared" si="13"/>
        <v>80</v>
      </c>
    </row>
    <row r="43" spans="2:5" ht="15.75">
      <c r="B43" s="350" t="s">
        <v>67</v>
      </c>
      <c r="C43" s="351"/>
      <c r="D43" s="351"/>
      <c r="E43" s="144">
        <f>SUM(E33:E42)</f>
        <v>9520</v>
      </c>
    </row>
    <row r="44" spans="2:5" ht="15.75">
      <c r="B44" s="350" t="s">
        <v>68</v>
      </c>
      <c r="C44" s="351"/>
      <c r="D44" s="351"/>
      <c r="E44" s="143"/>
    </row>
    <row r="45" spans="2:5" ht="15.75">
      <c r="B45" s="31" t="s">
        <v>69</v>
      </c>
      <c r="C45" s="38">
        <v>1</v>
      </c>
      <c r="D45" s="150">
        <v>1000</v>
      </c>
      <c r="E45" s="143">
        <f>C45*D45</f>
        <v>1000</v>
      </c>
    </row>
    <row r="46" spans="2:5" ht="15.75">
      <c r="B46" s="31" t="s">
        <v>70</v>
      </c>
      <c r="C46" s="38">
        <v>4</v>
      </c>
      <c r="D46" s="150">
        <v>450</v>
      </c>
      <c r="E46" s="143">
        <f>C46*D46</f>
        <v>1800</v>
      </c>
    </row>
    <row r="47" spans="2:5" ht="15.75">
      <c r="B47" s="31" t="s">
        <v>71</v>
      </c>
      <c r="C47" s="38">
        <v>2</v>
      </c>
      <c r="D47" s="150">
        <v>70</v>
      </c>
      <c r="E47" s="143">
        <f>C47*D47</f>
        <v>140</v>
      </c>
    </row>
    <row r="48" spans="2:5" ht="15.75">
      <c r="B48" s="31" t="s">
        <v>72</v>
      </c>
      <c r="C48" s="38">
        <v>1</v>
      </c>
      <c r="D48" s="150">
        <v>85</v>
      </c>
      <c r="E48" s="143">
        <f>C48*D48</f>
        <v>85</v>
      </c>
    </row>
    <row r="49" spans="2:5" ht="15.75">
      <c r="B49" s="350" t="s">
        <v>73</v>
      </c>
      <c r="C49" s="351"/>
      <c r="D49" s="351"/>
      <c r="E49" s="144">
        <f>SUM(E45:E48)</f>
        <v>3025</v>
      </c>
    </row>
    <row r="50" spans="2:5" ht="15.75">
      <c r="B50" s="350" t="s">
        <v>74</v>
      </c>
      <c r="C50" s="351"/>
      <c r="D50" s="351"/>
      <c r="E50" s="143"/>
    </row>
    <row r="51" spans="2:5" ht="15.75">
      <c r="B51" s="31" t="s">
        <v>75</v>
      </c>
      <c r="C51" s="38">
        <v>1</v>
      </c>
      <c r="D51" s="150">
        <v>900</v>
      </c>
      <c r="E51" s="143">
        <f aca="true" t="shared" si="14" ref="E51:E56">C51*D51</f>
        <v>900</v>
      </c>
    </row>
    <row r="52" spans="2:5" ht="15.75">
      <c r="B52" s="31" t="s">
        <v>76</v>
      </c>
      <c r="C52" s="38">
        <v>1</v>
      </c>
      <c r="D52" s="150">
        <v>650</v>
      </c>
      <c r="E52" s="143">
        <f t="shared" si="14"/>
        <v>650</v>
      </c>
    </row>
    <row r="53" spans="2:5" ht="15.75">
      <c r="B53" s="31" t="s">
        <v>77</v>
      </c>
      <c r="C53" s="38">
        <v>1</v>
      </c>
      <c r="D53" s="150">
        <v>25</v>
      </c>
      <c r="E53" s="143">
        <f t="shared" si="14"/>
        <v>25</v>
      </c>
    </row>
    <row r="54" spans="2:5" ht="15.75">
      <c r="B54" s="31" t="s">
        <v>78</v>
      </c>
      <c r="C54" s="38">
        <v>4</v>
      </c>
      <c r="D54" s="150">
        <v>12</v>
      </c>
      <c r="E54" s="143">
        <f t="shared" si="14"/>
        <v>48</v>
      </c>
    </row>
    <row r="55" spans="2:5" ht="15.75">
      <c r="B55" s="31" t="s">
        <v>79</v>
      </c>
      <c r="C55" s="38">
        <v>2</v>
      </c>
      <c r="D55" s="150">
        <v>115</v>
      </c>
      <c r="E55" s="143">
        <f t="shared" si="14"/>
        <v>230</v>
      </c>
    </row>
    <row r="56" spans="2:5" ht="15.75">
      <c r="B56" s="31" t="s">
        <v>80</v>
      </c>
      <c r="C56" s="38">
        <v>1</v>
      </c>
      <c r="D56" s="150">
        <v>148</v>
      </c>
      <c r="E56" s="143">
        <f t="shared" si="14"/>
        <v>148</v>
      </c>
    </row>
    <row r="57" spans="2:5" ht="15.75">
      <c r="B57" s="350" t="s">
        <v>81</v>
      </c>
      <c r="C57" s="351"/>
      <c r="D57" s="351"/>
      <c r="E57" s="144">
        <f>SUM(E51:E56)</f>
        <v>2001</v>
      </c>
    </row>
    <row r="58" spans="2:5" ht="15.75">
      <c r="B58" s="148" t="s">
        <v>216</v>
      </c>
      <c r="C58" s="141"/>
      <c r="D58" s="141"/>
      <c r="E58" s="149"/>
    </row>
    <row r="59" spans="2:5" ht="15.75">
      <c r="B59" s="89" t="s">
        <v>84</v>
      </c>
      <c r="C59" s="38">
        <v>1</v>
      </c>
      <c r="D59" s="145">
        <v>3000</v>
      </c>
      <c r="E59" s="145">
        <f>+D59*C59</f>
        <v>3000</v>
      </c>
    </row>
    <row r="60" spans="2:5" ht="15.75">
      <c r="B60" s="89" t="s">
        <v>85</v>
      </c>
      <c r="C60" s="38">
        <v>1</v>
      </c>
      <c r="D60" s="145">
        <v>5990</v>
      </c>
      <c r="E60" s="145">
        <f>+D60*C60</f>
        <v>5990</v>
      </c>
    </row>
    <row r="61" spans="2:5" ht="15.75">
      <c r="B61" s="89" t="s">
        <v>86</v>
      </c>
      <c r="C61" s="38">
        <v>1</v>
      </c>
      <c r="D61" s="145">
        <v>1400</v>
      </c>
      <c r="E61" s="145">
        <f>+D61*C61</f>
        <v>1400</v>
      </c>
    </row>
    <row r="62" spans="2:5" ht="15.75">
      <c r="B62" s="89" t="s">
        <v>87</v>
      </c>
      <c r="C62" s="38">
        <v>1</v>
      </c>
      <c r="D62" s="145">
        <v>5000</v>
      </c>
      <c r="E62" s="145">
        <f>+D62*C62</f>
        <v>5000</v>
      </c>
    </row>
    <row r="63" spans="2:5" ht="15.75">
      <c r="B63" s="90" t="s">
        <v>88</v>
      </c>
      <c r="C63" s="38">
        <v>1</v>
      </c>
      <c r="D63" s="145">
        <v>22000</v>
      </c>
      <c r="E63" s="145">
        <f>+D63*C63</f>
        <v>22000</v>
      </c>
    </row>
    <row r="64" spans="2:5" ht="15.75">
      <c r="B64" s="90" t="s">
        <v>89</v>
      </c>
      <c r="C64" s="38">
        <v>1</v>
      </c>
      <c r="D64" s="145">
        <v>3000</v>
      </c>
      <c r="E64" s="145">
        <f>+D64*C64</f>
        <v>3000</v>
      </c>
    </row>
    <row r="65" spans="2:5" ht="15.75">
      <c r="B65" s="140" t="s">
        <v>217</v>
      </c>
      <c r="C65" s="141"/>
      <c r="D65" s="141"/>
      <c r="E65" s="146">
        <f>+SUM(E59:E64)</f>
        <v>40390</v>
      </c>
    </row>
    <row r="66" spans="2:5" ht="15.75">
      <c r="B66" s="140"/>
      <c r="C66" s="141"/>
      <c r="D66" s="141"/>
      <c r="E66" s="146"/>
    </row>
    <row r="67" spans="2:5" ht="16.5" thickBot="1">
      <c r="B67" s="39" t="s">
        <v>82</v>
      </c>
      <c r="C67" s="40">
        <v>1</v>
      </c>
      <c r="D67" s="151">
        <v>500</v>
      </c>
      <c r="E67" s="147">
        <f>C67*D67</f>
        <v>500</v>
      </c>
    </row>
    <row r="68" spans="2:5" ht="16.5" thickBot="1">
      <c r="B68" s="352" t="s">
        <v>83</v>
      </c>
      <c r="C68" s="353"/>
      <c r="D68" s="353"/>
      <c r="E68" s="96">
        <f>+E43+E49+E57+E65+E67</f>
        <v>55436</v>
      </c>
    </row>
    <row r="71" spans="2:5" ht="15">
      <c r="B71" s="354" t="s">
        <v>219</v>
      </c>
      <c r="C71" s="354"/>
      <c r="D71" s="354"/>
      <c r="E71" s="354"/>
    </row>
    <row r="72" spans="2:4" ht="15.75" thickBot="1">
      <c r="B72" s="123" t="s">
        <v>220</v>
      </c>
      <c r="C72" s="123" t="s">
        <v>22</v>
      </c>
      <c r="D72" s="123"/>
    </row>
    <row r="73" spans="2:8" ht="15.75" thickBot="1">
      <c r="B73" s="123" t="s">
        <v>221</v>
      </c>
      <c r="C73" s="123">
        <v>2000000</v>
      </c>
      <c r="D73" s="123"/>
      <c r="G73" s="156" t="s">
        <v>55</v>
      </c>
      <c r="H73" s="157">
        <v>1.84</v>
      </c>
    </row>
    <row r="74" spans="2:4" ht="15">
      <c r="B74" s="123" t="s">
        <v>222</v>
      </c>
      <c r="C74" s="129">
        <v>0.2</v>
      </c>
      <c r="D74" s="123"/>
    </row>
    <row r="75" spans="2:4" ht="15">
      <c r="B75" s="123" t="s">
        <v>296</v>
      </c>
      <c r="C75" s="129">
        <v>0.3</v>
      </c>
      <c r="D75" s="123"/>
    </row>
    <row r="76" spans="2:4" ht="15">
      <c r="B76" s="123" t="s">
        <v>297</v>
      </c>
      <c r="C76" s="129">
        <v>0.7</v>
      </c>
      <c r="D76" s="123"/>
    </row>
    <row r="77" spans="2:4" ht="15">
      <c r="B77" s="123" t="s">
        <v>298</v>
      </c>
      <c r="C77" s="129">
        <v>0.95</v>
      </c>
      <c r="D77" s="123"/>
    </row>
    <row r="78" spans="2:4" ht="15">
      <c r="B78" s="123" t="s">
        <v>223</v>
      </c>
      <c r="C78" s="123">
        <f>+C73*C74*C75*C76*C77</f>
        <v>79800</v>
      </c>
      <c r="D78" s="123" t="s">
        <v>224</v>
      </c>
    </row>
    <row r="79" spans="2:4" ht="15">
      <c r="B79" s="123" t="s">
        <v>225</v>
      </c>
      <c r="C79" s="154">
        <v>0.5</v>
      </c>
      <c r="D79" s="123"/>
    </row>
    <row r="80" spans="2:5" ht="15">
      <c r="B80" s="123" t="s">
        <v>226</v>
      </c>
      <c r="C80" s="122">
        <f>+C78*C79</f>
        <v>39900</v>
      </c>
      <c r="D80" s="123" t="s">
        <v>228</v>
      </c>
      <c r="E80" t="s">
        <v>227</v>
      </c>
    </row>
    <row r="82" spans="2:12" ht="15.75" thickBot="1">
      <c r="B82" s="343" t="s">
        <v>242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</row>
    <row r="83" spans="2:12" ht="15">
      <c r="B83" s="160"/>
      <c r="C83" s="161" t="s">
        <v>232</v>
      </c>
      <c r="D83" s="161" t="s">
        <v>213</v>
      </c>
      <c r="E83" s="161" t="s">
        <v>233</v>
      </c>
      <c r="F83" s="161" t="s">
        <v>234</v>
      </c>
      <c r="G83" s="161" t="s">
        <v>235</v>
      </c>
      <c r="H83" s="161" t="s">
        <v>236</v>
      </c>
      <c r="I83" s="161" t="s">
        <v>237</v>
      </c>
      <c r="J83" s="161" t="s">
        <v>238</v>
      </c>
      <c r="K83" s="161" t="s">
        <v>239</v>
      </c>
      <c r="L83" s="162" t="s">
        <v>240</v>
      </c>
    </row>
    <row r="84" spans="2:12" ht="15.75" thickBot="1">
      <c r="B84" s="163" t="s">
        <v>241</v>
      </c>
      <c r="C84" s="167">
        <f>+C80*12</f>
        <v>478800</v>
      </c>
      <c r="D84" s="168">
        <f>+C84*$J$1</f>
        <v>502740</v>
      </c>
      <c r="E84" s="168">
        <f aca="true" t="shared" si="15" ref="E84:L84">+D84*$J$1</f>
        <v>527877</v>
      </c>
      <c r="F84" s="168">
        <f t="shared" si="15"/>
        <v>554270.85</v>
      </c>
      <c r="G84" s="168">
        <f t="shared" si="15"/>
        <v>581984.3925</v>
      </c>
      <c r="H84" s="168">
        <f t="shared" si="15"/>
        <v>611083.612125</v>
      </c>
      <c r="I84" s="168">
        <f t="shared" si="15"/>
        <v>641637.79273125</v>
      </c>
      <c r="J84" s="168">
        <f t="shared" si="15"/>
        <v>673719.6823678126</v>
      </c>
      <c r="K84" s="168">
        <f t="shared" si="15"/>
        <v>707405.6664862033</v>
      </c>
      <c r="L84" s="169">
        <f t="shared" si="15"/>
        <v>742775.9498105135</v>
      </c>
    </row>
    <row r="85" ht="15.75" customHeight="1"/>
    <row r="86" spans="2:12" ht="15.75" thickBot="1">
      <c r="B86" s="343" t="s">
        <v>229</v>
      </c>
      <c r="C86" s="343"/>
      <c r="D86" s="343"/>
      <c r="E86" s="343"/>
      <c r="F86" s="343"/>
      <c r="G86" s="343"/>
      <c r="H86" s="343"/>
      <c r="I86" s="343"/>
      <c r="J86" s="343"/>
      <c r="K86" s="343"/>
      <c r="L86" s="343"/>
    </row>
    <row r="87" spans="2:12" ht="15">
      <c r="B87" s="160"/>
      <c r="C87" s="161" t="s">
        <v>232</v>
      </c>
      <c r="D87" s="161" t="s">
        <v>213</v>
      </c>
      <c r="E87" s="161" t="s">
        <v>233</v>
      </c>
      <c r="F87" s="161" t="s">
        <v>234</v>
      </c>
      <c r="G87" s="161" t="s">
        <v>235</v>
      </c>
      <c r="H87" s="161" t="s">
        <v>236</v>
      </c>
      <c r="I87" s="161" t="s">
        <v>237</v>
      </c>
      <c r="J87" s="161" t="s">
        <v>238</v>
      </c>
      <c r="K87" s="161" t="s">
        <v>239</v>
      </c>
      <c r="L87" s="162" t="s">
        <v>240</v>
      </c>
    </row>
    <row r="88" spans="2:12" ht="15.75" thickBot="1">
      <c r="B88" s="163" t="s">
        <v>231</v>
      </c>
      <c r="C88" s="164">
        <f>+$C$80*12*$H$73</f>
        <v>880992</v>
      </c>
      <c r="D88" s="165">
        <f>+C88*$J$1</f>
        <v>925041.6000000001</v>
      </c>
      <c r="E88" s="165">
        <f>+D88*$J$1</f>
        <v>971293.6800000002</v>
      </c>
      <c r="F88" s="165">
        <f aca="true" t="shared" si="16" ref="F88:L88">+E88*$J$1</f>
        <v>1019858.3640000002</v>
      </c>
      <c r="G88" s="165">
        <f t="shared" si="16"/>
        <v>1070851.2822000002</v>
      </c>
      <c r="H88" s="165">
        <f t="shared" si="16"/>
        <v>1124393.8463100004</v>
      </c>
      <c r="I88" s="165">
        <f t="shared" si="16"/>
        <v>1180613.5386255004</v>
      </c>
      <c r="J88" s="165">
        <f t="shared" si="16"/>
        <v>1239644.2155567755</v>
      </c>
      <c r="K88" s="165">
        <f t="shared" si="16"/>
        <v>1301626.4263346142</v>
      </c>
      <c r="L88" s="165">
        <f t="shared" si="16"/>
        <v>1366707.7476513449</v>
      </c>
    </row>
    <row r="90" ht="15.75" thickBot="1"/>
    <row r="91" spans="2:12" ht="15">
      <c r="B91" s="344" t="s">
        <v>218</v>
      </c>
      <c r="C91" s="345"/>
      <c r="D91" s="345"/>
      <c r="E91" s="345"/>
      <c r="F91" s="345"/>
      <c r="G91" s="345"/>
      <c r="H91" s="345"/>
      <c r="I91" s="345"/>
      <c r="J91" s="345"/>
      <c r="K91" s="345"/>
      <c r="L91" s="346"/>
    </row>
    <row r="92" spans="2:12" ht="15">
      <c r="B92" s="170"/>
      <c r="C92" s="123" t="s">
        <v>232</v>
      </c>
      <c r="D92" s="123" t="s">
        <v>213</v>
      </c>
      <c r="E92" s="123" t="s">
        <v>233</v>
      </c>
      <c r="F92" s="123" t="s">
        <v>234</v>
      </c>
      <c r="G92" s="123" t="s">
        <v>235</v>
      </c>
      <c r="H92" s="123" t="s">
        <v>236</v>
      </c>
      <c r="I92" s="123" t="s">
        <v>237</v>
      </c>
      <c r="J92" s="123" t="s">
        <v>238</v>
      </c>
      <c r="K92" s="123" t="s">
        <v>239</v>
      </c>
      <c r="L92" s="171" t="s">
        <v>240</v>
      </c>
    </row>
    <row r="93" spans="2:12" ht="15.75" thickBot="1">
      <c r="B93" s="163" t="s">
        <v>230</v>
      </c>
      <c r="C93" s="165">
        <f>+C88*$H$11*(C11+C6)</f>
        <v>79289.28</v>
      </c>
      <c r="D93" s="165">
        <f>+C93*$J$1</f>
        <v>83253.744</v>
      </c>
      <c r="E93" s="165">
        <f aca="true" t="shared" si="17" ref="E93:L93">+D93*$J$1</f>
        <v>87416.4312</v>
      </c>
      <c r="F93" s="165">
        <f t="shared" si="17"/>
        <v>91787.25276000002</v>
      </c>
      <c r="G93" s="165">
        <f t="shared" si="17"/>
        <v>96376.61539800002</v>
      </c>
      <c r="H93" s="165">
        <f t="shared" si="17"/>
        <v>101195.44616790002</v>
      </c>
      <c r="I93" s="165">
        <f t="shared" si="17"/>
        <v>106255.21847629503</v>
      </c>
      <c r="J93" s="165">
        <f t="shared" si="17"/>
        <v>111567.97940010979</v>
      </c>
      <c r="K93" s="165">
        <f t="shared" si="17"/>
        <v>117146.37837011529</v>
      </c>
      <c r="L93" s="166">
        <f t="shared" si="17"/>
        <v>123003.69728862106</v>
      </c>
    </row>
    <row r="95" ht="15.75" thickBot="1"/>
    <row r="96" spans="2:12" ht="15.75" thickBot="1">
      <c r="B96" s="347" t="s">
        <v>243</v>
      </c>
      <c r="C96" s="348"/>
      <c r="D96" s="348"/>
      <c r="E96" s="348"/>
      <c r="F96" s="348"/>
      <c r="G96" s="348"/>
      <c r="H96" s="348"/>
      <c r="I96" s="348"/>
      <c r="J96" s="348"/>
      <c r="K96" s="348"/>
      <c r="L96" s="349"/>
    </row>
    <row r="97" spans="2:13" ht="15">
      <c r="B97" s="160" t="s">
        <v>220</v>
      </c>
      <c r="C97" s="161" t="s">
        <v>245</v>
      </c>
      <c r="D97" s="161" t="s">
        <v>232</v>
      </c>
      <c r="E97" s="161" t="s">
        <v>213</v>
      </c>
      <c r="F97" s="161" t="s">
        <v>233</v>
      </c>
      <c r="G97" s="161" t="s">
        <v>234</v>
      </c>
      <c r="H97" s="161" t="s">
        <v>235</v>
      </c>
      <c r="I97" s="161" t="s">
        <v>236</v>
      </c>
      <c r="J97" s="161" t="s">
        <v>237</v>
      </c>
      <c r="K97" s="161" t="s">
        <v>238</v>
      </c>
      <c r="L97" s="161" t="s">
        <v>239</v>
      </c>
      <c r="M97" s="162" t="s">
        <v>240</v>
      </c>
    </row>
    <row r="98" spans="2:13" ht="15">
      <c r="B98" s="170" t="s">
        <v>244</v>
      </c>
      <c r="C98" s="159">
        <f>+E14</f>
        <v>12200</v>
      </c>
      <c r="D98" s="128">
        <f>+K14</f>
        <v>146400</v>
      </c>
      <c r="E98" s="128">
        <f aca="true" t="shared" si="18" ref="E98:M98">+L14</f>
        <v>153720</v>
      </c>
      <c r="F98" s="128">
        <f t="shared" si="18"/>
        <v>161406</v>
      </c>
      <c r="G98" s="128">
        <f t="shared" si="18"/>
        <v>169476.3</v>
      </c>
      <c r="H98" s="128">
        <f t="shared" si="18"/>
        <v>177950.115</v>
      </c>
      <c r="I98" s="128">
        <f t="shared" si="18"/>
        <v>186847.62075</v>
      </c>
      <c r="J98" s="128">
        <f t="shared" si="18"/>
        <v>196190.00178750005</v>
      </c>
      <c r="K98" s="128">
        <f t="shared" si="18"/>
        <v>205999.50187687506</v>
      </c>
      <c r="L98" s="128">
        <f t="shared" si="18"/>
        <v>216299.4769707188</v>
      </c>
      <c r="M98" s="175">
        <f t="shared" si="18"/>
        <v>227114.45081925474</v>
      </c>
    </row>
    <row r="99" spans="2:14" ht="15">
      <c r="B99" s="170" t="s">
        <v>247</v>
      </c>
      <c r="C99" s="159">
        <f>+E25</f>
        <v>2620</v>
      </c>
      <c r="D99" s="137">
        <f>+I25</f>
        <v>31440</v>
      </c>
      <c r="E99" s="137">
        <f>+J25</f>
        <v>33012</v>
      </c>
      <c r="F99" s="137">
        <f aca="true" t="shared" si="19" ref="F99:M99">+K25</f>
        <v>34662.600000000006</v>
      </c>
      <c r="G99" s="137">
        <f t="shared" si="19"/>
        <v>36395.73</v>
      </c>
      <c r="H99" s="137">
        <f t="shared" si="19"/>
        <v>38215.516500000005</v>
      </c>
      <c r="I99" s="137">
        <f t="shared" si="19"/>
        <v>40126.29232500001</v>
      </c>
      <c r="J99" s="137">
        <f t="shared" si="19"/>
        <v>42132.60694125001</v>
      </c>
      <c r="K99" s="137">
        <f t="shared" si="19"/>
        <v>44239.237288312506</v>
      </c>
      <c r="L99" s="137">
        <f t="shared" si="19"/>
        <v>46451.199152728135</v>
      </c>
      <c r="M99" s="176">
        <f t="shared" si="19"/>
        <v>48773.75911036455</v>
      </c>
      <c r="N99" s="158"/>
    </row>
    <row r="100" spans="2:13" ht="15.75">
      <c r="B100" s="9" t="s">
        <v>300</v>
      </c>
      <c r="C100" s="173">
        <v>100</v>
      </c>
      <c r="D100" s="174">
        <f>+C100*12</f>
        <v>1200</v>
      </c>
      <c r="E100" s="174">
        <f>+D100*$J$1</f>
        <v>1260</v>
      </c>
      <c r="F100" s="174">
        <f aca="true" t="shared" si="20" ref="F100:M100">+E100*$J$1</f>
        <v>1323</v>
      </c>
      <c r="G100" s="174">
        <f t="shared" si="20"/>
        <v>1389.15</v>
      </c>
      <c r="H100" s="174">
        <f t="shared" si="20"/>
        <v>1458.6075</v>
      </c>
      <c r="I100" s="174">
        <f t="shared" si="20"/>
        <v>1531.5378750000002</v>
      </c>
      <c r="J100" s="174">
        <f t="shared" si="20"/>
        <v>1608.1147687500004</v>
      </c>
      <c r="K100" s="174">
        <f t="shared" si="20"/>
        <v>1688.5205071875005</v>
      </c>
      <c r="L100" s="174">
        <f t="shared" si="20"/>
        <v>1772.9465325468755</v>
      </c>
      <c r="M100" s="177">
        <f t="shared" si="20"/>
        <v>1861.5938591742192</v>
      </c>
    </row>
    <row r="101" spans="2:13" ht="15.75">
      <c r="B101" s="9" t="s">
        <v>299</v>
      </c>
      <c r="C101" s="173">
        <v>300</v>
      </c>
      <c r="D101" s="174">
        <f>+C101*12</f>
        <v>3600</v>
      </c>
      <c r="E101" s="174">
        <f aca="true" t="shared" si="21" ref="E101:M103">+D101*$J$1</f>
        <v>3780</v>
      </c>
      <c r="F101" s="174">
        <f t="shared" si="21"/>
        <v>3969</v>
      </c>
      <c r="G101" s="174">
        <f t="shared" si="21"/>
        <v>4167.45</v>
      </c>
      <c r="H101" s="174">
        <f t="shared" si="21"/>
        <v>4375.8225</v>
      </c>
      <c r="I101" s="174">
        <f t="shared" si="21"/>
        <v>4594.613625000001</v>
      </c>
      <c r="J101" s="174">
        <f t="shared" si="21"/>
        <v>4824.344306250001</v>
      </c>
      <c r="K101" s="174">
        <f t="shared" si="21"/>
        <v>5065.561521562501</v>
      </c>
      <c r="L101" s="174">
        <f t="shared" si="21"/>
        <v>5318.839597640626</v>
      </c>
      <c r="M101" s="177">
        <f t="shared" si="21"/>
        <v>5584.781577522658</v>
      </c>
    </row>
    <row r="102" spans="2:13" ht="15.75">
      <c r="B102" s="9" t="s">
        <v>91</v>
      </c>
      <c r="C102" s="173">
        <v>50</v>
      </c>
      <c r="D102" s="174">
        <f>+C102*12</f>
        <v>600</v>
      </c>
      <c r="E102" s="174">
        <f t="shared" si="21"/>
        <v>630</v>
      </c>
      <c r="F102" s="174">
        <f t="shared" si="21"/>
        <v>661.5</v>
      </c>
      <c r="G102" s="174">
        <f t="shared" si="21"/>
        <v>694.575</v>
      </c>
      <c r="H102" s="174">
        <f t="shared" si="21"/>
        <v>729.30375</v>
      </c>
      <c r="I102" s="174">
        <f t="shared" si="21"/>
        <v>765.7689375000001</v>
      </c>
      <c r="J102" s="174">
        <f t="shared" si="21"/>
        <v>804.0573843750002</v>
      </c>
      <c r="K102" s="174">
        <f t="shared" si="21"/>
        <v>844.2602535937502</v>
      </c>
      <c r="L102" s="174">
        <f t="shared" si="21"/>
        <v>886.4732662734377</v>
      </c>
      <c r="M102" s="177">
        <f t="shared" si="21"/>
        <v>930.7969295871096</v>
      </c>
    </row>
    <row r="103" spans="2:13" ht="15.75">
      <c r="B103" s="9" t="s">
        <v>90</v>
      </c>
      <c r="C103" s="173">
        <v>300</v>
      </c>
      <c r="D103" s="174">
        <f>+C103*12</f>
        <v>3600</v>
      </c>
      <c r="E103" s="174">
        <f t="shared" si="21"/>
        <v>3780</v>
      </c>
      <c r="F103" s="174">
        <f t="shared" si="21"/>
        <v>3969</v>
      </c>
      <c r="G103" s="174">
        <f t="shared" si="21"/>
        <v>4167.45</v>
      </c>
      <c r="H103" s="174">
        <f t="shared" si="21"/>
        <v>4375.8225</v>
      </c>
      <c r="I103" s="174">
        <f t="shared" si="21"/>
        <v>4594.613625000001</v>
      </c>
      <c r="J103" s="174">
        <f t="shared" si="21"/>
        <v>4824.344306250001</v>
      </c>
      <c r="K103" s="174">
        <f t="shared" si="21"/>
        <v>5065.561521562501</v>
      </c>
      <c r="L103" s="174">
        <f t="shared" si="21"/>
        <v>5318.839597640626</v>
      </c>
      <c r="M103" s="177">
        <f t="shared" si="21"/>
        <v>5584.781577522658</v>
      </c>
    </row>
    <row r="104" spans="2:13" ht="16.5" thickBot="1">
      <c r="B104" s="178" t="s">
        <v>22</v>
      </c>
      <c r="C104" s="164">
        <f>+SUM(C98:C103)</f>
        <v>15570</v>
      </c>
      <c r="D104" s="164">
        <f aca="true" t="shared" si="22" ref="D104:M104">+SUM(D98:D103)</f>
        <v>186840</v>
      </c>
      <c r="E104" s="164">
        <f t="shared" si="22"/>
        <v>196182</v>
      </c>
      <c r="F104" s="164">
        <f t="shared" si="22"/>
        <v>205991.1</v>
      </c>
      <c r="G104" s="164">
        <f t="shared" si="22"/>
        <v>216290.65500000003</v>
      </c>
      <c r="H104" s="164">
        <f t="shared" si="22"/>
        <v>227105.18775</v>
      </c>
      <c r="I104" s="164">
        <f t="shared" si="22"/>
        <v>238460.4471375</v>
      </c>
      <c r="J104" s="164">
        <f t="shared" si="22"/>
        <v>250383.46949437505</v>
      </c>
      <c r="K104" s="164">
        <f t="shared" si="22"/>
        <v>262902.64296909387</v>
      </c>
      <c r="L104" s="164">
        <f t="shared" si="22"/>
        <v>276047.7751175485</v>
      </c>
      <c r="M104" s="179">
        <f t="shared" si="22"/>
        <v>289850.16387342586</v>
      </c>
    </row>
    <row r="105" spans="2:13" ht="16.5" thickBot="1">
      <c r="B105" s="97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</row>
    <row r="106" spans="2:17" ht="16.5" thickBot="1">
      <c r="B106" s="335" t="s">
        <v>140</v>
      </c>
      <c r="C106" s="335"/>
      <c r="D106" s="335"/>
      <c r="E106" s="335"/>
      <c r="F106" s="335"/>
      <c r="G106" s="118"/>
      <c r="H106" s="340" t="s">
        <v>264</v>
      </c>
      <c r="I106" s="341"/>
      <c r="J106" s="341"/>
      <c r="K106" s="341"/>
      <c r="L106" s="341"/>
      <c r="M106" s="341"/>
      <c r="N106" s="341"/>
      <c r="O106" s="341"/>
      <c r="P106" s="341"/>
      <c r="Q106" s="342"/>
    </row>
    <row r="107" spans="2:17" ht="15.75">
      <c r="B107" s="13" t="s">
        <v>23</v>
      </c>
      <c r="C107" s="14" t="s">
        <v>138</v>
      </c>
      <c r="D107" s="14" t="s">
        <v>24</v>
      </c>
      <c r="E107" s="14" t="s">
        <v>25</v>
      </c>
      <c r="F107" s="15" t="s">
        <v>249</v>
      </c>
      <c r="G107" s="118"/>
      <c r="H107" s="210" t="s">
        <v>232</v>
      </c>
      <c r="I107" s="137" t="s">
        <v>213</v>
      </c>
      <c r="J107" s="137" t="s">
        <v>233</v>
      </c>
      <c r="K107" s="137" t="s">
        <v>234</v>
      </c>
      <c r="L107" s="137" t="s">
        <v>235</v>
      </c>
      <c r="M107" s="137" t="s">
        <v>236</v>
      </c>
      <c r="N107" s="137" t="s">
        <v>237</v>
      </c>
      <c r="O107" s="137" t="s">
        <v>238</v>
      </c>
      <c r="P107" s="137" t="s">
        <v>239</v>
      </c>
      <c r="Q107" s="176" t="s">
        <v>240</v>
      </c>
    </row>
    <row r="108" spans="2:17" ht="21.75" customHeight="1" thickBot="1">
      <c r="B108" s="17" t="s">
        <v>146</v>
      </c>
      <c r="C108" s="20">
        <v>35</v>
      </c>
      <c r="D108" s="18">
        <v>130</v>
      </c>
      <c r="E108" s="20">
        <f>C108/D108</f>
        <v>0.2692307692307692</v>
      </c>
      <c r="F108" s="187">
        <f>+(E108*2.2)/1000</f>
        <v>0.0005923076923076923</v>
      </c>
      <c r="H108" s="211">
        <f>+$F$108*450*C84</f>
        <v>127618.61538461539</v>
      </c>
      <c r="I108" s="211">
        <f aca="true" t="shared" si="23" ref="I108:Q108">+$F$108*450*D84</f>
        <v>133999.54615384617</v>
      </c>
      <c r="J108" s="211">
        <f t="shared" si="23"/>
        <v>140699.52346153848</v>
      </c>
      <c r="K108" s="211">
        <f t="shared" si="23"/>
        <v>147734.49963461538</v>
      </c>
      <c r="L108" s="211">
        <f t="shared" si="23"/>
        <v>155121.22461634615</v>
      </c>
      <c r="M108" s="211">
        <f t="shared" si="23"/>
        <v>162877.28584716347</v>
      </c>
      <c r="N108" s="211">
        <f t="shared" si="23"/>
        <v>171021.15013952166</v>
      </c>
      <c r="O108" s="211">
        <f t="shared" si="23"/>
        <v>179572.20764649776</v>
      </c>
      <c r="P108" s="211">
        <f t="shared" si="23"/>
        <v>188550.81802882266</v>
      </c>
      <c r="Q108" s="211">
        <f t="shared" si="23"/>
        <v>197978.3589302638</v>
      </c>
    </row>
    <row r="109" spans="2:6" ht="14.25" customHeight="1">
      <c r="B109" s="21"/>
      <c r="C109" s="22"/>
      <c r="D109" s="21"/>
      <c r="E109" s="22"/>
      <c r="F109" s="23"/>
    </row>
    <row r="110" ht="15">
      <c r="L110" s="186"/>
    </row>
    <row r="112" spans="2:14" s="7" customFormat="1" ht="16.5" thickBot="1">
      <c r="B112" s="335" t="s">
        <v>107</v>
      </c>
      <c r="C112" s="335"/>
      <c r="D112" s="335"/>
      <c r="E112" s="335"/>
      <c r="F112" s="335"/>
      <c r="G112" s="335"/>
      <c r="H112" s="335"/>
      <c r="I112" s="335"/>
      <c r="J112" s="335"/>
      <c r="K112" s="335"/>
      <c r="L112" s="335"/>
      <c r="M112" s="335"/>
      <c r="N112" s="335"/>
    </row>
    <row r="113" spans="2:14" s="7" customFormat="1" ht="15.75">
      <c r="B113" s="336" t="s">
        <v>108</v>
      </c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8"/>
    </row>
    <row r="114" spans="2:14" s="7" customFormat="1" ht="15.75">
      <c r="B114" s="9"/>
      <c r="C114" s="86" t="s">
        <v>109</v>
      </c>
      <c r="D114" s="86" t="s">
        <v>110</v>
      </c>
      <c r="E114" s="86" t="s">
        <v>111</v>
      </c>
      <c r="F114" s="86" t="s">
        <v>112</v>
      </c>
      <c r="G114" s="86" t="s">
        <v>113</v>
      </c>
      <c r="H114" s="86" t="s">
        <v>114</v>
      </c>
      <c r="I114" s="86" t="s">
        <v>115</v>
      </c>
      <c r="J114" s="86" t="s">
        <v>116</v>
      </c>
      <c r="K114" s="86" t="s">
        <v>117</v>
      </c>
      <c r="L114" s="86" t="s">
        <v>118</v>
      </c>
      <c r="M114" s="86" t="s">
        <v>119</v>
      </c>
      <c r="N114" s="87" t="s">
        <v>120</v>
      </c>
    </row>
    <row r="115" spans="2:14" s="7" customFormat="1" ht="15.75">
      <c r="B115" s="9" t="s">
        <v>26</v>
      </c>
      <c r="C115" s="45">
        <v>1.84</v>
      </c>
      <c r="D115" s="47">
        <v>1.84</v>
      </c>
      <c r="E115" s="47">
        <v>1.84</v>
      </c>
      <c r="F115" s="47">
        <v>1.84</v>
      </c>
      <c r="G115" s="47">
        <v>1.84</v>
      </c>
      <c r="H115" s="47">
        <v>1.84</v>
      </c>
      <c r="I115" s="47">
        <v>1.84</v>
      </c>
      <c r="J115" s="47">
        <v>1.84</v>
      </c>
      <c r="K115" s="47">
        <v>1.84</v>
      </c>
      <c r="L115" s="47">
        <v>1.84</v>
      </c>
      <c r="M115" s="47">
        <v>1.84</v>
      </c>
      <c r="N115" s="53">
        <v>1.84</v>
      </c>
    </row>
    <row r="116" spans="2:15" s="7" customFormat="1" ht="15.75">
      <c r="B116" s="9" t="s">
        <v>121</v>
      </c>
      <c r="C116" s="45">
        <v>0</v>
      </c>
      <c r="D116" s="45">
        <f>+C84/12</f>
        <v>39900</v>
      </c>
      <c r="E116" s="45">
        <f>+D116</f>
        <v>39900</v>
      </c>
      <c r="F116" s="45">
        <f aca="true" t="shared" si="24" ref="F116:N116">+E116</f>
        <v>39900</v>
      </c>
      <c r="G116" s="45">
        <f t="shared" si="24"/>
        <v>39900</v>
      </c>
      <c r="H116" s="45">
        <f t="shared" si="24"/>
        <v>39900</v>
      </c>
      <c r="I116" s="45">
        <f t="shared" si="24"/>
        <v>39900</v>
      </c>
      <c r="J116" s="45">
        <f t="shared" si="24"/>
        <v>39900</v>
      </c>
      <c r="K116" s="45">
        <f t="shared" si="24"/>
        <v>39900</v>
      </c>
      <c r="L116" s="45">
        <f t="shared" si="24"/>
        <v>39900</v>
      </c>
      <c r="M116" s="45">
        <f t="shared" si="24"/>
        <v>39900</v>
      </c>
      <c r="N116" s="45">
        <f t="shared" si="24"/>
        <v>39900</v>
      </c>
      <c r="O116" s="7">
        <f>+SUM(D116:N116)</f>
        <v>438900</v>
      </c>
    </row>
    <row r="117" spans="2:14" s="7" customFormat="1" ht="16.5" thickBot="1">
      <c r="B117" s="54" t="s">
        <v>122</v>
      </c>
      <c r="C117" s="192">
        <v>0</v>
      </c>
      <c r="D117" s="55">
        <f>D115*D116</f>
        <v>73416</v>
      </c>
      <c r="E117" s="55">
        <f>E115*E116</f>
        <v>73416</v>
      </c>
      <c r="F117" s="55">
        <f aca="true" t="shared" si="25" ref="F117:N117">F115*F116</f>
        <v>73416</v>
      </c>
      <c r="G117" s="55">
        <f t="shared" si="25"/>
        <v>73416</v>
      </c>
      <c r="H117" s="55">
        <f t="shared" si="25"/>
        <v>73416</v>
      </c>
      <c r="I117" s="55">
        <f t="shared" si="25"/>
        <v>73416</v>
      </c>
      <c r="J117" s="55">
        <f t="shared" si="25"/>
        <v>73416</v>
      </c>
      <c r="K117" s="55">
        <f t="shared" si="25"/>
        <v>73416</v>
      </c>
      <c r="L117" s="55">
        <f t="shared" si="25"/>
        <v>73416</v>
      </c>
      <c r="M117" s="55">
        <f t="shared" si="25"/>
        <v>73416</v>
      </c>
      <c r="N117" s="56">
        <f t="shared" si="25"/>
        <v>73416</v>
      </c>
    </row>
    <row r="118" spans="2:14" s="7" customFormat="1" ht="16.5" thickBot="1">
      <c r="B118" s="57" t="s">
        <v>123</v>
      </c>
      <c r="C118" s="193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9"/>
    </row>
    <row r="119" spans="2:14" s="7" customFormat="1" ht="15.75">
      <c r="B119" s="60" t="s">
        <v>124</v>
      </c>
      <c r="C119" s="172">
        <f>+C117*0.5</f>
        <v>0</v>
      </c>
      <c r="D119" s="61">
        <f>D117*0.5</f>
        <v>36708</v>
      </c>
      <c r="E119" s="61">
        <f>E117*0.5</f>
        <v>36708</v>
      </c>
      <c r="F119" s="61">
        <f aca="true" t="shared" si="26" ref="F119:N119">F117*0.5</f>
        <v>36708</v>
      </c>
      <c r="G119" s="61">
        <f t="shared" si="26"/>
        <v>36708</v>
      </c>
      <c r="H119" s="61">
        <f t="shared" si="26"/>
        <v>36708</v>
      </c>
      <c r="I119" s="61">
        <f t="shared" si="26"/>
        <v>36708</v>
      </c>
      <c r="J119" s="61">
        <f t="shared" si="26"/>
        <v>36708</v>
      </c>
      <c r="K119" s="61">
        <f t="shared" si="26"/>
        <v>36708</v>
      </c>
      <c r="L119" s="61">
        <f t="shared" si="26"/>
        <v>36708</v>
      </c>
      <c r="M119" s="61">
        <f t="shared" si="26"/>
        <v>36708</v>
      </c>
      <c r="N119" s="62">
        <f t="shared" si="26"/>
        <v>36708</v>
      </c>
    </row>
    <row r="120" spans="2:14" s="7" customFormat="1" ht="15.75">
      <c r="B120" s="63" t="s">
        <v>125</v>
      </c>
      <c r="C120" s="173">
        <f>+C117*0.3</f>
        <v>0</v>
      </c>
      <c r="D120" s="45"/>
      <c r="E120" s="47">
        <f>E119*0.3</f>
        <v>11012.4</v>
      </c>
      <c r="F120" s="47">
        <f aca="true" t="shared" si="27" ref="F120:N120">F119*0.3</f>
        <v>11012.4</v>
      </c>
      <c r="G120" s="47">
        <f t="shared" si="27"/>
        <v>11012.4</v>
      </c>
      <c r="H120" s="47">
        <f t="shared" si="27"/>
        <v>11012.4</v>
      </c>
      <c r="I120" s="47">
        <f t="shared" si="27"/>
        <v>11012.4</v>
      </c>
      <c r="J120" s="47">
        <f t="shared" si="27"/>
        <v>11012.4</v>
      </c>
      <c r="K120" s="47">
        <f t="shared" si="27"/>
        <v>11012.4</v>
      </c>
      <c r="L120" s="47">
        <f t="shared" si="27"/>
        <v>11012.4</v>
      </c>
      <c r="M120" s="47">
        <f t="shared" si="27"/>
        <v>11012.4</v>
      </c>
      <c r="N120" s="53">
        <f t="shared" si="27"/>
        <v>11012.4</v>
      </c>
    </row>
    <row r="121" spans="2:14" s="7" customFormat="1" ht="15.75">
      <c r="B121" s="63" t="s">
        <v>126</v>
      </c>
      <c r="C121" s="173">
        <f>+C117*0.2</f>
        <v>0</v>
      </c>
      <c r="D121" s="45"/>
      <c r="E121" s="45"/>
      <c r="F121" s="47">
        <f>F120*0.2</f>
        <v>2202.48</v>
      </c>
      <c r="G121" s="47">
        <f aca="true" t="shared" si="28" ref="G121:N121">G120*0.2</f>
        <v>2202.48</v>
      </c>
      <c r="H121" s="47">
        <f t="shared" si="28"/>
        <v>2202.48</v>
      </c>
      <c r="I121" s="47">
        <f t="shared" si="28"/>
        <v>2202.48</v>
      </c>
      <c r="J121" s="47">
        <f t="shared" si="28"/>
        <v>2202.48</v>
      </c>
      <c r="K121" s="47">
        <f t="shared" si="28"/>
        <v>2202.48</v>
      </c>
      <c r="L121" s="47">
        <f t="shared" si="28"/>
        <v>2202.48</v>
      </c>
      <c r="M121" s="47">
        <f t="shared" si="28"/>
        <v>2202.48</v>
      </c>
      <c r="N121" s="53">
        <f t="shared" si="28"/>
        <v>2202.48</v>
      </c>
    </row>
    <row r="122" spans="2:14" s="7" customFormat="1" ht="15.75">
      <c r="B122" s="188"/>
      <c r="C122" s="194"/>
      <c r="D122" s="189"/>
      <c r="E122" s="189"/>
      <c r="F122" s="190"/>
      <c r="G122" s="190"/>
      <c r="H122" s="190"/>
      <c r="I122" s="190"/>
      <c r="J122" s="190"/>
      <c r="K122" s="190"/>
      <c r="L122" s="190"/>
      <c r="M122" s="190"/>
      <c r="N122" s="191"/>
    </row>
    <row r="123" spans="2:14" s="7" customFormat="1" ht="16.5" thickBot="1">
      <c r="B123" s="64" t="s">
        <v>127</v>
      </c>
      <c r="C123" s="192">
        <f>+SUM(C119:C121)</f>
        <v>0</v>
      </c>
      <c r="D123" s="55">
        <f aca="true" t="shared" si="29" ref="D123:N123">D119+D120+D121</f>
        <v>36708</v>
      </c>
      <c r="E123" s="55">
        <f t="shared" si="29"/>
        <v>47720.4</v>
      </c>
      <c r="F123" s="55">
        <f t="shared" si="29"/>
        <v>49922.880000000005</v>
      </c>
      <c r="G123" s="55">
        <f t="shared" si="29"/>
        <v>49922.880000000005</v>
      </c>
      <c r="H123" s="55">
        <f t="shared" si="29"/>
        <v>49922.880000000005</v>
      </c>
      <c r="I123" s="55">
        <f t="shared" si="29"/>
        <v>49922.880000000005</v>
      </c>
      <c r="J123" s="55">
        <f t="shared" si="29"/>
        <v>49922.880000000005</v>
      </c>
      <c r="K123" s="55">
        <f t="shared" si="29"/>
        <v>49922.880000000005</v>
      </c>
      <c r="L123" s="55">
        <f t="shared" si="29"/>
        <v>49922.880000000005</v>
      </c>
      <c r="M123" s="55">
        <f t="shared" si="29"/>
        <v>49922.880000000005</v>
      </c>
      <c r="N123" s="56">
        <f t="shared" si="29"/>
        <v>49922.880000000005</v>
      </c>
    </row>
    <row r="124" spans="2:14" s="7" customFormat="1" ht="15.75">
      <c r="B124" s="65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9"/>
    </row>
    <row r="125" spans="2:14" s="7" customFormat="1" ht="15.75">
      <c r="B125" s="65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9"/>
    </row>
    <row r="126" spans="2:14" s="7" customFormat="1" ht="15.75">
      <c r="B126" s="57" t="s">
        <v>128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9"/>
    </row>
    <row r="127" spans="2:14" s="7" customFormat="1" ht="16.5" thickBot="1">
      <c r="B127" s="57" t="s">
        <v>129</v>
      </c>
      <c r="C127" s="66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9"/>
    </row>
    <row r="128" spans="2:14" s="7" customFormat="1" ht="15.75">
      <c r="B128" s="60" t="str">
        <f>+H4</f>
        <v>Comision por ventas(% ventas)</v>
      </c>
      <c r="C128" s="172">
        <v>0</v>
      </c>
      <c r="D128" s="67">
        <f>+C93/12</f>
        <v>6607.44</v>
      </c>
      <c r="E128" s="67">
        <f>+D128</f>
        <v>6607.44</v>
      </c>
      <c r="F128" s="67">
        <f aca="true" t="shared" si="30" ref="F128:N128">+E128</f>
        <v>6607.44</v>
      </c>
      <c r="G128" s="67">
        <f t="shared" si="30"/>
        <v>6607.44</v>
      </c>
      <c r="H128" s="67">
        <f t="shared" si="30"/>
        <v>6607.44</v>
      </c>
      <c r="I128" s="67">
        <f t="shared" si="30"/>
        <v>6607.44</v>
      </c>
      <c r="J128" s="67">
        <f t="shared" si="30"/>
        <v>6607.44</v>
      </c>
      <c r="K128" s="67">
        <f t="shared" si="30"/>
        <v>6607.44</v>
      </c>
      <c r="L128" s="67">
        <f t="shared" si="30"/>
        <v>6607.44</v>
      </c>
      <c r="M128" s="67">
        <f t="shared" si="30"/>
        <v>6607.44</v>
      </c>
      <c r="N128" s="67">
        <f t="shared" si="30"/>
        <v>6607.44</v>
      </c>
    </row>
    <row r="129" spans="2:14" s="7" customFormat="1" ht="15.75">
      <c r="B129" s="184" t="s">
        <v>248</v>
      </c>
      <c r="C129" s="195">
        <v>0</v>
      </c>
      <c r="D129" s="185">
        <f>+$F$108*D116*450</f>
        <v>10634.884615384615</v>
      </c>
      <c r="E129" s="185">
        <f aca="true" t="shared" si="31" ref="E129:N129">+$F$108*E116*450</f>
        <v>10634.884615384615</v>
      </c>
      <c r="F129" s="185">
        <f t="shared" si="31"/>
        <v>10634.884615384615</v>
      </c>
      <c r="G129" s="185">
        <f t="shared" si="31"/>
        <v>10634.884615384615</v>
      </c>
      <c r="H129" s="185">
        <f t="shared" si="31"/>
        <v>10634.884615384615</v>
      </c>
      <c r="I129" s="185">
        <f t="shared" si="31"/>
        <v>10634.884615384615</v>
      </c>
      <c r="J129" s="185">
        <f t="shared" si="31"/>
        <v>10634.884615384615</v>
      </c>
      <c r="K129" s="185">
        <f t="shared" si="31"/>
        <v>10634.884615384615</v>
      </c>
      <c r="L129" s="185">
        <f t="shared" si="31"/>
        <v>10634.884615384615</v>
      </c>
      <c r="M129" s="185">
        <f t="shared" si="31"/>
        <v>10634.884615384615</v>
      </c>
      <c r="N129" s="185">
        <f t="shared" si="31"/>
        <v>10634.884615384615</v>
      </c>
    </row>
    <row r="130" spans="2:14" s="7" customFormat="1" ht="16.5" thickBot="1">
      <c r="B130" s="64" t="s">
        <v>130</v>
      </c>
      <c r="C130" s="192">
        <f>+SUM(C128:C129)</f>
        <v>0</v>
      </c>
      <c r="D130" s="48">
        <f aca="true" t="shared" si="32" ref="D130:N130">+SUM(D128:D129)</f>
        <v>17242.324615384616</v>
      </c>
      <c r="E130" s="48">
        <f t="shared" si="32"/>
        <v>17242.324615384616</v>
      </c>
      <c r="F130" s="48">
        <f t="shared" si="32"/>
        <v>17242.324615384616</v>
      </c>
      <c r="G130" s="48">
        <f t="shared" si="32"/>
        <v>17242.324615384616</v>
      </c>
      <c r="H130" s="48">
        <f t="shared" si="32"/>
        <v>17242.324615384616</v>
      </c>
      <c r="I130" s="48">
        <f t="shared" si="32"/>
        <v>17242.324615384616</v>
      </c>
      <c r="J130" s="48">
        <f t="shared" si="32"/>
        <v>17242.324615384616</v>
      </c>
      <c r="K130" s="48">
        <f t="shared" si="32"/>
        <v>17242.324615384616</v>
      </c>
      <c r="L130" s="48">
        <f t="shared" si="32"/>
        <v>17242.324615384616</v>
      </c>
      <c r="M130" s="48">
        <f t="shared" si="32"/>
        <v>17242.324615384616</v>
      </c>
      <c r="N130" s="48">
        <f t="shared" si="32"/>
        <v>17242.324615384616</v>
      </c>
    </row>
    <row r="131" spans="2:14" s="7" customFormat="1" ht="15.75">
      <c r="B131" s="70"/>
      <c r="C131" s="193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9"/>
    </row>
    <row r="132" spans="2:14" s="7" customFormat="1" ht="16.5" thickBot="1">
      <c r="B132" s="71" t="s">
        <v>131</v>
      </c>
      <c r="C132" s="193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9"/>
    </row>
    <row r="133" spans="2:14" s="7" customFormat="1" ht="16.5" thickBot="1">
      <c r="B133" s="8" t="str">
        <f>+B98</f>
        <v>SUELDOS Y SALARIOS </v>
      </c>
      <c r="C133" s="183">
        <f>+C98</f>
        <v>12200</v>
      </c>
      <c r="D133" s="72">
        <f>+C133</f>
        <v>12200</v>
      </c>
      <c r="E133" s="72">
        <f aca="true" t="shared" si="33" ref="E133:N133">+D133</f>
        <v>12200</v>
      </c>
      <c r="F133" s="72">
        <f t="shared" si="33"/>
        <v>12200</v>
      </c>
      <c r="G133" s="72">
        <f t="shared" si="33"/>
        <v>12200</v>
      </c>
      <c r="H133" s="72">
        <f t="shared" si="33"/>
        <v>12200</v>
      </c>
      <c r="I133" s="72">
        <f t="shared" si="33"/>
        <v>12200</v>
      </c>
      <c r="J133" s="72">
        <f t="shared" si="33"/>
        <v>12200</v>
      </c>
      <c r="K133" s="72">
        <f t="shared" si="33"/>
        <v>12200</v>
      </c>
      <c r="L133" s="72">
        <f t="shared" si="33"/>
        <v>12200</v>
      </c>
      <c r="M133" s="72">
        <f t="shared" si="33"/>
        <v>12200</v>
      </c>
      <c r="N133" s="72">
        <f t="shared" si="33"/>
        <v>12200</v>
      </c>
    </row>
    <row r="134" spans="2:14" s="7" customFormat="1" ht="16.5" thickBot="1">
      <c r="B134" s="8" t="str">
        <f>+B99</f>
        <v>PUBLICIDAD Y PROMOCION</v>
      </c>
      <c r="C134" s="183">
        <f>+C99</f>
        <v>2620</v>
      </c>
      <c r="D134" s="72">
        <f aca="true" t="shared" si="34" ref="D134:N138">+C134</f>
        <v>2620</v>
      </c>
      <c r="E134" s="72">
        <f t="shared" si="34"/>
        <v>2620</v>
      </c>
      <c r="F134" s="72">
        <f t="shared" si="34"/>
        <v>2620</v>
      </c>
      <c r="G134" s="72">
        <f t="shared" si="34"/>
        <v>2620</v>
      </c>
      <c r="H134" s="72">
        <f t="shared" si="34"/>
        <v>2620</v>
      </c>
      <c r="I134" s="72">
        <f t="shared" si="34"/>
        <v>2620</v>
      </c>
      <c r="J134" s="72">
        <f t="shared" si="34"/>
        <v>2620</v>
      </c>
      <c r="K134" s="72">
        <f t="shared" si="34"/>
        <v>2620</v>
      </c>
      <c r="L134" s="72">
        <f t="shared" si="34"/>
        <v>2620</v>
      </c>
      <c r="M134" s="72">
        <f t="shared" si="34"/>
        <v>2620</v>
      </c>
      <c r="N134" s="72">
        <f t="shared" si="34"/>
        <v>2620</v>
      </c>
    </row>
    <row r="135" spans="2:14" s="7" customFormat="1" ht="16.5" thickBot="1">
      <c r="B135" s="8" t="str">
        <f>+B100</f>
        <v>Telefono</v>
      </c>
      <c r="C135" s="183">
        <f>+C100</f>
        <v>100</v>
      </c>
      <c r="D135" s="72">
        <f t="shared" si="34"/>
        <v>100</v>
      </c>
      <c r="E135" s="72">
        <f t="shared" si="34"/>
        <v>100</v>
      </c>
      <c r="F135" s="72">
        <f t="shared" si="34"/>
        <v>100</v>
      </c>
      <c r="G135" s="72">
        <f t="shared" si="34"/>
        <v>100</v>
      </c>
      <c r="H135" s="72">
        <f t="shared" si="34"/>
        <v>100</v>
      </c>
      <c r="I135" s="72">
        <f t="shared" si="34"/>
        <v>100</v>
      </c>
      <c r="J135" s="72">
        <f t="shared" si="34"/>
        <v>100</v>
      </c>
      <c r="K135" s="72">
        <f t="shared" si="34"/>
        <v>100</v>
      </c>
      <c r="L135" s="72">
        <f t="shared" si="34"/>
        <v>100</v>
      </c>
      <c r="M135" s="72">
        <f t="shared" si="34"/>
        <v>100</v>
      </c>
      <c r="N135" s="72">
        <f t="shared" si="34"/>
        <v>100</v>
      </c>
    </row>
    <row r="136" spans="2:14" s="7" customFormat="1" ht="16.5" thickBot="1">
      <c r="B136" s="8" t="str">
        <f>+B101</f>
        <v>Luz</v>
      </c>
      <c r="C136" s="183">
        <f>+C101</f>
        <v>300</v>
      </c>
      <c r="D136" s="72">
        <f t="shared" si="34"/>
        <v>300</v>
      </c>
      <c r="E136" s="72">
        <f t="shared" si="34"/>
        <v>300</v>
      </c>
      <c r="F136" s="72">
        <f t="shared" si="34"/>
        <v>300</v>
      </c>
      <c r="G136" s="72">
        <f t="shared" si="34"/>
        <v>300</v>
      </c>
      <c r="H136" s="72">
        <f t="shared" si="34"/>
        <v>300</v>
      </c>
      <c r="I136" s="72">
        <f t="shared" si="34"/>
        <v>300</v>
      </c>
      <c r="J136" s="72">
        <f t="shared" si="34"/>
        <v>300</v>
      </c>
      <c r="K136" s="72">
        <f t="shared" si="34"/>
        <v>300</v>
      </c>
      <c r="L136" s="72">
        <f t="shared" si="34"/>
        <v>300</v>
      </c>
      <c r="M136" s="72">
        <f t="shared" si="34"/>
        <v>300</v>
      </c>
      <c r="N136" s="72">
        <f t="shared" si="34"/>
        <v>300</v>
      </c>
    </row>
    <row r="137" spans="2:14" s="7" customFormat="1" ht="16.5" thickBot="1">
      <c r="B137" s="8" t="str">
        <f>+B102</f>
        <v>Internet</v>
      </c>
      <c r="C137" s="183">
        <f>+C102</f>
        <v>50</v>
      </c>
      <c r="D137" s="72">
        <f t="shared" si="34"/>
        <v>50</v>
      </c>
      <c r="E137" s="72">
        <f t="shared" si="34"/>
        <v>50</v>
      </c>
      <c r="F137" s="72">
        <f t="shared" si="34"/>
        <v>50</v>
      </c>
      <c r="G137" s="72">
        <f t="shared" si="34"/>
        <v>50</v>
      </c>
      <c r="H137" s="72">
        <f t="shared" si="34"/>
        <v>50</v>
      </c>
      <c r="I137" s="72">
        <f t="shared" si="34"/>
        <v>50</v>
      </c>
      <c r="J137" s="72">
        <f t="shared" si="34"/>
        <v>50</v>
      </c>
      <c r="K137" s="72">
        <f t="shared" si="34"/>
        <v>50</v>
      </c>
      <c r="L137" s="72">
        <f t="shared" si="34"/>
        <v>50</v>
      </c>
      <c r="M137" s="72">
        <f t="shared" si="34"/>
        <v>50</v>
      </c>
      <c r="N137" s="72">
        <f t="shared" si="34"/>
        <v>50</v>
      </c>
    </row>
    <row r="138" spans="2:14" s="7" customFormat="1" ht="15.75">
      <c r="B138" s="8" t="str">
        <f>+B103</f>
        <v>Agua</v>
      </c>
      <c r="C138" s="183">
        <f>+C103</f>
        <v>300</v>
      </c>
      <c r="D138" s="72">
        <f t="shared" si="34"/>
        <v>300</v>
      </c>
      <c r="E138" s="72">
        <f t="shared" si="34"/>
        <v>300</v>
      </c>
      <c r="F138" s="72">
        <f t="shared" si="34"/>
        <v>300</v>
      </c>
      <c r="G138" s="72">
        <f t="shared" si="34"/>
        <v>300</v>
      </c>
      <c r="H138" s="72">
        <f t="shared" si="34"/>
        <v>300</v>
      </c>
      <c r="I138" s="72">
        <f t="shared" si="34"/>
        <v>300</v>
      </c>
      <c r="J138" s="72">
        <f t="shared" si="34"/>
        <v>300</v>
      </c>
      <c r="K138" s="72">
        <f t="shared" si="34"/>
        <v>300</v>
      </c>
      <c r="L138" s="72">
        <f t="shared" si="34"/>
        <v>300</v>
      </c>
      <c r="M138" s="72">
        <f t="shared" si="34"/>
        <v>300</v>
      </c>
      <c r="N138" s="72">
        <f t="shared" si="34"/>
        <v>300</v>
      </c>
    </row>
    <row r="139" spans="2:14" s="7" customFormat="1" ht="15.75">
      <c r="B139" s="180"/>
      <c r="C139" s="194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2"/>
    </row>
    <row r="140" spans="2:14" s="7" customFormat="1" ht="15.75">
      <c r="B140" s="180"/>
      <c r="C140" s="194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2"/>
    </row>
    <row r="141" spans="2:14" s="7" customFormat="1" ht="16.5" thickBot="1">
      <c r="B141" s="54" t="s">
        <v>132</v>
      </c>
      <c r="C141" s="192">
        <f>+SUM(C133:C140)</f>
        <v>15570</v>
      </c>
      <c r="D141" s="73">
        <f aca="true" t="shared" si="35" ref="D141:N141">+SUM(D133:D140)</f>
        <v>15570</v>
      </c>
      <c r="E141" s="73">
        <f t="shared" si="35"/>
        <v>15570</v>
      </c>
      <c r="F141" s="73">
        <f t="shared" si="35"/>
        <v>15570</v>
      </c>
      <c r="G141" s="73">
        <f t="shared" si="35"/>
        <v>15570</v>
      </c>
      <c r="H141" s="73">
        <f t="shared" si="35"/>
        <v>15570</v>
      </c>
      <c r="I141" s="73">
        <f t="shared" si="35"/>
        <v>15570</v>
      </c>
      <c r="J141" s="73">
        <f t="shared" si="35"/>
        <v>15570</v>
      </c>
      <c r="K141" s="73">
        <f t="shared" si="35"/>
        <v>15570</v>
      </c>
      <c r="L141" s="73">
        <f t="shared" si="35"/>
        <v>15570</v>
      </c>
      <c r="M141" s="73">
        <f t="shared" si="35"/>
        <v>15570</v>
      </c>
      <c r="N141" s="73">
        <f t="shared" si="35"/>
        <v>15570</v>
      </c>
    </row>
    <row r="142" spans="2:14" s="7" customFormat="1" ht="16.5" thickBot="1">
      <c r="B142" s="70"/>
      <c r="C142" s="193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9"/>
    </row>
    <row r="143" spans="2:14" s="7" customFormat="1" ht="16.5" thickBot="1">
      <c r="B143" s="75" t="s">
        <v>133</v>
      </c>
      <c r="C143" s="196">
        <f aca="true" t="shared" si="36" ref="C143:N143">C130+C141</f>
        <v>15570</v>
      </c>
      <c r="D143" s="76">
        <f t="shared" si="36"/>
        <v>32812.32461538461</v>
      </c>
      <c r="E143" s="76">
        <f t="shared" si="36"/>
        <v>32812.32461538461</v>
      </c>
      <c r="F143" s="76">
        <f t="shared" si="36"/>
        <v>32812.32461538461</v>
      </c>
      <c r="G143" s="76">
        <f t="shared" si="36"/>
        <v>32812.32461538461</v>
      </c>
      <c r="H143" s="76">
        <f t="shared" si="36"/>
        <v>32812.32461538461</v>
      </c>
      <c r="I143" s="76">
        <f t="shared" si="36"/>
        <v>32812.32461538461</v>
      </c>
      <c r="J143" s="76">
        <f t="shared" si="36"/>
        <v>32812.32461538461</v>
      </c>
      <c r="K143" s="76">
        <f t="shared" si="36"/>
        <v>32812.32461538461</v>
      </c>
      <c r="L143" s="76">
        <f t="shared" si="36"/>
        <v>32812.32461538461</v>
      </c>
      <c r="M143" s="76">
        <f t="shared" si="36"/>
        <v>32812.32461538461</v>
      </c>
      <c r="N143" s="77">
        <f t="shared" si="36"/>
        <v>32812.32461538461</v>
      </c>
    </row>
    <row r="144" spans="2:14" s="7" customFormat="1" ht="16.5" thickBot="1">
      <c r="B144" s="70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9"/>
    </row>
    <row r="145" spans="2:14" s="7" customFormat="1" ht="15.75">
      <c r="B145" s="8"/>
      <c r="C145" s="14" t="s">
        <v>109</v>
      </c>
      <c r="D145" s="14" t="s">
        <v>110</v>
      </c>
      <c r="E145" s="14" t="s">
        <v>111</v>
      </c>
      <c r="F145" s="14" t="s">
        <v>112</v>
      </c>
      <c r="G145" s="14" t="s">
        <v>113</v>
      </c>
      <c r="H145" s="14" t="s">
        <v>114</v>
      </c>
      <c r="I145" s="14" t="s">
        <v>115</v>
      </c>
      <c r="J145" s="14" t="s">
        <v>116</v>
      </c>
      <c r="K145" s="14" t="s">
        <v>117</v>
      </c>
      <c r="L145" s="14" t="s">
        <v>118</v>
      </c>
      <c r="M145" s="14" t="s">
        <v>119</v>
      </c>
      <c r="N145" s="15" t="s">
        <v>120</v>
      </c>
    </row>
    <row r="146" spans="2:14" s="7" customFormat="1" ht="15.75">
      <c r="B146" s="9" t="s">
        <v>127</v>
      </c>
      <c r="C146" s="68">
        <f>+C123</f>
        <v>0</v>
      </c>
      <c r="D146" s="68">
        <f>+D123</f>
        <v>36708</v>
      </c>
      <c r="E146" s="68">
        <f aca="true" t="shared" si="37" ref="E146:N146">+E123</f>
        <v>47720.4</v>
      </c>
      <c r="F146" s="68">
        <f t="shared" si="37"/>
        <v>49922.880000000005</v>
      </c>
      <c r="G146" s="68">
        <f t="shared" si="37"/>
        <v>49922.880000000005</v>
      </c>
      <c r="H146" s="68">
        <f t="shared" si="37"/>
        <v>49922.880000000005</v>
      </c>
      <c r="I146" s="68">
        <f t="shared" si="37"/>
        <v>49922.880000000005</v>
      </c>
      <c r="J146" s="68">
        <f t="shared" si="37"/>
        <v>49922.880000000005</v>
      </c>
      <c r="K146" s="68">
        <f t="shared" si="37"/>
        <v>49922.880000000005</v>
      </c>
      <c r="L146" s="68">
        <f t="shared" si="37"/>
        <v>49922.880000000005</v>
      </c>
      <c r="M146" s="68">
        <f t="shared" si="37"/>
        <v>49922.880000000005</v>
      </c>
      <c r="N146" s="68">
        <f t="shared" si="37"/>
        <v>49922.880000000005</v>
      </c>
    </row>
    <row r="147" spans="2:14" s="7" customFormat="1" ht="15.75">
      <c r="B147" s="9" t="s">
        <v>133</v>
      </c>
      <c r="C147" s="68">
        <f>+C143</f>
        <v>15570</v>
      </c>
      <c r="D147" s="68">
        <f>+D143</f>
        <v>32812.32461538461</v>
      </c>
      <c r="E147" s="68">
        <f aca="true" t="shared" si="38" ref="E147:N147">+E143</f>
        <v>32812.32461538461</v>
      </c>
      <c r="F147" s="68">
        <f t="shared" si="38"/>
        <v>32812.32461538461</v>
      </c>
      <c r="G147" s="68">
        <f t="shared" si="38"/>
        <v>32812.32461538461</v>
      </c>
      <c r="H147" s="68">
        <f t="shared" si="38"/>
        <v>32812.32461538461</v>
      </c>
      <c r="I147" s="68">
        <f t="shared" si="38"/>
        <v>32812.32461538461</v>
      </c>
      <c r="J147" s="68">
        <f t="shared" si="38"/>
        <v>32812.32461538461</v>
      </c>
      <c r="K147" s="68">
        <f t="shared" si="38"/>
        <v>32812.32461538461</v>
      </c>
      <c r="L147" s="68">
        <f t="shared" si="38"/>
        <v>32812.32461538461</v>
      </c>
      <c r="M147" s="68">
        <f t="shared" si="38"/>
        <v>32812.32461538461</v>
      </c>
      <c r="N147" s="68">
        <f t="shared" si="38"/>
        <v>32812.32461538461</v>
      </c>
    </row>
    <row r="148" spans="2:14" s="7" customFormat="1" ht="15.75">
      <c r="B148" s="9" t="s">
        <v>134</v>
      </c>
      <c r="C148" s="68">
        <f>C146-C147</f>
        <v>-15570</v>
      </c>
      <c r="D148" s="68">
        <f aca="true" t="shared" si="39" ref="D148:N148">D146-D147</f>
        <v>3895.675384615388</v>
      </c>
      <c r="E148" s="68">
        <f>E146-E147</f>
        <v>14908.07538461539</v>
      </c>
      <c r="F148" s="68">
        <f t="shared" si="39"/>
        <v>17110.555384615393</v>
      </c>
      <c r="G148" s="68">
        <f t="shared" si="39"/>
        <v>17110.555384615393</v>
      </c>
      <c r="H148" s="68">
        <f t="shared" si="39"/>
        <v>17110.555384615393</v>
      </c>
      <c r="I148" s="68">
        <f t="shared" si="39"/>
        <v>17110.555384615393</v>
      </c>
      <c r="J148" s="68">
        <f t="shared" si="39"/>
        <v>17110.555384615393</v>
      </c>
      <c r="K148" s="68">
        <f t="shared" si="39"/>
        <v>17110.555384615393</v>
      </c>
      <c r="L148" s="68">
        <f t="shared" si="39"/>
        <v>17110.555384615393</v>
      </c>
      <c r="M148" s="68">
        <f t="shared" si="39"/>
        <v>17110.555384615393</v>
      </c>
      <c r="N148" s="69">
        <f t="shared" si="39"/>
        <v>17110.555384615393</v>
      </c>
    </row>
    <row r="149" spans="2:14" s="7" customFormat="1" ht="16.5" thickBot="1">
      <c r="B149" s="16" t="s">
        <v>135</v>
      </c>
      <c r="C149" s="73">
        <f>C148</f>
        <v>-15570</v>
      </c>
      <c r="D149" s="73">
        <f>D148+C148</f>
        <v>-11674.324615384612</v>
      </c>
      <c r="E149" s="73">
        <f>E148+D148</f>
        <v>18803.750769230777</v>
      </c>
      <c r="F149" s="73">
        <f aca="true" t="shared" si="40" ref="F149:N149">F148+E148</f>
        <v>32018.630769230782</v>
      </c>
      <c r="G149" s="73">
        <f t="shared" si="40"/>
        <v>34221.110769230785</v>
      </c>
      <c r="H149" s="73">
        <f t="shared" si="40"/>
        <v>34221.110769230785</v>
      </c>
      <c r="I149" s="73">
        <f t="shared" si="40"/>
        <v>34221.110769230785</v>
      </c>
      <c r="J149" s="73">
        <f t="shared" si="40"/>
        <v>34221.110769230785</v>
      </c>
      <c r="K149" s="73">
        <f t="shared" si="40"/>
        <v>34221.110769230785</v>
      </c>
      <c r="L149" s="73">
        <f t="shared" si="40"/>
        <v>34221.110769230785</v>
      </c>
      <c r="M149" s="73">
        <f t="shared" si="40"/>
        <v>34221.110769230785</v>
      </c>
      <c r="N149" s="74">
        <f t="shared" si="40"/>
        <v>34221.110769230785</v>
      </c>
    </row>
    <row r="150" spans="2:14" s="7" customFormat="1" ht="16.5" thickBot="1">
      <c r="B150" s="70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9"/>
    </row>
    <row r="151" spans="2:14" s="7" customFormat="1" ht="16.5" thickBot="1">
      <c r="B151" s="10" t="s">
        <v>107</v>
      </c>
      <c r="C151" s="88">
        <f>MIN(C149:N149)</f>
        <v>-15570</v>
      </c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9"/>
    </row>
    <row r="152" spans="2:14" s="7" customFormat="1" ht="16.5" thickBot="1">
      <c r="B152" s="80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2"/>
    </row>
    <row r="156" spans="2:4" ht="16.5" thickBot="1">
      <c r="B156" s="339" t="s">
        <v>3</v>
      </c>
      <c r="C156" s="339"/>
      <c r="D156" s="7"/>
    </row>
    <row r="157" spans="2:4" ht="15.75">
      <c r="B157" s="91" t="s">
        <v>0</v>
      </c>
      <c r="C157" s="197">
        <v>369100</v>
      </c>
      <c r="D157" s="7" t="s">
        <v>139</v>
      </c>
    </row>
    <row r="158" spans="2:4" ht="15.75">
      <c r="B158" s="92" t="s">
        <v>1</v>
      </c>
      <c r="C158" s="198">
        <f>+E68</f>
        <v>55436</v>
      </c>
      <c r="D158" s="7"/>
    </row>
    <row r="159" spans="2:4" ht="15.75">
      <c r="B159" s="98" t="s">
        <v>142</v>
      </c>
      <c r="C159" s="199">
        <f>-C151</f>
        <v>15570</v>
      </c>
      <c r="D159" s="7"/>
    </row>
    <row r="160" spans="2:6" ht="16.5" thickBot="1">
      <c r="B160" s="98" t="s">
        <v>155</v>
      </c>
      <c r="C160" s="199">
        <v>2000</v>
      </c>
      <c r="D160" s="7"/>
      <c r="E160" s="335" t="s">
        <v>5</v>
      </c>
      <c r="F160" s="335"/>
    </row>
    <row r="161" spans="2:6" ht="16.5" thickBot="1">
      <c r="B161" s="98"/>
      <c r="C161" s="199"/>
      <c r="D161" s="7"/>
      <c r="E161" s="336" t="s">
        <v>4</v>
      </c>
      <c r="F161" s="338"/>
    </row>
    <row r="162" spans="2:6" ht="16.5" thickBot="1">
      <c r="B162" s="93" t="s">
        <v>2</v>
      </c>
      <c r="C162" s="200">
        <f>+SUM(C157:C161)</f>
        <v>442106</v>
      </c>
      <c r="D162" s="7"/>
      <c r="E162" s="100">
        <f>1-F162</f>
        <v>0.9</v>
      </c>
      <c r="F162" s="99">
        <v>0.1</v>
      </c>
    </row>
    <row r="163" spans="5:6" ht="16.5" thickBot="1">
      <c r="E163" s="11" t="s">
        <v>8</v>
      </c>
      <c r="F163" s="12" t="s">
        <v>7</v>
      </c>
    </row>
    <row r="166" spans="4:6" ht="16.5" thickBot="1">
      <c r="D166" s="335" t="s">
        <v>5</v>
      </c>
      <c r="E166" s="335"/>
      <c r="F166" s="335"/>
    </row>
    <row r="167" spans="4:6" ht="15.75">
      <c r="D167" s="13" t="s">
        <v>251</v>
      </c>
      <c r="E167" s="14" t="s">
        <v>7</v>
      </c>
      <c r="F167" s="15" t="s">
        <v>6</v>
      </c>
    </row>
    <row r="168" spans="4:6" ht="16.5" thickBot="1">
      <c r="D168" s="209">
        <f>+C162*E162</f>
        <v>397895.4</v>
      </c>
      <c r="E168" s="192">
        <f>+F162*C162</f>
        <v>44210.600000000006</v>
      </c>
      <c r="F168" s="201">
        <f>D168+E168</f>
        <v>442106</v>
      </c>
    </row>
    <row r="170" spans="4:5" ht="15">
      <c r="D170" t="s">
        <v>256</v>
      </c>
      <c r="E170" s="207">
        <v>0.105</v>
      </c>
    </row>
    <row r="175" spans="2:8" ht="16.5" thickBot="1">
      <c r="B175" s="335" t="s">
        <v>92</v>
      </c>
      <c r="C175" s="335"/>
      <c r="D175" s="335"/>
      <c r="E175" s="335"/>
      <c r="F175" s="335"/>
      <c r="G175" s="335"/>
      <c r="H175" s="335"/>
    </row>
    <row r="176" spans="2:8" ht="16.5" thickBot="1">
      <c r="B176" s="332" t="s">
        <v>93</v>
      </c>
      <c r="C176" s="333"/>
      <c r="D176" s="333"/>
      <c r="E176" s="333"/>
      <c r="F176" s="333"/>
      <c r="G176" s="333"/>
      <c r="H176" s="334"/>
    </row>
    <row r="177" spans="2:8" ht="16.5" thickBot="1">
      <c r="B177" s="332" t="s">
        <v>94</v>
      </c>
      <c r="C177" s="333"/>
      <c r="D177" s="333"/>
      <c r="E177" s="333"/>
      <c r="F177" s="333"/>
      <c r="G177" s="333"/>
      <c r="H177" s="334"/>
    </row>
    <row r="178" spans="2:9" ht="16.5" thickBot="1">
      <c r="B178" s="10" t="s">
        <v>95</v>
      </c>
      <c r="C178" s="41" t="s">
        <v>96</v>
      </c>
      <c r="D178" s="41" t="s">
        <v>97</v>
      </c>
      <c r="E178" s="52" t="s">
        <v>250</v>
      </c>
      <c r="F178" s="41" t="s">
        <v>98</v>
      </c>
      <c r="G178" s="41" t="s">
        <v>99</v>
      </c>
      <c r="H178" s="41" t="s">
        <v>100</v>
      </c>
      <c r="I178" s="24" t="s">
        <v>101</v>
      </c>
    </row>
    <row r="179" spans="2:9" ht="15.75">
      <c r="B179" s="9" t="s">
        <v>102</v>
      </c>
      <c r="C179" s="202">
        <f>+E65-E63</f>
        <v>18390</v>
      </c>
      <c r="D179" s="45">
        <v>10</v>
      </c>
      <c r="E179" s="43">
        <v>3000</v>
      </c>
      <c r="F179" s="42">
        <f>+(C179-E179)/D179</f>
        <v>1539</v>
      </c>
      <c r="G179" s="45">
        <v>10</v>
      </c>
      <c r="H179" s="44">
        <f>F179*G179</f>
        <v>15390</v>
      </c>
      <c r="I179" s="46">
        <f>C179-H179</f>
        <v>3000</v>
      </c>
    </row>
    <row r="180" spans="2:9" ht="15.75">
      <c r="B180" s="9" t="s">
        <v>103</v>
      </c>
      <c r="C180" s="202">
        <f>+E63</f>
        <v>22000</v>
      </c>
      <c r="D180" s="45">
        <v>5</v>
      </c>
      <c r="E180" s="43">
        <v>5000</v>
      </c>
      <c r="F180" s="42">
        <f>+(C180-E180)/D180</f>
        <v>3400</v>
      </c>
      <c r="G180" s="45">
        <v>5</v>
      </c>
      <c r="H180" s="44">
        <f>F180*G180</f>
        <v>17000</v>
      </c>
      <c r="I180" s="46">
        <f>C180-H180</f>
        <v>5000</v>
      </c>
    </row>
    <row r="181" spans="2:9" ht="15.75">
      <c r="B181" s="9" t="s">
        <v>104</v>
      </c>
      <c r="C181" s="202">
        <f>+E49</f>
        <v>3025</v>
      </c>
      <c r="D181" s="45">
        <v>3</v>
      </c>
      <c r="E181" s="43">
        <v>500</v>
      </c>
      <c r="F181" s="42">
        <f>+(C181-E181)/D181</f>
        <v>841.6666666666666</v>
      </c>
      <c r="G181" s="45">
        <v>3</v>
      </c>
      <c r="H181" s="44">
        <f>F181*G181</f>
        <v>2525</v>
      </c>
      <c r="I181" s="46">
        <f>C181-H181</f>
        <v>500</v>
      </c>
    </row>
    <row r="182" spans="2:9" ht="16.5" thickBot="1">
      <c r="B182" s="16" t="s">
        <v>105</v>
      </c>
      <c r="C182" s="203">
        <f>+E43</f>
        <v>9520</v>
      </c>
      <c r="D182" s="19">
        <v>5</v>
      </c>
      <c r="E182" s="204">
        <v>1000</v>
      </c>
      <c r="F182" s="42">
        <f>+(C182-E182)/D182</f>
        <v>1704</v>
      </c>
      <c r="G182" s="19">
        <v>5</v>
      </c>
      <c r="H182" s="48">
        <f>F182*G182</f>
        <v>8520</v>
      </c>
      <c r="I182" s="49">
        <f>C182-H182</f>
        <v>1000</v>
      </c>
    </row>
    <row r="183" spans="2:9" ht="16.5" thickBot="1">
      <c r="B183" s="7"/>
      <c r="C183" s="50"/>
      <c r="D183" s="51"/>
      <c r="E183" s="51" t="s">
        <v>106</v>
      </c>
      <c r="F183" s="206">
        <f>+SUM(F179:F182)</f>
        <v>7484.666666666667</v>
      </c>
      <c r="G183" s="7"/>
      <c r="H183" s="52" t="s">
        <v>141</v>
      </c>
      <c r="I183" s="205">
        <f>+SUM(I179:I182)</f>
        <v>9500</v>
      </c>
    </row>
    <row r="186" spans="4:6" ht="15">
      <c r="D186" s="328" t="s">
        <v>252</v>
      </c>
      <c r="E186" s="328"/>
      <c r="F186" s="123"/>
    </row>
    <row r="187" spans="4:8" ht="15">
      <c r="D187" s="123" t="s">
        <v>253</v>
      </c>
      <c r="E187" s="128">
        <f>+D168</f>
        <v>397895.4</v>
      </c>
      <c r="F187" s="123"/>
      <c r="H187">
        <f>+POWER(1+E188,-E189)</f>
        <v>0.36844886225467294</v>
      </c>
    </row>
    <row r="188" spans="4:8" ht="15">
      <c r="D188" s="123" t="s">
        <v>254</v>
      </c>
      <c r="E188" s="130">
        <f>+E170</f>
        <v>0.105</v>
      </c>
      <c r="F188" s="123"/>
      <c r="H188">
        <f>+(1-H187)</f>
        <v>0.6315511377453271</v>
      </c>
    </row>
    <row r="189" spans="4:6" ht="15">
      <c r="D189" s="123" t="s">
        <v>255</v>
      </c>
      <c r="E189" s="123">
        <v>10</v>
      </c>
      <c r="F189" s="123" t="s">
        <v>257</v>
      </c>
    </row>
    <row r="190" spans="4:5" ht="15">
      <c r="D190" s="208" t="s">
        <v>262</v>
      </c>
      <c r="E190" s="155">
        <f>+(E187*E188)/H188</f>
        <v>66153.02309351137</v>
      </c>
    </row>
    <row r="191" ht="15.75" thickBot="1"/>
    <row r="192" spans="3:7" ht="15">
      <c r="C192" s="329" t="s">
        <v>258</v>
      </c>
      <c r="D192" s="330"/>
      <c r="E192" s="330"/>
      <c r="F192" s="330"/>
      <c r="G192" s="331"/>
    </row>
    <row r="193" spans="3:7" ht="15">
      <c r="C193" s="170"/>
      <c r="D193" s="123"/>
      <c r="E193" s="123"/>
      <c r="F193" s="123"/>
      <c r="G193" s="171"/>
    </row>
    <row r="194" spans="3:7" ht="15">
      <c r="C194" s="170" t="s">
        <v>259</v>
      </c>
      <c r="D194" s="123" t="s">
        <v>260</v>
      </c>
      <c r="E194" s="123" t="s">
        <v>261</v>
      </c>
      <c r="F194" s="123" t="s">
        <v>262</v>
      </c>
      <c r="G194" s="171" t="s">
        <v>263</v>
      </c>
    </row>
    <row r="195" spans="3:7" ht="15">
      <c r="C195" s="170">
        <v>0</v>
      </c>
      <c r="D195" s="123"/>
      <c r="E195" s="123"/>
      <c r="F195" s="123"/>
      <c r="G195" s="175">
        <f>+E187</f>
        <v>397895.4</v>
      </c>
    </row>
    <row r="196" spans="3:7" ht="15">
      <c r="C196" s="170">
        <v>1</v>
      </c>
      <c r="D196" s="159">
        <f>+G195*$E$188</f>
        <v>41779.017</v>
      </c>
      <c r="E196" s="137">
        <f>+F196-D196</f>
        <v>24374.006093511365</v>
      </c>
      <c r="F196" s="137">
        <f>+$E$190</f>
        <v>66153.02309351137</v>
      </c>
      <c r="G196" s="176">
        <f>+G195-E196</f>
        <v>373521.39390648867</v>
      </c>
    </row>
    <row r="197" spans="3:7" ht="15">
      <c r="C197" s="170">
        <v>2</v>
      </c>
      <c r="D197" s="159">
        <f>+G196*$E$188</f>
        <v>39219.74636018131</v>
      </c>
      <c r="E197" s="137">
        <f aca="true" t="shared" si="41" ref="E197:E205">+F197-D197</f>
        <v>26933.276733330058</v>
      </c>
      <c r="F197" s="137">
        <f aca="true" t="shared" si="42" ref="F197:F205">+$E$190</f>
        <v>66153.02309351137</v>
      </c>
      <c r="G197" s="176">
        <f aca="true" t="shared" si="43" ref="G197:G205">+G196-E197</f>
        <v>346588.1171731586</v>
      </c>
    </row>
    <row r="198" spans="3:7" ht="15">
      <c r="C198" s="170">
        <v>3</v>
      </c>
      <c r="D198" s="159">
        <f aca="true" t="shared" si="44" ref="D198:D205">+G197*$E$188</f>
        <v>36391.75230318165</v>
      </c>
      <c r="E198" s="137">
        <f t="shared" si="41"/>
        <v>29761.270790329712</v>
      </c>
      <c r="F198" s="137">
        <f t="shared" si="42"/>
        <v>66153.02309351137</v>
      </c>
      <c r="G198" s="176">
        <f t="shared" si="43"/>
        <v>316826.8463828289</v>
      </c>
    </row>
    <row r="199" spans="3:7" ht="15">
      <c r="C199" s="170">
        <v>4</v>
      </c>
      <c r="D199" s="159">
        <f t="shared" si="44"/>
        <v>33266.818870197036</v>
      </c>
      <c r="E199" s="137">
        <f t="shared" si="41"/>
        <v>32886.20422331433</v>
      </c>
      <c r="F199" s="137">
        <f t="shared" si="42"/>
        <v>66153.02309351137</v>
      </c>
      <c r="G199" s="176">
        <f t="shared" si="43"/>
        <v>283940.6421595146</v>
      </c>
    </row>
    <row r="200" spans="3:7" ht="15">
      <c r="C200" s="170">
        <v>5</v>
      </c>
      <c r="D200" s="159">
        <f t="shared" si="44"/>
        <v>29813.767426749033</v>
      </c>
      <c r="E200" s="137">
        <f t="shared" si="41"/>
        <v>36339.25566676233</v>
      </c>
      <c r="F200" s="137">
        <f t="shared" si="42"/>
        <v>66153.02309351137</v>
      </c>
      <c r="G200" s="176">
        <f t="shared" si="43"/>
        <v>247601.38649275227</v>
      </c>
    </row>
    <row r="201" spans="3:7" ht="15">
      <c r="C201" s="170">
        <v>6</v>
      </c>
      <c r="D201" s="159">
        <f t="shared" si="44"/>
        <v>25998.145581738987</v>
      </c>
      <c r="E201" s="137">
        <f t="shared" si="41"/>
        <v>40154.87751177238</v>
      </c>
      <c r="F201" s="137">
        <f t="shared" si="42"/>
        <v>66153.02309351137</v>
      </c>
      <c r="G201" s="176">
        <f t="shared" si="43"/>
        <v>207446.50898097988</v>
      </c>
    </row>
    <row r="202" spans="3:7" ht="15">
      <c r="C202" s="170">
        <v>7</v>
      </c>
      <c r="D202" s="159">
        <f t="shared" si="44"/>
        <v>21781.883443002887</v>
      </c>
      <c r="E202" s="137">
        <f t="shared" si="41"/>
        <v>44371.13965050848</v>
      </c>
      <c r="F202" s="137">
        <f t="shared" si="42"/>
        <v>66153.02309351137</v>
      </c>
      <c r="G202" s="176">
        <f t="shared" si="43"/>
        <v>163075.3693304714</v>
      </c>
    </row>
    <row r="203" spans="3:7" ht="15">
      <c r="C203" s="170">
        <v>8</v>
      </c>
      <c r="D203" s="159">
        <f t="shared" si="44"/>
        <v>17122.9137796995</v>
      </c>
      <c r="E203" s="137">
        <f t="shared" si="41"/>
        <v>49030.10931381187</v>
      </c>
      <c r="F203" s="137">
        <f t="shared" si="42"/>
        <v>66153.02309351137</v>
      </c>
      <c r="G203" s="176">
        <f t="shared" si="43"/>
        <v>114045.26001665954</v>
      </c>
    </row>
    <row r="204" spans="3:7" ht="15">
      <c r="C204" s="170">
        <v>9</v>
      </c>
      <c r="D204" s="159">
        <f t="shared" si="44"/>
        <v>11974.752301749251</v>
      </c>
      <c r="E204" s="137">
        <f t="shared" si="41"/>
        <v>54178.270791762116</v>
      </c>
      <c r="F204" s="137">
        <f t="shared" si="42"/>
        <v>66153.02309351137</v>
      </c>
      <c r="G204" s="176">
        <f t="shared" si="43"/>
        <v>59866.98922489742</v>
      </c>
    </row>
    <row r="205" spans="3:7" ht="15.75" thickBot="1">
      <c r="C205" s="163">
        <v>10</v>
      </c>
      <c r="D205" s="165">
        <f t="shared" si="44"/>
        <v>6286.033868614229</v>
      </c>
      <c r="E205" s="164">
        <f t="shared" si="41"/>
        <v>59866.98922489714</v>
      </c>
      <c r="F205" s="164">
        <f t="shared" si="42"/>
        <v>66153.02309351137</v>
      </c>
      <c r="G205" s="179">
        <f t="shared" si="43"/>
        <v>2.837623469531536E-10</v>
      </c>
    </row>
    <row r="208" ht="15.75" thickBot="1"/>
    <row r="209" spans="2:13" ht="15">
      <c r="B209" s="101"/>
      <c r="C209" s="102"/>
      <c r="D209" s="102"/>
      <c r="E209" s="249" t="s">
        <v>156</v>
      </c>
      <c r="F209" s="102"/>
      <c r="G209" s="102"/>
      <c r="H209" s="102"/>
      <c r="I209" s="102"/>
      <c r="J209" s="102"/>
      <c r="K209" s="102"/>
      <c r="L209" s="102"/>
      <c r="M209" s="103"/>
    </row>
    <row r="210" spans="2:13" ht="15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6"/>
    </row>
    <row r="211" spans="2:13" ht="15">
      <c r="B211" s="104"/>
      <c r="C211" s="105"/>
      <c r="D211" s="105" t="s">
        <v>158</v>
      </c>
      <c r="E211" s="105" t="s">
        <v>159</v>
      </c>
      <c r="F211" s="105" t="s">
        <v>160</v>
      </c>
      <c r="G211" s="105" t="s">
        <v>161</v>
      </c>
      <c r="H211" s="105" t="s">
        <v>162</v>
      </c>
      <c r="I211" s="105" t="s">
        <v>163</v>
      </c>
      <c r="J211" s="105" t="s">
        <v>164</v>
      </c>
      <c r="K211" s="105" t="s">
        <v>165</v>
      </c>
      <c r="L211" s="105" t="s">
        <v>166</v>
      </c>
      <c r="M211" s="106" t="s">
        <v>167</v>
      </c>
    </row>
    <row r="212" spans="2:13" ht="15">
      <c r="B212" s="104" t="s">
        <v>157</v>
      </c>
      <c r="C212" s="105"/>
      <c r="D212" s="107">
        <f>+C88</f>
        <v>880992</v>
      </c>
      <c r="E212" s="107">
        <f aca="true" t="shared" si="45" ref="E212:M212">+D88</f>
        <v>925041.6000000001</v>
      </c>
      <c r="F212" s="107">
        <f t="shared" si="45"/>
        <v>971293.6800000002</v>
      </c>
      <c r="G212" s="107">
        <f t="shared" si="45"/>
        <v>1019858.3640000002</v>
      </c>
      <c r="H212" s="107">
        <f t="shared" si="45"/>
        <v>1070851.2822000002</v>
      </c>
      <c r="I212" s="107">
        <f t="shared" si="45"/>
        <v>1124393.8463100004</v>
      </c>
      <c r="J212" s="107">
        <f t="shared" si="45"/>
        <v>1180613.5386255004</v>
      </c>
      <c r="K212" s="107">
        <f t="shared" si="45"/>
        <v>1239644.2155567755</v>
      </c>
      <c r="L212" s="107">
        <f t="shared" si="45"/>
        <v>1301626.4263346142</v>
      </c>
      <c r="M212" s="107">
        <f t="shared" si="45"/>
        <v>1366707.7476513449</v>
      </c>
    </row>
    <row r="213" spans="2:13" ht="15">
      <c r="B213" s="104" t="s">
        <v>265</v>
      </c>
      <c r="C213" s="105"/>
      <c r="D213" s="212">
        <f>+C84</f>
        <v>478800</v>
      </c>
      <c r="E213" s="212">
        <f aca="true" t="shared" si="46" ref="E213:M213">+D84</f>
        <v>502740</v>
      </c>
      <c r="F213" s="212">
        <f t="shared" si="46"/>
        <v>527877</v>
      </c>
      <c r="G213" s="212">
        <f t="shared" si="46"/>
        <v>554270.85</v>
      </c>
      <c r="H213" s="212">
        <f t="shared" si="46"/>
        <v>581984.3925</v>
      </c>
      <c r="I213" s="212">
        <f t="shared" si="46"/>
        <v>611083.612125</v>
      </c>
      <c r="J213" s="212">
        <f t="shared" si="46"/>
        <v>641637.79273125</v>
      </c>
      <c r="K213" s="212">
        <f t="shared" si="46"/>
        <v>673719.6823678126</v>
      </c>
      <c r="L213" s="212">
        <f t="shared" si="46"/>
        <v>707405.6664862033</v>
      </c>
      <c r="M213" s="212">
        <f t="shared" si="46"/>
        <v>742775.9498105135</v>
      </c>
    </row>
    <row r="214" spans="2:13" ht="15">
      <c r="B214" s="104"/>
      <c r="C214" s="105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</row>
    <row r="215" spans="2:13" ht="15">
      <c r="B215" s="104" t="s">
        <v>168</v>
      </c>
      <c r="C215" s="105"/>
      <c r="D215" s="107">
        <f>+H108</f>
        <v>127618.61538461539</v>
      </c>
      <c r="E215" s="107">
        <f aca="true" t="shared" si="47" ref="E215:M215">+I108</f>
        <v>133999.54615384617</v>
      </c>
      <c r="F215" s="107">
        <f t="shared" si="47"/>
        <v>140699.52346153848</v>
      </c>
      <c r="G215" s="107">
        <f t="shared" si="47"/>
        <v>147734.49963461538</v>
      </c>
      <c r="H215" s="107">
        <f t="shared" si="47"/>
        <v>155121.22461634615</v>
      </c>
      <c r="I215" s="107">
        <f t="shared" si="47"/>
        <v>162877.28584716347</v>
      </c>
      <c r="J215" s="107">
        <f t="shared" si="47"/>
        <v>171021.15013952166</v>
      </c>
      <c r="K215" s="107">
        <f t="shared" si="47"/>
        <v>179572.20764649776</v>
      </c>
      <c r="L215" s="107">
        <f t="shared" si="47"/>
        <v>188550.81802882266</v>
      </c>
      <c r="M215" s="107">
        <f t="shared" si="47"/>
        <v>197978.3589302638</v>
      </c>
    </row>
    <row r="216" spans="2:13" ht="15">
      <c r="B216" s="104" t="s">
        <v>266</v>
      </c>
      <c r="C216" s="109">
        <v>0.03</v>
      </c>
      <c r="D216" s="213">
        <f>$C$216*D213*$F$108*450</f>
        <v>3828.558461538462</v>
      </c>
      <c r="E216" s="213">
        <f aca="true" t="shared" si="48" ref="E216:M216">$C$216*E213*$F$108*450</f>
        <v>4019.9863846153844</v>
      </c>
      <c r="F216" s="213">
        <f t="shared" si="48"/>
        <v>4220.985703846154</v>
      </c>
      <c r="G216" s="213">
        <f t="shared" si="48"/>
        <v>4432.034989038461</v>
      </c>
      <c r="H216" s="213">
        <f t="shared" si="48"/>
        <v>4653.636738490385</v>
      </c>
      <c r="I216" s="213">
        <f t="shared" si="48"/>
        <v>4886.3185754149035</v>
      </c>
      <c r="J216" s="213">
        <f t="shared" si="48"/>
        <v>5130.634504185649</v>
      </c>
      <c r="K216" s="213">
        <f t="shared" si="48"/>
        <v>5387.166229394932</v>
      </c>
      <c r="L216" s="213">
        <f t="shared" si="48"/>
        <v>5656.52454086468</v>
      </c>
      <c r="M216" s="213">
        <f t="shared" si="48"/>
        <v>5939.350767907914</v>
      </c>
    </row>
    <row r="217" spans="2:13" ht="15">
      <c r="B217" s="104"/>
      <c r="C217" s="109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</row>
    <row r="218" spans="2:13" ht="15">
      <c r="B218" s="104" t="s">
        <v>169</v>
      </c>
      <c r="C218" s="105"/>
      <c r="D218" s="107">
        <f>D212-D215-D216</f>
        <v>749544.8261538461</v>
      </c>
      <c r="E218" s="107">
        <f aca="true" t="shared" si="49" ref="E218:M218">E212-E215-E216</f>
        <v>787022.0674615385</v>
      </c>
      <c r="F218" s="107">
        <f t="shared" si="49"/>
        <v>826373.1708346155</v>
      </c>
      <c r="G218" s="107">
        <f t="shared" si="49"/>
        <v>867691.8293763463</v>
      </c>
      <c r="H218" s="107">
        <f t="shared" si="49"/>
        <v>911076.4208451636</v>
      </c>
      <c r="I218" s="107">
        <f t="shared" si="49"/>
        <v>956630.2418874219</v>
      </c>
      <c r="J218" s="107">
        <f t="shared" si="49"/>
        <v>1004461.7539817931</v>
      </c>
      <c r="K218" s="107">
        <f t="shared" si="49"/>
        <v>1054684.8416808827</v>
      </c>
      <c r="L218" s="107">
        <f t="shared" si="49"/>
        <v>1107419.0837649268</v>
      </c>
      <c r="M218" s="107">
        <f t="shared" si="49"/>
        <v>1162790.037953173</v>
      </c>
    </row>
    <row r="219" spans="2:13" ht="15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6"/>
    </row>
    <row r="220" spans="2:13" ht="15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6"/>
    </row>
    <row r="221" spans="2:13" ht="15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6"/>
    </row>
    <row r="222" spans="2:13" ht="15">
      <c r="B222" s="104" t="s">
        <v>267</v>
      </c>
      <c r="C222" s="105"/>
      <c r="D222" s="107"/>
      <c r="E222" s="107"/>
      <c r="F222" s="107"/>
      <c r="G222" s="107"/>
      <c r="H222" s="107"/>
      <c r="I222" s="107"/>
      <c r="J222" s="107"/>
      <c r="K222" s="107"/>
      <c r="L222" s="107"/>
      <c r="M222" s="108"/>
    </row>
    <row r="223" spans="2:13" ht="15">
      <c r="B223" s="215" t="str">
        <f>+B98</f>
        <v>SUELDOS Y SALARIOS </v>
      </c>
      <c r="C223" s="105"/>
      <c r="D223" s="107"/>
      <c r="E223" s="107"/>
      <c r="F223" s="107"/>
      <c r="G223" s="107"/>
      <c r="H223" s="107"/>
      <c r="I223" s="107"/>
      <c r="J223" s="107"/>
      <c r="K223" s="107"/>
      <c r="L223" s="107"/>
      <c r="M223" s="108"/>
    </row>
    <row r="224" spans="2:13" ht="15">
      <c r="B224" s="104" t="str">
        <f>+J5</f>
        <v>Gerente General</v>
      </c>
      <c r="C224" s="105"/>
      <c r="D224" s="107">
        <f>+K5</f>
        <v>14400</v>
      </c>
      <c r="E224" s="107">
        <f aca="true" t="shared" si="50" ref="E224:M232">+L5</f>
        <v>15120</v>
      </c>
      <c r="F224" s="107">
        <f t="shared" si="50"/>
        <v>15876</v>
      </c>
      <c r="G224" s="107">
        <f t="shared" si="50"/>
        <v>16669.8</v>
      </c>
      <c r="H224" s="107">
        <f t="shared" si="50"/>
        <v>17503.29</v>
      </c>
      <c r="I224" s="107">
        <f t="shared" si="50"/>
        <v>18378.454500000003</v>
      </c>
      <c r="J224" s="107">
        <f t="shared" si="50"/>
        <v>19297.377225000004</v>
      </c>
      <c r="K224" s="107">
        <f t="shared" si="50"/>
        <v>20262.246086250005</v>
      </c>
      <c r="L224" s="107">
        <f t="shared" si="50"/>
        <v>21275.358390562506</v>
      </c>
      <c r="M224" s="107">
        <f t="shared" si="50"/>
        <v>22339.126310090633</v>
      </c>
    </row>
    <row r="225" spans="2:13" ht="15">
      <c r="B225" s="104" t="str">
        <f aca="true" t="shared" si="51" ref="B225:B232">+J6</f>
        <v>Director Comercial</v>
      </c>
      <c r="C225" s="105"/>
      <c r="D225" s="107">
        <f aca="true" t="shared" si="52" ref="D225:D232">+K6</f>
        <v>9600</v>
      </c>
      <c r="E225" s="107">
        <f t="shared" si="50"/>
        <v>10080</v>
      </c>
      <c r="F225" s="107">
        <f t="shared" si="50"/>
        <v>10584</v>
      </c>
      <c r="G225" s="107">
        <f t="shared" si="50"/>
        <v>11113.2</v>
      </c>
      <c r="H225" s="107">
        <f t="shared" si="50"/>
        <v>11668.86</v>
      </c>
      <c r="I225" s="107">
        <f t="shared" si="50"/>
        <v>12252.303000000002</v>
      </c>
      <c r="J225" s="107">
        <f t="shared" si="50"/>
        <v>12864.918150000003</v>
      </c>
      <c r="K225" s="107">
        <f t="shared" si="50"/>
        <v>13508.164057500004</v>
      </c>
      <c r="L225" s="107">
        <f t="shared" si="50"/>
        <v>14183.572260375004</v>
      </c>
      <c r="M225" s="107">
        <f t="shared" si="50"/>
        <v>14892.750873393754</v>
      </c>
    </row>
    <row r="226" spans="2:13" ht="15">
      <c r="B226" s="104" t="str">
        <f t="shared" si="51"/>
        <v>Contador </v>
      </c>
      <c r="C226" s="105"/>
      <c r="D226" s="107">
        <f t="shared" si="52"/>
        <v>9600</v>
      </c>
      <c r="E226" s="107">
        <f t="shared" si="50"/>
        <v>10080</v>
      </c>
      <c r="F226" s="107">
        <f t="shared" si="50"/>
        <v>10584</v>
      </c>
      <c r="G226" s="107">
        <f t="shared" si="50"/>
        <v>11113.2</v>
      </c>
      <c r="H226" s="107">
        <f t="shared" si="50"/>
        <v>11668.86</v>
      </c>
      <c r="I226" s="107">
        <f t="shared" si="50"/>
        <v>12252.303000000002</v>
      </c>
      <c r="J226" s="107">
        <f t="shared" si="50"/>
        <v>12864.918150000003</v>
      </c>
      <c r="K226" s="107">
        <f t="shared" si="50"/>
        <v>13508.164057500004</v>
      </c>
      <c r="L226" s="107">
        <f t="shared" si="50"/>
        <v>14183.572260375004</v>
      </c>
      <c r="M226" s="107">
        <f t="shared" si="50"/>
        <v>14892.750873393754</v>
      </c>
    </row>
    <row r="227" spans="2:13" ht="15">
      <c r="B227" s="104" t="str">
        <f t="shared" si="51"/>
        <v>Jefe de Planta</v>
      </c>
      <c r="C227" s="105"/>
      <c r="D227" s="107">
        <f t="shared" si="52"/>
        <v>9600</v>
      </c>
      <c r="E227" s="107">
        <f t="shared" si="50"/>
        <v>10080</v>
      </c>
      <c r="F227" s="107">
        <f t="shared" si="50"/>
        <v>10584</v>
      </c>
      <c r="G227" s="107">
        <f t="shared" si="50"/>
        <v>11113.2</v>
      </c>
      <c r="H227" s="107">
        <f t="shared" si="50"/>
        <v>11668.86</v>
      </c>
      <c r="I227" s="107">
        <f t="shared" si="50"/>
        <v>12252.303000000002</v>
      </c>
      <c r="J227" s="107">
        <f t="shared" si="50"/>
        <v>12864.918150000003</v>
      </c>
      <c r="K227" s="107">
        <f t="shared" si="50"/>
        <v>13508.164057500004</v>
      </c>
      <c r="L227" s="107">
        <f t="shared" si="50"/>
        <v>14183.572260375004</v>
      </c>
      <c r="M227" s="107">
        <f t="shared" si="50"/>
        <v>14892.750873393754</v>
      </c>
    </row>
    <row r="228" spans="2:13" ht="15">
      <c r="B228" s="104" t="str">
        <f t="shared" si="51"/>
        <v>Personal de Aseo</v>
      </c>
      <c r="C228" s="105"/>
      <c r="D228" s="107">
        <f t="shared" si="52"/>
        <v>7200</v>
      </c>
      <c r="E228" s="107">
        <f t="shared" si="50"/>
        <v>7560</v>
      </c>
      <c r="F228" s="107">
        <f t="shared" si="50"/>
        <v>7938</v>
      </c>
      <c r="G228" s="107">
        <f t="shared" si="50"/>
        <v>8334.9</v>
      </c>
      <c r="H228" s="107">
        <f t="shared" si="50"/>
        <v>8751.645</v>
      </c>
      <c r="I228" s="107">
        <f t="shared" si="50"/>
        <v>9189.227250000002</v>
      </c>
      <c r="J228" s="107">
        <f t="shared" si="50"/>
        <v>9648.688612500002</v>
      </c>
      <c r="K228" s="107">
        <f t="shared" si="50"/>
        <v>10131.123043125002</v>
      </c>
      <c r="L228" s="107">
        <f t="shared" si="50"/>
        <v>10637.679195281253</v>
      </c>
      <c r="M228" s="107">
        <f t="shared" si="50"/>
        <v>11169.563155045316</v>
      </c>
    </row>
    <row r="229" spans="2:13" ht="15">
      <c r="B229" s="104" t="str">
        <f t="shared" si="51"/>
        <v>Mensajero</v>
      </c>
      <c r="C229" s="105"/>
      <c r="D229" s="107">
        <f t="shared" si="52"/>
        <v>4200</v>
      </c>
      <c r="E229" s="107">
        <f t="shared" si="50"/>
        <v>4410</v>
      </c>
      <c r="F229" s="107">
        <f t="shared" si="50"/>
        <v>4630.5</v>
      </c>
      <c r="G229" s="107">
        <f t="shared" si="50"/>
        <v>4862.025000000001</v>
      </c>
      <c r="H229" s="107">
        <f t="shared" si="50"/>
        <v>5105.126250000001</v>
      </c>
      <c r="I229" s="107">
        <f t="shared" si="50"/>
        <v>5360.382562500002</v>
      </c>
      <c r="J229" s="107">
        <f t="shared" si="50"/>
        <v>5628.401690625002</v>
      </c>
      <c r="K229" s="107">
        <f t="shared" si="50"/>
        <v>5909.821775156252</v>
      </c>
      <c r="L229" s="107">
        <f t="shared" si="50"/>
        <v>6205.312863914065</v>
      </c>
      <c r="M229" s="107">
        <f t="shared" si="50"/>
        <v>6515.578507109769</v>
      </c>
    </row>
    <row r="230" spans="2:13" ht="15">
      <c r="B230" s="104" t="str">
        <f t="shared" si="51"/>
        <v>Asesores comerciales</v>
      </c>
      <c r="C230" s="105"/>
      <c r="D230" s="107">
        <f t="shared" si="52"/>
        <v>36000</v>
      </c>
      <c r="E230" s="107">
        <f t="shared" si="50"/>
        <v>37800</v>
      </c>
      <c r="F230" s="107">
        <f t="shared" si="50"/>
        <v>39690</v>
      </c>
      <c r="G230" s="107">
        <f t="shared" si="50"/>
        <v>41674.5</v>
      </c>
      <c r="H230" s="107">
        <f t="shared" si="50"/>
        <v>43758.225</v>
      </c>
      <c r="I230" s="107">
        <f t="shared" si="50"/>
        <v>45946.13625</v>
      </c>
      <c r="J230" s="107">
        <f t="shared" si="50"/>
        <v>48243.4430625</v>
      </c>
      <c r="K230" s="107">
        <f t="shared" si="50"/>
        <v>50655.615215625</v>
      </c>
      <c r="L230" s="107">
        <f t="shared" si="50"/>
        <v>53188.39597640625</v>
      </c>
      <c r="M230" s="107">
        <f t="shared" si="50"/>
        <v>55847.81577522657</v>
      </c>
    </row>
    <row r="231" spans="2:13" ht="15">
      <c r="B231" s="104" t="str">
        <f t="shared" si="51"/>
        <v>Despachador</v>
      </c>
      <c r="C231" s="105"/>
      <c r="D231" s="107">
        <f t="shared" si="52"/>
        <v>12600</v>
      </c>
      <c r="E231" s="107">
        <f t="shared" si="50"/>
        <v>13230</v>
      </c>
      <c r="F231" s="107">
        <f t="shared" si="50"/>
        <v>13891.5</v>
      </c>
      <c r="G231" s="107">
        <f t="shared" si="50"/>
        <v>14586.075</v>
      </c>
      <c r="H231" s="107">
        <f t="shared" si="50"/>
        <v>15315.378750000002</v>
      </c>
      <c r="I231" s="107">
        <f t="shared" si="50"/>
        <v>16081.147687500003</v>
      </c>
      <c r="J231" s="107">
        <f t="shared" si="50"/>
        <v>16885.205071875003</v>
      </c>
      <c r="K231" s="107">
        <f t="shared" si="50"/>
        <v>17729.465325468755</v>
      </c>
      <c r="L231" s="107">
        <f t="shared" si="50"/>
        <v>18615.938591742193</v>
      </c>
      <c r="M231" s="107">
        <f t="shared" si="50"/>
        <v>19546.735521329305</v>
      </c>
    </row>
    <row r="232" spans="2:13" ht="15">
      <c r="B232" s="104" t="str">
        <f t="shared" si="51"/>
        <v>Operadores/obreros</v>
      </c>
      <c r="C232" s="105"/>
      <c r="D232" s="107">
        <f t="shared" si="52"/>
        <v>43200</v>
      </c>
      <c r="E232" s="107">
        <f t="shared" si="50"/>
        <v>45360</v>
      </c>
      <c r="F232" s="107">
        <f t="shared" si="50"/>
        <v>47628</v>
      </c>
      <c r="G232" s="107">
        <f t="shared" si="50"/>
        <v>50009.4</v>
      </c>
      <c r="H232" s="107">
        <f t="shared" si="50"/>
        <v>52509.87</v>
      </c>
      <c r="I232" s="107">
        <f t="shared" si="50"/>
        <v>55135.36350000001</v>
      </c>
      <c r="J232" s="107">
        <f t="shared" si="50"/>
        <v>57892.13167500001</v>
      </c>
      <c r="K232" s="107">
        <f t="shared" si="50"/>
        <v>60786.73825875002</v>
      </c>
      <c r="L232" s="107">
        <f t="shared" si="50"/>
        <v>63826.075171687524</v>
      </c>
      <c r="M232" s="107">
        <f t="shared" si="50"/>
        <v>67017.37893027191</v>
      </c>
    </row>
    <row r="233" spans="2:13" ht="15">
      <c r="B233" s="104" t="s">
        <v>270</v>
      </c>
      <c r="C233" s="105"/>
      <c r="D233" s="107">
        <f>+C93</f>
        <v>79289.28</v>
      </c>
      <c r="E233" s="107">
        <f aca="true" t="shared" si="53" ref="E233:M233">+D93</f>
        <v>83253.744</v>
      </c>
      <c r="F233" s="107">
        <f t="shared" si="53"/>
        <v>87416.4312</v>
      </c>
      <c r="G233" s="107">
        <f t="shared" si="53"/>
        <v>91787.25276000002</v>
      </c>
      <c r="H233" s="107">
        <f t="shared" si="53"/>
        <v>96376.61539800002</v>
      </c>
      <c r="I233" s="107">
        <f t="shared" si="53"/>
        <v>101195.44616790002</v>
      </c>
      <c r="J233" s="107">
        <f t="shared" si="53"/>
        <v>106255.21847629503</v>
      </c>
      <c r="K233" s="107">
        <f t="shared" si="53"/>
        <v>111567.97940010979</v>
      </c>
      <c r="L233" s="107">
        <f t="shared" si="53"/>
        <v>117146.37837011529</v>
      </c>
      <c r="M233" s="107">
        <f t="shared" si="53"/>
        <v>123003.69728862106</v>
      </c>
    </row>
    <row r="234" spans="2:13" ht="15">
      <c r="B234" s="104"/>
      <c r="C234" s="105"/>
      <c r="D234" s="107"/>
      <c r="E234" s="107"/>
      <c r="F234" s="107"/>
      <c r="G234" s="107"/>
      <c r="H234" s="107"/>
      <c r="I234" s="107"/>
      <c r="J234" s="107"/>
      <c r="K234" s="107"/>
      <c r="L234" s="107"/>
      <c r="M234" s="108"/>
    </row>
    <row r="235" spans="2:13" ht="15">
      <c r="B235" s="104"/>
      <c r="C235" s="105"/>
      <c r="D235" s="107"/>
      <c r="E235" s="107"/>
      <c r="F235" s="107"/>
      <c r="G235" s="107"/>
      <c r="H235" s="107"/>
      <c r="I235" s="107"/>
      <c r="J235" s="107"/>
      <c r="K235" s="107"/>
      <c r="L235" s="107"/>
      <c r="M235" s="108"/>
    </row>
    <row r="236" spans="2:13" ht="15">
      <c r="B236" s="215" t="str">
        <f>+B134</f>
        <v>PUBLICIDAD Y PROMOCION</v>
      </c>
      <c r="C236" s="105"/>
      <c r="D236" s="214"/>
      <c r="E236" s="107"/>
      <c r="F236" s="107"/>
      <c r="G236" s="107"/>
      <c r="H236" s="107"/>
      <c r="I236" s="107"/>
      <c r="J236" s="107"/>
      <c r="K236" s="107"/>
      <c r="L236" s="107"/>
      <c r="M236" s="108"/>
    </row>
    <row r="237" spans="2:13" ht="15">
      <c r="B237" s="104" t="str">
        <f>+B18</f>
        <v>PAGINA WEB</v>
      </c>
      <c r="C237" s="105"/>
      <c r="D237" s="107">
        <f>+I18</f>
        <v>960</v>
      </c>
      <c r="E237" s="107">
        <f aca="true" t="shared" si="54" ref="E237:M243">+J18</f>
        <v>1008</v>
      </c>
      <c r="F237" s="107">
        <f t="shared" si="54"/>
        <v>1058.4</v>
      </c>
      <c r="G237" s="107">
        <f t="shared" si="54"/>
        <v>1111.3200000000002</v>
      </c>
      <c r="H237" s="107">
        <f t="shared" si="54"/>
        <v>1166.8860000000002</v>
      </c>
      <c r="I237" s="107">
        <f t="shared" si="54"/>
        <v>1225.2303000000002</v>
      </c>
      <c r="J237" s="107">
        <f t="shared" si="54"/>
        <v>1286.4918150000003</v>
      </c>
      <c r="K237" s="107">
        <f t="shared" si="54"/>
        <v>1350.8164057500003</v>
      </c>
      <c r="L237" s="107">
        <f t="shared" si="54"/>
        <v>1418.3572260375004</v>
      </c>
      <c r="M237" s="107">
        <f t="shared" si="54"/>
        <v>1489.2750873393754</v>
      </c>
    </row>
    <row r="238" spans="2:13" ht="15">
      <c r="B238" s="104" t="str">
        <f aca="true" t="shared" si="55" ref="B238:B243">+B19</f>
        <v>AFICHES</v>
      </c>
      <c r="C238" s="105"/>
      <c r="D238" s="107">
        <f aca="true" t="shared" si="56" ref="D238:D243">+I19</f>
        <v>2400</v>
      </c>
      <c r="E238" s="107">
        <f t="shared" si="54"/>
        <v>2520</v>
      </c>
      <c r="F238" s="107">
        <f t="shared" si="54"/>
        <v>2646</v>
      </c>
      <c r="G238" s="107">
        <f t="shared" si="54"/>
        <v>2778.3</v>
      </c>
      <c r="H238" s="107">
        <f t="shared" si="54"/>
        <v>2917.215</v>
      </c>
      <c r="I238" s="107">
        <f t="shared" si="54"/>
        <v>3063.0757500000004</v>
      </c>
      <c r="J238" s="107">
        <f t="shared" si="54"/>
        <v>3216.229537500001</v>
      </c>
      <c r="K238" s="107">
        <f t="shared" si="54"/>
        <v>3377.041014375001</v>
      </c>
      <c r="L238" s="107">
        <f t="shared" si="54"/>
        <v>3545.893065093751</v>
      </c>
      <c r="M238" s="107">
        <f t="shared" si="54"/>
        <v>3723.1877183484385</v>
      </c>
    </row>
    <row r="239" spans="2:13" ht="15">
      <c r="B239" s="104" t="str">
        <f t="shared" si="55"/>
        <v>BANNERS</v>
      </c>
      <c r="C239" s="105"/>
      <c r="D239" s="107">
        <f t="shared" si="56"/>
        <v>0</v>
      </c>
      <c r="E239" s="107">
        <f t="shared" si="54"/>
        <v>0</v>
      </c>
      <c r="F239" s="107">
        <f t="shared" si="54"/>
        <v>0</v>
      </c>
      <c r="G239" s="107">
        <f t="shared" si="54"/>
        <v>0</v>
      </c>
      <c r="H239" s="107">
        <f t="shared" si="54"/>
        <v>0</v>
      </c>
      <c r="I239" s="107">
        <f t="shared" si="54"/>
        <v>0</v>
      </c>
      <c r="J239" s="107">
        <f t="shared" si="54"/>
        <v>0</v>
      </c>
      <c r="K239" s="107">
        <f t="shared" si="54"/>
        <v>0</v>
      </c>
      <c r="L239" s="107">
        <f t="shared" si="54"/>
        <v>0</v>
      </c>
      <c r="M239" s="107">
        <f t="shared" si="54"/>
        <v>0</v>
      </c>
    </row>
    <row r="240" spans="2:13" ht="15">
      <c r="B240" s="104" t="str">
        <f t="shared" si="55"/>
        <v>EXHIBIDORES</v>
      </c>
      <c r="C240" s="105"/>
      <c r="D240" s="107">
        <f t="shared" si="56"/>
        <v>3600</v>
      </c>
      <c r="E240" s="107">
        <f t="shared" si="54"/>
        <v>3780</v>
      </c>
      <c r="F240" s="107">
        <f t="shared" si="54"/>
        <v>3969</v>
      </c>
      <c r="G240" s="107">
        <f t="shared" si="54"/>
        <v>4167.45</v>
      </c>
      <c r="H240" s="107">
        <f t="shared" si="54"/>
        <v>4375.8225</v>
      </c>
      <c r="I240" s="107">
        <f t="shared" si="54"/>
        <v>4594.613625000001</v>
      </c>
      <c r="J240" s="107">
        <f t="shared" si="54"/>
        <v>4824.344306250001</v>
      </c>
      <c r="K240" s="107">
        <f t="shared" si="54"/>
        <v>5065.561521562501</v>
      </c>
      <c r="L240" s="107">
        <f t="shared" si="54"/>
        <v>5318.839597640626</v>
      </c>
      <c r="M240" s="107">
        <f t="shared" si="54"/>
        <v>5584.781577522658</v>
      </c>
    </row>
    <row r="241" spans="2:13" ht="15">
      <c r="B241" s="104" t="str">
        <f t="shared" si="55"/>
        <v>EVENTOS Y EXPOSICIONES</v>
      </c>
      <c r="C241" s="105"/>
      <c r="D241" s="107">
        <f t="shared" si="56"/>
        <v>4320</v>
      </c>
      <c r="E241" s="107">
        <f t="shared" si="54"/>
        <v>4536</v>
      </c>
      <c r="F241" s="107">
        <f t="shared" si="54"/>
        <v>4762.8</v>
      </c>
      <c r="G241" s="107">
        <f t="shared" si="54"/>
        <v>5000.9400000000005</v>
      </c>
      <c r="H241" s="107">
        <f t="shared" si="54"/>
        <v>5250.987000000001</v>
      </c>
      <c r="I241" s="107">
        <f t="shared" si="54"/>
        <v>5513.536350000001</v>
      </c>
      <c r="J241" s="107">
        <f t="shared" si="54"/>
        <v>5789.213167500002</v>
      </c>
      <c r="K241" s="107">
        <f t="shared" si="54"/>
        <v>6078.673825875002</v>
      </c>
      <c r="L241" s="107">
        <f t="shared" si="54"/>
        <v>6382.607517168753</v>
      </c>
      <c r="M241" s="107">
        <f t="shared" si="54"/>
        <v>6701.737893027191</v>
      </c>
    </row>
    <row r="242" spans="2:13" ht="15">
      <c r="B242" s="104" t="str">
        <f t="shared" si="55"/>
        <v>RADIO</v>
      </c>
      <c r="C242" s="105"/>
      <c r="D242" s="107">
        <f t="shared" si="56"/>
        <v>20160</v>
      </c>
      <c r="E242" s="107">
        <f t="shared" si="54"/>
        <v>21168</v>
      </c>
      <c r="F242" s="107">
        <f t="shared" si="54"/>
        <v>22226.4</v>
      </c>
      <c r="G242" s="107">
        <f t="shared" si="54"/>
        <v>23337.72</v>
      </c>
      <c r="H242" s="107">
        <f t="shared" si="54"/>
        <v>24504.606000000003</v>
      </c>
      <c r="I242" s="107">
        <f t="shared" si="54"/>
        <v>25729.836300000006</v>
      </c>
      <c r="J242" s="107">
        <f t="shared" si="54"/>
        <v>27016.328115000008</v>
      </c>
      <c r="K242" s="107">
        <f t="shared" si="54"/>
        <v>28367.144520750007</v>
      </c>
      <c r="L242" s="107">
        <f t="shared" si="54"/>
        <v>29785.501746787508</v>
      </c>
      <c r="M242" s="107">
        <f t="shared" si="54"/>
        <v>31274.776834126886</v>
      </c>
    </row>
    <row r="243" spans="2:13" ht="15">
      <c r="B243" s="104" t="str">
        <f t="shared" si="55"/>
        <v>OTROS</v>
      </c>
      <c r="C243" s="105"/>
      <c r="D243" s="107">
        <f t="shared" si="56"/>
        <v>0</v>
      </c>
      <c r="E243" s="107">
        <f t="shared" si="54"/>
        <v>0</v>
      </c>
      <c r="F243" s="107">
        <f t="shared" si="54"/>
        <v>0</v>
      </c>
      <c r="G243" s="107">
        <f t="shared" si="54"/>
        <v>0</v>
      </c>
      <c r="H243" s="107">
        <f t="shared" si="54"/>
        <v>0</v>
      </c>
      <c r="I243" s="107">
        <f t="shared" si="54"/>
        <v>0</v>
      </c>
      <c r="J243" s="107">
        <f t="shared" si="54"/>
        <v>0</v>
      </c>
      <c r="K243" s="107">
        <f t="shared" si="54"/>
        <v>0</v>
      </c>
      <c r="L243" s="107">
        <f t="shared" si="54"/>
        <v>0</v>
      </c>
      <c r="M243" s="107">
        <f t="shared" si="54"/>
        <v>0</v>
      </c>
    </row>
    <row r="244" spans="2:13" ht="15">
      <c r="B244" s="104"/>
      <c r="C244" s="105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</row>
    <row r="245" spans="2:13" ht="15">
      <c r="B245" s="104" t="s">
        <v>268</v>
      </c>
      <c r="C245" s="105"/>
      <c r="D245" s="107">
        <f>+SUM(C135:C138)*12</f>
        <v>9000</v>
      </c>
      <c r="E245" s="107">
        <f>+D245*1.05</f>
        <v>9450</v>
      </c>
      <c r="F245" s="107">
        <f aca="true" t="shared" si="57" ref="F245:M245">+E245*1.05</f>
        <v>9922.5</v>
      </c>
      <c r="G245" s="107">
        <f t="shared" si="57"/>
        <v>10418.625</v>
      </c>
      <c r="H245" s="107">
        <f t="shared" si="57"/>
        <v>10939.55625</v>
      </c>
      <c r="I245" s="107">
        <f t="shared" si="57"/>
        <v>11486.5340625</v>
      </c>
      <c r="J245" s="107">
        <f t="shared" si="57"/>
        <v>12060.860765625</v>
      </c>
      <c r="K245" s="107">
        <f t="shared" si="57"/>
        <v>12663.90380390625</v>
      </c>
      <c r="L245" s="107">
        <f t="shared" si="57"/>
        <v>13297.098994101563</v>
      </c>
      <c r="M245" s="107">
        <f t="shared" si="57"/>
        <v>13961.953943806642</v>
      </c>
    </row>
    <row r="246" spans="2:13" ht="15">
      <c r="B246" s="104"/>
      <c r="C246" s="105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</row>
    <row r="247" spans="2:13" ht="15">
      <c r="B247" s="104" t="s">
        <v>269</v>
      </c>
      <c r="C247" s="105"/>
      <c r="D247" s="216"/>
      <c r="E247" s="216"/>
      <c r="F247" s="216"/>
      <c r="G247" s="216"/>
      <c r="H247" s="216"/>
      <c r="I247" s="216"/>
      <c r="J247" s="216"/>
      <c r="K247" s="216"/>
      <c r="L247" s="216"/>
      <c r="M247" s="216"/>
    </row>
    <row r="248" spans="2:13" ht="15">
      <c r="B248" s="104" t="str">
        <f>+B179</f>
        <v>Máquina</v>
      </c>
      <c r="C248" s="105"/>
      <c r="D248" s="216">
        <f>+$F$179</f>
        <v>1539</v>
      </c>
      <c r="E248" s="216">
        <f aca="true" t="shared" si="58" ref="E248:M248">+$F$179</f>
        <v>1539</v>
      </c>
      <c r="F248" s="216">
        <f t="shared" si="58"/>
        <v>1539</v>
      </c>
      <c r="G248" s="216">
        <f t="shared" si="58"/>
        <v>1539</v>
      </c>
      <c r="H248" s="216">
        <f t="shared" si="58"/>
        <v>1539</v>
      </c>
      <c r="I248" s="216">
        <f t="shared" si="58"/>
        <v>1539</v>
      </c>
      <c r="J248" s="216">
        <f t="shared" si="58"/>
        <v>1539</v>
      </c>
      <c r="K248" s="216">
        <f t="shared" si="58"/>
        <v>1539</v>
      </c>
      <c r="L248" s="216">
        <f t="shared" si="58"/>
        <v>1539</v>
      </c>
      <c r="M248" s="216">
        <f t="shared" si="58"/>
        <v>1539</v>
      </c>
    </row>
    <row r="249" spans="2:13" ht="15">
      <c r="B249" s="104" t="str">
        <f>+B180</f>
        <v>Camión</v>
      </c>
      <c r="C249" s="105"/>
      <c r="D249" s="216">
        <f>+$F$180</f>
        <v>3400</v>
      </c>
      <c r="E249" s="216">
        <f aca="true" t="shared" si="59" ref="E249:M249">+$F$180</f>
        <v>3400</v>
      </c>
      <c r="F249" s="216">
        <f t="shared" si="59"/>
        <v>3400</v>
      </c>
      <c r="G249" s="216">
        <f t="shared" si="59"/>
        <v>3400</v>
      </c>
      <c r="H249" s="216">
        <f t="shared" si="59"/>
        <v>3400</v>
      </c>
      <c r="I249" s="216">
        <f t="shared" si="59"/>
        <v>3400</v>
      </c>
      <c r="J249" s="216">
        <f t="shared" si="59"/>
        <v>3400</v>
      </c>
      <c r="K249" s="216">
        <f t="shared" si="59"/>
        <v>3400</v>
      </c>
      <c r="L249" s="216">
        <f t="shared" si="59"/>
        <v>3400</v>
      </c>
      <c r="M249" s="216">
        <f t="shared" si="59"/>
        <v>3400</v>
      </c>
    </row>
    <row r="250" spans="2:13" ht="15">
      <c r="B250" s="104" t="str">
        <f>+B181</f>
        <v>Equipos de computación</v>
      </c>
      <c r="C250" s="105"/>
      <c r="D250" s="216">
        <f>+$F$181</f>
        <v>841.6666666666666</v>
      </c>
      <c r="E250" s="216">
        <f aca="true" t="shared" si="60" ref="E250:M250">+$F$181</f>
        <v>841.6666666666666</v>
      </c>
      <c r="F250" s="216">
        <f t="shared" si="60"/>
        <v>841.6666666666666</v>
      </c>
      <c r="G250" s="216">
        <f t="shared" si="60"/>
        <v>841.6666666666666</v>
      </c>
      <c r="H250" s="216">
        <f t="shared" si="60"/>
        <v>841.6666666666666</v>
      </c>
      <c r="I250" s="216">
        <f t="shared" si="60"/>
        <v>841.6666666666666</v>
      </c>
      <c r="J250" s="216">
        <f t="shared" si="60"/>
        <v>841.6666666666666</v>
      </c>
      <c r="K250" s="216">
        <f t="shared" si="60"/>
        <v>841.6666666666666</v>
      </c>
      <c r="L250" s="216">
        <f t="shared" si="60"/>
        <v>841.6666666666666</v>
      </c>
      <c r="M250" s="216">
        <f t="shared" si="60"/>
        <v>841.6666666666666</v>
      </c>
    </row>
    <row r="251" spans="2:13" ht="15">
      <c r="B251" s="104" t="str">
        <f>+B182</f>
        <v>Muebles y Enseres</v>
      </c>
      <c r="C251" s="105"/>
      <c r="D251" s="216">
        <f>+$F$182</f>
        <v>1704</v>
      </c>
      <c r="E251" s="216">
        <f aca="true" t="shared" si="61" ref="E251:M251">+$F$182</f>
        <v>1704</v>
      </c>
      <c r="F251" s="216">
        <f t="shared" si="61"/>
        <v>1704</v>
      </c>
      <c r="G251" s="216">
        <f t="shared" si="61"/>
        <v>1704</v>
      </c>
      <c r="H251" s="216">
        <f t="shared" si="61"/>
        <v>1704</v>
      </c>
      <c r="I251" s="216">
        <f t="shared" si="61"/>
        <v>1704</v>
      </c>
      <c r="J251" s="216">
        <f t="shared" si="61"/>
        <v>1704</v>
      </c>
      <c r="K251" s="216">
        <f t="shared" si="61"/>
        <v>1704</v>
      </c>
      <c r="L251" s="216">
        <f t="shared" si="61"/>
        <v>1704</v>
      </c>
      <c r="M251" s="216">
        <f t="shared" si="61"/>
        <v>1704</v>
      </c>
    </row>
    <row r="252" spans="2:13" ht="15">
      <c r="B252" s="104"/>
      <c r="C252" s="105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</row>
    <row r="253" spans="2:13" ht="15.75" thickBot="1">
      <c r="B253" s="104" t="s">
        <v>177</v>
      </c>
      <c r="C253" s="105"/>
      <c r="D253" s="159">
        <f>+D196</f>
        <v>41779.017</v>
      </c>
      <c r="E253" s="159">
        <f>+D197</f>
        <v>39219.74636018131</v>
      </c>
      <c r="F253" s="159">
        <f>+D198</f>
        <v>36391.75230318165</v>
      </c>
      <c r="G253" s="159">
        <f>+D199</f>
        <v>33266.818870197036</v>
      </c>
      <c r="H253" s="159">
        <f>+D200</f>
        <v>29813.767426749033</v>
      </c>
      <c r="I253" s="159">
        <f>+D201</f>
        <v>25998.145581738987</v>
      </c>
      <c r="J253" s="159">
        <f>+D202</f>
        <v>21781.883443002887</v>
      </c>
      <c r="K253" s="159">
        <f>+D203</f>
        <v>17122.9137796995</v>
      </c>
      <c r="L253" s="159">
        <f>+D204</f>
        <v>11974.752301749251</v>
      </c>
      <c r="M253" s="165">
        <f>+D205</f>
        <v>6286.033868614229</v>
      </c>
    </row>
    <row r="254" spans="2:13" ht="15">
      <c r="B254" s="104"/>
      <c r="C254" s="105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</row>
    <row r="255" spans="2:13" ht="15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6"/>
    </row>
    <row r="256" spans="2:13" ht="15">
      <c r="B256" s="104" t="s">
        <v>137</v>
      </c>
      <c r="C256" s="105"/>
      <c r="D256" s="217">
        <f>+D218-SUM(D223:D253)</f>
        <v>434151.8624871794</v>
      </c>
      <c r="E256" s="107">
        <f aca="true" t="shared" si="62" ref="E256:L256">+E218-SUM(E223:E253)</f>
        <v>460881.9104346905</v>
      </c>
      <c r="F256" s="107">
        <f t="shared" si="62"/>
        <v>489089.2206647672</v>
      </c>
      <c r="G256" s="107">
        <f t="shared" si="62"/>
        <v>518862.4360794826</v>
      </c>
      <c r="H256" s="107">
        <f t="shared" si="62"/>
        <v>550296.1836037477</v>
      </c>
      <c r="I256" s="107">
        <f t="shared" si="62"/>
        <v>583491.5363336162</v>
      </c>
      <c r="J256" s="107">
        <f t="shared" si="62"/>
        <v>618556.5159014533</v>
      </c>
      <c r="K256" s="107">
        <f t="shared" si="62"/>
        <v>655606.638865313</v>
      </c>
      <c r="L256" s="107">
        <f t="shared" si="62"/>
        <v>694765.5113088471</v>
      </c>
      <c r="M256" s="107">
        <f>+M218-SUM(M223:M253)</f>
        <v>736165.476255845</v>
      </c>
    </row>
    <row r="257" spans="2:13" ht="15">
      <c r="B257" s="104" t="s">
        <v>170</v>
      </c>
      <c r="C257" s="109">
        <v>0.15</v>
      </c>
      <c r="D257" s="217">
        <f>+D256*$C$257</f>
        <v>65122.779373076904</v>
      </c>
      <c r="E257" s="107">
        <f>+E256*$C$257</f>
        <v>69132.28656520357</v>
      </c>
      <c r="F257" s="107">
        <f aca="true" t="shared" si="63" ref="F257:L257">+F256*$C$257</f>
        <v>73363.38309971508</v>
      </c>
      <c r="G257" s="107">
        <f t="shared" si="63"/>
        <v>77829.3654119224</v>
      </c>
      <c r="H257" s="107">
        <f t="shared" si="63"/>
        <v>82544.42754056216</v>
      </c>
      <c r="I257" s="107">
        <f t="shared" si="63"/>
        <v>87523.73045004244</v>
      </c>
      <c r="J257" s="107">
        <f t="shared" si="63"/>
        <v>92783.477385218</v>
      </c>
      <c r="K257" s="107">
        <f t="shared" si="63"/>
        <v>98340.99582979696</v>
      </c>
      <c r="L257" s="107">
        <f t="shared" si="63"/>
        <v>104214.82669632706</v>
      </c>
      <c r="M257" s="107">
        <f>+M256*$C$257</f>
        <v>110424.82143837675</v>
      </c>
    </row>
    <row r="258" spans="2:13" ht="15">
      <c r="B258" s="104" t="s">
        <v>171</v>
      </c>
      <c r="C258" s="109">
        <v>0.25</v>
      </c>
      <c r="D258" s="217">
        <f>(D256-D257)*$C$258</f>
        <v>92257.27077852562</v>
      </c>
      <c r="E258" s="217">
        <f>(E256-E257)*$C$258</f>
        <v>97937.40596737173</v>
      </c>
      <c r="F258" s="217">
        <f aca="true" t="shared" si="64" ref="F258:M258">(F256-F257)*$C$258</f>
        <v>103931.45939126302</v>
      </c>
      <c r="G258" s="217">
        <f t="shared" si="64"/>
        <v>110258.26766689005</v>
      </c>
      <c r="H258" s="217">
        <f t="shared" si="64"/>
        <v>116937.9390157964</v>
      </c>
      <c r="I258" s="217">
        <f t="shared" si="64"/>
        <v>123991.95147089346</v>
      </c>
      <c r="J258" s="217">
        <f t="shared" si="64"/>
        <v>131443.25962905883</v>
      </c>
      <c r="K258" s="217">
        <f t="shared" si="64"/>
        <v>139316.410758879</v>
      </c>
      <c r="L258" s="217">
        <f t="shared" si="64"/>
        <v>147637.67115313</v>
      </c>
      <c r="M258" s="217">
        <f t="shared" si="64"/>
        <v>156435.16370436706</v>
      </c>
    </row>
    <row r="259" spans="2:13" ht="15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6"/>
    </row>
    <row r="260" spans="2:13" ht="15">
      <c r="B260" s="104" t="s">
        <v>172</v>
      </c>
      <c r="C260" s="105"/>
      <c r="D260" s="107">
        <f>D256-D257-D258</f>
        <v>276771.81233557686</v>
      </c>
      <c r="E260" s="107">
        <f aca="true" t="shared" si="65" ref="E260:M260">E256-E257-E258</f>
        <v>293812.2179021152</v>
      </c>
      <c r="F260" s="107">
        <f t="shared" si="65"/>
        <v>311794.37817378907</v>
      </c>
      <c r="G260" s="107">
        <f t="shared" si="65"/>
        <v>330774.80300067016</v>
      </c>
      <c r="H260" s="107">
        <f t="shared" si="65"/>
        <v>350813.81704738917</v>
      </c>
      <c r="I260" s="107">
        <f t="shared" si="65"/>
        <v>371975.8544126804</v>
      </c>
      <c r="J260" s="107">
        <f t="shared" si="65"/>
        <v>394329.7788871765</v>
      </c>
      <c r="K260" s="107">
        <f t="shared" si="65"/>
        <v>417949.232276637</v>
      </c>
      <c r="L260" s="107">
        <f t="shared" si="65"/>
        <v>442913.01345939003</v>
      </c>
      <c r="M260" s="108">
        <f t="shared" si="65"/>
        <v>469305.4911131012</v>
      </c>
    </row>
    <row r="261" spans="2:13" ht="15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6"/>
    </row>
    <row r="262" spans="2:13" ht="15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6"/>
    </row>
    <row r="263" spans="2:13" ht="15">
      <c r="B263" s="104" t="s">
        <v>173</v>
      </c>
      <c r="C263" s="105"/>
      <c r="D263" s="110">
        <f aca="true" t="shared" si="66" ref="D263:M263">+D260/D212</f>
        <v>0.3141592799203362</v>
      </c>
      <c r="E263" s="110">
        <f t="shared" si="66"/>
        <v>0.31762054582422583</v>
      </c>
      <c r="F263" s="110">
        <f t="shared" si="66"/>
        <v>0.321009376045553</v>
      </c>
      <c r="G263" s="110">
        <f t="shared" si="66"/>
        <v>0.32433405919556696</v>
      </c>
      <c r="H263" s="110">
        <f t="shared" si="66"/>
        <v>0.3276027426765209</v>
      </c>
      <c r="I263" s="110">
        <f t="shared" si="66"/>
        <v>0.3308234526837894</v>
      </c>
      <c r="J263" s="110">
        <f t="shared" si="66"/>
        <v>0.33400411395100976</v>
      </c>
      <c r="K263" s="110">
        <f t="shared" si="66"/>
        <v>0.33715256928692133</v>
      </c>
      <c r="L263" s="110">
        <f t="shared" si="66"/>
        <v>0.34027659895215484</v>
      </c>
      <c r="M263" s="111">
        <f t="shared" si="66"/>
        <v>0.34338393992394617</v>
      </c>
    </row>
    <row r="264" spans="2:13" ht="15.75" thickBot="1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4"/>
    </row>
    <row r="269" ht="15.75" thickBot="1"/>
    <row r="270" spans="2:13" ht="15">
      <c r="B270" s="101"/>
      <c r="C270" s="102"/>
      <c r="D270" s="102"/>
      <c r="E270" s="249" t="s">
        <v>174</v>
      </c>
      <c r="F270" s="102"/>
      <c r="G270" s="102"/>
      <c r="H270" s="102"/>
      <c r="I270" s="102"/>
      <c r="J270" s="102"/>
      <c r="K270" s="102"/>
      <c r="L270" s="102"/>
      <c r="M270" s="103"/>
    </row>
    <row r="271" spans="2:13" ht="15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6"/>
    </row>
    <row r="272" spans="2:13" ht="15">
      <c r="B272" s="104"/>
      <c r="C272" s="105" t="s">
        <v>185</v>
      </c>
      <c r="D272" s="105" t="s">
        <v>158</v>
      </c>
      <c r="E272" s="105" t="s">
        <v>159</v>
      </c>
      <c r="F272" s="105" t="s">
        <v>160</v>
      </c>
      <c r="G272" s="105" t="s">
        <v>161</v>
      </c>
      <c r="H272" s="105" t="s">
        <v>162</v>
      </c>
      <c r="I272" s="105" t="s">
        <v>163</v>
      </c>
      <c r="J272" s="105" t="s">
        <v>164</v>
      </c>
      <c r="K272" s="105" t="s">
        <v>165</v>
      </c>
      <c r="L272" s="105" t="s">
        <v>166</v>
      </c>
      <c r="M272" s="106" t="s">
        <v>167</v>
      </c>
    </row>
    <row r="273" spans="2:13" ht="15">
      <c r="B273" s="104"/>
      <c r="C273" s="105"/>
      <c r="D273" s="115"/>
      <c r="E273" s="116"/>
      <c r="F273" s="105"/>
      <c r="G273" s="105"/>
      <c r="H273" s="105"/>
      <c r="I273" s="105"/>
      <c r="J273" s="105"/>
      <c r="K273" s="105"/>
      <c r="L273" s="105"/>
      <c r="M273" s="106"/>
    </row>
    <row r="274" spans="2:13" ht="15.75">
      <c r="B274" s="218" t="s">
        <v>181</v>
      </c>
      <c r="C274" s="105"/>
      <c r="D274" s="115"/>
      <c r="E274" s="116"/>
      <c r="F274" s="105"/>
      <c r="G274" s="105"/>
      <c r="H274" s="105"/>
      <c r="I274" s="105"/>
      <c r="J274" s="105"/>
      <c r="K274" s="105"/>
      <c r="L274" s="105"/>
      <c r="M274" s="106"/>
    </row>
    <row r="275" spans="2:13" ht="15.75">
      <c r="B275" s="219" t="s">
        <v>179</v>
      </c>
      <c r="C275" s="105"/>
      <c r="D275" s="117">
        <f>+D212</f>
        <v>880992</v>
      </c>
      <c r="E275" s="117">
        <f aca="true" t="shared" si="67" ref="E275:M275">+E212</f>
        <v>925041.6000000001</v>
      </c>
      <c r="F275" s="117">
        <f t="shared" si="67"/>
        <v>971293.6800000002</v>
      </c>
      <c r="G275" s="117">
        <f t="shared" si="67"/>
        <v>1019858.3640000002</v>
      </c>
      <c r="H275" s="117">
        <f t="shared" si="67"/>
        <v>1070851.2822000002</v>
      </c>
      <c r="I275" s="117">
        <f t="shared" si="67"/>
        <v>1124393.8463100004</v>
      </c>
      <c r="J275" s="117">
        <f t="shared" si="67"/>
        <v>1180613.5386255004</v>
      </c>
      <c r="K275" s="117">
        <f t="shared" si="67"/>
        <v>1239644.2155567755</v>
      </c>
      <c r="L275" s="117">
        <f t="shared" si="67"/>
        <v>1301626.4263346142</v>
      </c>
      <c r="M275" s="117">
        <f t="shared" si="67"/>
        <v>1366707.7476513449</v>
      </c>
    </row>
    <row r="276" spans="2:13" ht="15.75">
      <c r="B276" s="220" t="s">
        <v>180</v>
      </c>
      <c r="C276" s="105"/>
      <c r="D276" s="118"/>
      <c r="E276" s="118"/>
      <c r="F276" s="221">
        <f>+E181</f>
        <v>500</v>
      </c>
      <c r="G276" s="118"/>
      <c r="H276" s="118">
        <f>+E180+E182</f>
        <v>6000</v>
      </c>
      <c r="I276" s="118">
        <f>+E181</f>
        <v>500</v>
      </c>
      <c r="J276" s="118"/>
      <c r="K276" s="118"/>
      <c r="L276" s="118">
        <f>+E181</f>
        <v>500</v>
      </c>
      <c r="M276" s="119"/>
    </row>
    <row r="277" spans="2:13" ht="15.75">
      <c r="B277" s="220" t="s">
        <v>175</v>
      </c>
      <c r="C277" s="105"/>
      <c r="D277" s="118">
        <f>+SUM(D275:D276)</f>
        <v>880992</v>
      </c>
      <c r="E277" s="118">
        <f aca="true" t="shared" si="68" ref="E277:M277">+SUM(E275:E276)</f>
        <v>925041.6000000001</v>
      </c>
      <c r="F277" s="118">
        <f t="shared" si="68"/>
        <v>971793.6800000002</v>
      </c>
      <c r="G277" s="118">
        <f t="shared" si="68"/>
        <v>1019858.3640000002</v>
      </c>
      <c r="H277" s="118">
        <f t="shared" si="68"/>
        <v>1076851.2822000002</v>
      </c>
      <c r="I277" s="118">
        <f t="shared" si="68"/>
        <v>1124893.8463100004</v>
      </c>
      <c r="J277" s="118">
        <f t="shared" si="68"/>
        <v>1180613.5386255004</v>
      </c>
      <c r="K277" s="118">
        <f t="shared" si="68"/>
        <v>1239644.2155567755</v>
      </c>
      <c r="L277" s="118">
        <f t="shared" si="68"/>
        <v>1302126.4263346142</v>
      </c>
      <c r="M277" s="118">
        <f t="shared" si="68"/>
        <v>1366707.7476513449</v>
      </c>
    </row>
    <row r="278" spans="2:13" ht="15.75">
      <c r="B278" s="220"/>
      <c r="C278" s="105"/>
      <c r="D278" s="118"/>
      <c r="E278" s="118"/>
      <c r="F278" s="118"/>
      <c r="G278" s="118"/>
      <c r="H278" s="118"/>
      <c r="I278" s="118"/>
      <c r="J278" s="118"/>
      <c r="K278" s="118"/>
      <c r="L278" s="118"/>
      <c r="M278" s="119"/>
    </row>
    <row r="279" spans="2:13" ht="15.75">
      <c r="B279" s="220"/>
      <c r="C279" s="105"/>
      <c r="D279" s="118"/>
      <c r="E279" s="118"/>
      <c r="F279" s="118"/>
      <c r="G279" s="118"/>
      <c r="H279" s="118"/>
      <c r="I279" s="118"/>
      <c r="J279" s="118"/>
      <c r="K279" s="118"/>
      <c r="L279" s="118"/>
      <c r="M279" s="119"/>
    </row>
    <row r="280" spans="2:13" ht="15.75">
      <c r="B280" s="220" t="s">
        <v>128</v>
      </c>
      <c r="C280" s="105"/>
      <c r="D280" s="118"/>
      <c r="E280" s="118"/>
      <c r="F280" s="118"/>
      <c r="G280" s="118"/>
      <c r="H280" s="118"/>
      <c r="I280" s="118"/>
      <c r="J280" s="118"/>
      <c r="K280" s="118"/>
      <c r="L280" s="118"/>
      <c r="M280" s="119"/>
    </row>
    <row r="281" spans="2:13" ht="15.75">
      <c r="B281" s="220" t="s">
        <v>271</v>
      </c>
      <c r="C281" s="105"/>
      <c r="D281" s="118">
        <f>+SUM(D215:D216)</f>
        <v>131447.17384615386</v>
      </c>
      <c r="E281" s="118">
        <f aca="true" t="shared" si="69" ref="E281:M281">+SUM(E215:E216)</f>
        <v>138019.53253846156</v>
      </c>
      <c r="F281" s="118">
        <f t="shared" si="69"/>
        <v>144920.50916538463</v>
      </c>
      <c r="G281" s="118">
        <f t="shared" si="69"/>
        <v>152166.53462365383</v>
      </c>
      <c r="H281" s="118">
        <f t="shared" si="69"/>
        <v>159774.86135483652</v>
      </c>
      <c r="I281" s="118">
        <f t="shared" si="69"/>
        <v>167763.60442257838</v>
      </c>
      <c r="J281" s="118">
        <f t="shared" si="69"/>
        <v>176151.7846437073</v>
      </c>
      <c r="K281" s="118">
        <f t="shared" si="69"/>
        <v>184959.3738758927</v>
      </c>
      <c r="L281" s="118">
        <f t="shared" si="69"/>
        <v>194207.34256968735</v>
      </c>
      <c r="M281" s="118">
        <f t="shared" si="69"/>
        <v>203917.70969817173</v>
      </c>
    </row>
    <row r="282" spans="2:13" ht="15.75">
      <c r="B282" s="219" t="s">
        <v>176</v>
      </c>
      <c r="C282" s="105"/>
      <c r="D282" s="118">
        <f aca="true" t="shared" si="70" ref="D282:M282">+SUM(D224:D245)</f>
        <v>266129.28</v>
      </c>
      <c r="E282" s="118">
        <f t="shared" si="70"/>
        <v>279435.744</v>
      </c>
      <c r="F282" s="118">
        <f t="shared" si="70"/>
        <v>293407.53119999997</v>
      </c>
      <c r="G282" s="118">
        <f t="shared" si="70"/>
        <v>308077.90776</v>
      </c>
      <c r="H282" s="118">
        <f t="shared" si="70"/>
        <v>323481.8031480001</v>
      </c>
      <c r="I282" s="118">
        <f t="shared" si="70"/>
        <v>339655.89330540004</v>
      </c>
      <c r="J282" s="118">
        <f t="shared" si="70"/>
        <v>356638.6879706701</v>
      </c>
      <c r="K282" s="118">
        <f t="shared" si="70"/>
        <v>374470.62236920354</v>
      </c>
      <c r="L282" s="118">
        <f t="shared" si="70"/>
        <v>393194.1534876637</v>
      </c>
      <c r="M282" s="118">
        <f t="shared" si="70"/>
        <v>412853.861162047</v>
      </c>
    </row>
    <row r="283" spans="2:13" ht="15.75">
      <c r="B283" s="219" t="s">
        <v>177</v>
      </c>
      <c r="C283" s="105"/>
      <c r="D283" s="118">
        <f>+D253</f>
        <v>41779.017</v>
      </c>
      <c r="E283" s="118">
        <f>+E253</f>
        <v>39219.74636018131</v>
      </c>
      <c r="F283" s="118">
        <f aca="true" t="shared" si="71" ref="F283:M283">+F253</f>
        <v>36391.75230318165</v>
      </c>
      <c r="G283" s="118">
        <f t="shared" si="71"/>
        <v>33266.818870197036</v>
      </c>
      <c r="H283" s="118">
        <f t="shared" si="71"/>
        <v>29813.767426749033</v>
      </c>
      <c r="I283" s="118">
        <f t="shared" si="71"/>
        <v>25998.145581738987</v>
      </c>
      <c r="J283" s="118">
        <f t="shared" si="71"/>
        <v>21781.883443002887</v>
      </c>
      <c r="K283" s="118">
        <f t="shared" si="71"/>
        <v>17122.9137796995</v>
      </c>
      <c r="L283" s="118">
        <f t="shared" si="71"/>
        <v>11974.752301749251</v>
      </c>
      <c r="M283" s="118">
        <f t="shared" si="71"/>
        <v>6286.033868614229</v>
      </c>
    </row>
    <row r="284" spans="2:13" ht="15.75">
      <c r="B284" s="219" t="s">
        <v>182</v>
      </c>
      <c r="C284" s="105"/>
      <c r="D284" s="118">
        <f>+E196</f>
        <v>24374.006093511365</v>
      </c>
      <c r="E284" s="118">
        <f>+E197</f>
        <v>26933.276733330058</v>
      </c>
      <c r="F284" s="118">
        <f>+E198</f>
        <v>29761.270790329712</v>
      </c>
      <c r="G284" s="118">
        <f>+E199</f>
        <v>32886.20422331433</v>
      </c>
      <c r="H284" s="118">
        <f>+E200</f>
        <v>36339.25566676233</v>
      </c>
      <c r="I284" s="118">
        <f>+E201</f>
        <v>40154.87751177238</v>
      </c>
      <c r="J284" s="118">
        <f>+E202</f>
        <v>44371.13965050848</v>
      </c>
      <c r="K284" s="118">
        <f>+E203</f>
        <v>49030.10931381187</v>
      </c>
      <c r="L284" s="118">
        <f>+E204</f>
        <v>54178.270791762116</v>
      </c>
      <c r="M284" s="119">
        <f>+E205</f>
        <v>59866.98922489714</v>
      </c>
    </row>
    <row r="285" spans="2:13" ht="15.75">
      <c r="B285" s="220" t="s">
        <v>178</v>
      </c>
      <c r="C285" s="105"/>
      <c r="D285" s="118">
        <f>+D257</f>
        <v>65122.779373076904</v>
      </c>
      <c r="E285" s="118">
        <f aca="true" t="shared" si="72" ref="E285:M285">+E257</f>
        <v>69132.28656520357</v>
      </c>
      <c r="F285" s="118">
        <f t="shared" si="72"/>
        <v>73363.38309971508</v>
      </c>
      <c r="G285" s="118">
        <f t="shared" si="72"/>
        <v>77829.3654119224</v>
      </c>
      <c r="H285" s="118">
        <f t="shared" si="72"/>
        <v>82544.42754056216</v>
      </c>
      <c r="I285" s="118">
        <f t="shared" si="72"/>
        <v>87523.73045004244</v>
      </c>
      <c r="J285" s="118">
        <f t="shared" si="72"/>
        <v>92783.477385218</v>
      </c>
      <c r="K285" s="118">
        <f t="shared" si="72"/>
        <v>98340.99582979696</v>
      </c>
      <c r="L285" s="118">
        <f t="shared" si="72"/>
        <v>104214.82669632706</v>
      </c>
      <c r="M285" s="118">
        <f t="shared" si="72"/>
        <v>110424.82143837675</v>
      </c>
    </row>
    <row r="286" spans="2:13" ht="15.75">
      <c r="B286" s="220" t="s">
        <v>171</v>
      </c>
      <c r="C286" s="105"/>
      <c r="D286" s="118">
        <f>+D258</f>
        <v>92257.27077852562</v>
      </c>
      <c r="E286" s="118">
        <f aca="true" t="shared" si="73" ref="E286:M286">+E258</f>
        <v>97937.40596737173</v>
      </c>
      <c r="F286" s="118">
        <f t="shared" si="73"/>
        <v>103931.45939126302</v>
      </c>
      <c r="G286" s="118">
        <f t="shared" si="73"/>
        <v>110258.26766689005</v>
      </c>
      <c r="H286" s="118">
        <f t="shared" si="73"/>
        <v>116937.9390157964</v>
      </c>
      <c r="I286" s="118">
        <f t="shared" si="73"/>
        <v>123991.95147089346</v>
      </c>
      <c r="J286" s="118">
        <f t="shared" si="73"/>
        <v>131443.25962905883</v>
      </c>
      <c r="K286" s="118">
        <f t="shared" si="73"/>
        <v>139316.410758879</v>
      </c>
      <c r="L286" s="118">
        <f t="shared" si="73"/>
        <v>147637.67115313</v>
      </c>
      <c r="M286" s="118">
        <f t="shared" si="73"/>
        <v>156435.16370436706</v>
      </c>
    </row>
    <row r="287" spans="2:13" ht="15.75">
      <c r="B287" s="220"/>
      <c r="C287" s="105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</row>
    <row r="288" spans="2:13" ht="15.75">
      <c r="B288" s="220"/>
      <c r="C288" s="105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</row>
    <row r="289" spans="2:13" ht="15.75">
      <c r="B289" s="220" t="s">
        <v>184</v>
      </c>
      <c r="C289" s="105"/>
      <c r="D289" s="118">
        <f>SUM(D281:D286)</f>
        <v>621109.5270912678</v>
      </c>
      <c r="E289" s="118">
        <f aca="true" t="shared" si="74" ref="E289:M289">SUM(E281:E286)</f>
        <v>650677.9921645483</v>
      </c>
      <c r="F289" s="118">
        <f t="shared" si="74"/>
        <v>681775.9059498741</v>
      </c>
      <c r="G289" s="118">
        <f t="shared" si="74"/>
        <v>714485.0985559777</v>
      </c>
      <c r="H289" s="118">
        <f t="shared" si="74"/>
        <v>748892.0541527065</v>
      </c>
      <c r="I289" s="118">
        <f t="shared" si="74"/>
        <v>785088.2027424256</v>
      </c>
      <c r="J289" s="118">
        <f t="shared" si="74"/>
        <v>823170.2327221658</v>
      </c>
      <c r="K289" s="118">
        <f t="shared" si="74"/>
        <v>863240.4259272836</v>
      </c>
      <c r="L289" s="118">
        <f t="shared" si="74"/>
        <v>905407.0170003197</v>
      </c>
      <c r="M289" s="118">
        <f t="shared" si="74"/>
        <v>949784.579096474</v>
      </c>
    </row>
    <row r="290" spans="2:13" ht="15.75">
      <c r="B290" s="220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6"/>
    </row>
    <row r="291" spans="2:13" ht="15.75">
      <c r="B291" s="220" t="s">
        <v>183</v>
      </c>
      <c r="C291" s="107">
        <f>-C162</f>
        <v>-442106</v>
      </c>
      <c r="D291" s="120">
        <f>D277-D289</f>
        <v>259882.47290873225</v>
      </c>
      <c r="E291" s="120">
        <f aca="true" t="shared" si="75" ref="E291:M291">E277-E289</f>
        <v>274363.60783545184</v>
      </c>
      <c r="F291" s="120">
        <f t="shared" si="75"/>
        <v>290017.7740501261</v>
      </c>
      <c r="G291" s="120">
        <f t="shared" si="75"/>
        <v>305373.2654440225</v>
      </c>
      <c r="H291" s="120">
        <f t="shared" si="75"/>
        <v>327959.2280472937</v>
      </c>
      <c r="I291" s="120">
        <f t="shared" si="75"/>
        <v>339805.6435675748</v>
      </c>
      <c r="J291" s="120">
        <f t="shared" si="75"/>
        <v>357443.30590333464</v>
      </c>
      <c r="K291" s="120">
        <f t="shared" si="75"/>
        <v>376403.78962949186</v>
      </c>
      <c r="L291" s="120">
        <f t="shared" si="75"/>
        <v>396719.4093342945</v>
      </c>
      <c r="M291" s="120">
        <f t="shared" si="75"/>
        <v>416923.1685548709</v>
      </c>
    </row>
    <row r="292" spans="2:13" ht="15.75">
      <c r="B292" s="220" t="s">
        <v>0</v>
      </c>
      <c r="C292" s="222">
        <f>+C157</f>
        <v>369100</v>
      </c>
      <c r="D292" s="105"/>
      <c r="E292" s="105"/>
      <c r="F292" s="105"/>
      <c r="G292" s="105"/>
      <c r="H292" s="105"/>
      <c r="I292" s="105"/>
      <c r="J292" s="105"/>
      <c r="K292" s="105"/>
      <c r="L292" s="105"/>
      <c r="M292" s="106"/>
    </row>
    <row r="293" spans="2:13" ht="15.75">
      <c r="B293" s="220" t="s">
        <v>1</v>
      </c>
      <c r="C293" s="222">
        <f>+C158</f>
        <v>55436</v>
      </c>
      <c r="D293" s="105"/>
      <c r="E293" s="105"/>
      <c r="F293" s="105"/>
      <c r="G293" s="105"/>
      <c r="H293" s="105"/>
      <c r="I293" s="105"/>
      <c r="J293" s="105"/>
      <c r="K293" s="105"/>
      <c r="L293" s="105"/>
      <c r="M293" s="106"/>
    </row>
    <row r="294" spans="2:13" ht="15.75">
      <c r="B294" s="220" t="s">
        <v>142</v>
      </c>
      <c r="C294" s="222">
        <f>+C159</f>
        <v>15570</v>
      </c>
      <c r="D294" s="105"/>
      <c r="E294" s="105"/>
      <c r="F294" s="105"/>
      <c r="G294" s="105"/>
      <c r="H294" s="105"/>
      <c r="I294" s="105"/>
      <c r="J294" s="105"/>
      <c r="K294" s="105"/>
      <c r="L294" s="105"/>
      <c r="M294" s="106"/>
    </row>
    <row r="295" spans="2:13" ht="15.75">
      <c r="B295" s="220" t="s">
        <v>155</v>
      </c>
      <c r="C295" s="222">
        <f>+C160</f>
        <v>2000</v>
      </c>
      <c r="D295" s="105"/>
      <c r="E295" s="105"/>
      <c r="F295" s="105"/>
      <c r="G295" s="105"/>
      <c r="H295" s="105"/>
      <c r="I295" s="105"/>
      <c r="J295" s="105"/>
      <c r="K295" s="105"/>
      <c r="L295" s="105"/>
      <c r="M295" s="106"/>
    </row>
    <row r="296" spans="2:13" ht="15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6"/>
    </row>
    <row r="297" spans="2:13" ht="15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6"/>
    </row>
    <row r="298" spans="2:13" ht="15">
      <c r="B298" s="223" t="s">
        <v>27</v>
      </c>
      <c r="C298" s="224">
        <f>+C312</f>
        <v>0.15949999999999998</v>
      </c>
      <c r="D298" s="105"/>
      <c r="E298" s="105"/>
      <c r="F298" s="105"/>
      <c r="G298" s="105"/>
      <c r="H298" s="105"/>
      <c r="I298" s="105"/>
      <c r="J298" s="105"/>
      <c r="K298" s="105"/>
      <c r="L298" s="105"/>
      <c r="M298" s="106"/>
    </row>
    <row r="299" spans="2:13" ht="15">
      <c r="B299" s="225" t="s">
        <v>143</v>
      </c>
      <c r="C299" s="226">
        <f>NPV(C298,C291:M291)</f>
        <v>930669.077505842</v>
      </c>
      <c r="D299" s="105"/>
      <c r="E299" s="105"/>
      <c r="F299" s="105"/>
      <c r="G299" s="105"/>
      <c r="H299" s="105"/>
      <c r="I299" s="105"/>
      <c r="J299" s="105"/>
      <c r="K299" s="105"/>
      <c r="L299" s="105"/>
      <c r="M299" s="106"/>
    </row>
    <row r="300" spans="2:13" ht="15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6"/>
    </row>
    <row r="301" spans="2:13" ht="15.75" thickBot="1">
      <c r="B301" s="229" t="s">
        <v>144</v>
      </c>
      <c r="C301" s="230">
        <f>IRR(C291:M291)</f>
        <v>0.6364308573780542</v>
      </c>
      <c r="D301" s="113"/>
      <c r="E301" s="113"/>
      <c r="F301" s="113"/>
      <c r="G301" s="113"/>
      <c r="H301" s="113"/>
      <c r="I301" s="113"/>
      <c r="J301" s="113"/>
      <c r="K301" s="113"/>
      <c r="L301" s="113"/>
      <c r="M301" s="114"/>
    </row>
    <row r="307" spans="2:4" ht="15.75">
      <c r="B307" s="45" t="s">
        <v>148</v>
      </c>
      <c r="C307" s="45"/>
      <c r="D307" s="45"/>
    </row>
    <row r="308" spans="2:4" ht="15.75">
      <c r="B308" s="45" t="s">
        <v>149</v>
      </c>
      <c r="C308" s="94">
        <f>+E170</f>
        <v>0.105</v>
      </c>
      <c r="D308" s="45"/>
    </row>
    <row r="309" spans="2:5" ht="15.75">
      <c r="B309" s="45" t="s">
        <v>150</v>
      </c>
      <c r="C309" s="95">
        <v>0.0919</v>
      </c>
      <c r="D309" s="45" t="s">
        <v>152</v>
      </c>
      <c r="E309" s="207"/>
    </row>
    <row r="310" spans="2:4" ht="15.75">
      <c r="B310" s="45" t="s">
        <v>151</v>
      </c>
      <c r="C310" s="95">
        <v>0.0374</v>
      </c>
      <c r="D310" s="45" t="s">
        <v>153</v>
      </c>
    </row>
    <row r="311" spans="2:4" ht="15.75">
      <c r="B311" s="45" t="s">
        <v>187</v>
      </c>
      <c r="C311" s="45">
        <v>1</v>
      </c>
      <c r="D311" s="45"/>
    </row>
    <row r="312" spans="2:4" ht="15.75">
      <c r="B312" s="227" t="s">
        <v>154</v>
      </c>
      <c r="C312" s="228">
        <f>C308+(C309-C310)</f>
        <v>0.15949999999999998</v>
      </c>
      <c r="D312" s="45"/>
    </row>
    <row r="313" spans="2:4" ht="15.75">
      <c r="B313" s="45"/>
      <c r="C313" s="95"/>
      <c r="D313" s="45"/>
    </row>
    <row r="316" ht="15.75" thickBot="1"/>
    <row r="317" spans="1:14" ht="15">
      <c r="A317" s="101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3"/>
    </row>
    <row r="318" spans="1:14" ht="15">
      <c r="A318" s="104"/>
      <c r="B318" s="325" t="s">
        <v>145</v>
      </c>
      <c r="C318" s="325"/>
      <c r="D318" s="325"/>
      <c r="E318" s="325"/>
      <c r="F318" s="325"/>
      <c r="G318" s="325"/>
      <c r="H318" s="325"/>
      <c r="I318" s="325"/>
      <c r="J318" s="325"/>
      <c r="K318" s="325"/>
      <c r="L318" s="325"/>
      <c r="M318" s="325"/>
      <c r="N318" s="326"/>
    </row>
    <row r="319" spans="1:14" ht="15.75" thickBot="1">
      <c r="A319" s="104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6"/>
    </row>
    <row r="320" spans="1:14" ht="15">
      <c r="A320" s="104"/>
      <c r="B320" s="105"/>
      <c r="C320" s="233" t="s">
        <v>272</v>
      </c>
      <c r="D320" s="242" t="s">
        <v>273</v>
      </c>
      <c r="E320" s="242" t="s">
        <v>274</v>
      </c>
      <c r="F320" s="242" t="s">
        <v>275</v>
      </c>
      <c r="G320" s="242" t="s">
        <v>276</v>
      </c>
      <c r="H320" s="242" t="s">
        <v>277</v>
      </c>
      <c r="I320" s="242" t="s">
        <v>279</v>
      </c>
      <c r="J320" s="242" t="s">
        <v>280</v>
      </c>
      <c r="K320" s="242" t="s">
        <v>281</v>
      </c>
      <c r="L320" s="245" t="s">
        <v>282</v>
      </c>
      <c r="M320" s="233" t="s">
        <v>283</v>
      </c>
      <c r="N320" s="162" t="s">
        <v>284</v>
      </c>
    </row>
    <row r="321" spans="1:14" ht="15.75" thickBot="1">
      <c r="A321" s="104"/>
      <c r="B321" s="105"/>
      <c r="C321" s="243">
        <f>+C162</f>
        <v>442106</v>
      </c>
      <c r="D321" s="244">
        <f>+D291</f>
        <v>259882.47290873225</v>
      </c>
      <c r="E321" s="244">
        <f aca="true" t="shared" si="76" ref="E321:M321">+E291</f>
        <v>274363.60783545184</v>
      </c>
      <c r="F321" s="244">
        <f t="shared" si="76"/>
        <v>290017.7740501261</v>
      </c>
      <c r="G321" s="244">
        <f t="shared" si="76"/>
        <v>305373.2654440225</v>
      </c>
      <c r="H321" s="244">
        <f t="shared" si="76"/>
        <v>327959.2280472937</v>
      </c>
      <c r="I321" s="244">
        <f>+I291</f>
        <v>339805.6435675748</v>
      </c>
      <c r="J321" s="244">
        <f t="shared" si="76"/>
        <v>357443.30590333464</v>
      </c>
      <c r="K321" s="244">
        <f t="shared" si="76"/>
        <v>376403.78962949186</v>
      </c>
      <c r="L321" s="246">
        <f>+L291</f>
        <v>396719.4093342945</v>
      </c>
      <c r="M321" s="247">
        <f t="shared" si="76"/>
        <v>416923.1685548709</v>
      </c>
      <c r="N321" s="248">
        <f>+C312</f>
        <v>0.15949999999999998</v>
      </c>
    </row>
    <row r="322" spans="1:14" ht="15.75" thickBot="1">
      <c r="A322" s="104"/>
      <c r="B322" s="105"/>
      <c r="C322" s="118"/>
      <c r="D322" s="241"/>
      <c r="E322" s="241"/>
      <c r="F322" s="241"/>
      <c r="G322" s="241"/>
      <c r="H322" s="241"/>
      <c r="I322" s="241"/>
      <c r="J322" s="241"/>
      <c r="K322" s="241"/>
      <c r="L322" s="241"/>
      <c r="M322" s="241"/>
      <c r="N322" s="106"/>
    </row>
    <row r="323" spans="1:14" ht="15">
      <c r="A323" s="104"/>
      <c r="B323" s="233" t="s">
        <v>255</v>
      </c>
      <c r="C323" s="234" t="s">
        <v>278</v>
      </c>
      <c r="D323" s="240"/>
      <c r="E323" s="105"/>
      <c r="F323" s="105"/>
      <c r="G323" s="105"/>
      <c r="H323" s="105"/>
      <c r="I323" s="105"/>
      <c r="J323" s="105"/>
      <c r="K323" s="105"/>
      <c r="L323" s="105"/>
      <c r="M323" s="105"/>
      <c r="N323" s="106"/>
    </row>
    <row r="324" spans="1:14" ht="15">
      <c r="A324" s="104"/>
      <c r="B324" s="170">
        <v>0</v>
      </c>
      <c r="C324" s="235">
        <f>-C321</f>
        <v>-442106</v>
      </c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6"/>
    </row>
    <row r="325" spans="1:14" ht="15">
      <c r="A325" s="104"/>
      <c r="B325" s="170">
        <v>1</v>
      </c>
      <c r="C325" s="235">
        <f>(D321/((1+C312)^B325))-C321</f>
        <v>-217972.7762753495</v>
      </c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6"/>
    </row>
    <row r="326" spans="1:14" ht="15">
      <c r="A326" s="104"/>
      <c r="B326" s="170">
        <v>2</v>
      </c>
      <c r="C326" s="235">
        <f>(E321/((1+C312)^B326))+(D321/((1+C312)^B325))-C321</f>
        <v>-13900.034600550774</v>
      </c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6"/>
    </row>
    <row r="327" spans="1:14" ht="15">
      <c r="A327" s="104"/>
      <c r="B327" s="170">
        <v>3</v>
      </c>
      <c r="C327" s="235">
        <f>(F321/((1+C312)^B327))+(E321/((1+C312)^B326))+(D321/((1+C312)^B325))-C321</f>
        <v>172142.54643104272</v>
      </c>
      <c r="D327" s="105" t="s">
        <v>289</v>
      </c>
      <c r="E327" s="105"/>
      <c r="F327" s="105"/>
      <c r="G327" s="105"/>
      <c r="H327" s="105"/>
      <c r="I327" s="105"/>
      <c r="J327" s="105"/>
      <c r="K327" s="105"/>
      <c r="L327" s="105"/>
      <c r="M327" s="105"/>
      <c r="N327" s="106"/>
    </row>
    <row r="328" spans="1:14" ht="15">
      <c r="A328" s="104"/>
      <c r="B328" s="170">
        <v>4</v>
      </c>
      <c r="C328" s="235">
        <f>(F321/((1+C312)^B327))+(G321/((1+C312)^B328))+(E321/((1+C312)^B326))+(D321/((1+C312)^B325))-C321</f>
        <v>341088.5804545004</v>
      </c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6"/>
    </row>
    <row r="329" spans="1:14" ht="15">
      <c r="A329" s="104"/>
      <c r="B329" s="170">
        <v>5</v>
      </c>
      <c r="C329" s="235">
        <f>(H321/((1+C312)^B329))+(F321/((1+C312)^B327))+(G321/((1+C312)^B328))+(E321/((1+C312)^B326))+(D321/((1+C312)^B325))-C321</f>
        <v>497571.19385976624</v>
      </c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6"/>
    </row>
    <row r="330" spans="1:14" ht="15.75" thickBot="1">
      <c r="A330" s="104"/>
      <c r="B330" s="236">
        <v>6</v>
      </c>
      <c r="C330" s="237">
        <f>(I321/((1+C312)^B330)+(H321/((1+C312)^B329))+(F321/((1+C312)^B327))+(G321/((1+C312)^B328))+(E321/((1+C312)^B326))+(D321/((1+C312)^B325))-C321)</f>
        <v>637403.0329529806</v>
      </c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6"/>
    </row>
    <row r="331" spans="1:14" ht="15.75" thickBot="1">
      <c r="A331" s="104"/>
      <c r="B331" s="264">
        <v>7</v>
      </c>
      <c r="C331" s="265">
        <f>(J321/((1+C312)^B331)+(I321/((1+C312)^B330)+(H321/((1+C312)^B329))+(F321/((1+C312)^B327))+(G321/((1+C312)^B328))+(E321/((1+C312)^B326))+(D321/((1+C312)^B325))-C321))</f>
        <v>764259.2912055417</v>
      </c>
      <c r="D331" s="105"/>
      <c r="E331" s="266"/>
      <c r="F331" s="105"/>
      <c r="G331" s="105"/>
      <c r="H331" s="105"/>
      <c r="I331" s="105"/>
      <c r="J331" s="105"/>
      <c r="K331" s="105"/>
      <c r="L331" s="105"/>
      <c r="M331" s="105"/>
      <c r="N331" s="106"/>
    </row>
    <row r="332" spans="1:14" ht="15">
      <c r="A332" s="104"/>
      <c r="B332" s="238">
        <v>8</v>
      </c>
      <c r="C332" s="239">
        <f>(K321/((1+C312)^B332)+(J321/((1+C312)^B331)+(I321/((1+C312)^B330)+(H321/((1+C312)^B329))+(F321/((1+C312)^B327))+(G321/((1+C312)^B328))+(E321/((1+C312)^B326))+(D321/((1+C312)^B325))-C321)))</f>
        <v>879468.7040961968</v>
      </c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6"/>
    </row>
    <row r="333" spans="1:14" ht="15">
      <c r="A333" s="104"/>
      <c r="B333" s="170">
        <v>9</v>
      </c>
      <c r="C333" s="235">
        <f>(L321/((1+C312)^B333))+(K321/((1+C312)^B332))+(J321/((1+C312)^B331))+(I321/((1+C312)^B330))+(H321/((1+C312)^B329))+(F321/((1+C312)^B327))+(G321/((1+C312)^B328))+(E321/((1+C312)^B326))+(D321/((1+C312)^B325))-C321</f>
        <v>984192.8125815755</v>
      </c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6"/>
    </row>
    <row r="334" spans="1:14" ht="15.75" thickBot="1">
      <c r="A334" s="104"/>
      <c r="B334" s="163">
        <v>10</v>
      </c>
      <c r="C334" s="166">
        <f>+(M321/((1+C312)^B334))+(L321/((1+C312)^B333))+(K321/((1+C312)^B332))+(J321/((1+C312)^B331))+(I321/((1+C312)^B330))+(H321/((1+C312)^B329))+(F321/((1+C312)^B327))+(G321/((1+C312)^B328))+(E321/((1+C312)^B326))+(D321/((1+C312)^B325))-C321</f>
        <v>1079110.795368024</v>
      </c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6"/>
    </row>
    <row r="335" spans="1:14" ht="15">
      <c r="A335" s="104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6"/>
    </row>
    <row r="336" spans="1:14" ht="15.75" thickBot="1">
      <c r="A336" s="112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4"/>
    </row>
    <row r="339" spans="4:14" ht="15">
      <c r="D339" s="327" t="s">
        <v>285</v>
      </c>
      <c r="E339" s="327"/>
      <c r="F339" s="327"/>
      <c r="G339" s="327"/>
      <c r="H339" s="327"/>
      <c r="I339" s="327"/>
      <c r="J339" s="327"/>
      <c r="K339" s="327"/>
      <c r="L339" s="327"/>
      <c r="M339" s="327"/>
      <c r="N339" s="327"/>
    </row>
    <row r="340" ht="15.75" thickBot="1"/>
    <row r="341" spans="4:14" ht="15">
      <c r="D341" s="160"/>
      <c r="E341" s="161" t="s">
        <v>42</v>
      </c>
      <c r="F341" s="161" t="s">
        <v>43</v>
      </c>
      <c r="G341" s="161" t="s">
        <v>44</v>
      </c>
      <c r="H341" s="161" t="s">
        <v>45</v>
      </c>
      <c r="I341" s="161" t="s">
        <v>46</v>
      </c>
      <c r="J341" s="161" t="s">
        <v>47</v>
      </c>
      <c r="K341" s="161" t="s">
        <v>48</v>
      </c>
      <c r="L341" s="161" t="s">
        <v>49</v>
      </c>
      <c r="M341" s="161" t="s">
        <v>50</v>
      </c>
      <c r="N341" s="162" t="s">
        <v>51</v>
      </c>
    </row>
    <row r="342" spans="4:15" ht="15">
      <c r="D342" s="253" t="s">
        <v>136</v>
      </c>
      <c r="E342" s="252">
        <f>+D104</f>
        <v>186840</v>
      </c>
      <c r="F342" s="252">
        <f aca="true" t="shared" si="77" ref="F342:N342">+E104</f>
        <v>196182</v>
      </c>
      <c r="G342" s="252">
        <f t="shared" si="77"/>
        <v>205991.1</v>
      </c>
      <c r="H342" s="252">
        <f t="shared" si="77"/>
        <v>216290.65500000003</v>
      </c>
      <c r="I342" s="252">
        <f t="shared" si="77"/>
        <v>227105.18775</v>
      </c>
      <c r="J342" s="252">
        <f t="shared" si="77"/>
        <v>238460.4471375</v>
      </c>
      <c r="K342" s="252">
        <f t="shared" si="77"/>
        <v>250383.46949437505</v>
      </c>
      <c r="L342" s="252">
        <f t="shared" si="77"/>
        <v>262902.64296909387</v>
      </c>
      <c r="M342" s="252">
        <f t="shared" si="77"/>
        <v>276047.7751175485</v>
      </c>
      <c r="N342" s="254">
        <f t="shared" si="77"/>
        <v>289850.16387342586</v>
      </c>
      <c r="O342" s="232"/>
    </row>
    <row r="343" spans="4:14" ht="15.75" thickBot="1">
      <c r="D343" s="255" t="s">
        <v>286</v>
      </c>
      <c r="E343" s="256">
        <f>+'INFORMACION FINANCIERA'!D218/'INFORMACION FINANCIERA'!D212</f>
        <v>0.8507964046822742</v>
      </c>
      <c r="F343" s="256">
        <f>+'INFORMACION FINANCIERA'!E218/'INFORMACION FINANCIERA'!E212</f>
        <v>0.8507964046822741</v>
      </c>
      <c r="G343" s="256">
        <f>+'INFORMACION FINANCIERA'!F218/'INFORMACION FINANCIERA'!F212</f>
        <v>0.8507964046822742</v>
      </c>
      <c r="H343" s="256">
        <f>+'INFORMACION FINANCIERA'!G218/'INFORMACION FINANCIERA'!G212</f>
        <v>0.8507964046822742</v>
      </c>
      <c r="I343" s="256">
        <f>+'INFORMACION FINANCIERA'!H218/'INFORMACION FINANCIERA'!H212</f>
        <v>0.8507964046822742</v>
      </c>
      <c r="J343" s="256">
        <f>+'INFORMACION FINANCIERA'!I218/'INFORMACION FINANCIERA'!I212</f>
        <v>0.8507964046822742</v>
      </c>
      <c r="K343" s="256">
        <f>+'INFORMACION FINANCIERA'!J218/'INFORMACION FINANCIERA'!J212</f>
        <v>0.8507964046822742</v>
      </c>
      <c r="L343" s="256">
        <f>+'INFORMACION FINANCIERA'!K218/'INFORMACION FINANCIERA'!K212</f>
        <v>0.8507964046822742</v>
      </c>
      <c r="M343" s="256">
        <f>+'INFORMACION FINANCIERA'!L218/'INFORMACION FINANCIERA'!L212</f>
        <v>0.8507964046822742</v>
      </c>
      <c r="N343" s="257">
        <f>+'INFORMACION FINANCIERA'!M218/'INFORMACION FINANCIERA'!M212</f>
        <v>0.8507964046822741</v>
      </c>
    </row>
    <row r="344" spans="4:5" ht="15">
      <c r="D344" s="231"/>
      <c r="E344" s="250"/>
    </row>
    <row r="345" ht="15.75" thickBot="1"/>
    <row r="346" spans="4:14" ht="15">
      <c r="D346" s="258" t="s">
        <v>287</v>
      </c>
      <c r="E346" s="259">
        <f>+E342/E343</f>
        <v>219606.00558693532</v>
      </c>
      <c r="F346" s="259">
        <f aca="true" t="shared" si="78" ref="F346:M346">+F342/F343</f>
        <v>230586.3058662821</v>
      </c>
      <c r="G346" s="259">
        <f t="shared" si="78"/>
        <v>242115.6211595962</v>
      </c>
      <c r="H346" s="259">
        <f t="shared" si="78"/>
        <v>254221.40221757602</v>
      </c>
      <c r="I346" s="259">
        <f t="shared" si="78"/>
        <v>266932.47232845484</v>
      </c>
      <c r="J346" s="259">
        <f t="shared" si="78"/>
        <v>280279.09594487754</v>
      </c>
      <c r="K346" s="259">
        <f t="shared" si="78"/>
        <v>294293.0507421215</v>
      </c>
      <c r="L346" s="259">
        <f t="shared" si="78"/>
        <v>309007.7032792276</v>
      </c>
      <c r="M346" s="259">
        <f t="shared" si="78"/>
        <v>324458.0884431889</v>
      </c>
      <c r="N346" s="260">
        <f>+N342/N343</f>
        <v>340680.99286534835</v>
      </c>
    </row>
    <row r="347" spans="4:14" ht="15.75" thickBot="1">
      <c r="D347" s="261" t="s">
        <v>288</v>
      </c>
      <c r="E347" s="262">
        <f>+E346/$H$73</f>
        <v>119351.08999289962</v>
      </c>
      <c r="F347" s="262">
        <f aca="true" t="shared" si="79" ref="F347:M347">+F346/$H$73</f>
        <v>125318.64449254463</v>
      </c>
      <c r="G347" s="262">
        <f t="shared" si="79"/>
        <v>131584.57671717185</v>
      </c>
      <c r="H347" s="262">
        <f t="shared" si="79"/>
        <v>138163.80555303043</v>
      </c>
      <c r="I347" s="262">
        <f t="shared" si="79"/>
        <v>145071.99583068196</v>
      </c>
      <c r="J347" s="262">
        <f t="shared" si="79"/>
        <v>152325.59562221606</v>
      </c>
      <c r="K347" s="262">
        <f t="shared" si="79"/>
        <v>159941.87540332688</v>
      </c>
      <c r="L347" s="262">
        <f t="shared" si="79"/>
        <v>167938.96917349324</v>
      </c>
      <c r="M347" s="262">
        <f t="shared" si="79"/>
        <v>176335.9176321679</v>
      </c>
      <c r="N347" s="263">
        <f>+N346/$H$73</f>
        <v>185152.71351377628</v>
      </c>
    </row>
    <row r="351" spans="5:14" ht="15">
      <c r="E351" t="s">
        <v>232</v>
      </c>
      <c r="F351" t="s">
        <v>213</v>
      </c>
      <c r="G351" t="s">
        <v>44</v>
      </c>
      <c r="H351" t="s">
        <v>45</v>
      </c>
      <c r="I351" t="s">
        <v>235</v>
      </c>
      <c r="J351" t="s">
        <v>236</v>
      </c>
      <c r="K351" t="s">
        <v>237</v>
      </c>
      <c r="L351" t="s">
        <v>238</v>
      </c>
      <c r="M351" t="s">
        <v>239</v>
      </c>
      <c r="N351" t="s">
        <v>240</v>
      </c>
    </row>
    <row r="352" spans="4:14" ht="15">
      <c r="D352" t="s">
        <v>290</v>
      </c>
      <c r="E352" s="251">
        <f>+E347/D213</f>
        <v>0.24927128235776863</v>
      </c>
      <c r="F352" s="251">
        <f aca="true" t="shared" si="80" ref="F352:N352">+F347/E213</f>
        <v>0.2492712823577687</v>
      </c>
      <c r="G352" s="251">
        <f t="shared" si="80"/>
        <v>0.24927128235776866</v>
      </c>
      <c r="H352" s="251">
        <f t="shared" si="80"/>
        <v>0.24927128235776866</v>
      </c>
      <c r="I352" s="251">
        <f t="shared" si="80"/>
        <v>0.2492712823577687</v>
      </c>
      <c r="J352" s="251">
        <f t="shared" si="80"/>
        <v>0.24927128235776866</v>
      </c>
      <c r="K352" s="251">
        <f t="shared" si="80"/>
        <v>0.24927128235776866</v>
      </c>
      <c r="L352" s="251">
        <f t="shared" si="80"/>
        <v>0.2492712823577687</v>
      </c>
      <c r="M352" s="251">
        <f t="shared" si="80"/>
        <v>0.24927128235776863</v>
      </c>
      <c r="N352" s="251">
        <f t="shared" si="80"/>
        <v>0.2492712823577686</v>
      </c>
    </row>
    <row r="356" ht="15.75" thickBot="1"/>
    <row r="357" spans="5:14" ht="15.75">
      <c r="E357" s="322" t="s">
        <v>291</v>
      </c>
      <c r="F357" s="323"/>
      <c r="G357" s="323"/>
      <c r="H357" s="323"/>
      <c r="I357" s="323"/>
      <c r="J357" s="323"/>
      <c r="K357" s="323"/>
      <c r="L357" s="323"/>
      <c r="M357" s="323"/>
      <c r="N357" s="324"/>
    </row>
    <row r="358" spans="5:14" ht="15">
      <c r="E358" s="275" t="s">
        <v>144</v>
      </c>
      <c r="F358" s="278">
        <v>-0.5634</v>
      </c>
      <c r="G358" s="279">
        <v>-0.3</v>
      </c>
      <c r="H358" s="279">
        <v>-0.15</v>
      </c>
      <c r="I358" s="279">
        <v>-0.05</v>
      </c>
      <c r="J358" s="279">
        <v>0</v>
      </c>
      <c r="K358" s="279">
        <v>0.05</v>
      </c>
      <c r="L358" s="279">
        <v>0.15</v>
      </c>
      <c r="M358" s="280">
        <v>0.3</v>
      </c>
      <c r="N358" s="281">
        <v>1.108</v>
      </c>
    </row>
    <row r="359" spans="5:14" ht="15">
      <c r="E359" s="276" t="s">
        <v>293</v>
      </c>
      <c r="F359" s="282">
        <v>0.1594147407930327</v>
      </c>
      <c r="G359" s="304">
        <v>0.3249311038860348</v>
      </c>
      <c r="H359" s="305">
        <v>0.4857365302142017</v>
      </c>
      <c r="I359" s="306">
        <v>0.586710086689218</v>
      </c>
      <c r="J359" s="307">
        <v>0.6364308573780544</v>
      </c>
      <c r="K359" s="308">
        <v>0.6858061694185932</v>
      </c>
      <c r="L359" s="309">
        <v>0.7838345848028105</v>
      </c>
      <c r="M359" s="310">
        <v>0.9298010489508189</v>
      </c>
      <c r="N359" s="303">
        <v>1.7107410986878446</v>
      </c>
    </row>
    <row r="360" spans="5:14" ht="15">
      <c r="E360" s="276" t="s">
        <v>292</v>
      </c>
      <c r="F360" s="286">
        <v>0.8066280292816224</v>
      </c>
      <c r="G360" s="311">
        <v>0.7536425082789165</v>
      </c>
      <c r="H360" s="312">
        <v>0.6952132533974538</v>
      </c>
      <c r="I360" s="313">
        <v>0.6560717628740524</v>
      </c>
      <c r="J360" s="314">
        <v>0.6364308573780544</v>
      </c>
      <c r="K360" s="315">
        <v>0.6167358109339736</v>
      </c>
      <c r="L360" s="316">
        <v>0.5771568468101212</v>
      </c>
      <c r="M360" s="317">
        <v>0.5171926446175402</v>
      </c>
      <c r="N360" s="285">
        <v>0.15896446520512666</v>
      </c>
    </row>
    <row r="361" spans="5:14" ht="15">
      <c r="E361" s="318"/>
      <c r="F361" s="267"/>
      <c r="G361" s="269"/>
      <c r="H361" s="270"/>
      <c r="I361" s="271"/>
      <c r="J361" s="268"/>
      <c r="K361" s="272"/>
      <c r="L361" s="273"/>
      <c r="M361" s="274"/>
      <c r="N361" s="171"/>
    </row>
    <row r="362" spans="5:14" ht="15">
      <c r="E362" s="319" t="s">
        <v>143</v>
      </c>
      <c r="F362" s="278">
        <v>-0.5634</v>
      </c>
      <c r="G362" s="279">
        <v>-0.3</v>
      </c>
      <c r="H362" s="279">
        <v>-0.15</v>
      </c>
      <c r="I362" s="279">
        <v>-0.05</v>
      </c>
      <c r="J362" s="279">
        <v>0</v>
      </c>
      <c r="K362" s="279">
        <v>0.05</v>
      </c>
      <c r="L362" s="279">
        <v>0.15</v>
      </c>
      <c r="M362" s="280">
        <v>0.3</v>
      </c>
      <c r="N362" s="281">
        <v>1.108</v>
      </c>
    </row>
    <row r="363" spans="5:14" ht="15">
      <c r="E363" s="276" t="s">
        <v>293</v>
      </c>
      <c r="F363" s="283">
        <v>-136.00702893141016</v>
      </c>
      <c r="G363" s="295">
        <v>292771.0405855094</v>
      </c>
      <c r="H363" s="296">
        <v>613063.0387701628</v>
      </c>
      <c r="I363" s="297">
        <v>824800.3979272821</v>
      </c>
      <c r="J363" s="298">
        <v>930669.077505842</v>
      </c>
      <c r="K363" s="299">
        <v>1036537.7570844019</v>
      </c>
      <c r="L363" s="300">
        <v>1248275.1162415214</v>
      </c>
      <c r="M363" s="301">
        <v>1565881.1549772</v>
      </c>
      <c r="N363" s="302">
        <v>3276719.016966725</v>
      </c>
    </row>
    <row r="364" spans="5:14" ht="15.75" thickBot="1">
      <c r="E364" s="277" t="s">
        <v>292</v>
      </c>
      <c r="F364" s="287">
        <v>1297726.0398580674</v>
      </c>
      <c r="G364" s="288">
        <v>1182884.122640216</v>
      </c>
      <c r="H364" s="289">
        <v>1056776.600073029</v>
      </c>
      <c r="I364" s="290">
        <v>972704.9183615709</v>
      </c>
      <c r="J364" s="291">
        <v>930669.077505842</v>
      </c>
      <c r="K364" s="292">
        <v>888633.236650113</v>
      </c>
      <c r="L364" s="293">
        <v>804561.5549386552</v>
      </c>
      <c r="M364" s="294">
        <v>678454.032371468</v>
      </c>
      <c r="N364" s="284">
        <v>-845.1558571123918</v>
      </c>
    </row>
    <row r="367" ht="15">
      <c r="E367" t="s">
        <v>303</v>
      </c>
    </row>
    <row r="368" ht="15">
      <c r="E368" t="s">
        <v>294</v>
      </c>
    </row>
    <row r="371" ht="15">
      <c r="E371" t="s">
        <v>301</v>
      </c>
    </row>
    <row r="372" ht="15">
      <c r="E372" t="s">
        <v>295</v>
      </c>
    </row>
  </sheetData>
  <sheetProtection/>
  <mergeCells count="32">
    <mergeCell ref="B43:D43"/>
    <mergeCell ref="B16:F16"/>
    <mergeCell ref="B25:D25"/>
    <mergeCell ref="I16:M16"/>
    <mergeCell ref="B29:E29"/>
    <mergeCell ref="B32:D32"/>
    <mergeCell ref="B86:L86"/>
    <mergeCell ref="B82:L82"/>
    <mergeCell ref="B91:L91"/>
    <mergeCell ref="B96:L96"/>
    <mergeCell ref="B44:D44"/>
    <mergeCell ref="B49:D49"/>
    <mergeCell ref="B50:D50"/>
    <mergeCell ref="B57:D57"/>
    <mergeCell ref="B68:D68"/>
    <mergeCell ref="B71:E71"/>
    <mergeCell ref="B176:H176"/>
    <mergeCell ref="B177:H177"/>
    <mergeCell ref="B112:N112"/>
    <mergeCell ref="B113:N113"/>
    <mergeCell ref="B106:F106"/>
    <mergeCell ref="B156:C156"/>
    <mergeCell ref="H106:Q106"/>
    <mergeCell ref="E160:F160"/>
    <mergeCell ref="E161:F161"/>
    <mergeCell ref="D166:F166"/>
    <mergeCell ref="B175:H175"/>
    <mergeCell ref="E357:N357"/>
    <mergeCell ref="B318:N318"/>
    <mergeCell ref="D339:N339"/>
    <mergeCell ref="D186:E186"/>
    <mergeCell ref="C192:G192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4"/>
  <sheetViews>
    <sheetView zoomScalePageLayoutView="0" workbookViewId="0" topLeftCell="A1">
      <selection activeCell="E6" sqref="E6"/>
    </sheetView>
  </sheetViews>
  <sheetFormatPr defaultColWidth="11.421875" defaultRowHeight="15"/>
  <sheetData>
    <row r="2" spans="2:7" ht="19.5">
      <c r="B2" s="359" t="s">
        <v>302</v>
      </c>
      <c r="C2" s="359"/>
      <c r="D2" s="359"/>
      <c r="E2" s="359"/>
      <c r="F2" s="359"/>
      <c r="G2" s="359"/>
    </row>
    <row r="4" spans="2:4" ht="15">
      <c r="B4" s="360" t="s">
        <v>10</v>
      </c>
      <c r="C4" s="360"/>
      <c r="D4" s="2">
        <v>252921.6</v>
      </c>
    </row>
    <row r="5" spans="2:4" ht="15">
      <c r="B5" s="360" t="s">
        <v>11</v>
      </c>
      <c r="C5" s="360"/>
      <c r="D5" s="3">
        <v>10</v>
      </c>
    </row>
    <row r="6" spans="2:4" ht="15">
      <c r="B6" s="360" t="s">
        <v>12</v>
      </c>
      <c r="C6" s="360"/>
      <c r="D6" s="4">
        <v>0</v>
      </c>
    </row>
    <row r="7" spans="2:4" ht="15">
      <c r="B7" s="360" t="s">
        <v>13</v>
      </c>
      <c r="C7" s="360"/>
      <c r="D7" s="4">
        <v>0</v>
      </c>
    </row>
    <row r="8" spans="2:4" ht="15">
      <c r="B8" s="360" t="s">
        <v>14</v>
      </c>
      <c r="C8" s="360"/>
      <c r="D8" s="5">
        <v>0.104</v>
      </c>
    </row>
    <row r="9" spans="2:4" ht="15">
      <c r="B9" s="360" t="s">
        <v>15</v>
      </c>
      <c r="C9" s="360"/>
      <c r="D9" s="6">
        <f>D8/12</f>
        <v>0.008666666666666666</v>
      </c>
    </row>
    <row r="10" spans="2:4" ht="15">
      <c r="B10" s="360" t="s">
        <v>16</v>
      </c>
      <c r="C10" s="360"/>
      <c r="D10" s="6">
        <f>D9</f>
        <v>0.008666666666666666</v>
      </c>
    </row>
    <row r="12" spans="2:7" ht="15">
      <c r="B12" s="320" t="s">
        <v>17</v>
      </c>
      <c r="C12" s="320" t="s">
        <v>18</v>
      </c>
      <c r="D12" s="320" t="s">
        <v>19</v>
      </c>
      <c r="E12" s="320" t="s">
        <v>9</v>
      </c>
      <c r="F12" s="320" t="s">
        <v>20</v>
      </c>
      <c r="G12" s="320" t="s">
        <v>21</v>
      </c>
    </row>
    <row r="13" spans="2:7" ht="15">
      <c r="B13" s="320">
        <v>0</v>
      </c>
      <c r="C13" s="321">
        <v>252921.6</v>
      </c>
      <c r="D13" s="320"/>
      <c r="E13" s="320"/>
      <c r="F13" s="320"/>
      <c r="G13" s="320"/>
    </row>
    <row r="14" spans="2:7" ht="15">
      <c r="B14" s="320">
        <v>1</v>
      </c>
      <c r="C14" s="1">
        <v>228600.23101248583</v>
      </c>
      <c r="D14" s="1">
        <v>2191.9872</v>
      </c>
      <c r="E14" s="1">
        <v>26513.3561875142</v>
      </c>
      <c r="F14" s="1">
        <v>24321.368987514183</v>
      </c>
      <c r="G14" s="1">
        <v>24321.368987514183</v>
      </c>
    </row>
    <row r="15" spans="2:7" ht="15">
      <c r="B15" s="320">
        <v>2</v>
      </c>
      <c r="C15" s="1">
        <v>204068.07682707987</v>
      </c>
      <c r="D15" s="1">
        <v>1981.2020021082105</v>
      </c>
      <c r="E15" s="1">
        <v>26513.356187514182</v>
      </c>
      <c r="F15" s="1">
        <v>24532.154185405972</v>
      </c>
      <c r="G15" s="1">
        <v>48853.523172920155</v>
      </c>
    </row>
    <row r="16" spans="2:7" ht="15">
      <c r="B16" s="320">
        <v>3</v>
      </c>
      <c r="C16" s="1">
        <v>179323.31063873373</v>
      </c>
      <c r="D16" s="1">
        <v>1768.5899991680255</v>
      </c>
      <c r="E16" s="1">
        <v>26513.356187514182</v>
      </c>
      <c r="F16" s="1">
        <v>24744.766188346155</v>
      </c>
      <c r="G16" s="1">
        <v>73598.2893612663</v>
      </c>
    </row>
    <row r="17" spans="2:7" ht="15">
      <c r="B17" s="320">
        <v>4</v>
      </c>
      <c r="C17" s="1">
        <v>154364.08981008857</v>
      </c>
      <c r="D17" s="1">
        <v>1554.1353588690256</v>
      </c>
      <c r="E17" s="1">
        <v>26513.356187514182</v>
      </c>
      <c r="F17" s="1">
        <v>24959.220828645157</v>
      </c>
      <c r="G17" s="1">
        <v>98557.51018991147</v>
      </c>
    </row>
    <row r="18" spans="2:7" ht="15">
      <c r="B18" s="320">
        <v>5</v>
      </c>
      <c r="C18" s="1">
        <v>129188.55573426181</v>
      </c>
      <c r="D18" s="1">
        <v>1337.8221116874342</v>
      </c>
      <c r="E18" s="1">
        <v>26513.356187514182</v>
      </c>
      <c r="F18" s="1">
        <v>25175.53407582675</v>
      </c>
      <c r="G18" s="1">
        <v>123733.04426573822</v>
      </c>
    </row>
    <row r="19" spans="2:7" ht="15">
      <c r="B19" s="320">
        <v>6</v>
      </c>
      <c r="C19" s="1">
        <v>103794.83369644456</v>
      </c>
      <c r="D19" s="1">
        <v>1119.6341496969358</v>
      </c>
      <c r="E19" s="1">
        <v>26513.356187514182</v>
      </c>
      <c r="F19" s="1">
        <v>25393.722037817246</v>
      </c>
      <c r="G19" s="1">
        <v>149126.76630355546</v>
      </c>
    </row>
    <row r="20" spans="2:7" ht="15">
      <c r="B20" s="320">
        <v>7</v>
      </c>
      <c r="C20" s="1">
        <v>78181.03273429957</v>
      </c>
      <c r="D20" s="1">
        <v>899.5552253691861</v>
      </c>
      <c r="E20" s="1">
        <v>26513.356187514182</v>
      </c>
      <c r="F20" s="1">
        <v>25613.800962144996</v>
      </c>
      <c r="G20" s="1">
        <v>174740.56726570046</v>
      </c>
    </row>
    <row r="21" spans="2:7" ht="15">
      <c r="B21" s="320">
        <v>8</v>
      </c>
      <c r="C21" s="1">
        <v>52345.24549714932</v>
      </c>
      <c r="D21" s="1">
        <v>677.5689503639296</v>
      </c>
      <c r="E21" s="1">
        <v>26513.356187514182</v>
      </c>
      <c r="F21" s="1">
        <v>25835.787237150253</v>
      </c>
      <c r="G21" s="1">
        <v>200576.3545028507</v>
      </c>
    </row>
    <row r="22" spans="2:7" ht="15">
      <c r="B22" s="320">
        <v>9</v>
      </c>
      <c r="C22" s="1">
        <v>26285.548103943765</v>
      </c>
      <c r="D22" s="1">
        <v>453.6587943086274</v>
      </c>
      <c r="E22" s="1">
        <v>26513.356187514182</v>
      </c>
      <c r="F22" s="1">
        <v>26059.697393205555</v>
      </c>
      <c r="G22" s="1">
        <v>226636.05189605628</v>
      </c>
    </row>
    <row r="23" spans="2:7" ht="15">
      <c r="B23" s="320">
        <v>10</v>
      </c>
      <c r="C23" s="1">
        <v>-2.903107088059187E-09</v>
      </c>
      <c r="D23" s="1">
        <v>227.80808356751263</v>
      </c>
      <c r="E23" s="1">
        <v>26513.356187514182</v>
      </c>
      <c r="F23" s="1">
        <v>26285.54810394667</v>
      </c>
      <c r="G23" s="1">
        <v>252921.60000000295</v>
      </c>
    </row>
    <row r="24" spans="2:7" ht="15">
      <c r="B24" s="320" t="s">
        <v>22</v>
      </c>
      <c r="C24" s="321">
        <v>252921.6</v>
      </c>
      <c r="D24" s="321">
        <v>12211.961875138886</v>
      </c>
      <c r="E24" s="321">
        <v>265133.5618751418</v>
      </c>
      <c r="F24" s="321">
        <v>252921.60000000295</v>
      </c>
      <c r="G24" s="321">
        <v>252921.60000000295</v>
      </c>
    </row>
  </sheetData>
  <sheetProtection/>
  <mergeCells count="8">
    <mergeCell ref="B2:G2"/>
    <mergeCell ref="B10:C10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9">
      <selection activeCell="B31" sqref="B31"/>
    </sheetView>
  </sheetViews>
  <sheetFormatPr defaultColWidth="11.421875" defaultRowHeight="15"/>
  <sheetData/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">
      <selection activeCell="D5" sqref="D5"/>
    </sheetView>
  </sheetViews>
  <sheetFormatPr defaultColWidth="11.421875" defaultRowHeight="15"/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silgivar</cp:lastModifiedBy>
  <dcterms:created xsi:type="dcterms:W3CDTF">2010-02-18T02:40:17Z</dcterms:created>
  <dcterms:modified xsi:type="dcterms:W3CDTF">2010-06-25T16:29:16Z</dcterms:modified>
  <cp:category/>
  <cp:version/>
  <cp:contentType/>
  <cp:contentStatus/>
</cp:coreProperties>
</file>