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tabRatio="602" firstSheet="1" activeTab="5"/>
  </bookViews>
  <sheets>
    <sheet name="Posición Solar" sheetId="1" r:id="rId1"/>
    <sheet name="calculos" sheetId="2" r:id="rId2"/>
    <sheet name="SANOS" sheetId="3" r:id="rId3"/>
    <sheet name="Hoja de cálculo" sheetId="4" r:id="rId4"/>
    <sheet name="Hoja2" sheetId="5" r:id="rId5"/>
    <sheet name="NO SANOS" sheetId="6" r:id="rId6"/>
  </sheets>
  <definedNames>
    <definedName name="_xlnm.Print_Area" localSheetId="4">'Hoja2'!$A$1:$N$17</definedName>
  </definedNames>
  <calcPr fullCalcOnLoad="1"/>
</workbook>
</file>

<file path=xl/sharedStrings.xml><?xml version="1.0" encoding="utf-8"?>
<sst xmlns="http://schemas.openxmlformats.org/spreadsheetml/2006/main" count="545" uniqueCount="355">
  <si>
    <t>Norte</t>
  </si>
  <si>
    <t>Orientación</t>
  </si>
  <si>
    <t>Alto</t>
  </si>
  <si>
    <t>Largo</t>
  </si>
  <si>
    <t>Dimensiones Paredes</t>
  </si>
  <si>
    <t>Dimensiones Vidrio</t>
  </si>
  <si>
    <t>Área Total (m2)</t>
  </si>
  <si>
    <t>Área Ft2</t>
  </si>
  <si>
    <t>FECHA</t>
  </si>
  <si>
    <t>TIEMPO SOLAR</t>
  </si>
  <si>
    <t>Posición Solar</t>
  </si>
  <si>
    <t>Altitud</t>
  </si>
  <si>
    <t>IDN</t>
  </si>
  <si>
    <t>A.M</t>
  </si>
  <si>
    <t>Grados</t>
  </si>
  <si>
    <t>Btu/h*Ft2</t>
  </si>
  <si>
    <t>SHFG</t>
  </si>
  <si>
    <t>FACTOR DE GANANCIA SOLAR (Btu/h*Ft2)</t>
  </si>
  <si>
    <t>N</t>
  </si>
  <si>
    <t>NE</t>
  </si>
  <si>
    <t>E</t>
  </si>
  <si>
    <t>SE</t>
  </si>
  <si>
    <t>O</t>
  </si>
  <si>
    <t>SO</t>
  </si>
  <si>
    <t>NO</t>
  </si>
  <si>
    <t>Horizontal</t>
  </si>
  <si>
    <t>Q (Btu/h)</t>
  </si>
  <si>
    <t>SC</t>
  </si>
  <si>
    <t>Upared</t>
  </si>
  <si>
    <t>Vidrio</t>
  </si>
  <si>
    <t>Pared</t>
  </si>
  <si>
    <t>Particiones</t>
  </si>
  <si>
    <t>Puertas</t>
  </si>
  <si>
    <t>Tumbado</t>
  </si>
  <si>
    <t>Techo</t>
  </si>
  <si>
    <t>A[(SC(SHGF)+U(To-Ti)]</t>
  </si>
  <si>
    <r>
      <t>UA(</t>
    </r>
    <r>
      <rPr>
        <sz val="10"/>
        <rFont val="Symbol"/>
        <family val="1"/>
      </rPr>
      <t>D</t>
    </r>
    <r>
      <rPr>
        <sz val="10"/>
        <rFont val="Arial"/>
        <family val="0"/>
      </rPr>
      <t>t)</t>
    </r>
  </si>
  <si>
    <t>Luces</t>
  </si>
  <si>
    <t>Sensible</t>
  </si>
  <si>
    <t>Latente</t>
  </si>
  <si>
    <t>Ganancia de calor (btu/h)</t>
  </si>
  <si>
    <t>Uparticion</t>
  </si>
  <si>
    <r>
      <t>UA(</t>
    </r>
    <r>
      <rPr>
        <sz val="10"/>
        <rFont val="Symbol"/>
        <family val="1"/>
      </rPr>
      <t>D</t>
    </r>
    <r>
      <rPr>
        <sz val="10"/>
        <rFont val="Arial"/>
        <family val="0"/>
      </rPr>
      <t>Tequivalente1)</t>
    </r>
  </si>
  <si>
    <r>
      <t>UA(</t>
    </r>
    <r>
      <rPr>
        <sz val="10"/>
        <rFont val="Symbol"/>
        <family val="1"/>
      </rPr>
      <t>D</t>
    </r>
    <r>
      <rPr>
        <sz val="10"/>
        <rFont val="Arial"/>
        <family val="0"/>
      </rPr>
      <t>Tequivalente2)</t>
    </r>
  </si>
  <si>
    <r>
      <t>UA(</t>
    </r>
    <r>
      <rPr>
        <sz val="10"/>
        <rFont val="Symbol"/>
        <family val="1"/>
      </rPr>
      <t>D</t>
    </r>
    <r>
      <rPr>
        <sz val="10"/>
        <rFont val="Arial"/>
        <family val="0"/>
      </rPr>
      <t>Tequivalente3)</t>
    </r>
  </si>
  <si>
    <t>tiempo</t>
  </si>
  <si>
    <t>NORTE</t>
  </si>
  <si>
    <t>ºF</t>
  </si>
  <si>
    <t>ºC</t>
  </si>
  <si>
    <t>pag 73 libro espol</t>
  </si>
  <si>
    <t>S</t>
  </si>
  <si>
    <t xml:space="preserve">NE </t>
  </si>
  <si>
    <t>HORIZONTAL</t>
  </si>
  <si>
    <t>To ºF</t>
  </si>
  <si>
    <t>Ti ºF</t>
  </si>
  <si>
    <t>Uvidrio (Btu/hºFft2)</t>
  </si>
  <si>
    <t>SHGCF (Btu/hft2)</t>
  </si>
  <si>
    <t>Avidrio (ft2)</t>
  </si>
  <si>
    <t>Apared (ft2)</t>
  </si>
  <si>
    <t>PM</t>
  </si>
  <si>
    <t>Calculo de U Ejemplo 4</t>
  </si>
  <si>
    <t>Aire externo</t>
  </si>
  <si>
    <t>Cemento (1/2")</t>
  </si>
  <si>
    <t>Bloque d Concreto (8")</t>
  </si>
  <si>
    <t>Gypsum (1/2")</t>
  </si>
  <si>
    <t>Ladrillo de Frente (4")</t>
  </si>
  <si>
    <t>Aire interno</t>
  </si>
  <si>
    <t>Total resistencias</t>
  </si>
  <si>
    <t>U pared</t>
  </si>
  <si>
    <t>Totales</t>
  </si>
  <si>
    <t>Qvidrio (norte)</t>
  </si>
  <si>
    <r>
      <t>D</t>
    </r>
    <r>
      <rPr>
        <sz val="10"/>
        <rFont val="Arial"/>
        <family val="0"/>
      </rPr>
      <t>Tequivalente1</t>
    </r>
  </si>
  <si>
    <t>TOTAL</t>
  </si>
  <si>
    <t>PROMEDIO</t>
  </si>
  <si>
    <t>U partición</t>
  </si>
  <si>
    <t>Aire Interno</t>
  </si>
  <si>
    <t>Ladrillo Común (4")</t>
  </si>
  <si>
    <t>Cemeto (1/2")</t>
  </si>
  <si>
    <t>Ejemplo 2</t>
  </si>
  <si>
    <t>Q (partición)</t>
  </si>
  <si>
    <r>
      <t>(</t>
    </r>
    <r>
      <rPr>
        <sz val="10"/>
        <rFont val="Symbol"/>
        <family val="1"/>
      </rPr>
      <t>D</t>
    </r>
    <r>
      <rPr>
        <sz val="10"/>
        <rFont val="Arial"/>
        <family val="0"/>
      </rPr>
      <t>t)</t>
    </r>
  </si>
  <si>
    <t>Ancho</t>
  </si>
  <si>
    <t>2 puertas</t>
  </si>
  <si>
    <t>Upuerta (tabla 4-16 libro de Burgues)</t>
  </si>
  <si>
    <t>Q (puerta)</t>
  </si>
  <si>
    <t>Área a Climatizar (ft2)</t>
  </si>
  <si>
    <t>Q (tumbado)</t>
  </si>
  <si>
    <t>Gypsum</t>
  </si>
  <si>
    <t>U Techo</t>
  </si>
  <si>
    <t xml:space="preserve">Espacio de Aire </t>
  </si>
  <si>
    <t>Total de Resistencia</t>
  </si>
  <si>
    <t>U techo</t>
  </si>
  <si>
    <t>ver pag 144</t>
  </si>
  <si>
    <t>o ejemplo</t>
  </si>
  <si>
    <t>tiempo AM</t>
  </si>
  <si>
    <t>tiempo PM</t>
  </si>
  <si>
    <t>Qpared (norte) pared 60lb/ft2</t>
  </si>
  <si>
    <t>Ti</t>
  </si>
  <si>
    <t>To</t>
  </si>
  <si>
    <t>Tp</t>
  </si>
  <si>
    <t>Temperatura de cuartos cercanos, asumiendo grados más</t>
  </si>
  <si>
    <t>Área Tumbado y Techo</t>
  </si>
  <si>
    <t>HOJA DE CALCULO DE CARGA DE ENFRIAMIENTO</t>
  </si>
  <si>
    <t>TESIS</t>
  </si>
  <si>
    <t>Trabajo No:</t>
  </si>
  <si>
    <t>Peso de la Construcción:</t>
  </si>
  <si>
    <t>Temperatura Exterio de diseño:</t>
  </si>
  <si>
    <t>Localización:</t>
  </si>
  <si>
    <t>Vía Samborondon (Guayaquil)</t>
  </si>
  <si>
    <t>ºF Bulbo seco</t>
  </si>
  <si>
    <t>ºF Bulbo húmedo</t>
  </si>
  <si>
    <t>Tiempo estimado de la carga máxima:</t>
  </si>
  <si>
    <t>Temperatura Interior de Diseño</t>
  </si>
  <si>
    <t>ºF bulbo humedo</t>
  </si>
  <si>
    <t>Cuarto</t>
  </si>
  <si>
    <t>Pared Expuesta (pies)</t>
  </si>
  <si>
    <t>Dimensión del Cuarto</t>
  </si>
  <si>
    <t>Altura al tumbado (pies)</t>
  </si>
  <si>
    <t>Paredes Expuestas y Divsiones</t>
  </si>
  <si>
    <t>a</t>
  </si>
  <si>
    <t>b</t>
  </si>
  <si>
    <t>División</t>
  </si>
  <si>
    <t>Ventanas y Puertas</t>
  </si>
  <si>
    <t>Convectivo</t>
  </si>
  <si>
    <t>todo</t>
  </si>
  <si>
    <t>Pisos</t>
  </si>
  <si>
    <t>Tumbados</t>
  </si>
  <si>
    <t xml:space="preserve">Infiltración </t>
  </si>
  <si>
    <t>luces</t>
  </si>
  <si>
    <t>Personas</t>
  </si>
  <si>
    <t>Equipos</t>
  </si>
  <si>
    <t>Ventilación</t>
  </si>
  <si>
    <t>Carga total de enfriamineto</t>
  </si>
  <si>
    <t>Cantidad de aire CFM</t>
  </si>
  <si>
    <t>Dirección</t>
  </si>
  <si>
    <t>U
o
SC</t>
  </si>
  <si>
    <t xml:space="preserve">Luces </t>
  </si>
  <si>
    <t>Q (Btu/h) sensible</t>
  </si>
  <si>
    <t>Q (Btu/h) latente</t>
  </si>
  <si>
    <t>Aparatos eléctrico (esterilizador)</t>
  </si>
  <si>
    <t>3 Personas</t>
  </si>
  <si>
    <t>Temperatura Exterior de Guayaquil</t>
  </si>
  <si>
    <t>7am</t>
  </si>
  <si>
    <t>8am</t>
  </si>
  <si>
    <t>9am</t>
  </si>
  <si>
    <t>10am</t>
  </si>
  <si>
    <t>11am</t>
  </si>
  <si>
    <t>12m</t>
  </si>
  <si>
    <t>1pm</t>
  </si>
  <si>
    <t>2pm</t>
  </si>
  <si>
    <t>3pm</t>
  </si>
  <si>
    <t>4pm</t>
  </si>
  <si>
    <t>5pm</t>
  </si>
  <si>
    <t>0,33 cfm/ft2</t>
  </si>
  <si>
    <t>25 cfm por persona</t>
  </si>
  <si>
    <t>Ventilación (folleto pag 256)0 tabla10-4 burgues</t>
  </si>
  <si>
    <t>4 Personas</t>
  </si>
  <si>
    <t>Luces 8 FLOURESCENTES</t>
  </si>
  <si>
    <t>PARTICIONES</t>
  </si>
  <si>
    <t>1,25*3413 por KW</t>
  </si>
  <si>
    <t>ALTITUD</t>
  </si>
  <si>
    <t>AZIUMUTH SOL</t>
  </si>
  <si>
    <t>AZIMUTH SOL-PARED</t>
  </si>
  <si>
    <t>AZIMUTH PARED</t>
  </si>
  <si>
    <t>Fd</t>
  </si>
  <si>
    <t>fd</t>
  </si>
  <si>
    <t>IDN(Fd+fd)</t>
  </si>
  <si>
    <t>JUNIO21 - 7AM</t>
  </si>
  <si>
    <t>ENERO21-7AM</t>
  </si>
  <si>
    <t>Azimuth</t>
  </si>
  <si>
    <t xml:space="preserve">Dimensiones de pared </t>
  </si>
  <si>
    <t>ft2</t>
  </si>
  <si>
    <t>Área (m2)</t>
  </si>
  <si>
    <t>vidrio</t>
  </si>
  <si>
    <t>pared</t>
  </si>
  <si>
    <t>puerta</t>
  </si>
  <si>
    <t>piso</t>
  </si>
  <si>
    <t>Q (vidrio)</t>
  </si>
  <si>
    <t>Tp2</t>
  </si>
  <si>
    <t>Q (partición2)</t>
  </si>
  <si>
    <t>Q(piso)</t>
  </si>
  <si>
    <t>ventilación</t>
  </si>
  <si>
    <t>2cfm/ft2</t>
  </si>
  <si>
    <t>Pared expuesta</t>
  </si>
  <si>
    <t>Vidrio Expuesto</t>
  </si>
  <si>
    <t>Particiones 1,2,3,4</t>
  </si>
  <si>
    <t>Partición 5</t>
  </si>
  <si>
    <t>Divisiones 1, 2, 3, 4</t>
  </si>
  <si>
    <t>Division 5</t>
  </si>
  <si>
    <t>Altura</t>
  </si>
  <si>
    <t>Área Mt2</t>
  </si>
  <si>
    <t xml:space="preserve">Tumbado </t>
  </si>
  <si>
    <t>Suelo</t>
  </si>
  <si>
    <t>Puertas (2)</t>
  </si>
  <si>
    <t>Personas Adultas en espacio</t>
  </si>
  <si>
    <t xml:space="preserve">Equipos </t>
  </si>
  <si>
    <t>6 fluorescentes (100 W cada una)</t>
  </si>
  <si>
    <t>1 Esterilizador</t>
  </si>
  <si>
    <t>SHADING COEFICIENTS FOR SIMPLE GLASS WITH INDOOR SHADING BY VENETIAN BLINDS AND ROLLER SHADE</t>
  </si>
  <si>
    <t>Type of Glass</t>
  </si>
  <si>
    <t>Regular Sheet</t>
  </si>
  <si>
    <t>Regular Plate float</t>
  </si>
  <si>
    <t>Regular Pattern</t>
  </si>
  <si>
    <t>Heat-absorbing Pattern</t>
  </si>
  <si>
    <t>Grey sheet</t>
  </si>
  <si>
    <t>Heat-absorbing pattern</t>
  </si>
  <si>
    <t>Heat-abosrbing plate float</t>
  </si>
  <si>
    <t>Heat-absorbing plate/float or pattern</t>
  </si>
  <si>
    <t>Heat-absorbing plate float</t>
  </si>
  <si>
    <t>Reflective coated</t>
  </si>
  <si>
    <t>glass (no inside shade)</t>
  </si>
  <si>
    <t>Shading Coefficiente=0,50</t>
  </si>
  <si>
    <t>Shading Coefficiente=0,60</t>
  </si>
  <si>
    <t>Shading Coefficiente=0,30</t>
  </si>
  <si>
    <t>Shading Coefficiente=0,40</t>
  </si>
  <si>
    <t>Nominal
Thinckness</t>
  </si>
  <si>
    <t>in</t>
  </si>
  <si>
    <t>mm</t>
  </si>
  <si>
    <t>3/32 to 1/4</t>
  </si>
  <si>
    <t>1/4 to 1/2</t>
  </si>
  <si>
    <t>. 1/8</t>
  </si>
  <si>
    <t>2 to 6</t>
  </si>
  <si>
    <t>3   6</t>
  </si>
  <si>
    <t>5   6</t>
  </si>
  <si>
    <t>6   13</t>
  </si>
  <si>
    <t>3/16 to 1/4</t>
  </si>
  <si>
    <t>1/8 to 1/4</t>
  </si>
  <si>
    <t>3/8,</t>
  </si>
  <si>
    <t>3  6</t>
  </si>
  <si>
    <t>5  6</t>
  </si>
  <si>
    <t xml:space="preserve">Solar </t>
  </si>
  <si>
    <t>Transmittance</t>
  </si>
  <si>
    <t>0,87  0,80</t>
  </si>
  <si>
    <t>0,80  0,71</t>
  </si>
  <si>
    <t>0,87  0,79</t>
  </si>
  <si>
    <t>0,74  0,71</t>
  </si>
  <si>
    <t>0,59  0,45</t>
  </si>
  <si>
    <t>0,44  0,30</t>
  </si>
  <si>
    <t>0,29  0,15</t>
  </si>
  <si>
    <t>Heat-absorbing plate</t>
  </si>
  <si>
    <t xml:space="preserve"> or pattern</t>
  </si>
  <si>
    <t>Medium</t>
  </si>
  <si>
    <t>Light</t>
  </si>
  <si>
    <t>Venetian Blinds</t>
  </si>
  <si>
    <t>Type of Shading</t>
  </si>
  <si>
    <t>Opaque</t>
  </si>
  <si>
    <t>Dark</t>
  </si>
  <si>
    <t>White</t>
  </si>
  <si>
    <t>Translucen</t>
  </si>
  <si>
    <t>Rolle Shade</t>
  </si>
  <si>
    <t>Description</t>
  </si>
  <si>
    <t>Flat Glass</t>
  </si>
  <si>
    <t>Single sheet</t>
  </si>
  <si>
    <t>insulating glass - doble,</t>
  </si>
  <si>
    <t>1/4 in or 6 mm air space</t>
  </si>
  <si>
    <t>1/2 in or 13 mm air sapce</t>
  </si>
  <si>
    <t>1/2 in or 13 mm air sapce low</t>
  </si>
  <si>
    <t>emittance coating</t>
  </si>
  <si>
    <t>emittance = 0,20</t>
  </si>
  <si>
    <t>emittance = 0,60</t>
  </si>
  <si>
    <t>Insulating glass - triple</t>
  </si>
  <si>
    <t>Storm windows</t>
  </si>
  <si>
    <t>1 - 4 in or 25 a 100 mm air space</t>
  </si>
  <si>
    <t>Glass Block</t>
  </si>
  <si>
    <t>6 x 6 x 4in or 150 x 150 x 100 mm thick</t>
  </si>
  <si>
    <t>12 x 12 x 4 in or 300 x 300 x 100 mm thick</t>
  </si>
  <si>
    <t>Single Plastic Sheet</t>
  </si>
  <si>
    <t>Winter</t>
  </si>
  <si>
    <t>Exterior</t>
  </si>
  <si>
    <t>Summer</t>
  </si>
  <si>
    <t>Interior</t>
  </si>
  <si>
    <t>BTU</t>
  </si>
  <si>
    <t>hr-ft2-F</t>
  </si>
  <si>
    <t>W</t>
  </si>
  <si>
    <t>m2-C</t>
  </si>
  <si>
    <t>with cavity divider</t>
  </si>
  <si>
    <r>
      <t xml:space="preserve">COEFICIENTS OF TRANSMISSION </t>
    </r>
    <r>
      <rPr>
        <b/>
        <i/>
        <sz val="12"/>
        <rFont val="Arial"/>
        <family val="2"/>
      </rPr>
      <t xml:space="preserve"> U</t>
    </r>
    <r>
      <rPr>
        <b/>
        <sz val="12"/>
        <rFont val="Arial"/>
        <family val="2"/>
      </rPr>
      <t xml:space="preserve">  OF VERTICAL LIGHT TRANSMITTING PANELS</t>
    </r>
  </si>
  <si>
    <t>tiempo (horas)</t>
  </si>
  <si>
    <t>Qtotal por mes</t>
  </si>
  <si>
    <t>Qtotal año</t>
  </si>
  <si>
    <t>Promedio diseño</t>
  </si>
  <si>
    <t>Temperatura Promedio</t>
  </si>
  <si>
    <t>Guayaquil (ºF)</t>
  </si>
  <si>
    <t>Qtotales</t>
  </si>
  <si>
    <t>Qpromedio hora</t>
  </si>
  <si>
    <t>Qpromedio mes</t>
  </si>
  <si>
    <t>Promedio año por hora y por día</t>
  </si>
  <si>
    <t>ORIENTACIÓN</t>
  </si>
  <si>
    <t>PESO DE LA PARED</t>
  </si>
  <si>
    <t>lb/ft2</t>
  </si>
  <si>
    <t>TIEMPO</t>
  </si>
  <si>
    <t>A.M.</t>
  </si>
  <si>
    <t>TECHO</t>
  </si>
  <si>
    <t>TABLA DE DIFERENCIAS DE TEMPERATURA EQUIVALENTS (GRADOS F)</t>
  </si>
  <si>
    <t>Q (partición 5)</t>
  </si>
  <si>
    <t>U Piso</t>
  </si>
  <si>
    <t>Concreto (2")</t>
  </si>
  <si>
    <t>COEFICIENTES DE TRANSMISIÓN (U) PARA PUERTAS DE MADERA SOLIDA</t>
  </si>
  <si>
    <t>Espesor Nominal</t>
  </si>
  <si>
    <t>(plg)</t>
  </si>
  <si>
    <t>Espesor Real</t>
  </si>
  <si>
    <t>U*+</t>
  </si>
  <si>
    <t>Puerta Expuesta</t>
  </si>
  <si>
    <t>Puerta con vidrio guardapuerta·</t>
  </si>
  <si>
    <t>1  1/2</t>
  </si>
  <si>
    <t>25/32</t>
  </si>
  <si>
    <t>* Calculado usando k = 1,10 (para madera); fi 0=1,46, fo = 6,0; 1,03 para espacio de aire.</t>
  </si>
  <si>
    <t>· 50 % de vidrio y entrepaños delgados de madera.</t>
  </si>
  <si>
    <r>
      <t>,</t>
    </r>
    <r>
      <rPr>
        <sz val="8"/>
        <rFont val="Arial"/>
        <family val="0"/>
      </rPr>
      <t>+ Se puede usar un valor de 0,85 para U para puertas simples y expuestas con entrepaños de madera o entrepaños simples de vidrio guardapuertas</t>
    </r>
  </si>
  <si>
    <r>
      <t>Qs+Q</t>
    </r>
    <r>
      <rPr>
        <sz val="8"/>
        <rFont val="Arial"/>
        <family val="2"/>
      </rPr>
      <t>L</t>
    </r>
  </si>
  <si>
    <t>Qvs</t>
  </si>
  <si>
    <t>Facto de desviación</t>
  </si>
  <si>
    <t>humedad relativa externa</t>
  </si>
  <si>
    <t>humedad relativa interna</t>
  </si>
  <si>
    <t>SHR</t>
  </si>
  <si>
    <t>Td</t>
  </si>
  <si>
    <t>F</t>
  </si>
  <si>
    <t>Ts (F)</t>
  </si>
  <si>
    <r>
      <t>Qv</t>
    </r>
    <r>
      <rPr>
        <sz val="8"/>
        <rFont val="Arial"/>
        <family val="2"/>
      </rPr>
      <t>LT</t>
    </r>
  </si>
  <si>
    <r>
      <t>Qvs</t>
    </r>
    <r>
      <rPr>
        <sz val="8"/>
        <rFont val="Arial"/>
        <family val="2"/>
      </rPr>
      <t>T</t>
    </r>
  </si>
  <si>
    <t>Qtotal</t>
  </si>
  <si>
    <t>Partición 1</t>
  </si>
  <si>
    <t>Partición 2</t>
  </si>
  <si>
    <t>Piso</t>
  </si>
  <si>
    <t>Aparatos eléctrico (esterilizadores)</t>
  </si>
  <si>
    <t>Aparatos eléctrico (incubadoras y termocunas 4)</t>
  </si>
  <si>
    <t>CFM</t>
  </si>
  <si>
    <t>TD</t>
  </si>
  <si>
    <t>Qvl</t>
  </si>
  <si>
    <t>Wi</t>
  </si>
  <si>
    <t>Wo</t>
  </si>
  <si>
    <t>SHR2</t>
  </si>
  <si>
    <t>QT</t>
  </si>
  <si>
    <t>Infiltración</t>
  </si>
  <si>
    <t xml:space="preserve">infiltración </t>
  </si>
  <si>
    <t>tabla 41 cap 6 tomo 1 carrier</t>
  </si>
  <si>
    <t>cfm por persona</t>
  </si>
  <si>
    <t xml:space="preserve">personas </t>
  </si>
  <si>
    <t>Qs</t>
  </si>
  <si>
    <t>QL</t>
  </si>
  <si>
    <t>Winterior fuera del cuarto (CFM)</t>
  </si>
  <si>
    <t>TS</t>
  </si>
  <si>
    <t>Ts</t>
  </si>
  <si>
    <r>
      <t>Qv</t>
    </r>
    <r>
      <rPr>
        <sz val="8"/>
        <color indexed="10"/>
        <rFont val="Arial"/>
        <family val="0"/>
      </rPr>
      <t>L</t>
    </r>
  </si>
  <si>
    <r>
      <t>Qvs</t>
    </r>
    <r>
      <rPr>
        <sz val="8"/>
        <color indexed="10"/>
        <rFont val="Arial"/>
        <family val="0"/>
      </rPr>
      <t>2</t>
    </r>
  </si>
  <si>
    <r>
      <t>Qv</t>
    </r>
    <r>
      <rPr>
        <sz val="8"/>
        <color indexed="10"/>
        <rFont val="Arial"/>
        <family val="0"/>
      </rPr>
      <t>L2</t>
    </r>
  </si>
  <si>
    <t>TYPE</t>
  </si>
  <si>
    <t>Fluorescent</t>
  </si>
  <si>
    <t>Incandescent</t>
  </si>
  <si>
    <t>HEAT GAIN * Btu/hr</t>
  </si>
  <si>
    <t>Total Light Watts x 3,4</t>
  </si>
  <si>
    <t>* Refer to Tables 12 and 13, pages 35-37 to determine actual cooling load.</t>
  </si>
  <si>
    <t>Total Light Watts x 1,25† x 3,4</t>
  </si>
  <si>
    <t>† Fluorescent light wattage is multiplied by 1,25 to include heta gain in ballast</t>
  </si>
  <si>
    <t>Cemento (1/2")*2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</si>
</sst>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.00\ _p_t_a"/>
  </numFmts>
  <fonts count="17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u val="single"/>
      <sz val="11"/>
      <name val="Arial"/>
      <family val="0"/>
    </font>
    <font>
      <i/>
      <sz val="11"/>
      <name val="Arial"/>
      <family val="0"/>
    </font>
    <font>
      <sz val="8"/>
      <color indexed="9"/>
      <name val="Arial"/>
      <family val="0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wrapText="1"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4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4" fillId="0" borderId="1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4" fontId="4" fillId="2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2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2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2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2" borderId="0" xfId="0" applyNumberFormat="1" applyFill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0" fontId="0" fillId="0" borderId="5" xfId="0" applyNumberFormat="1" applyBorder="1" applyAlignment="1">
      <alignment/>
    </xf>
    <xf numFmtId="2" fontId="0" fillId="0" borderId="0" xfId="0" applyNumberFormat="1" applyBorder="1" applyAlignment="1">
      <alignment/>
    </xf>
    <xf numFmtId="20" fontId="0" fillId="2" borderId="5" xfId="0" applyNumberFormat="1" applyFill="1" applyBorder="1" applyAlignment="1">
      <alignment/>
    </xf>
    <xf numFmtId="0" fontId="0" fillId="2" borderId="0" xfId="0" applyFill="1" applyBorder="1" applyAlignment="1">
      <alignment/>
    </xf>
    <xf numFmtId="2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17" fontId="0" fillId="0" borderId="9" xfId="0" applyNumberForma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4" fillId="2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4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2" fontId="0" fillId="0" borderId="14" xfId="0" applyNumberFormat="1" applyBorder="1" applyAlignment="1">
      <alignment horizontal="center"/>
    </xf>
    <xf numFmtId="12" fontId="0" fillId="0" borderId="0" xfId="0" applyNumberFormat="1" applyBorder="1" applyAlignment="1">
      <alignment horizontal="center"/>
    </xf>
    <xf numFmtId="13" fontId="0" fillId="0" borderId="14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12" fontId="0" fillId="0" borderId="8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NumberFormat="1" applyFont="1" applyAlignment="1">
      <alignment/>
    </xf>
    <xf numFmtId="17" fontId="1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0" borderId="15" xfId="0" applyBorder="1" applyAlignment="1">
      <alignment/>
    </xf>
    <xf numFmtId="0" fontId="3" fillId="5" borderId="0" xfId="0" applyFont="1" applyFill="1" applyAlignment="1">
      <alignment horizontal="center"/>
    </xf>
    <xf numFmtId="2" fontId="14" fillId="0" borderId="0" xfId="0" applyNumberFormat="1" applyFont="1" applyAlignment="1">
      <alignment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7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2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4" fillId="0" borderId="2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/>
    </xf>
    <xf numFmtId="0" fontId="12" fillId="0" borderId="0" xfId="0" applyFont="1" applyAlignment="1">
      <alignment/>
    </xf>
    <xf numFmtId="0" fontId="12" fillId="0" borderId="15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5"/>
  <sheetViews>
    <sheetView zoomScale="75" zoomScaleNormal="75" workbookViewId="0" topLeftCell="O37">
      <selection activeCell="S63" sqref="S63:X68"/>
    </sheetView>
  </sheetViews>
  <sheetFormatPr defaultColWidth="11.421875" defaultRowHeight="12.75"/>
  <cols>
    <col min="2" max="2" width="8.8515625" style="0" customWidth="1"/>
    <col min="3" max="3" width="9.7109375" style="0" customWidth="1"/>
    <col min="4" max="4" width="10.140625" style="0" customWidth="1"/>
    <col min="5" max="5" width="10.57421875" style="0" customWidth="1"/>
    <col min="6" max="6" width="18.28125" style="0" customWidth="1"/>
    <col min="7" max="13" width="6.140625" style="0" hidden="1" customWidth="1"/>
    <col min="14" max="14" width="15.00390625" style="0" hidden="1" customWidth="1"/>
    <col min="15" max="15" width="8.28125" style="0" bestFit="1" customWidth="1"/>
    <col min="17" max="17" width="3.7109375" style="0" customWidth="1"/>
    <col min="18" max="18" width="4.7109375" style="0" customWidth="1"/>
    <col min="19" max="19" width="17.7109375" style="0" customWidth="1"/>
    <col min="20" max="20" width="13.57421875" style="0" customWidth="1"/>
    <col min="21" max="21" width="8.57421875" style="0" customWidth="1"/>
    <col min="22" max="22" width="9.421875" style="0" customWidth="1"/>
    <col min="23" max="23" width="9.7109375" style="0" customWidth="1"/>
    <col min="24" max="24" width="13.140625" style="0" customWidth="1"/>
    <col min="29" max="29" width="13.00390625" style="0" customWidth="1"/>
    <col min="43" max="43" width="20.28125" style="0" customWidth="1"/>
    <col min="44" max="44" width="16.57421875" style="0" customWidth="1"/>
    <col min="45" max="45" width="19.00390625" style="0" customWidth="1"/>
    <col min="46" max="46" width="18.57421875" style="0" customWidth="1"/>
  </cols>
  <sheetData>
    <row r="1" spans="3:41" ht="19.5" customHeight="1" thickBot="1">
      <c r="C1" s="142" t="s">
        <v>10</v>
      </c>
      <c r="D1" s="142"/>
      <c r="F1" s="141" t="s">
        <v>16</v>
      </c>
      <c r="G1" s="141"/>
      <c r="H1" s="141"/>
      <c r="I1" s="141"/>
      <c r="J1" s="141"/>
      <c r="K1" s="141"/>
      <c r="L1" s="141"/>
      <c r="M1" s="141"/>
      <c r="N1" s="141"/>
      <c r="R1" s="143" t="s">
        <v>198</v>
      </c>
      <c r="S1" s="143"/>
      <c r="T1" s="143"/>
      <c r="U1" s="143"/>
      <c r="V1" s="143"/>
      <c r="W1" s="143"/>
      <c r="X1" s="143"/>
      <c r="Y1" s="143"/>
      <c r="Z1" s="143"/>
      <c r="AA1" s="143"/>
      <c r="AC1" s="112" t="s">
        <v>293</v>
      </c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</row>
    <row r="2" spans="1:46" ht="31.5" customHeight="1" thickBot="1">
      <c r="A2" t="s">
        <v>8</v>
      </c>
      <c r="B2" s="1" t="s">
        <v>9</v>
      </c>
      <c r="C2" t="s">
        <v>11</v>
      </c>
      <c r="D2" t="s">
        <v>169</v>
      </c>
      <c r="E2" t="s">
        <v>12</v>
      </c>
      <c r="F2" s="141" t="s">
        <v>17</v>
      </c>
      <c r="G2" s="141"/>
      <c r="H2" s="141"/>
      <c r="I2" s="141"/>
      <c r="J2" s="141"/>
      <c r="K2" s="141"/>
      <c r="L2" s="141"/>
      <c r="M2" s="141"/>
      <c r="N2" s="141"/>
      <c r="O2" s="1" t="s">
        <v>9</v>
      </c>
      <c r="W2" s="135" t="s">
        <v>244</v>
      </c>
      <c r="X2" s="135"/>
      <c r="Y2" s="135"/>
      <c r="Z2" s="135"/>
      <c r="AA2" s="135"/>
      <c r="AC2" s="115" t="s">
        <v>287</v>
      </c>
      <c r="AD2" s="113" t="s">
        <v>288</v>
      </c>
      <c r="AE2" s="110" t="s">
        <v>290</v>
      </c>
      <c r="AF2" s="110"/>
      <c r="AG2" s="110"/>
      <c r="AH2" s="110"/>
      <c r="AI2" s="110"/>
      <c r="AJ2" s="110"/>
      <c r="AK2" s="110"/>
      <c r="AL2" s="110"/>
      <c r="AM2" s="110"/>
      <c r="AN2" s="110"/>
      <c r="AO2" s="111"/>
      <c r="AQ2" s="124" t="s">
        <v>297</v>
      </c>
      <c r="AR2" s="124"/>
      <c r="AS2" s="124"/>
      <c r="AT2" s="124"/>
    </row>
    <row r="3" spans="2:46" ht="17.25" customHeight="1" thickBot="1">
      <c r="B3" t="s">
        <v>13</v>
      </c>
      <c r="C3" t="s">
        <v>14</v>
      </c>
      <c r="D3" t="s">
        <v>14</v>
      </c>
      <c r="E3" t="s">
        <v>15</v>
      </c>
      <c r="F3" t="s">
        <v>18</v>
      </c>
      <c r="G3" t="s">
        <v>19</v>
      </c>
      <c r="H3" t="s">
        <v>20</v>
      </c>
      <c r="I3" t="s">
        <v>21</v>
      </c>
      <c r="J3" t="s">
        <v>22</v>
      </c>
      <c r="K3" t="s">
        <v>23</v>
      </c>
      <c r="L3" t="s">
        <v>22</v>
      </c>
      <c r="M3" t="s">
        <v>24</v>
      </c>
      <c r="N3" t="s">
        <v>25</v>
      </c>
      <c r="O3" t="s">
        <v>59</v>
      </c>
      <c r="W3" s="136" t="s">
        <v>243</v>
      </c>
      <c r="X3" s="136"/>
      <c r="Y3" s="135" t="s">
        <v>249</v>
      </c>
      <c r="Z3" s="135"/>
      <c r="AA3" s="135"/>
      <c r="AC3" s="116"/>
      <c r="AD3" s="114"/>
      <c r="AE3" s="128" t="s">
        <v>291</v>
      </c>
      <c r="AF3" s="128"/>
      <c r="AG3" s="128"/>
      <c r="AH3" s="128"/>
      <c r="AI3" s="129"/>
      <c r="AJ3" s="67"/>
      <c r="AK3" s="109" t="s">
        <v>59</v>
      </c>
      <c r="AL3" s="128"/>
      <c r="AM3" s="128"/>
      <c r="AN3" s="128"/>
      <c r="AO3" s="129"/>
      <c r="AQ3" s="79" t="s">
        <v>298</v>
      </c>
      <c r="AR3" s="81" t="s">
        <v>300</v>
      </c>
      <c r="AS3" s="86" t="s">
        <v>301</v>
      </c>
      <c r="AT3" s="86" t="s">
        <v>301</v>
      </c>
    </row>
    <row r="4" spans="1:46" ht="27" customHeight="1" thickBot="1">
      <c r="A4" s="2">
        <v>44197</v>
      </c>
      <c r="B4">
        <v>7</v>
      </c>
      <c r="C4">
        <v>8</v>
      </c>
      <c r="D4">
        <v>70.2</v>
      </c>
      <c r="E4">
        <v>89</v>
      </c>
      <c r="F4">
        <v>4.5</v>
      </c>
      <c r="G4">
        <v>30</v>
      </c>
      <c r="H4">
        <v>71</v>
      </c>
      <c r="I4">
        <v>72</v>
      </c>
      <c r="J4">
        <v>22</v>
      </c>
      <c r="K4">
        <v>4.5</v>
      </c>
      <c r="L4">
        <v>4.5</v>
      </c>
      <c r="M4">
        <v>4.5</v>
      </c>
      <c r="N4">
        <v>9.4</v>
      </c>
      <c r="O4">
        <v>5</v>
      </c>
      <c r="T4" s="144" t="s">
        <v>215</v>
      </c>
      <c r="U4" s="144"/>
      <c r="V4" t="s">
        <v>230</v>
      </c>
      <c r="W4" s="137"/>
      <c r="X4" s="137"/>
      <c r="Y4" s="136" t="s">
        <v>245</v>
      </c>
      <c r="Z4" s="136"/>
      <c r="AA4" s="18" t="s">
        <v>248</v>
      </c>
      <c r="AC4" s="130"/>
      <c r="AD4" s="76" t="s">
        <v>289</v>
      </c>
      <c r="AE4" s="72">
        <v>7</v>
      </c>
      <c r="AF4" s="73">
        <v>8</v>
      </c>
      <c r="AG4" s="73">
        <v>9</v>
      </c>
      <c r="AH4" s="73">
        <v>10</v>
      </c>
      <c r="AI4" s="73">
        <v>11</v>
      </c>
      <c r="AJ4" s="73">
        <v>12</v>
      </c>
      <c r="AK4" s="73">
        <v>1</v>
      </c>
      <c r="AL4" s="73">
        <v>2</v>
      </c>
      <c r="AM4" s="73">
        <v>3</v>
      </c>
      <c r="AN4" s="73">
        <v>4</v>
      </c>
      <c r="AO4" s="74">
        <v>5</v>
      </c>
      <c r="AQ4" s="80" t="s">
        <v>299</v>
      </c>
      <c r="AR4" s="82" t="s">
        <v>299</v>
      </c>
      <c r="AS4" s="87" t="s">
        <v>302</v>
      </c>
      <c r="AT4" s="89" t="s">
        <v>303</v>
      </c>
    </row>
    <row r="5" spans="2:46" ht="16.5" customHeight="1" thickBot="1">
      <c r="B5">
        <v>8</v>
      </c>
      <c r="C5">
        <v>22</v>
      </c>
      <c r="D5">
        <v>69.3</v>
      </c>
      <c r="E5">
        <v>229</v>
      </c>
      <c r="F5">
        <v>11</v>
      </c>
      <c r="G5">
        <v>68</v>
      </c>
      <c r="H5">
        <v>183</v>
      </c>
      <c r="I5">
        <v>179</v>
      </c>
      <c r="J5">
        <v>57</v>
      </c>
      <c r="K5">
        <v>11</v>
      </c>
      <c r="L5">
        <v>11</v>
      </c>
      <c r="M5">
        <v>11</v>
      </c>
      <c r="N5">
        <v>67</v>
      </c>
      <c r="O5">
        <v>4</v>
      </c>
      <c r="R5" s="139" t="s">
        <v>199</v>
      </c>
      <c r="S5" s="139"/>
      <c r="T5" s="25" t="s">
        <v>216</v>
      </c>
      <c r="U5" s="25" t="s">
        <v>217</v>
      </c>
      <c r="V5" s="24" t="s">
        <v>231</v>
      </c>
      <c r="W5" s="23" t="s">
        <v>241</v>
      </c>
      <c r="X5" s="23" t="s">
        <v>242</v>
      </c>
      <c r="Y5" s="23" t="s">
        <v>246</v>
      </c>
      <c r="Z5" s="23" t="s">
        <v>247</v>
      </c>
      <c r="AA5" s="23" t="s">
        <v>242</v>
      </c>
      <c r="AC5" s="70"/>
      <c r="AD5" s="18">
        <v>20</v>
      </c>
      <c r="AE5" s="18">
        <v>2</v>
      </c>
      <c r="AF5" s="18">
        <v>11</v>
      </c>
      <c r="AG5" s="18">
        <v>22</v>
      </c>
      <c r="AH5" s="18">
        <v>32</v>
      </c>
      <c r="AI5" s="18">
        <v>5</v>
      </c>
      <c r="AJ5" s="18">
        <v>6</v>
      </c>
      <c r="AK5" s="18">
        <v>7</v>
      </c>
      <c r="AL5" s="18">
        <v>7</v>
      </c>
      <c r="AM5" s="18">
        <v>7</v>
      </c>
      <c r="AN5" s="18">
        <v>7</v>
      </c>
      <c r="AO5" s="71">
        <v>6</v>
      </c>
      <c r="AQ5" s="78">
        <v>1</v>
      </c>
      <c r="AR5" s="75" t="s">
        <v>305</v>
      </c>
      <c r="AS5" s="88">
        <v>0.64</v>
      </c>
      <c r="AT5" s="70">
        <v>0.37</v>
      </c>
    </row>
    <row r="6" spans="2:46" ht="12.75">
      <c r="B6">
        <v>9</v>
      </c>
      <c r="C6">
        <v>35.9</v>
      </c>
      <c r="D6">
        <v>66.8</v>
      </c>
      <c r="E6">
        <v>279.5</v>
      </c>
      <c r="F6">
        <v>14</v>
      </c>
      <c r="G6">
        <v>63</v>
      </c>
      <c r="H6">
        <v>191</v>
      </c>
      <c r="I6">
        <v>193</v>
      </c>
      <c r="J6">
        <v>67</v>
      </c>
      <c r="K6">
        <v>14</v>
      </c>
      <c r="L6">
        <v>14</v>
      </c>
      <c r="M6">
        <v>14</v>
      </c>
      <c r="N6">
        <v>142</v>
      </c>
      <c r="O6">
        <v>3</v>
      </c>
      <c r="R6" s="138" t="s">
        <v>200</v>
      </c>
      <c r="S6" s="138"/>
      <c r="T6" s="18" t="s">
        <v>218</v>
      </c>
      <c r="U6" s="20" t="s">
        <v>221</v>
      </c>
      <c r="V6" s="18" t="s">
        <v>232</v>
      </c>
      <c r="W6" s="18"/>
      <c r="X6" s="18"/>
      <c r="Y6" s="18"/>
      <c r="Z6" s="18"/>
      <c r="AA6" s="18"/>
      <c r="AB6" s="18"/>
      <c r="AC6" s="70" t="s">
        <v>19</v>
      </c>
      <c r="AD6" s="18">
        <v>60</v>
      </c>
      <c r="AE6" s="18">
        <v>2</v>
      </c>
      <c r="AF6" s="18">
        <v>9</v>
      </c>
      <c r="AG6" s="18">
        <v>17</v>
      </c>
      <c r="AH6" s="18">
        <v>25</v>
      </c>
      <c r="AI6" s="18">
        <v>4</v>
      </c>
      <c r="AJ6" s="18">
        <v>4</v>
      </c>
      <c r="AK6" s="18">
        <v>5</v>
      </c>
      <c r="AL6" s="18">
        <v>5</v>
      </c>
      <c r="AM6" s="18">
        <v>6</v>
      </c>
      <c r="AN6" s="18">
        <v>5</v>
      </c>
      <c r="AO6" s="71">
        <v>5</v>
      </c>
      <c r="AQ6" s="84">
        <v>1.25</v>
      </c>
      <c r="AR6" s="85">
        <v>1.0625</v>
      </c>
      <c r="AS6" s="70">
        <v>0.55</v>
      </c>
      <c r="AT6" s="70">
        <v>0.34</v>
      </c>
    </row>
    <row r="7" spans="2:46" ht="12.75">
      <c r="B7">
        <v>10</v>
      </c>
      <c r="C7">
        <v>49.4</v>
      </c>
      <c r="D7">
        <v>61.3</v>
      </c>
      <c r="E7">
        <v>302.9</v>
      </c>
      <c r="F7">
        <v>15</v>
      </c>
      <c r="G7">
        <v>40</v>
      </c>
      <c r="H7">
        <v>149</v>
      </c>
      <c r="I7">
        <v>166</v>
      </c>
      <c r="J7">
        <v>71</v>
      </c>
      <c r="K7">
        <v>15</v>
      </c>
      <c r="L7">
        <v>15</v>
      </c>
      <c r="M7">
        <v>15</v>
      </c>
      <c r="N7">
        <v>212</v>
      </c>
      <c r="O7">
        <v>2</v>
      </c>
      <c r="R7" s="138" t="s">
        <v>201</v>
      </c>
      <c r="S7" s="138"/>
      <c r="T7" s="20" t="s">
        <v>219</v>
      </c>
      <c r="U7" s="21" t="s">
        <v>224</v>
      </c>
      <c r="V7" s="18" t="s">
        <v>233</v>
      </c>
      <c r="W7" s="18"/>
      <c r="X7" s="18"/>
      <c r="Y7" s="18"/>
      <c r="Z7" s="18"/>
      <c r="AA7" s="18"/>
      <c r="AB7" s="18"/>
      <c r="AC7" s="70"/>
      <c r="AD7" s="18">
        <v>100</v>
      </c>
      <c r="AE7" s="18">
        <v>1</v>
      </c>
      <c r="AF7" s="18">
        <v>6</v>
      </c>
      <c r="AG7" s="18">
        <v>12</v>
      </c>
      <c r="AH7" s="18">
        <v>18</v>
      </c>
      <c r="AI7" s="18">
        <v>2</v>
      </c>
      <c r="AJ7" s="18">
        <v>3</v>
      </c>
      <c r="AK7" s="18">
        <v>4</v>
      </c>
      <c r="AL7" s="18">
        <v>4</v>
      </c>
      <c r="AM7" s="18">
        <v>4</v>
      </c>
      <c r="AN7" s="18">
        <v>4</v>
      </c>
      <c r="AO7" s="71">
        <v>3</v>
      </c>
      <c r="AQ7" s="26" t="s">
        <v>304</v>
      </c>
      <c r="AR7" s="85">
        <v>1.3125</v>
      </c>
      <c r="AS7" s="70">
        <v>0.49</v>
      </c>
      <c r="AT7" s="70">
        <v>0.32</v>
      </c>
    </row>
    <row r="8" spans="2:46" ht="12.75">
      <c r="B8">
        <v>11</v>
      </c>
      <c r="C8">
        <v>61.9</v>
      </c>
      <c r="D8">
        <v>49.3</v>
      </c>
      <c r="E8">
        <v>314.5</v>
      </c>
      <c r="F8">
        <v>16</v>
      </c>
      <c r="G8">
        <v>19</v>
      </c>
      <c r="H8">
        <v>87</v>
      </c>
      <c r="I8">
        <v>121</v>
      </c>
      <c r="J8">
        <v>73</v>
      </c>
      <c r="K8">
        <v>16</v>
      </c>
      <c r="L8">
        <v>16</v>
      </c>
      <c r="M8">
        <v>16</v>
      </c>
      <c r="N8">
        <v>254</v>
      </c>
      <c r="O8">
        <v>1</v>
      </c>
      <c r="R8" s="138" t="s">
        <v>202</v>
      </c>
      <c r="S8" s="138"/>
      <c r="T8" s="18" t="s">
        <v>226</v>
      </c>
      <c r="U8" s="18" t="s">
        <v>222</v>
      </c>
      <c r="V8" s="18" t="s">
        <v>234</v>
      </c>
      <c r="W8" s="99">
        <v>0.64</v>
      </c>
      <c r="X8" s="18">
        <v>0.55</v>
      </c>
      <c r="Y8" s="18">
        <v>0.59</v>
      </c>
      <c r="Z8" s="18">
        <v>0.25</v>
      </c>
      <c r="AA8" s="18">
        <v>0.39</v>
      </c>
      <c r="AB8" s="18"/>
      <c r="AC8" s="68"/>
      <c r="AD8" s="67">
        <v>140</v>
      </c>
      <c r="AE8" s="67">
        <v>0</v>
      </c>
      <c r="AF8" s="67">
        <v>4</v>
      </c>
      <c r="AG8" s="67">
        <v>7</v>
      </c>
      <c r="AH8" s="67">
        <v>11</v>
      </c>
      <c r="AI8" s="67">
        <v>1</v>
      </c>
      <c r="AJ8" s="67">
        <v>2</v>
      </c>
      <c r="AK8" s="67">
        <v>2</v>
      </c>
      <c r="AL8" s="67">
        <v>2</v>
      </c>
      <c r="AM8" s="67">
        <v>2</v>
      </c>
      <c r="AN8" s="67">
        <v>2</v>
      </c>
      <c r="AO8" s="69">
        <v>2</v>
      </c>
      <c r="AQ8" s="84">
        <v>1.75</v>
      </c>
      <c r="AR8" s="83">
        <v>1.375</v>
      </c>
      <c r="AS8" s="88">
        <v>0.48</v>
      </c>
      <c r="AT8" s="70">
        <v>0.31</v>
      </c>
    </row>
    <row r="9" spans="2:46" ht="12.75">
      <c r="B9">
        <v>12</v>
      </c>
      <c r="C9">
        <v>70.8</v>
      </c>
      <c r="D9">
        <v>0</v>
      </c>
      <c r="E9">
        <v>319.5</v>
      </c>
      <c r="F9">
        <v>16</v>
      </c>
      <c r="G9">
        <v>16</v>
      </c>
      <c r="H9">
        <v>16</v>
      </c>
      <c r="I9">
        <v>54</v>
      </c>
      <c r="J9">
        <v>80</v>
      </c>
      <c r="K9">
        <v>16</v>
      </c>
      <c r="L9">
        <v>16</v>
      </c>
      <c r="M9">
        <v>16</v>
      </c>
      <c r="N9">
        <v>249</v>
      </c>
      <c r="O9">
        <v>12</v>
      </c>
      <c r="R9" s="138" t="s">
        <v>203</v>
      </c>
      <c r="S9" s="138"/>
      <c r="T9" s="22" t="s">
        <v>220</v>
      </c>
      <c r="U9" s="18">
        <v>3</v>
      </c>
      <c r="V9" s="18"/>
      <c r="W9" s="18"/>
      <c r="X9" s="18"/>
      <c r="Y9" s="18"/>
      <c r="Z9" s="18"/>
      <c r="AA9" s="18"/>
      <c r="AB9" s="18"/>
      <c r="AC9" s="70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71"/>
      <c r="AQ9" s="26"/>
      <c r="AR9" s="75"/>
      <c r="AS9" s="70"/>
      <c r="AT9" s="70"/>
    </row>
    <row r="10" spans="18:46" ht="12" customHeight="1">
      <c r="R10" s="138" t="s">
        <v>204</v>
      </c>
      <c r="S10" s="138"/>
      <c r="T10" s="18" t="s">
        <v>225</v>
      </c>
      <c r="U10" s="18" t="s">
        <v>223</v>
      </c>
      <c r="V10" s="18" t="s">
        <v>235</v>
      </c>
      <c r="W10" s="18"/>
      <c r="X10" s="18"/>
      <c r="Y10" s="18"/>
      <c r="Z10" s="18"/>
      <c r="AA10" s="18"/>
      <c r="AB10" s="18"/>
      <c r="AC10" s="70"/>
      <c r="AD10" s="18">
        <v>20</v>
      </c>
      <c r="AE10" s="18">
        <v>2</v>
      </c>
      <c r="AF10" s="18">
        <v>11</v>
      </c>
      <c r="AG10" s="18">
        <v>22</v>
      </c>
      <c r="AH10" s="18">
        <v>32</v>
      </c>
      <c r="AI10" s="18">
        <v>38</v>
      </c>
      <c r="AJ10" s="18">
        <v>6</v>
      </c>
      <c r="AK10" s="18">
        <v>7</v>
      </c>
      <c r="AL10" s="18">
        <v>7</v>
      </c>
      <c r="AM10" s="18">
        <v>7</v>
      </c>
      <c r="AN10" s="18">
        <v>7</v>
      </c>
      <c r="AO10" s="71">
        <v>6</v>
      </c>
      <c r="AQ10" s="78">
        <v>2</v>
      </c>
      <c r="AR10" s="83">
        <v>1.625</v>
      </c>
      <c r="AS10" s="88">
        <v>0.43</v>
      </c>
      <c r="AT10" s="88">
        <v>0.28</v>
      </c>
    </row>
    <row r="11" spans="1:46" ht="12.75" customHeight="1" thickBot="1">
      <c r="A11" s="2">
        <v>44228</v>
      </c>
      <c r="B11">
        <v>7</v>
      </c>
      <c r="C11">
        <v>7.3</v>
      </c>
      <c r="D11">
        <v>79.4</v>
      </c>
      <c r="E11">
        <v>81.5</v>
      </c>
      <c r="F11">
        <v>4.1</v>
      </c>
      <c r="G11">
        <v>38</v>
      </c>
      <c r="H11">
        <v>53</v>
      </c>
      <c r="I11">
        <v>61</v>
      </c>
      <c r="J11">
        <v>10</v>
      </c>
      <c r="K11">
        <v>4.1</v>
      </c>
      <c r="L11">
        <v>4.1</v>
      </c>
      <c r="M11">
        <v>4.1</v>
      </c>
      <c r="N11">
        <v>7.6</v>
      </c>
      <c r="O11">
        <v>5</v>
      </c>
      <c r="R11" s="134"/>
      <c r="S11" s="134"/>
      <c r="T11" s="23"/>
      <c r="U11" s="23"/>
      <c r="V11" s="23"/>
      <c r="W11" s="23"/>
      <c r="X11" s="23"/>
      <c r="Y11" s="23"/>
      <c r="Z11" s="23"/>
      <c r="AA11" s="23"/>
      <c r="AB11" s="18"/>
      <c r="AC11" s="70" t="s">
        <v>20</v>
      </c>
      <c r="AD11" s="18">
        <v>60</v>
      </c>
      <c r="AE11" s="18">
        <v>2</v>
      </c>
      <c r="AF11" s="18">
        <v>9</v>
      </c>
      <c r="AG11" s="18">
        <v>17</v>
      </c>
      <c r="AH11" s="18">
        <v>25</v>
      </c>
      <c r="AI11" s="18">
        <v>30</v>
      </c>
      <c r="AJ11" s="18">
        <v>4</v>
      </c>
      <c r="AK11" s="18">
        <v>5</v>
      </c>
      <c r="AL11" s="18">
        <v>5</v>
      </c>
      <c r="AM11" s="18">
        <v>6</v>
      </c>
      <c r="AN11" s="18">
        <v>5</v>
      </c>
      <c r="AO11" s="71">
        <v>5</v>
      </c>
      <c r="AQ11" s="84">
        <v>2.5</v>
      </c>
      <c r="AR11" s="83">
        <v>2.125</v>
      </c>
      <c r="AS11" s="70">
        <v>0.36</v>
      </c>
      <c r="AT11" s="70">
        <v>0.26</v>
      </c>
    </row>
    <row r="12" spans="2:46" ht="12.75">
      <c r="B12">
        <v>8</v>
      </c>
      <c r="C12">
        <v>22.1</v>
      </c>
      <c r="D12">
        <v>79.3</v>
      </c>
      <c r="E12">
        <v>230</v>
      </c>
      <c r="F12">
        <v>11</v>
      </c>
      <c r="G12">
        <v>99</v>
      </c>
      <c r="H12">
        <v>185</v>
      </c>
      <c r="I12">
        <v>161</v>
      </c>
      <c r="J12">
        <v>27</v>
      </c>
      <c r="K12">
        <v>11</v>
      </c>
      <c r="L12">
        <v>11</v>
      </c>
      <c r="M12">
        <v>11</v>
      </c>
      <c r="N12">
        <v>66</v>
      </c>
      <c r="O12">
        <v>4</v>
      </c>
      <c r="R12" s="138" t="s">
        <v>206</v>
      </c>
      <c r="S12" s="138"/>
      <c r="T12" s="18" t="s">
        <v>225</v>
      </c>
      <c r="U12" s="18" t="s">
        <v>229</v>
      </c>
      <c r="V12" s="18">
        <v>0.46</v>
      </c>
      <c r="W12" s="18"/>
      <c r="X12" s="18"/>
      <c r="Y12" s="18"/>
      <c r="Z12" s="18"/>
      <c r="AA12" s="18"/>
      <c r="AB12" s="18"/>
      <c r="AC12" s="70"/>
      <c r="AD12" s="18">
        <v>100</v>
      </c>
      <c r="AE12" s="18">
        <v>1</v>
      </c>
      <c r="AF12" s="18">
        <v>6</v>
      </c>
      <c r="AG12" s="18">
        <v>12</v>
      </c>
      <c r="AH12" s="18">
        <v>18</v>
      </c>
      <c r="AI12" s="18">
        <v>21</v>
      </c>
      <c r="AJ12" s="18">
        <v>3</v>
      </c>
      <c r="AK12" s="18">
        <v>4</v>
      </c>
      <c r="AL12" s="18">
        <v>4</v>
      </c>
      <c r="AM12" s="18">
        <v>4</v>
      </c>
      <c r="AN12" s="18">
        <v>4</v>
      </c>
      <c r="AO12" s="71">
        <v>3</v>
      </c>
      <c r="AQ12" s="90">
        <v>3</v>
      </c>
      <c r="AR12" s="91">
        <v>2.625</v>
      </c>
      <c r="AS12" s="92">
        <v>0.31</v>
      </c>
      <c r="AT12" s="92">
        <v>0.23</v>
      </c>
    </row>
    <row r="13" spans="2:43" ht="10.5" customHeight="1">
      <c r="B13">
        <v>9</v>
      </c>
      <c r="C13">
        <v>36.8</v>
      </c>
      <c r="D13">
        <v>78.2</v>
      </c>
      <c r="E13">
        <v>280.7</v>
      </c>
      <c r="F13">
        <v>14</v>
      </c>
      <c r="G13">
        <v>98</v>
      </c>
      <c r="H13">
        <v>202</v>
      </c>
      <c r="I13">
        <v>167</v>
      </c>
      <c r="J13">
        <v>32</v>
      </c>
      <c r="K13">
        <v>14</v>
      </c>
      <c r="L13">
        <v>14</v>
      </c>
      <c r="M13">
        <v>14</v>
      </c>
      <c r="N13">
        <v>144</v>
      </c>
      <c r="O13">
        <v>3</v>
      </c>
      <c r="R13" s="138" t="s">
        <v>205</v>
      </c>
      <c r="S13" s="138"/>
      <c r="T13" s="18" t="s">
        <v>225</v>
      </c>
      <c r="U13" s="18" t="s">
        <v>229</v>
      </c>
      <c r="V13" s="18"/>
      <c r="W13" s="18">
        <v>0.57</v>
      </c>
      <c r="X13" s="18">
        <v>0.53</v>
      </c>
      <c r="Y13" s="18">
        <v>0.45</v>
      </c>
      <c r="Z13" s="18">
        <v>0.3</v>
      </c>
      <c r="AA13" s="18">
        <v>0.36</v>
      </c>
      <c r="AB13" s="18"/>
      <c r="AC13" s="68"/>
      <c r="AD13" s="67">
        <v>140</v>
      </c>
      <c r="AE13" s="67">
        <v>0</v>
      </c>
      <c r="AF13" s="67">
        <v>4</v>
      </c>
      <c r="AG13" s="67">
        <v>7</v>
      </c>
      <c r="AH13" s="67">
        <v>11</v>
      </c>
      <c r="AI13" s="67">
        <v>13</v>
      </c>
      <c r="AJ13" s="67">
        <v>2</v>
      </c>
      <c r="AK13" s="67">
        <v>2</v>
      </c>
      <c r="AL13" s="67">
        <v>2</v>
      </c>
      <c r="AM13" s="67">
        <v>2</v>
      </c>
      <c r="AN13" s="67">
        <v>2</v>
      </c>
      <c r="AO13" s="69">
        <v>2</v>
      </c>
      <c r="AQ13" s="32"/>
    </row>
    <row r="14" spans="2:46" ht="12" customHeight="1">
      <c r="B14">
        <v>10</v>
      </c>
      <c r="C14">
        <v>51.4</v>
      </c>
      <c r="D14">
        <v>75.4</v>
      </c>
      <c r="E14">
        <v>303.6</v>
      </c>
      <c r="F14">
        <v>15</v>
      </c>
      <c r="G14">
        <v>71</v>
      </c>
      <c r="H14">
        <v>158</v>
      </c>
      <c r="I14">
        <v>137</v>
      </c>
      <c r="J14">
        <v>33</v>
      </c>
      <c r="K14">
        <v>15</v>
      </c>
      <c r="L14">
        <v>15</v>
      </c>
      <c r="M14">
        <v>15</v>
      </c>
      <c r="N14">
        <v>217</v>
      </c>
      <c r="O14">
        <v>2</v>
      </c>
      <c r="R14" s="138" t="s">
        <v>204</v>
      </c>
      <c r="S14" s="138"/>
      <c r="T14" s="18" t="s">
        <v>226</v>
      </c>
      <c r="U14" s="18" t="s">
        <v>228</v>
      </c>
      <c r="V14" s="18" t="s">
        <v>236</v>
      </c>
      <c r="W14" s="18"/>
      <c r="X14" s="18"/>
      <c r="Y14" s="18"/>
      <c r="Z14" s="18"/>
      <c r="AA14" s="18"/>
      <c r="AB14" s="18"/>
      <c r="AC14" s="70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71"/>
      <c r="AQ14" s="125" t="s">
        <v>306</v>
      </c>
      <c r="AR14" s="125"/>
      <c r="AS14" s="125"/>
      <c r="AT14" s="125"/>
    </row>
    <row r="15" spans="2:46" ht="24" customHeight="1" thickBot="1">
      <c r="B15">
        <v>11</v>
      </c>
      <c r="C15">
        <v>65.7</v>
      </c>
      <c r="D15">
        <v>68.3</v>
      </c>
      <c r="E15">
        <v>314.9</v>
      </c>
      <c r="F15">
        <v>16</v>
      </c>
      <c r="G15">
        <v>36</v>
      </c>
      <c r="H15">
        <v>93</v>
      </c>
      <c r="I15">
        <v>91</v>
      </c>
      <c r="J15">
        <v>34</v>
      </c>
      <c r="K15">
        <v>16</v>
      </c>
      <c r="L15">
        <v>16</v>
      </c>
      <c r="M15">
        <v>16</v>
      </c>
      <c r="N15">
        <v>250</v>
      </c>
      <c r="O15">
        <v>1</v>
      </c>
      <c r="R15" s="134"/>
      <c r="S15" s="134"/>
      <c r="T15" s="23"/>
      <c r="U15" s="23"/>
      <c r="V15" s="23"/>
      <c r="W15" s="23"/>
      <c r="X15" s="23"/>
      <c r="Y15" s="23"/>
      <c r="Z15" s="23"/>
      <c r="AA15" s="23"/>
      <c r="AB15" s="18"/>
      <c r="AC15" s="70"/>
      <c r="AD15" s="18">
        <v>20</v>
      </c>
      <c r="AE15" s="18">
        <v>2</v>
      </c>
      <c r="AF15" s="18">
        <v>11</v>
      </c>
      <c r="AG15" s="18">
        <v>22</v>
      </c>
      <c r="AH15" s="18">
        <v>32</v>
      </c>
      <c r="AI15" s="18">
        <v>38</v>
      </c>
      <c r="AJ15" s="18">
        <v>39</v>
      </c>
      <c r="AK15" s="18">
        <v>7</v>
      </c>
      <c r="AL15" s="18">
        <v>7</v>
      </c>
      <c r="AM15" s="18">
        <v>7</v>
      </c>
      <c r="AN15" s="18">
        <v>7</v>
      </c>
      <c r="AO15" s="71">
        <v>6</v>
      </c>
      <c r="AQ15" s="126" t="s">
        <v>308</v>
      </c>
      <c r="AR15" s="127"/>
      <c r="AS15" s="127"/>
      <c r="AT15" s="127"/>
    </row>
    <row r="16" spans="2:46" ht="13.5" customHeight="1">
      <c r="B16">
        <v>12</v>
      </c>
      <c r="C16">
        <v>78.3</v>
      </c>
      <c r="D16">
        <v>0</v>
      </c>
      <c r="E16">
        <v>319.8</v>
      </c>
      <c r="F16">
        <v>16</v>
      </c>
      <c r="G16">
        <v>16</v>
      </c>
      <c r="H16">
        <v>16</v>
      </c>
      <c r="I16">
        <v>32</v>
      </c>
      <c r="J16">
        <v>45</v>
      </c>
      <c r="K16">
        <v>16</v>
      </c>
      <c r="L16">
        <v>16</v>
      </c>
      <c r="M16">
        <v>16</v>
      </c>
      <c r="N16">
        <v>201</v>
      </c>
      <c r="O16">
        <v>12</v>
      </c>
      <c r="R16" s="138" t="s">
        <v>207</v>
      </c>
      <c r="S16" s="138"/>
      <c r="T16" s="18" t="s">
        <v>225</v>
      </c>
      <c r="U16" s="18"/>
      <c r="V16" s="18" t="s">
        <v>237</v>
      </c>
      <c r="W16" s="18"/>
      <c r="X16" s="18"/>
      <c r="Y16" s="18"/>
      <c r="Z16" s="18"/>
      <c r="AA16" s="18"/>
      <c r="AB16" s="18"/>
      <c r="AC16" s="70" t="s">
        <v>21</v>
      </c>
      <c r="AD16" s="18">
        <v>60</v>
      </c>
      <c r="AE16" s="18">
        <v>2</v>
      </c>
      <c r="AF16" s="18">
        <v>9</v>
      </c>
      <c r="AG16" s="18">
        <v>17</v>
      </c>
      <c r="AH16" s="18">
        <v>25</v>
      </c>
      <c r="AI16" s="18">
        <v>30</v>
      </c>
      <c r="AJ16" s="18">
        <v>31</v>
      </c>
      <c r="AK16" s="18">
        <v>5</v>
      </c>
      <c r="AL16" s="18">
        <v>5</v>
      </c>
      <c r="AM16" s="18">
        <v>6</v>
      </c>
      <c r="AN16" s="18">
        <v>5</v>
      </c>
      <c r="AO16" s="71">
        <v>5</v>
      </c>
      <c r="AQ16" s="127" t="s">
        <v>307</v>
      </c>
      <c r="AR16" s="127"/>
      <c r="AS16" s="127"/>
      <c r="AT16" s="127"/>
    </row>
    <row r="17" spans="18:41" ht="14.25" customHeight="1">
      <c r="R17" s="138" t="s">
        <v>208</v>
      </c>
      <c r="S17" s="138"/>
      <c r="T17" s="18" t="s">
        <v>225</v>
      </c>
      <c r="U17" s="18">
        <v>10</v>
      </c>
      <c r="V17" s="18">
        <v>0.34</v>
      </c>
      <c r="W17" s="18">
        <v>0.54</v>
      </c>
      <c r="X17" s="18">
        <v>0.52</v>
      </c>
      <c r="Y17" s="18">
        <v>0.4</v>
      </c>
      <c r="Z17" s="18">
        <v>0.28</v>
      </c>
      <c r="AA17" s="18">
        <v>0.32</v>
      </c>
      <c r="AB17" s="18"/>
      <c r="AC17" s="70"/>
      <c r="AD17" s="18">
        <v>100</v>
      </c>
      <c r="AE17" s="18">
        <v>1</v>
      </c>
      <c r="AF17" s="18">
        <v>6</v>
      </c>
      <c r="AG17" s="18">
        <v>12</v>
      </c>
      <c r="AH17" s="18">
        <v>18</v>
      </c>
      <c r="AI17" s="18">
        <v>21</v>
      </c>
      <c r="AJ17" s="18">
        <v>22</v>
      </c>
      <c r="AK17" s="18">
        <v>4</v>
      </c>
      <c r="AL17" s="18">
        <v>4</v>
      </c>
      <c r="AM17" s="18">
        <v>4</v>
      </c>
      <c r="AN17" s="18">
        <v>4</v>
      </c>
      <c r="AO17" s="71">
        <v>3</v>
      </c>
    </row>
    <row r="18" spans="1:41" ht="15" customHeight="1">
      <c r="A18" s="2">
        <v>44256</v>
      </c>
      <c r="B18">
        <v>7</v>
      </c>
      <c r="C18">
        <v>8.7</v>
      </c>
      <c r="D18">
        <v>89.6</v>
      </c>
      <c r="E18">
        <v>118.3</v>
      </c>
      <c r="F18">
        <v>6</v>
      </c>
      <c r="G18">
        <v>72</v>
      </c>
      <c r="H18">
        <v>60</v>
      </c>
      <c r="I18">
        <v>73</v>
      </c>
      <c r="J18">
        <v>4.6</v>
      </c>
      <c r="K18">
        <v>6</v>
      </c>
      <c r="L18">
        <v>6</v>
      </c>
      <c r="M18">
        <v>6</v>
      </c>
      <c r="N18">
        <v>11</v>
      </c>
      <c r="O18">
        <v>5</v>
      </c>
      <c r="R18" s="140" t="s">
        <v>239</v>
      </c>
      <c r="S18" s="140"/>
      <c r="T18" s="26" t="s">
        <v>226</v>
      </c>
      <c r="U18" s="26"/>
      <c r="V18" s="26" t="s">
        <v>238</v>
      </c>
      <c r="W18" s="26">
        <v>0.42</v>
      </c>
      <c r="X18" s="26">
        <v>0.4</v>
      </c>
      <c r="Y18" s="26">
        <v>0.36</v>
      </c>
      <c r="Z18" s="26">
        <v>0.28</v>
      </c>
      <c r="AA18" s="26">
        <v>0.31</v>
      </c>
      <c r="AB18" s="18"/>
      <c r="AC18" s="68"/>
      <c r="AD18" s="67">
        <v>140</v>
      </c>
      <c r="AE18" s="67">
        <v>0</v>
      </c>
      <c r="AF18" s="67">
        <v>4</v>
      </c>
      <c r="AG18" s="67">
        <v>7</v>
      </c>
      <c r="AH18" s="67">
        <v>11</v>
      </c>
      <c r="AI18" s="67">
        <v>13</v>
      </c>
      <c r="AJ18" s="67">
        <v>13</v>
      </c>
      <c r="AK18" s="67">
        <v>2</v>
      </c>
      <c r="AL18" s="67">
        <v>2</v>
      </c>
      <c r="AM18" s="67">
        <v>2</v>
      </c>
      <c r="AN18" s="67">
        <v>2</v>
      </c>
      <c r="AO18" s="69">
        <v>2</v>
      </c>
    </row>
    <row r="19" spans="1:41" ht="13.5" thickBot="1">
      <c r="A19" s="2"/>
      <c r="B19">
        <v>8</v>
      </c>
      <c r="C19">
        <v>23.6</v>
      </c>
      <c r="D19">
        <v>89</v>
      </c>
      <c r="E19">
        <v>246.6</v>
      </c>
      <c r="F19">
        <v>12</v>
      </c>
      <c r="G19">
        <v>134</v>
      </c>
      <c r="H19">
        <v>195</v>
      </c>
      <c r="I19">
        <v>140</v>
      </c>
      <c r="J19">
        <v>10</v>
      </c>
      <c r="K19">
        <v>12</v>
      </c>
      <c r="L19">
        <v>12</v>
      </c>
      <c r="M19">
        <v>12</v>
      </c>
      <c r="N19">
        <v>73</v>
      </c>
      <c r="O19">
        <v>4</v>
      </c>
      <c r="R19" s="134" t="s">
        <v>240</v>
      </c>
      <c r="S19" s="134"/>
      <c r="T19" s="24"/>
      <c r="U19" s="24"/>
      <c r="V19" s="23">
        <v>0.24</v>
      </c>
      <c r="W19" s="23"/>
      <c r="X19" s="23"/>
      <c r="Y19" s="23"/>
      <c r="Z19" s="23"/>
      <c r="AA19" s="23"/>
      <c r="AB19" s="18"/>
      <c r="AC19" s="70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71"/>
    </row>
    <row r="20" spans="1:41" ht="12.75">
      <c r="A20" s="2"/>
      <c r="B20">
        <v>9</v>
      </c>
      <c r="C20">
        <v>38.6</v>
      </c>
      <c r="D20">
        <v>88.2</v>
      </c>
      <c r="E20">
        <v>288.8</v>
      </c>
      <c r="F20">
        <v>14</v>
      </c>
      <c r="G20">
        <v>125</v>
      </c>
      <c r="H20">
        <v>203</v>
      </c>
      <c r="I20">
        <v>136</v>
      </c>
      <c r="J20">
        <v>12</v>
      </c>
      <c r="K20">
        <v>14</v>
      </c>
      <c r="L20">
        <v>14</v>
      </c>
      <c r="M20">
        <v>14</v>
      </c>
      <c r="N20">
        <v>153</v>
      </c>
      <c r="O20">
        <v>3</v>
      </c>
      <c r="R20" s="138"/>
      <c r="S20" s="138"/>
      <c r="V20" s="18"/>
      <c r="W20" s="18"/>
      <c r="X20" s="18"/>
      <c r="Y20" s="18"/>
      <c r="Z20" s="18"/>
      <c r="AA20" s="18"/>
      <c r="AB20" s="18"/>
      <c r="AC20" s="70"/>
      <c r="AD20" s="18">
        <v>20</v>
      </c>
      <c r="AE20" s="18">
        <v>2</v>
      </c>
      <c r="AF20" s="18">
        <v>11</v>
      </c>
      <c r="AG20" s="18">
        <v>22</v>
      </c>
      <c r="AH20" s="18">
        <v>32</v>
      </c>
      <c r="AI20" s="18">
        <v>38</v>
      </c>
      <c r="AJ20" s="18">
        <v>39</v>
      </c>
      <c r="AK20" s="18">
        <v>7</v>
      </c>
      <c r="AL20" s="18">
        <v>7</v>
      </c>
      <c r="AM20" s="18">
        <v>7</v>
      </c>
      <c r="AN20" s="18">
        <v>7</v>
      </c>
      <c r="AO20" s="71">
        <v>6</v>
      </c>
    </row>
    <row r="21" spans="1:41" ht="12.75" customHeight="1">
      <c r="A21" s="2"/>
      <c r="B21">
        <v>10</v>
      </c>
      <c r="C21">
        <v>53.6</v>
      </c>
      <c r="D21">
        <v>86.9</v>
      </c>
      <c r="E21">
        <v>307.8</v>
      </c>
      <c r="F21">
        <v>15</v>
      </c>
      <c r="G21">
        <v>91</v>
      </c>
      <c r="H21">
        <v>153</v>
      </c>
      <c r="I21">
        <v>104</v>
      </c>
      <c r="J21">
        <v>13</v>
      </c>
      <c r="K21">
        <v>15</v>
      </c>
      <c r="L21">
        <v>15</v>
      </c>
      <c r="M21">
        <v>15</v>
      </c>
      <c r="N21">
        <v>224</v>
      </c>
      <c r="O21">
        <v>2</v>
      </c>
      <c r="R21" s="138" t="s">
        <v>209</v>
      </c>
      <c r="S21" s="138"/>
      <c r="V21" s="18"/>
      <c r="W21" s="18"/>
      <c r="X21" s="18"/>
      <c r="Y21" s="18"/>
      <c r="Z21" s="18"/>
      <c r="AA21" s="18"/>
      <c r="AB21" s="18"/>
      <c r="AC21" s="70" t="s">
        <v>50</v>
      </c>
      <c r="AD21" s="18">
        <v>60</v>
      </c>
      <c r="AE21" s="18">
        <v>2</v>
      </c>
      <c r="AF21" s="18">
        <v>9</v>
      </c>
      <c r="AG21" s="18">
        <v>17</v>
      </c>
      <c r="AH21" s="18">
        <v>25</v>
      </c>
      <c r="AI21" s="18">
        <v>30</v>
      </c>
      <c r="AJ21" s="18">
        <v>31</v>
      </c>
      <c r="AK21" s="18">
        <v>5</v>
      </c>
      <c r="AL21" s="18">
        <v>5</v>
      </c>
      <c r="AM21" s="18">
        <v>6</v>
      </c>
      <c r="AN21" s="18">
        <v>5</v>
      </c>
      <c r="AO21" s="71">
        <v>5</v>
      </c>
    </row>
    <row r="22" spans="1:41" ht="12.75" customHeight="1">
      <c r="A22" s="2"/>
      <c r="B22">
        <v>11</v>
      </c>
      <c r="C22">
        <v>68.6</v>
      </c>
      <c r="D22">
        <v>84.2</v>
      </c>
      <c r="E22">
        <v>317.1</v>
      </c>
      <c r="F22">
        <v>16</v>
      </c>
      <c r="G22">
        <v>47</v>
      </c>
      <c r="H22">
        <v>84</v>
      </c>
      <c r="I22">
        <v>61</v>
      </c>
      <c r="J22">
        <v>14</v>
      </c>
      <c r="K22">
        <v>16</v>
      </c>
      <c r="L22">
        <v>16</v>
      </c>
      <c r="M22">
        <v>16</v>
      </c>
      <c r="N22">
        <v>248</v>
      </c>
      <c r="O22">
        <v>1</v>
      </c>
      <c r="R22" s="138" t="s">
        <v>210</v>
      </c>
      <c r="S22" s="138"/>
      <c r="V22" s="18"/>
      <c r="W22" s="18"/>
      <c r="X22" s="18"/>
      <c r="Y22" s="18"/>
      <c r="Z22" s="18"/>
      <c r="AA22" s="18"/>
      <c r="AB22" s="18"/>
      <c r="AC22" s="70"/>
      <c r="AD22" s="18">
        <v>100</v>
      </c>
      <c r="AE22" s="18">
        <v>1</v>
      </c>
      <c r="AF22" s="18">
        <v>6</v>
      </c>
      <c r="AG22" s="18">
        <v>12</v>
      </c>
      <c r="AH22" s="18">
        <v>18</v>
      </c>
      <c r="AI22" s="18">
        <v>21</v>
      </c>
      <c r="AJ22" s="18">
        <v>22</v>
      </c>
      <c r="AK22" s="18">
        <v>4</v>
      </c>
      <c r="AL22" s="18">
        <v>4</v>
      </c>
      <c r="AM22" s="18">
        <v>4</v>
      </c>
      <c r="AN22" s="18">
        <v>4</v>
      </c>
      <c r="AO22" s="71">
        <v>3</v>
      </c>
    </row>
    <row r="23" spans="1:41" ht="12.75" customHeight="1">
      <c r="A23" s="2"/>
      <c r="B23">
        <v>12</v>
      </c>
      <c r="C23">
        <v>83.3</v>
      </c>
      <c r="D23">
        <v>180</v>
      </c>
      <c r="E23">
        <v>320.9</v>
      </c>
      <c r="F23">
        <v>24</v>
      </c>
      <c r="G23">
        <v>19</v>
      </c>
      <c r="H23">
        <v>16</v>
      </c>
      <c r="I23">
        <v>16</v>
      </c>
      <c r="J23">
        <v>16</v>
      </c>
      <c r="K23">
        <v>16</v>
      </c>
      <c r="L23">
        <v>16</v>
      </c>
      <c r="M23">
        <v>19</v>
      </c>
      <c r="N23">
        <v>16</v>
      </c>
      <c r="O23">
        <v>12</v>
      </c>
      <c r="R23" s="138" t="s">
        <v>213</v>
      </c>
      <c r="S23" s="138"/>
      <c r="T23" s="18" t="s">
        <v>227</v>
      </c>
      <c r="V23" s="18">
        <v>0.25</v>
      </c>
      <c r="W23" s="18">
        <v>0.23</v>
      </c>
      <c r="X23" s="18"/>
      <c r="Y23" s="18"/>
      <c r="Z23" s="18"/>
      <c r="AA23" s="18"/>
      <c r="AB23" s="18"/>
      <c r="AC23" s="68"/>
      <c r="AD23" s="67">
        <v>140</v>
      </c>
      <c r="AE23" s="67">
        <v>0</v>
      </c>
      <c r="AF23" s="67">
        <v>4</v>
      </c>
      <c r="AG23" s="67">
        <v>7</v>
      </c>
      <c r="AH23" s="67">
        <v>11</v>
      </c>
      <c r="AI23" s="67">
        <v>13</v>
      </c>
      <c r="AJ23" s="67">
        <v>13</v>
      </c>
      <c r="AK23" s="67">
        <v>2</v>
      </c>
      <c r="AL23" s="67">
        <v>2</v>
      </c>
      <c r="AM23" s="67">
        <v>2</v>
      </c>
      <c r="AN23" s="67">
        <v>2</v>
      </c>
      <c r="AO23" s="69">
        <v>2</v>
      </c>
    </row>
    <row r="24" spans="1:41" ht="12.75" customHeight="1">
      <c r="A24" s="2"/>
      <c r="R24" s="138" t="s">
        <v>214</v>
      </c>
      <c r="S24" s="138"/>
      <c r="V24" s="18">
        <v>0.33</v>
      </c>
      <c r="W24" s="18">
        <v>0.29</v>
      </c>
      <c r="X24" s="18"/>
      <c r="Y24" s="18"/>
      <c r="Z24" s="18"/>
      <c r="AA24" s="18"/>
      <c r="AB24" s="18"/>
      <c r="AC24" s="70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71"/>
    </row>
    <row r="25" spans="1:41" ht="12.75">
      <c r="A25" s="2">
        <v>44287</v>
      </c>
      <c r="B25">
        <v>7</v>
      </c>
      <c r="C25">
        <v>10.1</v>
      </c>
      <c r="D25">
        <v>167.9</v>
      </c>
      <c r="E25">
        <v>147.9</v>
      </c>
      <c r="F25">
        <v>104</v>
      </c>
      <c r="G25">
        <v>109</v>
      </c>
      <c r="H25">
        <v>18</v>
      </c>
      <c r="I25">
        <v>7.5</v>
      </c>
      <c r="J25">
        <v>7.5</v>
      </c>
      <c r="K25">
        <v>7.5</v>
      </c>
      <c r="L25">
        <v>6</v>
      </c>
      <c r="M25">
        <v>63</v>
      </c>
      <c r="N25">
        <v>7.5</v>
      </c>
      <c r="O25">
        <v>5</v>
      </c>
      <c r="R25" s="138" t="s">
        <v>211</v>
      </c>
      <c r="S25" s="138"/>
      <c r="V25" s="18">
        <v>0.42</v>
      </c>
      <c r="W25" s="18">
        <v>0.38</v>
      </c>
      <c r="X25" s="18"/>
      <c r="Y25" s="18"/>
      <c r="Z25" s="18"/>
      <c r="AA25" s="18"/>
      <c r="AB25" s="18"/>
      <c r="AC25" s="70"/>
      <c r="AD25" s="18">
        <v>20</v>
      </c>
      <c r="AE25" s="18">
        <v>0</v>
      </c>
      <c r="AF25" s="18">
        <v>2</v>
      </c>
      <c r="AG25" s="18">
        <v>2</v>
      </c>
      <c r="AH25" s="18">
        <v>3</v>
      </c>
      <c r="AI25" s="18">
        <v>5</v>
      </c>
      <c r="AJ25" s="18">
        <v>6</v>
      </c>
      <c r="AK25" s="18">
        <v>40</v>
      </c>
      <c r="AL25" s="18">
        <v>39</v>
      </c>
      <c r="AM25" s="18">
        <v>31</v>
      </c>
      <c r="AN25" s="18">
        <v>22</v>
      </c>
      <c r="AO25" s="71">
        <v>11</v>
      </c>
    </row>
    <row r="26" spans="1:41" ht="13.5" thickBot="1">
      <c r="A26" s="2"/>
      <c r="B26">
        <v>8</v>
      </c>
      <c r="C26">
        <v>24.7</v>
      </c>
      <c r="D26">
        <v>166.2</v>
      </c>
      <c r="E26">
        <v>250.5</v>
      </c>
      <c r="F26">
        <v>195</v>
      </c>
      <c r="G26">
        <v>173</v>
      </c>
      <c r="H26">
        <v>33</v>
      </c>
      <c r="I26">
        <v>12</v>
      </c>
      <c r="J26">
        <v>12</v>
      </c>
      <c r="K26">
        <v>12</v>
      </c>
      <c r="L26">
        <v>12</v>
      </c>
      <c r="M26">
        <v>90</v>
      </c>
      <c r="N26">
        <v>12</v>
      </c>
      <c r="O26">
        <v>4</v>
      </c>
      <c r="R26" s="134" t="s">
        <v>212</v>
      </c>
      <c r="S26" s="134"/>
      <c r="T26" s="24"/>
      <c r="U26" s="24"/>
      <c r="V26" s="23">
        <v>0.5</v>
      </c>
      <c r="W26" s="23">
        <v>0.44</v>
      </c>
      <c r="X26" s="23"/>
      <c r="Y26" s="23"/>
      <c r="Z26" s="23"/>
      <c r="AA26" s="23"/>
      <c r="AB26" s="18"/>
      <c r="AC26" s="70" t="s">
        <v>23</v>
      </c>
      <c r="AD26" s="18">
        <v>60</v>
      </c>
      <c r="AE26" s="18">
        <v>0</v>
      </c>
      <c r="AF26" s="18">
        <v>1</v>
      </c>
      <c r="AG26" s="18">
        <v>2</v>
      </c>
      <c r="AH26" s="18">
        <v>3</v>
      </c>
      <c r="AI26" s="18">
        <v>4</v>
      </c>
      <c r="AJ26" s="18">
        <v>4</v>
      </c>
      <c r="AK26" s="18">
        <v>32</v>
      </c>
      <c r="AL26" s="18">
        <v>31</v>
      </c>
      <c r="AM26" s="18">
        <v>25</v>
      </c>
      <c r="AN26" s="18">
        <v>17</v>
      </c>
      <c r="AO26" s="71">
        <v>9</v>
      </c>
    </row>
    <row r="27" spans="1:41" ht="12.75">
      <c r="A27" s="2"/>
      <c r="B27">
        <v>9</v>
      </c>
      <c r="C27">
        <v>39.2</v>
      </c>
      <c r="D27">
        <v>163.1</v>
      </c>
      <c r="E27">
        <v>285.1</v>
      </c>
      <c r="F27">
        <v>186</v>
      </c>
      <c r="G27">
        <v>168</v>
      </c>
      <c r="H27">
        <v>39</v>
      </c>
      <c r="I27">
        <v>14</v>
      </c>
      <c r="J27">
        <v>14</v>
      </c>
      <c r="K27">
        <v>14</v>
      </c>
      <c r="L27">
        <v>14</v>
      </c>
      <c r="M27">
        <v>73</v>
      </c>
      <c r="N27">
        <v>14</v>
      </c>
      <c r="O27">
        <v>3</v>
      </c>
      <c r="AC27" s="70"/>
      <c r="AD27" s="18">
        <v>100</v>
      </c>
      <c r="AE27" s="18">
        <v>0</v>
      </c>
      <c r="AF27" s="18">
        <v>1</v>
      </c>
      <c r="AG27" s="18">
        <v>1</v>
      </c>
      <c r="AH27" s="18">
        <v>2</v>
      </c>
      <c r="AI27" s="18">
        <v>2</v>
      </c>
      <c r="AJ27" s="18">
        <v>3</v>
      </c>
      <c r="AK27" s="18">
        <v>23</v>
      </c>
      <c r="AL27" s="18">
        <v>22</v>
      </c>
      <c r="AM27" s="18">
        <v>18</v>
      </c>
      <c r="AN27" s="18">
        <v>12</v>
      </c>
      <c r="AO27" s="71">
        <v>6</v>
      </c>
    </row>
    <row r="28" spans="1:41" ht="13.5" thickBot="1">
      <c r="A28" s="2"/>
      <c r="B28">
        <v>10</v>
      </c>
      <c r="C28">
        <v>53.3</v>
      </c>
      <c r="D28">
        <v>157.2</v>
      </c>
      <c r="E28">
        <v>300.8</v>
      </c>
      <c r="F28">
        <v>133</v>
      </c>
      <c r="G28">
        <v>134</v>
      </c>
      <c r="H28">
        <v>43</v>
      </c>
      <c r="I28">
        <v>15</v>
      </c>
      <c r="J28">
        <v>15</v>
      </c>
      <c r="K28">
        <v>15</v>
      </c>
      <c r="L28">
        <v>15</v>
      </c>
      <c r="M28">
        <v>41</v>
      </c>
      <c r="N28">
        <v>15</v>
      </c>
      <c r="O28">
        <v>2</v>
      </c>
      <c r="S28" s="32"/>
      <c r="T28" s="32"/>
      <c r="AC28" s="68"/>
      <c r="AD28" s="67">
        <v>140</v>
      </c>
      <c r="AE28" s="67">
        <v>0</v>
      </c>
      <c r="AF28" s="67">
        <v>0</v>
      </c>
      <c r="AG28" s="67">
        <v>1</v>
      </c>
      <c r="AH28" s="67">
        <v>1</v>
      </c>
      <c r="AI28" s="67">
        <v>1</v>
      </c>
      <c r="AJ28" s="67">
        <v>2</v>
      </c>
      <c r="AK28" s="67">
        <v>14</v>
      </c>
      <c r="AL28" s="67">
        <v>13</v>
      </c>
      <c r="AM28" s="67">
        <v>11</v>
      </c>
      <c r="AN28" s="67">
        <v>7</v>
      </c>
      <c r="AO28" s="69">
        <v>4</v>
      </c>
    </row>
    <row r="29" spans="1:41" ht="15.75" customHeight="1">
      <c r="A29" s="2"/>
      <c r="B29">
        <v>11</v>
      </c>
      <c r="C29">
        <v>66.5</v>
      </c>
      <c r="D29">
        <v>143.8</v>
      </c>
      <c r="E29">
        <v>308.4</v>
      </c>
      <c r="F29">
        <v>67</v>
      </c>
      <c r="G29">
        <v>88</v>
      </c>
      <c r="H29">
        <v>45</v>
      </c>
      <c r="I29">
        <v>15</v>
      </c>
      <c r="J29">
        <v>15</v>
      </c>
      <c r="K29">
        <v>15</v>
      </c>
      <c r="L29">
        <v>16</v>
      </c>
      <c r="M29">
        <v>13</v>
      </c>
      <c r="N29">
        <v>15</v>
      </c>
      <c r="O29">
        <v>1</v>
      </c>
      <c r="Q29" s="145" t="s">
        <v>276</v>
      </c>
      <c r="R29" s="145"/>
      <c r="S29" s="145"/>
      <c r="T29" s="145"/>
      <c r="U29" s="145"/>
      <c r="V29" s="145"/>
      <c r="W29" s="145"/>
      <c r="X29" s="145"/>
      <c r="Y29" s="145"/>
      <c r="Z29" s="145"/>
      <c r="AC29" s="70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71"/>
    </row>
    <row r="30" spans="1:41" ht="17.25" customHeight="1" thickBot="1">
      <c r="A30" s="2"/>
      <c r="B30">
        <v>12</v>
      </c>
      <c r="C30">
        <v>75.6</v>
      </c>
      <c r="D30">
        <v>180</v>
      </c>
      <c r="E30">
        <v>311.3</v>
      </c>
      <c r="F30">
        <v>48</v>
      </c>
      <c r="G30">
        <v>32</v>
      </c>
      <c r="H30">
        <v>15</v>
      </c>
      <c r="I30">
        <v>15</v>
      </c>
      <c r="J30">
        <v>15</v>
      </c>
      <c r="K30">
        <v>15</v>
      </c>
      <c r="L30">
        <v>16</v>
      </c>
      <c r="M30">
        <v>32</v>
      </c>
      <c r="N30">
        <v>15</v>
      </c>
      <c r="O30">
        <v>12</v>
      </c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C30" s="70"/>
      <c r="AD30" s="18">
        <v>20</v>
      </c>
      <c r="AE30" s="18">
        <v>0</v>
      </c>
      <c r="AF30" s="18">
        <v>2</v>
      </c>
      <c r="AG30" s="18">
        <v>2</v>
      </c>
      <c r="AH30" s="18">
        <v>3</v>
      </c>
      <c r="AI30" s="18">
        <v>5</v>
      </c>
      <c r="AJ30" s="18">
        <v>6</v>
      </c>
      <c r="AK30" s="18">
        <v>40</v>
      </c>
      <c r="AL30" s="18">
        <v>39</v>
      </c>
      <c r="AM30" s="18">
        <v>31</v>
      </c>
      <c r="AN30" s="18">
        <v>22</v>
      </c>
      <c r="AO30" s="71">
        <v>11</v>
      </c>
    </row>
    <row r="31" spans="1:41" ht="15" thickBot="1">
      <c r="A31" s="2"/>
      <c r="Q31" s="30"/>
      <c r="R31" s="30"/>
      <c r="S31" s="30"/>
      <c r="T31" s="30"/>
      <c r="U31" s="131" t="s">
        <v>268</v>
      </c>
      <c r="V31" s="131"/>
      <c r="W31" s="131"/>
      <c r="X31" s="131"/>
      <c r="Y31" s="150" t="s">
        <v>270</v>
      </c>
      <c r="Z31" s="150"/>
      <c r="AC31" s="70" t="s">
        <v>22</v>
      </c>
      <c r="AD31" s="18">
        <v>60</v>
      </c>
      <c r="AE31" s="18">
        <v>0</v>
      </c>
      <c r="AF31" s="18">
        <v>1</v>
      </c>
      <c r="AG31" s="18">
        <v>2</v>
      </c>
      <c r="AH31" s="18">
        <v>3</v>
      </c>
      <c r="AI31" s="18">
        <v>4</v>
      </c>
      <c r="AJ31" s="18">
        <v>4</v>
      </c>
      <c r="AK31" s="18">
        <v>32</v>
      </c>
      <c r="AL31" s="18">
        <v>31</v>
      </c>
      <c r="AM31" s="18">
        <v>25</v>
      </c>
      <c r="AN31" s="18">
        <v>17</v>
      </c>
      <c r="AO31" s="71">
        <v>9</v>
      </c>
    </row>
    <row r="32" spans="1:41" ht="15" thickBot="1">
      <c r="A32" s="2">
        <v>44317</v>
      </c>
      <c r="B32">
        <v>7</v>
      </c>
      <c r="C32">
        <v>10</v>
      </c>
      <c r="D32">
        <v>159.3</v>
      </c>
      <c r="E32">
        <v>150.7</v>
      </c>
      <c r="F32">
        <v>117</v>
      </c>
      <c r="G32">
        <v>117</v>
      </c>
      <c r="H32">
        <v>35</v>
      </c>
      <c r="I32">
        <v>7.7</v>
      </c>
      <c r="J32">
        <v>7.7</v>
      </c>
      <c r="K32">
        <v>7.7</v>
      </c>
      <c r="L32">
        <v>7.5</v>
      </c>
      <c r="M32">
        <v>43</v>
      </c>
      <c r="N32">
        <v>7.7</v>
      </c>
      <c r="O32">
        <v>5</v>
      </c>
      <c r="Q32" s="30"/>
      <c r="R32" s="30"/>
      <c r="S32" s="30"/>
      <c r="T32" s="30"/>
      <c r="U32" s="131" t="s">
        <v>267</v>
      </c>
      <c r="V32" s="131"/>
      <c r="W32" s="31" t="s">
        <v>269</v>
      </c>
      <c r="X32" s="27"/>
      <c r="Y32" s="151"/>
      <c r="Z32" s="151"/>
      <c r="AC32" s="70"/>
      <c r="AD32" s="18">
        <v>100</v>
      </c>
      <c r="AE32" s="18">
        <v>0</v>
      </c>
      <c r="AF32" s="18">
        <v>1</v>
      </c>
      <c r="AG32" s="18">
        <v>1</v>
      </c>
      <c r="AH32" s="18">
        <v>2</v>
      </c>
      <c r="AI32" s="18">
        <v>2</v>
      </c>
      <c r="AJ32" s="18">
        <v>3</v>
      </c>
      <c r="AK32" s="18">
        <v>23</v>
      </c>
      <c r="AL32" s="18">
        <v>22</v>
      </c>
      <c r="AM32" s="18">
        <v>18</v>
      </c>
      <c r="AN32" s="18">
        <v>12</v>
      </c>
      <c r="AO32" s="71">
        <v>6</v>
      </c>
    </row>
    <row r="33" spans="1:41" ht="14.25">
      <c r="A33" s="2"/>
      <c r="B33">
        <v>8</v>
      </c>
      <c r="C33">
        <v>23.9</v>
      </c>
      <c r="D33">
        <v>157</v>
      </c>
      <c r="E33">
        <v>247</v>
      </c>
      <c r="F33">
        <v>185</v>
      </c>
      <c r="G33">
        <v>186</v>
      </c>
      <c r="H33">
        <v>60</v>
      </c>
      <c r="I33">
        <v>12</v>
      </c>
      <c r="J33">
        <v>12</v>
      </c>
      <c r="K33">
        <v>12</v>
      </c>
      <c r="L33">
        <v>12</v>
      </c>
      <c r="M33">
        <v>57</v>
      </c>
      <c r="N33">
        <v>12</v>
      </c>
      <c r="O33">
        <v>4</v>
      </c>
      <c r="Q33" s="30"/>
      <c r="R33" s="30"/>
      <c r="S33" s="30"/>
      <c r="T33" s="30"/>
      <c r="U33" s="28" t="s">
        <v>271</v>
      </c>
      <c r="V33" s="28" t="s">
        <v>273</v>
      </c>
      <c r="W33" s="28" t="s">
        <v>271</v>
      </c>
      <c r="X33" s="28" t="s">
        <v>273</v>
      </c>
      <c r="Y33" s="28" t="s">
        <v>271</v>
      </c>
      <c r="Z33" s="28" t="s">
        <v>273</v>
      </c>
      <c r="AC33" s="68"/>
      <c r="AD33" s="67">
        <v>140</v>
      </c>
      <c r="AE33" s="67">
        <v>0</v>
      </c>
      <c r="AF33" s="67">
        <v>0</v>
      </c>
      <c r="AG33" s="67">
        <v>1</v>
      </c>
      <c r="AH33" s="67">
        <v>1</v>
      </c>
      <c r="AI33" s="67">
        <v>1</v>
      </c>
      <c r="AJ33" s="67">
        <v>2</v>
      </c>
      <c r="AK33" s="67">
        <v>14</v>
      </c>
      <c r="AL33" s="67">
        <v>13</v>
      </c>
      <c r="AM33" s="67">
        <v>11</v>
      </c>
      <c r="AN33" s="67">
        <v>7</v>
      </c>
      <c r="AO33" s="69">
        <v>4</v>
      </c>
    </row>
    <row r="34" spans="1:41" ht="15.75" thickBot="1">
      <c r="A34" s="2"/>
      <c r="B34">
        <v>9</v>
      </c>
      <c r="C34">
        <v>37.5</v>
      </c>
      <c r="D34">
        <v>152.6</v>
      </c>
      <c r="E34">
        <v>279.4</v>
      </c>
      <c r="F34">
        <v>170</v>
      </c>
      <c r="G34">
        <v>186</v>
      </c>
      <c r="H34">
        <v>70</v>
      </c>
      <c r="I34">
        <v>14</v>
      </c>
      <c r="J34">
        <v>14</v>
      </c>
      <c r="K34">
        <v>14</v>
      </c>
      <c r="L34">
        <v>14</v>
      </c>
      <c r="M34">
        <v>40</v>
      </c>
      <c r="N34">
        <v>14</v>
      </c>
      <c r="O34">
        <v>3</v>
      </c>
      <c r="Q34" s="27"/>
      <c r="R34" s="152" t="s">
        <v>250</v>
      </c>
      <c r="S34" s="152"/>
      <c r="T34" s="152"/>
      <c r="U34" s="31" t="s">
        <v>272</v>
      </c>
      <c r="V34" s="31" t="s">
        <v>274</v>
      </c>
      <c r="W34" s="31" t="s">
        <v>272</v>
      </c>
      <c r="X34" s="31" t="s">
        <v>274</v>
      </c>
      <c r="Y34" s="31" t="s">
        <v>272</v>
      </c>
      <c r="Z34" s="31" t="s">
        <v>274</v>
      </c>
      <c r="AC34" s="70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71"/>
    </row>
    <row r="35" spans="1:41" ht="14.25">
      <c r="A35" s="2"/>
      <c r="B35">
        <v>10</v>
      </c>
      <c r="C35">
        <v>50.3</v>
      </c>
      <c r="D35">
        <v>144.5</v>
      </c>
      <c r="E35">
        <v>294.1</v>
      </c>
      <c r="F35">
        <v>120</v>
      </c>
      <c r="G35">
        <v>154</v>
      </c>
      <c r="H35">
        <v>76</v>
      </c>
      <c r="I35">
        <v>15</v>
      </c>
      <c r="J35">
        <v>15</v>
      </c>
      <c r="K35">
        <v>15</v>
      </c>
      <c r="L35">
        <v>15</v>
      </c>
      <c r="M35">
        <v>17</v>
      </c>
      <c r="N35">
        <v>15</v>
      </c>
      <c r="O35">
        <v>2</v>
      </c>
      <c r="Q35" s="149" t="s">
        <v>251</v>
      </c>
      <c r="R35" s="149"/>
      <c r="S35" s="149"/>
      <c r="T35" s="30"/>
      <c r="U35" s="29"/>
      <c r="V35" s="29"/>
      <c r="W35" s="29"/>
      <c r="X35" s="29"/>
      <c r="Y35" s="29"/>
      <c r="Z35" s="29"/>
      <c r="AC35" s="70"/>
      <c r="AD35" s="18">
        <v>20</v>
      </c>
      <c r="AE35" s="18">
        <v>0</v>
      </c>
      <c r="AF35" s="18">
        <v>2</v>
      </c>
      <c r="AG35" s="18">
        <v>2</v>
      </c>
      <c r="AH35" s="18">
        <v>3</v>
      </c>
      <c r="AI35" s="18">
        <v>5</v>
      </c>
      <c r="AJ35" s="18">
        <v>6</v>
      </c>
      <c r="AK35" s="18">
        <v>7</v>
      </c>
      <c r="AL35" s="18">
        <v>39</v>
      </c>
      <c r="AM35" s="18">
        <v>31</v>
      </c>
      <c r="AN35" s="18">
        <v>22</v>
      </c>
      <c r="AO35" s="71">
        <v>11</v>
      </c>
    </row>
    <row r="36" spans="1:41" ht="15">
      <c r="A36" s="2"/>
      <c r="B36">
        <v>11</v>
      </c>
      <c r="C36">
        <v>61.3</v>
      </c>
      <c r="D36">
        <v>128.6</v>
      </c>
      <c r="E36">
        <v>301.2</v>
      </c>
      <c r="F36">
        <v>58</v>
      </c>
      <c r="G36">
        <v>109</v>
      </c>
      <c r="H36">
        <v>79</v>
      </c>
      <c r="I36">
        <v>11</v>
      </c>
      <c r="J36">
        <v>15</v>
      </c>
      <c r="K36">
        <v>15</v>
      </c>
      <c r="L36">
        <v>15</v>
      </c>
      <c r="M36">
        <v>15</v>
      </c>
      <c r="N36">
        <v>15</v>
      </c>
      <c r="O36">
        <v>1</v>
      </c>
      <c r="Q36" s="30"/>
      <c r="R36" s="133" t="s">
        <v>252</v>
      </c>
      <c r="S36" s="133"/>
      <c r="T36" s="30"/>
      <c r="U36" s="29">
        <v>1.13</v>
      </c>
      <c r="V36" s="29">
        <v>6.42</v>
      </c>
      <c r="W36" s="100">
        <v>1.06</v>
      </c>
      <c r="X36" s="29">
        <v>6.02</v>
      </c>
      <c r="Y36" s="29">
        <v>0.73</v>
      </c>
      <c r="Z36" s="29">
        <v>4.15</v>
      </c>
      <c r="AC36" s="70" t="s">
        <v>24</v>
      </c>
      <c r="AD36" s="18">
        <v>60</v>
      </c>
      <c r="AE36" s="18">
        <v>0</v>
      </c>
      <c r="AF36" s="18">
        <v>1</v>
      </c>
      <c r="AG36" s="18">
        <v>2</v>
      </c>
      <c r="AH36" s="18">
        <v>3</v>
      </c>
      <c r="AI36" s="18">
        <v>4</v>
      </c>
      <c r="AJ36" s="18">
        <v>4</v>
      </c>
      <c r="AK36" s="18">
        <v>5</v>
      </c>
      <c r="AL36" s="18">
        <v>31</v>
      </c>
      <c r="AM36" s="18">
        <v>25</v>
      </c>
      <c r="AN36" s="18">
        <v>17</v>
      </c>
      <c r="AO36" s="71">
        <v>9</v>
      </c>
    </row>
    <row r="37" spans="1:41" ht="14.25">
      <c r="A37" s="2"/>
      <c r="B37">
        <v>12</v>
      </c>
      <c r="C37">
        <v>67.6</v>
      </c>
      <c r="D37">
        <v>180</v>
      </c>
      <c r="E37">
        <v>303.8</v>
      </c>
      <c r="F37">
        <v>81</v>
      </c>
      <c r="G37">
        <v>51</v>
      </c>
      <c r="H37">
        <v>15</v>
      </c>
      <c r="I37">
        <v>15</v>
      </c>
      <c r="J37">
        <v>15</v>
      </c>
      <c r="K37">
        <v>15</v>
      </c>
      <c r="L37">
        <v>15</v>
      </c>
      <c r="M37">
        <v>51</v>
      </c>
      <c r="N37">
        <v>15</v>
      </c>
      <c r="O37">
        <v>12</v>
      </c>
      <c r="Q37" s="30"/>
      <c r="R37" s="133" t="s">
        <v>253</v>
      </c>
      <c r="S37" s="133"/>
      <c r="T37" s="30"/>
      <c r="U37" s="29"/>
      <c r="V37" s="29"/>
      <c r="W37" s="29"/>
      <c r="X37" s="29"/>
      <c r="Y37" s="29"/>
      <c r="Z37" s="29"/>
      <c r="AC37" s="70"/>
      <c r="AD37" s="18">
        <v>100</v>
      </c>
      <c r="AE37" s="18">
        <v>0</v>
      </c>
      <c r="AF37" s="18">
        <v>1</v>
      </c>
      <c r="AG37" s="18">
        <v>1</v>
      </c>
      <c r="AH37" s="18">
        <v>2</v>
      </c>
      <c r="AI37" s="18">
        <v>2</v>
      </c>
      <c r="AJ37" s="18">
        <v>3</v>
      </c>
      <c r="AK37" s="18">
        <v>4</v>
      </c>
      <c r="AL37" s="18">
        <v>22</v>
      </c>
      <c r="AM37" s="18">
        <v>18</v>
      </c>
      <c r="AN37" s="18">
        <v>12</v>
      </c>
      <c r="AO37" s="71">
        <v>6</v>
      </c>
    </row>
    <row r="38" spans="1:41" ht="14.25">
      <c r="A38" s="2"/>
      <c r="Q38" s="30"/>
      <c r="R38" s="30"/>
      <c r="S38" s="133" t="s">
        <v>254</v>
      </c>
      <c r="T38" s="133"/>
      <c r="U38" s="29">
        <v>0.65</v>
      </c>
      <c r="V38" s="29">
        <v>3.69</v>
      </c>
      <c r="W38" s="29">
        <v>0.61</v>
      </c>
      <c r="X38" s="29">
        <v>3.46</v>
      </c>
      <c r="Y38" s="29">
        <v>0.49</v>
      </c>
      <c r="Z38" s="29">
        <v>2.78</v>
      </c>
      <c r="AC38" s="68"/>
      <c r="AD38" s="67">
        <v>140</v>
      </c>
      <c r="AE38" s="67">
        <v>0</v>
      </c>
      <c r="AF38" s="67">
        <v>0</v>
      </c>
      <c r="AG38" s="67">
        <v>1</v>
      </c>
      <c r="AH38" s="67">
        <v>1</v>
      </c>
      <c r="AI38" s="67">
        <v>1</v>
      </c>
      <c r="AJ38" s="67">
        <v>2</v>
      </c>
      <c r="AK38" s="67">
        <v>2</v>
      </c>
      <c r="AL38" s="67">
        <v>13</v>
      </c>
      <c r="AM38" s="67">
        <v>11</v>
      </c>
      <c r="AN38" s="67">
        <v>7</v>
      </c>
      <c r="AO38" s="69">
        <v>4</v>
      </c>
    </row>
    <row r="39" spans="1:41" ht="14.25">
      <c r="A39" s="2">
        <v>44348</v>
      </c>
      <c r="B39">
        <v>7</v>
      </c>
      <c r="C39">
        <v>8.4</v>
      </c>
      <c r="D39">
        <v>156</v>
      </c>
      <c r="E39">
        <v>133.2</v>
      </c>
      <c r="F39">
        <v>103</v>
      </c>
      <c r="G39">
        <v>102</v>
      </c>
      <c r="H39">
        <v>38</v>
      </c>
      <c r="I39">
        <v>6.8</v>
      </c>
      <c r="J39">
        <v>6.8</v>
      </c>
      <c r="K39">
        <v>6.8</v>
      </c>
      <c r="L39">
        <v>7.7</v>
      </c>
      <c r="M39">
        <v>32</v>
      </c>
      <c r="N39">
        <v>6.8</v>
      </c>
      <c r="O39">
        <v>5</v>
      </c>
      <c r="Q39" s="30"/>
      <c r="R39" s="30"/>
      <c r="S39" s="133" t="s">
        <v>255</v>
      </c>
      <c r="T39" s="133"/>
      <c r="U39" s="29">
        <v>0.58</v>
      </c>
      <c r="V39" s="29">
        <v>3.29</v>
      </c>
      <c r="W39" s="29">
        <v>0.56</v>
      </c>
      <c r="X39" s="29">
        <v>3.18</v>
      </c>
      <c r="Y39" s="29">
        <v>0.46</v>
      </c>
      <c r="Z39" s="29">
        <v>2.61</v>
      </c>
      <c r="AC39" s="70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71"/>
    </row>
    <row r="40" spans="1:41" ht="14.25">
      <c r="A40" s="2"/>
      <c r="B40">
        <v>8</v>
      </c>
      <c r="C40">
        <v>22</v>
      </c>
      <c r="D40">
        <v>153.6</v>
      </c>
      <c r="E40">
        <v>240.8</v>
      </c>
      <c r="F40">
        <v>178</v>
      </c>
      <c r="G40">
        <v>186</v>
      </c>
      <c r="H40">
        <v>71</v>
      </c>
      <c r="I40">
        <v>12</v>
      </c>
      <c r="J40">
        <v>12</v>
      </c>
      <c r="K40">
        <v>12</v>
      </c>
      <c r="L40">
        <v>12</v>
      </c>
      <c r="M40">
        <v>45</v>
      </c>
      <c r="N40">
        <v>12</v>
      </c>
      <c r="O40">
        <v>4</v>
      </c>
      <c r="Q40" s="30"/>
      <c r="R40" s="30"/>
      <c r="S40" s="133" t="s">
        <v>256</v>
      </c>
      <c r="T40" s="133"/>
      <c r="U40" s="29"/>
      <c r="V40" s="29"/>
      <c r="W40" s="29"/>
      <c r="X40" s="29"/>
      <c r="Y40" s="29"/>
      <c r="Z40" s="29"/>
      <c r="AC40" s="70"/>
      <c r="AD40" s="18">
        <v>20</v>
      </c>
      <c r="AE40" s="18">
        <v>0</v>
      </c>
      <c r="AF40" s="18">
        <v>2</v>
      </c>
      <c r="AG40" s="18">
        <v>2</v>
      </c>
      <c r="AH40" s="18">
        <v>3</v>
      </c>
      <c r="AI40" s="18">
        <v>5</v>
      </c>
      <c r="AJ40" s="18">
        <v>6</v>
      </c>
      <c r="AK40" s="18">
        <v>7</v>
      </c>
      <c r="AL40" s="18">
        <v>7</v>
      </c>
      <c r="AM40" s="18">
        <v>7</v>
      </c>
      <c r="AN40" s="18">
        <v>7</v>
      </c>
      <c r="AO40" s="71">
        <v>6</v>
      </c>
    </row>
    <row r="41" spans="1:41" ht="14.25">
      <c r="A41" s="2"/>
      <c r="B41">
        <v>9</v>
      </c>
      <c r="C41">
        <v>35.2</v>
      </c>
      <c r="D41">
        <v>149.1</v>
      </c>
      <c r="E41">
        <v>275</v>
      </c>
      <c r="F41">
        <v>166</v>
      </c>
      <c r="G41">
        <v>193</v>
      </c>
      <c r="H41">
        <v>83</v>
      </c>
      <c r="I41">
        <v>14</v>
      </c>
      <c r="J41">
        <v>14</v>
      </c>
      <c r="K41">
        <v>14</v>
      </c>
      <c r="L41">
        <v>14</v>
      </c>
      <c r="M41">
        <v>30</v>
      </c>
      <c r="N41">
        <v>14</v>
      </c>
      <c r="O41">
        <v>3</v>
      </c>
      <c r="Q41" s="30"/>
      <c r="R41" s="30"/>
      <c r="S41" s="133" t="s">
        <v>257</v>
      </c>
      <c r="T41" s="133"/>
      <c r="U41" s="29"/>
      <c r="V41" s="29"/>
      <c r="W41" s="29"/>
      <c r="X41" s="29"/>
      <c r="Y41" s="29"/>
      <c r="Z41" s="29"/>
      <c r="AC41" s="70" t="s">
        <v>18</v>
      </c>
      <c r="AD41" s="18">
        <v>60</v>
      </c>
      <c r="AE41" s="18">
        <v>0</v>
      </c>
      <c r="AF41" s="18">
        <v>1</v>
      </c>
      <c r="AG41" s="18">
        <v>2</v>
      </c>
      <c r="AH41" s="18">
        <v>3</v>
      </c>
      <c r="AI41" s="18">
        <v>4</v>
      </c>
      <c r="AJ41" s="18">
        <v>4</v>
      </c>
      <c r="AK41" s="18">
        <v>5</v>
      </c>
      <c r="AL41" s="18">
        <v>5</v>
      </c>
      <c r="AM41" s="18">
        <v>6</v>
      </c>
      <c r="AN41" s="18">
        <v>5</v>
      </c>
      <c r="AO41" s="71">
        <v>5</v>
      </c>
    </row>
    <row r="42" spans="1:41" ht="14.25">
      <c r="A42" s="2"/>
      <c r="B42">
        <v>10</v>
      </c>
      <c r="C42">
        <v>47.5</v>
      </c>
      <c r="D42">
        <v>140.9</v>
      </c>
      <c r="E42">
        <v>290.2</v>
      </c>
      <c r="F42">
        <v>119</v>
      </c>
      <c r="G42">
        <v>165</v>
      </c>
      <c r="H42">
        <v>89</v>
      </c>
      <c r="I42">
        <v>14</v>
      </c>
      <c r="J42">
        <v>14</v>
      </c>
      <c r="K42">
        <v>14</v>
      </c>
      <c r="L42">
        <v>15</v>
      </c>
      <c r="M42">
        <v>11</v>
      </c>
      <c r="N42">
        <v>14</v>
      </c>
      <c r="O42">
        <v>2</v>
      </c>
      <c r="Q42" s="30"/>
      <c r="R42" s="30"/>
      <c r="S42" s="133" t="s">
        <v>258</v>
      </c>
      <c r="T42" s="133"/>
      <c r="U42" s="29">
        <v>0.38</v>
      </c>
      <c r="V42" s="29">
        <v>2.16</v>
      </c>
      <c r="W42" s="29">
        <v>0.36</v>
      </c>
      <c r="X42" s="29">
        <v>2.04</v>
      </c>
      <c r="Y42" s="29">
        <v>0.32</v>
      </c>
      <c r="Z42" s="29">
        <v>1.82</v>
      </c>
      <c r="AC42" s="70"/>
      <c r="AD42" s="18">
        <v>100</v>
      </c>
      <c r="AE42" s="18">
        <v>0</v>
      </c>
      <c r="AF42" s="18">
        <v>1</v>
      </c>
      <c r="AG42" s="18">
        <v>1</v>
      </c>
      <c r="AH42" s="18">
        <v>2</v>
      </c>
      <c r="AI42" s="18">
        <v>2</v>
      </c>
      <c r="AJ42" s="18">
        <v>3</v>
      </c>
      <c r="AK42" s="18">
        <v>4</v>
      </c>
      <c r="AL42" s="18">
        <v>4</v>
      </c>
      <c r="AM42" s="18">
        <v>4</v>
      </c>
      <c r="AN42" s="18">
        <v>4</v>
      </c>
      <c r="AO42" s="71">
        <v>3</v>
      </c>
    </row>
    <row r="43" spans="1:41" ht="14.25">
      <c r="A43" s="2"/>
      <c r="B43">
        <v>11</v>
      </c>
      <c r="C43">
        <v>57.9</v>
      </c>
      <c r="D43">
        <v>126</v>
      </c>
      <c r="E43">
        <v>297.6</v>
      </c>
      <c r="F43">
        <v>60</v>
      </c>
      <c r="G43">
        <v>122</v>
      </c>
      <c r="H43">
        <v>93</v>
      </c>
      <c r="I43">
        <v>13</v>
      </c>
      <c r="J43">
        <v>15</v>
      </c>
      <c r="K43">
        <v>15</v>
      </c>
      <c r="L43">
        <v>15</v>
      </c>
      <c r="M43">
        <v>15</v>
      </c>
      <c r="N43">
        <v>15</v>
      </c>
      <c r="O43">
        <v>1</v>
      </c>
      <c r="Q43" s="30"/>
      <c r="R43" s="30"/>
      <c r="S43" s="133" t="s">
        <v>259</v>
      </c>
      <c r="T43" s="133"/>
      <c r="U43" s="29">
        <v>0.52</v>
      </c>
      <c r="V43" s="29">
        <v>2.95</v>
      </c>
      <c r="W43" s="29">
        <v>0.5</v>
      </c>
      <c r="X43" s="29">
        <v>2.84</v>
      </c>
      <c r="Y43" s="29">
        <v>0.42</v>
      </c>
      <c r="Z43" s="29">
        <v>2.38</v>
      </c>
      <c r="AC43" s="68"/>
      <c r="AD43" s="67">
        <v>140</v>
      </c>
      <c r="AE43" s="67">
        <v>0</v>
      </c>
      <c r="AF43" s="67">
        <v>0</v>
      </c>
      <c r="AG43" s="67">
        <v>1</v>
      </c>
      <c r="AH43" s="67">
        <v>1</v>
      </c>
      <c r="AI43" s="67">
        <v>1</v>
      </c>
      <c r="AJ43" s="67">
        <v>2</v>
      </c>
      <c r="AK43" s="67">
        <v>2</v>
      </c>
      <c r="AL43" s="67">
        <v>2</v>
      </c>
      <c r="AM43" s="67">
        <v>2</v>
      </c>
      <c r="AN43" s="67">
        <v>2</v>
      </c>
      <c r="AO43" s="69">
        <v>2</v>
      </c>
    </row>
    <row r="44" spans="1:41" ht="14.25">
      <c r="A44" s="2"/>
      <c r="B44">
        <v>12</v>
      </c>
      <c r="C44">
        <v>64</v>
      </c>
      <c r="D44">
        <v>180</v>
      </c>
      <c r="E44">
        <v>300.4</v>
      </c>
      <c r="F44">
        <v>96</v>
      </c>
      <c r="G44">
        <v>60</v>
      </c>
      <c r="H44">
        <v>15</v>
      </c>
      <c r="I44">
        <v>15</v>
      </c>
      <c r="J44">
        <v>15</v>
      </c>
      <c r="K44">
        <v>15</v>
      </c>
      <c r="L44">
        <v>15</v>
      </c>
      <c r="M44">
        <v>60</v>
      </c>
      <c r="N44">
        <v>15</v>
      </c>
      <c r="O44">
        <v>12</v>
      </c>
      <c r="Q44" s="30"/>
      <c r="R44" s="133" t="s">
        <v>260</v>
      </c>
      <c r="S44" s="133"/>
      <c r="T44" s="30"/>
      <c r="U44" s="29"/>
      <c r="V44" s="29"/>
      <c r="W44" s="29"/>
      <c r="X44" s="29"/>
      <c r="Y44" s="29"/>
      <c r="Z44" s="29"/>
      <c r="AC44" s="70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71"/>
    </row>
    <row r="45" spans="1:41" ht="14.25">
      <c r="A45" s="2"/>
      <c r="Q45" s="30"/>
      <c r="R45" s="30"/>
      <c r="S45" s="133" t="s">
        <v>254</v>
      </c>
      <c r="T45" s="133"/>
      <c r="U45" s="29">
        <v>0.47</v>
      </c>
      <c r="V45" s="29">
        <v>2.67</v>
      </c>
      <c r="W45" s="29">
        <v>0.45</v>
      </c>
      <c r="X45" s="29">
        <v>2.56</v>
      </c>
      <c r="Y45" s="29">
        <v>0.38</v>
      </c>
      <c r="Z45" s="29">
        <v>2.16</v>
      </c>
      <c r="AC45" s="70"/>
      <c r="AD45" s="18">
        <v>20</v>
      </c>
      <c r="AE45" s="18">
        <v>0</v>
      </c>
      <c r="AF45" s="18">
        <v>10</v>
      </c>
      <c r="AG45" s="18">
        <v>21</v>
      </c>
      <c r="AH45" s="18">
        <v>32</v>
      </c>
      <c r="AI45" s="18">
        <v>39</v>
      </c>
      <c r="AJ45" s="18">
        <v>40</v>
      </c>
      <c r="AK45" s="18">
        <v>41</v>
      </c>
      <c r="AL45" s="18">
        <v>40</v>
      </c>
      <c r="AM45" s="18">
        <v>32</v>
      </c>
      <c r="AN45" s="18">
        <v>21</v>
      </c>
      <c r="AO45" s="71">
        <v>10</v>
      </c>
    </row>
    <row r="46" spans="1:41" ht="14.25">
      <c r="A46" s="2">
        <v>44378</v>
      </c>
      <c r="B46">
        <v>7</v>
      </c>
      <c r="C46">
        <v>7.6</v>
      </c>
      <c r="D46">
        <v>158.9</v>
      </c>
      <c r="E46">
        <v>120</v>
      </c>
      <c r="F46">
        <v>92</v>
      </c>
      <c r="G46">
        <v>93</v>
      </c>
      <c r="H46">
        <v>29</v>
      </c>
      <c r="I46">
        <v>6.1</v>
      </c>
      <c r="J46">
        <v>6.1</v>
      </c>
      <c r="K46">
        <v>6.1</v>
      </c>
      <c r="L46">
        <v>6.1</v>
      </c>
      <c r="M46">
        <v>34</v>
      </c>
      <c r="N46">
        <v>6.1</v>
      </c>
      <c r="O46">
        <v>5</v>
      </c>
      <c r="Q46" s="30"/>
      <c r="R46" s="30"/>
      <c r="S46" s="133" t="s">
        <v>255</v>
      </c>
      <c r="T46" s="133"/>
      <c r="U46" s="29">
        <v>0.36</v>
      </c>
      <c r="V46" s="29">
        <v>2.04</v>
      </c>
      <c r="W46" s="29">
        <v>0.36</v>
      </c>
      <c r="X46" s="29">
        <v>1.99</v>
      </c>
      <c r="Y46" s="29">
        <v>0.3</v>
      </c>
      <c r="Z46" s="29">
        <v>1.7</v>
      </c>
      <c r="AC46" s="70" t="s">
        <v>292</v>
      </c>
      <c r="AD46" s="18">
        <v>40</v>
      </c>
      <c r="AE46" s="18">
        <v>0</v>
      </c>
      <c r="AF46" s="18">
        <v>7</v>
      </c>
      <c r="AG46" s="18">
        <v>16</v>
      </c>
      <c r="AH46" s="18">
        <v>25</v>
      </c>
      <c r="AI46" s="18">
        <v>30</v>
      </c>
      <c r="AJ46" s="18">
        <v>31</v>
      </c>
      <c r="AK46" s="18">
        <v>32</v>
      </c>
      <c r="AL46" s="18">
        <v>30</v>
      </c>
      <c r="AM46" s="18">
        <v>25</v>
      </c>
      <c r="AN46" s="18">
        <v>16</v>
      </c>
      <c r="AO46" s="71">
        <v>7</v>
      </c>
    </row>
    <row r="47" spans="1:41" ht="14.25">
      <c r="A47" s="2"/>
      <c r="B47">
        <v>8</v>
      </c>
      <c r="C47">
        <v>21.5</v>
      </c>
      <c r="D47">
        <v>156.9</v>
      </c>
      <c r="E47">
        <v>238.2</v>
      </c>
      <c r="F47">
        <v>181</v>
      </c>
      <c r="G47">
        <v>182</v>
      </c>
      <c r="H47">
        <v>59</v>
      </c>
      <c r="I47">
        <v>12</v>
      </c>
      <c r="J47">
        <v>12</v>
      </c>
      <c r="K47">
        <v>12</v>
      </c>
      <c r="L47">
        <v>12</v>
      </c>
      <c r="M47">
        <v>55</v>
      </c>
      <c r="N47">
        <v>12</v>
      </c>
      <c r="O47">
        <v>4</v>
      </c>
      <c r="Q47" s="30"/>
      <c r="R47" s="133" t="s">
        <v>261</v>
      </c>
      <c r="S47" s="133"/>
      <c r="T47" s="30"/>
      <c r="U47" s="29"/>
      <c r="V47" s="29"/>
      <c r="W47" s="29"/>
      <c r="X47" s="29"/>
      <c r="Y47" s="29"/>
      <c r="Z47" s="29"/>
      <c r="AC47" s="68"/>
      <c r="AD47" s="67">
        <v>60</v>
      </c>
      <c r="AE47" s="67">
        <v>0</v>
      </c>
      <c r="AF47" s="67">
        <v>6</v>
      </c>
      <c r="AG47" s="67">
        <v>13</v>
      </c>
      <c r="AH47" s="67">
        <v>20</v>
      </c>
      <c r="AI47" s="67">
        <v>24</v>
      </c>
      <c r="AJ47" s="67">
        <v>25</v>
      </c>
      <c r="AK47" s="67">
        <v>26</v>
      </c>
      <c r="AL47" s="67">
        <v>25</v>
      </c>
      <c r="AM47" s="67">
        <v>20</v>
      </c>
      <c r="AN47" s="67">
        <v>13</v>
      </c>
      <c r="AO47" s="69">
        <v>6</v>
      </c>
    </row>
    <row r="48" spans="1:30" ht="14.25">
      <c r="A48" s="2"/>
      <c r="B48">
        <v>9</v>
      </c>
      <c r="C48">
        <v>35.1</v>
      </c>
      <c r="D48">
        <v>152.8</v>
      </c>
      <c r="E48">
        <v>274.1</v>
      </c>
      <c r="F48">
        <v>173</v>
      </c>
      <c r="G48">
        <v>188</v>
      </c>
      <c r="H48">
        <v>71</v>
      </c>
      <c r="I48">
        <v>14</v>
      </c>
      <c r="J48">
        <v>14</v>
      </c>
      <c r="K48">
        <v>14</v>
      </c>
      <c r="L48">
        <v>14</v>
      </c>
      <c r="M48">
        <v>41</v>
      </c>
      <c r="N48">
        <v>14</v>
      </c>
      <c r="O48">
        <v>3</v>
      </c>
      <c r="Q48" s="30"/>
      <c r="R48" s="30"/>
      <c r="S48" s="133" t="s">
        <v>262</v>
      </c>
      <c r="T48" s="133"/>
      <c r="U48" s="29">
        <v>0.56</v>
      </c>
      <c r="V48" s="29">
        <v>3.18</v>
      </c>
      <c r="W48" s="29">
        <v>0.54</v>
      </c>
      <c r="X48" s="29">
        <v>3.07</v>
      </c>
      <c r="Y48" s="29">
        <v>0.44</v>
      </c>
      <c r="Z48" s="29">
        <v>2.5</v>
      </c>
      <c r="AD48" s="18"/>
    </row>
    <row r="49" spans="1:26" ht="14.25">
      <c r="A49" s="2"/>
      <c r="B49">
        <v>10</v>
      </c>
      <c r="C49">
        <v>48</v>
      </c>
      <c r="D49">
        <v>145.4</v>
      </c>
      <c r="E49">
        <v>289.8</v>
      </c>
      <c r="F49">
        <v>127</v>
      </c>
      <c r="G49">
        <v>161</v>
      </c>
      <c r="H49">
        <v>77</v>
      </c>
      <c r="I49">
        <v>14</v>
      </c>
      <c r="J49">
        <v>14</v>
      </c>
      <c r="K49">
        <v>14</v>
      </c>
      <c r="L49">
        <v>14</v>
      </c>
      <c r="M49">
        <v>18</v>
      </c>
      <c r="N49">
        <v>14</v>
      </c>
      <c r="O49">
        <v>2</v>
      </c>
      <c r="Q49" s="148" t="s">
        <v>263</v>
      </c>
      <c r="R49" s="148"/>
      <c r="S49" s="148"/>
      <c r="T49" s="30"/>
      <c r="U49" s="29"/>
      <c r="V49" s="29"/>
      <c r="W49" s="29"/>
      <c r="X49" s="29"/>
      <c r="Y49" s="29"/>
      <c r="Z49" s="29"/>
    </row>
    <row r="50" spans="1:26" ht="15" customHeight="1">
      <c r="A50" s="2"/>
      <c r="B50">
        <v>11</v>
      </c>
      <c r="C50">
        <v>59.3</v>
      </c>
      <c r="D50">
        <v>131.2</v>
      </c>
      <c r="E50">
        <v>297.4</v>
      </c>
      <c r="F50">
        <v>67</v>
      </c>
      <c r="G50">
        <v>117</v>
      </c>
      <c r="H50">
        <v>80</v>
      </c>
      <c r="I50">
        <v>8.8</v>
      </c>
      <c r="J50">
        <v>15</v>
      </c>
      <c r="K50">
        <v>15</v>
      </c>
      <c r="L50">
        <v>15</v>
      </c>
      <c r="M50">
        <v>15</v>
      </c>
      <c r="N50">
        <v>15</v>
      </c>
      <c r="O50">
        <v>1</v>
      </c>
      <c r="Q50" s="30"/>
      <c r="R50" s="132" t="s">
        <v>264</v>
      </c>
      <c r="S50" s="132"/>
      <c r="T50" s="30"/>
      <c r="U50" s="29">
        <v>0.6</v>
      </c>
      <c r="V50" s="29">
        <v>3.41</v>
      </c>
      <c r="W50" s="29">
        <v>0.57</v>
      </c>
      <c r="X50" s="29">
        <v>3.24</v>
      </c>
      <c r="Y50" s="29">
        <v>0.46</v>
      </c>
      <c r="Z50" s="29">
        <v>2.61</v>
      </c>
    </row>
    <row r="51" spans="1:26" ht="15" customHeight="1">
      <c r="A51" s="2"/>
      <c r="B51">
        <v>12</v>
      </c>
      <c r="C51">
        <v>66.5</v>
      </c>
      <c r="D51">
        <v>180</v>
      </c>
      <c r="E51">
        <v>300.5</v>
      </c>
      <c r="F51">
        <v>85</v>
      </c>
      <c r="G51">
        <v>53</v>
      </c>
      <c r="H51">
        <v>15</v>
      </c>
      <c r="I51">
        <v>15</v>
      </c>
      <c r="J51">
        <v>15</v>
      </c>
      <c r="K51">
        <v>15</v>
      </c>
      <c r="L51">
        <v>15</v>
      </c>
      <c r="M51">
        <v>53</v>
      </c>
      <c r="N51">
        <v>15</v>
      </c>
      <c r="O51">
        <v>12</v>
      </c>
      <c r="Q51" s="30"/>
      <c r="R51" s="132" t="s">
        <v>265</v>
      </c>
      <c r="S51" s="132"/>
      <c r="T51" s="30"/>
      <c r="U51" s="29">
        <v>0.52</v>
      </c>
      <c r="V51" s="29">
        <v>2.95</v>
      </c>
      <c r="W51" s="29">
        <v>0.5</v>
      </c>
      <c r="X51" s="29">
        <v>2.84</v>
      </c>
      <c r="Y51" s="29">
        <v>0.41</v>
      </c>
      <c r="Z51" s="29">
        <v>2.33</v>
      </c>
    </row>
    <row r="52" spans="1:26" ht="14.25">
      <c r="A52" s="2"/>
      <c r="Q52" s="30"/>
      <c r="R52" s="132" t="s">
        <v>275</v>
      </c>
      <c r="S52" s="132"/>
      <c r="T52" s="30"/>
      <c r="U52" s="29">
        <v>0.44</v>
      </c>
      <c r="V52" s="29">
        <v>2.5</v>
      </c>
      <c r="W52" s="29">
        <v>0.42</v>
      </c>
      <c r="X52" s="29">
        <v>2.38</v>
      </c>
      <c r="Y52" s="29">
        <v>0.36</v>
      </c>
      <c r="Z52" s="29">
        <v>2.04</v>
      </c>
    </row>
    <row r="53" spans="1:26" ht="15" thickBot="1">
      <c r="A53" s="2">
        <v>44409</v>
      </c>
      <c r="B53">
        <v>7</v>
      </c>
      <c r="C53">
        <v>9</v>
      </c>
      <c r="D53">
        <v>157.21</v>
      </c>
      <c r="E53">
        <v>143.2</v>
      </c>
      <c r="F53">
        <v>99</v>
      </c>
      <c r="G53">
        <v>106</v>
      </c>
      <c r="H53">
        <v>18</v>
      </c>
      <c r="I53">
        <v>7.3</v>
      </c>
      <c r="J53">
        <v>7.3</v>
      </c>
      <c r="K53">
        <v>7.3</v>
      </c>
      <c r="L53">
        <v>7.3</v>
      </c>
      <c r="M53">
        <v>59</v>
      </c>
      <c r="N53">
        <v>7.3</v>
      </c>
      <c r="O53">
        <v>5</v>
      </c>
      <c r="Q53" s="147" t="s">
        <v>266</v>
      </c>
      <c r="R53" s="147"/>
      <c r="S53" s="147"/>
      <c r="T53" s="27"/>
      <c r="U53" s="31">
        <v>1.09</v>
      </c>
      <c r="V53" s="31">
        <v>6.19</v>
      </c>
      <c r="W53" s="31">
        <v>1</v>
      </c>
      <c r="X53" s="31">
        <v>5.68</v>
      </c>
      <c r="Y53" s="31">
        <v>0.7</v>
      </c>
      <c r="Z53" s="31">
        <v>3.97</v>
      </c>
    </row>
    <row r="54" spans="1:21" ht="12.75">
      <c r="A54" s="2"/>
      <c r="B54">
        <v>8</v>
      </c>
      <c r="C54">
        <v>23.6</v>
      </c>
      <c r="D54">
        <v>165.6</v>
      </c>
      <c r="E54">
        <v>249.9</v>
      </c>
      <c r="F54">
        <v>194</v>
      </c>
      <c r="G54">
        <v>174</v>
      </c>
      <c r="H54">
        <v>33</v>
      </c>
      <c r="I54">
        <v>12</v>
      </c>
      <c r="J54">
        <v>12</v>
      </c>
      <c r="K54">
        <v>12</v>
      </c>
      <c r="L54">
        <v>12</v>
      </c>
      <c r="M54">
        <v>87</v>
      </c>
      <c r="N54">
        <v>12</v>
      </c>
      <c r="O54">
        <v>4</v>
      </c>
      <c r="S54" s="106"/>
      <c r="T54" s="106"/>
      <c r="U54" s="106"/>
    </row>
    <row r="55" spans="1:21" ht="27" customHeight="1">
      <c r="A55" s="2"/>
      <c r="B55">
        <v>9</v>
      </c>
      <c r="C55">
        <v>38</v>
      </c>
      <c r="D55">
        <v>162.6</v>
      </c>
      <c r="E55">
        <v>283.4</v>
      </c>
      <c r="F55">
        <v>187</v>
      </c>
      <c r="G55">
        <v>170</v>
      </c>
      <c r="H55">
        <v>40</v>
      </c>
      <c r="I55">
        <v>14</v>
      </c>
      <c r="J55">
        <v>14</v>
      </c>
      <c r="K55">
        <v>14</v>
      </c>
      <c r="L55">
        <v>14</v>
      </c>
      <c r="M55">
        <v>71</v>
      </c>
      <c r="N55">
        <v>14</v>
      </c>
      <c r="O55">
        <v>3</v>
      </c>
      <c r="S55" s="32"/>
      <c r="T55" s="32"/>
      <c r="U55" s="32"/>
    </row>
    <row r="56" spans="1:15" ht="18.75" customHeight="1">
      <c r="A56" s="2"/>
      <c r="B56">
        <v>10</v>
      </c>
      <c r="C56">
        <v>52.1</v>
      </c>
      <c r="D56">
        <v>156.7</v>
      </c>
      <c r="E56">
        <v>298.3</v>
      </c>
      <c r="F56">
        <v>135</v>
      </c>
      <c r="G56">
        <v>137</v>
      </c>
      <c r="H56">
        <v>43</v>
      </c>
      <c r="I56">
        <v>15</v>
      </c>
      <c r="J56">
        <v>15</v>
      </c>
      <c r="K56">
        <v>15</v>
      </c>
      <c r="L56">
        <v>15</v>
      </c>
      <c r="M56">
        <v>40</v>
      </c>
      <c r="N56">
        <v>15</v>
      </c>
      <c r="O56">
        <v>2</v>
      </c>
    </row>
    <row r="57" spans="1:15" ht="21.75" customHeight="1">
      <c r="A57" s="2"/>
      <c r="B57">
        <v>11</v>
      </c>
      <c r="C57">
        <v>65.2</v>
      </c>
      <c r="D57">
        <v>143.8</v>
      </c>
      <c r="E57">
        <v>305.5</v>
      </c>
      <c r="F57">
        <v>69</v>
      </c>
      <c r="G57">
        <v>91</v>
      </c>
      <c r="H57">
        <v>45</v>
      </c>
      <c r="I57">
        <v>15</v>
      </c>
      <c r="J57">
        <v>15</v>
      </c>
      <c r="K57">
        <v>15</v>
      </c>
      <c r="L57">
        <v>15</v>
      </c>
      <c r="M57">
        <v>12</v>
      </c>
      <c r="N57">
        <v>15</v>
      </c>
      <c r="O57">
        <v>1</v>
      </c>
    </row>
    <row r="58" spans="1:15" ht="12.75">
      <c r="A58" s="2"/>
      <c r="B58">
        <v>12</v>
      </c>
      <c r="C58">
        <v>74.6</v>
      </c>
      <c r="D58">
        <v>180</v>
      </c>
      <c r="E58">
        <v>308.3</v>
      </c>
      <c r="F58">
        <v>50</v>
      </c>
      <c r="G58">
        <v>32</v>
      </c>
      <c r="H58">
        <v>15</v>
      </c>
      <c r="I58">
        <v>15</v>
      </c>
      <c r="J58">
        <v>15</v>
      </c>
      <c r="K58">
        <v>15</v>
      </c>
      <c r="L58">
        <v>15</v>
      </c>
      <c r="M58">
        <v>32</v>
      </c>
      <c r="N58">
        <v>15</v>
      </c>
      <c r="O58">
        <v>12</v>
      </c>
    </row>
    <row r="59" ht="12.75">
      <c r="A59" s="2"/>
    </row>
    <row r="60" spans="1:15" ht="12.75">
      <c r="A60" s="2">
        <v>44440</v>
      </c>
      <c r="B60">
        <v>7</v>
      </c>
      <c r="C60">
        <v>12.2</v>
      </c>
      <c r="D60">
        <v>89.5</v>
      </c>
      <c r="E60">
        <v>177.9</v>
      </c>
      <c r="F60">
        <v>9.1</v>
      </c>
      <c r="G60">
        <v>105</v>
      </c>
      <c r="H60">
        <v>110</v>
      </c>
      <c r="I60">
        <v>107</v>
      </c>
      <c r="J60">
        <v>5.4</v>
      </c>
      <c r="K60">
        <v>9.1</v>
      </c>
      <c r="L60">
        <v>9.1</v>
      </c>
      <c r="M60">
        <v>9.1</v>
      </c>
      <c r="N60">
        <v>22</v>
      </c>
      <c r="O60">
        <v>5</v>
      </c>
    </row>
    <row r="61" spans="1:15" ht="12.75">
      <c r="A61" s="2"/>
      <c r="B61">
        <v>8</v>
      </c>
      <c r="C61">
        <v>27.2</v>
      </c>
      <c r="D61">
        <v>88.8</v>
      </c>
      <c r="E61">
        <v>264.6</v>
      </c>
      <c r="F61">
        <v>13</v>
      </c>
      <c r="G61">
        <v>135</v>
      </c>
      <c r="H61">
        <v>207</v>
      </c>
      <c r="I61">
        <v>143</v>
      </c>
      <c r="J61">
        <v>8.5</v>
      </c>
      <c r="K61">
        <v>13</v>
      </c>
      <c r="L61">
        <v>13</v>
      </c>
      <c r="M61">
        <v>13</v>
      </c>
      <c r="N61">
        <v>91</v>
      </c>
      <c r="O61">
        <v>4</v>
      </c>
    </row>
    <row r="62" spans="1:15" ht="13.5" thickBot="1">
      <c r="A62" s="2"/>
      <c r="B62">
        <v>9</v>
      </c>
      <c r="C62">
        <v>42.2</v>
      </c>
      <c r="D62">
        <v>87.9</v>
      </c>
      <c r="E62">
        <v>295.1</v>
      </c>
      <c r="F62">
        <v>15</v>
      </c>
      <c r="G62">
        <v>116</v>
      </c>
      <c r="H62">
        <v>192</v>
      </c>
      <c r="I62">
        <v>128</v>
      </c>
      <c r="J62">
        <v>9.9</v>
      </c>
      <c r="K62">
        <v>15</v>
      </c>
      <c r="L62">
        <v>15</v>
      </c>
      <c r="M62">
        <v>15</v>
      </c>
      <c r="N62">
        <v>169</v>
      </c>
      <c r="O62">
        <v>3</v>
      </c>
    </row>
    <row r="63" spans="1:24" ht="16.5" thickBot="1">
      <c r="A63" s="2"/>
      <c r="B63">
        <v>10</v>
      </c>
      <c r="C63">
        <v>57.1</v>
      </c>
      <c r="D63">
        <v>86.5</v>
      </c>
      <c r="E63">
        <v>309.2</v>
      </c>
      <c r="F63">
        <v>15</v>
      </c>
      <c r="G63">
        <v>77</v>
      </c>
      <c r="H63">
        <v>134</v>
      </c>
      <c r="I63">
        <v>91</v>
      </c>
      <c r="J63">
        <v>10</v>
      </c>
      <c r="K63">
        <v>15</v>
      </c>
      <c r="L63">
        <v>15</v>
      </c>
      <c r="M63">
        <v>15</v>
      </c>
      <c r="N63">
        <v>232</v>
      </c>
      <c r="O63">
        <v>2</v>
      </c>
      <c r="S63" s="118" t="s">
        <v>346</v>
      </c>
      <c r="T63" s="122"/>
      <c r="U63" s="105"/>
      <c r="V63" s="118" t="s">
        <v>349</v>
      </c>
      <c r="W63" s="118"/>
      <c r="X63" s="118"/>
    </row>
    <row r="64" spans="1:24" ht="15">
      <c r="A64" s="2"/>
      <c r="B64">
        <v>11</v>
      </c>
      <c r="C64">
        <v>72.1</v>
      </c>
      <c r="D64">
        <v>82.9</v>
      </c>
      <c r="E64">
        <v>316</v>
      </c>
      <c r="F64">
        <v>16</v>
      </c>
      <c r="G64">
        <v>35</v>
      </c>
      <c r="H64">
        <v>64</v>
      </c>
      <c r="I64">
        <v>47</v>
      </c>
      <c r="J64">
        <v>11</v>
      </c>
      <c r="K64">
        <v>16</v>
      </c>
      <c r="L64">
        <v>16</v>
      </c>
      <c r="M64">
        <v>16</v>
      </c>
      <c r="N64">
        <v>233</v>
      </c>
      <c r="O64">
        <v>1</v>
      </c>
      <c r="S64" s="121" t="s">
        <v>347</v>
      </c>
      <c r="T64" s="121"/>
      <c r="U64" s="103"/>
      <c r="V64" s="119" t="s">
        <v>352</v>
      </c>
      <c r="W64" s="119"/>
      <c r="X64" s="119"/>
    </row>
    <row r="65" spans="1:24" ht="15.75" thickBot="1">
      <c r="A65" s="2"/>
      <c r="B65">
        <v>12</v>
      </c>
      <c r="C65">
        <v>86.4</v>
      </c>
      <c r="D65">
        <v>180</v>
      </c>
      <c r="E65">
        <v>318.4</v>
      </c>
      <c r="F65">
        <v>13</v>
      </c>
      <c r="G65">
        <v>12</v>
      </c>
      <c r="H65">
        <v>16</v>
      </c>
      <c r="I65">
        <v>16</v>
      </c>
      <c r="J65">
        <v>16</v>
      </c>
      <c r="K65">
        <v>16</v>
      </c>
      <c r="L65">
        <v>16</v>
      </c>
      <c r="M65">
        <v>12</v>
      </c>
      <c r="N65">
        <v>16</v>
      </c>
      <c r="O65">
        <v>12</v>
      </c>
      <c r="S65" s="121" t="s">
        <v>348</v>
      </c>
      <c r="T65" s="121"/>
      <c r="U65" s="104"/>
      <c r="V65" s="120" t="s">
        <v>350</v>
      </c>
      <c r="W65" s="120"/>
      <c r="X65" s="120"/>
    </row>
    <row r="66" spans="19:22" ht="15">
      <c r="S66" s="102"/>
      <c r="T66" s="102"/>
      <c r="U66" s="102"/>
      <c r="V66" s="101"/>
    </row>
    <row r="67" spans="1:23" ht="12.75">
      <c r="A67" s="2">
        <v>44470</v>
      </c>
      <c r="B67">
        <v>7</v>
      </c>
      <c r="C67">
        <v>14.5</v>
      </c>
      <c r="D67">
        <v>79.8</v>
      </c>
      <c r="E67">
        <v>187.8</v>
      </c>
      <c r="F67">
        <v>9.6</v>
      </c>
      <c r="G67">
        <v>85</v>
      </c>
      <c r="H67">
        <v>140</v>
      </c>
      <c r="I67">
        <v>135</v>
      </c>
      <c r="J67">
        <v>20</v>
      </c>
      <c r="K67">
        <v>9.6</v>
      </c>
      <c r="L67">
        <v>9.6</v>
      </c>
      <c r="M67">
        <v>9.6</v>
      </c>
      <c r="N67">
        <v>31</v>
      </c>
      <c r="O67">
        <v>5</v>
      </c>
      <c r="S67" s="123" t="s">
        <v>351</v>
      </c>
      <c r="T67" s="123"/>
      <c r="U67" s="123"/>
      <c r="V67" s="123"/>
      <c r="W67" s="123"/>
    </row>
    <row r="68" spans="2:23" ht="12.75">
      <c r="B68">
        <v>8</v>
      </c>
      <c r="C68">
        <v>29.2</v>
      </c>
      <c r="D68">
        <v>79.2</v>
      </c>
      <c r="E68">
        <v>266.7</v>
      </c>
      <c r="F68">
        <v>13</v>
      </c>
      <c r="G68">
        <v>104</v>
      </c>
      <c r="H68">
        <v>207</v>
      </c>
      <c r="I68">
        <v>171</v>
      </c>
      <c r="J68">
        <v>27</v>
      </c>
      <c r="K68">
        <v>13</v>
      </c>
      <c r="L68">
        <v>13</v>
      </c>
      <c r="M68">
        <v>13</v>
      </c>
      <c r="N68">
        <v>103</v>
      </c>
      <c r="O68">
        <v>4</v>
      </c>
      <c r="S68" s="117" t="s">
        <v>353</v>
      </c>
      <c r="T68" s="117"/>
      <c r="U68" s="117"/>
      <c r="V68" s="117"/>
      <c r="W68" s="117"/>
    </row>
    <row r="69" spans="2:15" ht="12.75">
      <c r="B69">
        <v>9</v>
      </c>
      <c r="C69">
        <v>43.9</v>
      </c>
      <c r="D69">
        <v>77.6</v>
      </c>
      <c r="E69">
        <v>297.4</v>
      </c>
      <c r="F69">
        <v>15</v>
      </c>
      <c r="G69">
        <v>86</v>
      </c>
      <c r="H69">
        <v>185</v>
      </c>
      <c r="I69">
        <v>153</v>
      </c>
      <c r="J69">
        <v>29</v>
      </c>
      <c r="K69">
        <v>15</v>
      </c>
      <c r="L69">
        <v>15</v>
      </c>
      <c r="M69">
        <v>15</v>
      </c>
      <c r="N69">
        <v>181</v>
      </c>
      <c r="O69">
        <v>3</v>
      </c>
    </row>
    <row r="70" spans="2:15" ht="12.75">
      <c r="B70">
        <v>10</v>
      </c>
      <c r="C70">
        <v>58.4</v>
      </c>
      <c r="D70">
        <v>73.4</v>
      </c>
      <c r="E70">
        <v>312.1</v>
      </c>
      <c r="F70">
        <v>16</v>
      </c>
      <c r="G70">
        <v>52</v>
      </c>
      <c r="H70">
        <v>125</v>
      </c>
      <c r="I70">
        <v>112</v>
      </c>
      <c r="J70">
        <v>30</v>
      </c>
      <c r="K70">
        <v>16</v>
      </c>
      <c r="L70">
        <v>16</v>
      </c>
      <c r="M70">
        <v>16</v>
      </c>
      <c r="N70">
        <v>241</v>
      </c>
      <c r="O70">
        <v>2</v>
      </c>
    </row>
    <row r="71" spans="2:15" ht="12.75">
      <c r="B71">
        <v>11</v>
      </c>
      <c r="C71">
        <v>72.4</v>
      </c>
      <c r="D71">
        <v>61.3</v>
      </c>
      <c r="E71">
        <v>319.2</v>
      </c>
      <c r="F71">
        <v>16</v>
      </c>
      <c r="G71">
        <v>20</v>
      </c>
      <c r="H71">
        <v>57</v>
      </c>
      <c r="I71">
        <v>64</v>
      </c>
      <c r="J71">
        <v>30</v>
      </c>
      <c r="K71">
        <v>16</v>
      </c>
      <c r="L71">
        <v>16</v>
      </c>
      <c r="M71">
        <v>16</v>
      </c>
      <c r="N71">
        <v>238</v>
      </c>
      <c r="O71">
        <v>1</v>
      </c>
    </row>
    <row r="72" spans="2:15" ht="12.75">
      <c r="B72">
        <v>12</v>
      </c>
      <c r="C72">
        <v>81.7</v>
      </c>
      <c r="D72">
        <v>0</v>
      </c>
      <c r="E72">
        <v>321.4</v>
      </c>
      <c r="F72">
        <v>16</v>
      </c>
      <c r="G72">
        <v>16</v>
      </c>
      <c r="H72">
        <v>16</v>
      </c>
      <c r="I72">
        <v>22</v>
      </c>
      <c r="J72">
        <v>30</v>
      </c>
      <c r="K72">
        <v>16</v>
      </c>
      <c r="L72">
        <v>16</v>
      </c>
      <c r="M72">
        <v>16</v>
      </c>
      <c r="N72">
        <v>162</v>
      </c>
      <c r="O72">
        <v>12</v>
      </c>
    </row>
    <row r="74" spans="1:15" ht="12.75">
      <c r="A74" s="2">
        <v>44501</v>
      </c>
      <c r="B74">
        <v>7</v>
      </c>
      <c r="C74">
        <v>13.9</v>
      </c>
      <c r="D74">
        <v>70.2</v>
      </c>
      <c r="E74">
        <v>175</v>
      </c>
      <c r="F74">
        <v>8.9</v>
      </c>
      <c r="G74">
        <v>56</v>
      </c>
      <c r="H74">
        <v>140</v>
      </c>
      <c r="I74">
        <v>140</v>
      </c>
      <c r="J74">
        <v>42</v>
      </c>
      <c r="K74">
        <v>8.9</v>
      </c>
      <c r="L74">
        <v>8.9</v>
      </c>
      <c r="M74">
        <v>8.9</v>
      </c>
      <c r="N74">
        <v>29</v>
      </c>
      <c r="O74">
        <v>5</v>
      </c>
    </row>
    <row r="75" spans="2:15" ht="12.75">
      <c r="B75">
        <v>8</v>
      </c>
      <c r="C75">
        <v>28</v>
      </c>
      <c r="D75">
        <v>68.7</v>
      </c>
      <c r="E75">
        <v>259.9</v>
      </c>
      <c r="F75">
        <v>13</v>
      </c>
      <c r="G75">
        <v>69</v>
      </c>
      <c r="H75">
        <v>197</v>
      </c>
      <c r="I75">
        <v>193</v>
      </c>
      <c r="J75">
        <v>61</v>
      </c>
      <c r="K75">
        <v>13</v>
      </c>
      <c r="L75">
        <v>13</v>
      </c>
      <c r="M75">
        <v>13</v>
      </c>
      <c r="N75">
        <v>98</v>
      </c>
      <c r="O75">
        <v>4</v>
      </c>
    </row>
    <row r="76" spans="2:15" ht="12.75">
      <c r="B76">
        <v>9</v>
      </c>
      <c r="C76">
        <v>41.8</v>
      </c>
      <c r="D76">
        <v>65.2</v>
      </c>
      <c r="E76">
        <v>294.1</v>
      </c>
      <c r="F76">
        <v>15</v>
      </c>
      <c r="G76">
        <v>54</v>
      </c>
      <c r="H76">
        <v>177</v>
      </c>
      <c r="I76">
        <v>184</v>
      </c>
      <c r="J76">
        <v>67</v>
      </c>
      <c r="K76">
        <v>15</v>
      </c>
      <c r="L76">
        <v>15</v>
      </c>
      <c r="M76">
        <v>15</v>
      </c>
      <c r="N76">
        <v>173</v>
      </c>
      <c r="O76">
        <v>3</v>
      </c>
    </row>
    <row r="77" spans="2:15" ht="12.75">
      <c r="B77">
        <v>10</v>
      </c>
      <c r="C77">
        <v>55</v>
      </c>
      <c r="D77">
        <v>57.6</v>
      </c>
      <c r="E77">
        <v>310.7</v>
      </c>
      <c r="F77">
        <v>15</v>
      </c>
      <c r="G77">
        <v>28</v>
      </c>
      <c r="H77">
        <v>122</v>
      </c>
      <c r="I77">
        <v>147</v>
      </c>
      <c r="J77">
        <v>70</v>
      </c>
      <c r="K77">
        <v>15</v>
      </c>
      <c r="L77">
        <v>15</v>
      </c>
      <c r="M77">
        <v>15</v>
      </c>
      <c r="N77">
        <v>234</v>
      </c>
      <c r="O77">
        <v>2</v>
      </c>
    </row>
    <row r="78" spans="2:15" ht="12.75">
      <c r="B78">
        <v>11</v>
      </c>
      <c r="C78">
        <v>66.5</v>
      </c>
      <c r="D78">
        <v>40.5</v>
      </c>
      <c r="E78">
        <v>318.8</v>
      </c>
      <c r="F78">
        <v>16</v>
      </c>
      <c r="G78">
        <v>16</v>
      </c>
      <c r="H78">
        <v>59</v>
      </c>
      <c r="I78">
        <v>98</v>
      </c>
      <c r="J78">
        <v>70</v>
      </c>
      <c r="K78">
        <v>16</v>
      </c>
      <c r="L78">
        <v>16</v>
      </c>
      <c r="M78">
        <v>16</v>
      </c>
      <c r="N78">
        <v>256</v>
      </c>
      <c r="O78">
        <v>1</v>
      </c>
    </row>
    <row r="79" spans="2:15" ht="12.75">
      <c r="B79">
        <v>12</v>
      </c>
      <c r="C79">
        <v>72.4</v>
      </c>
      <c r="D79">
        <v>0</v>
      </c>
      <c r="E79">
        <v>321.4</v>
      </c>
      <c r="F79">
        <v>16</v>
      </c>
      <c r="G79">
        <v>16</v>
      </c>
      <c r="H79">
        <v>16</v>
      </c>
      <c r="I79">
        <v>48</v>
      </c>
      <c r="J79">
        <v>71</v>
      </c>
      <c r="K79">
        <v>16</v>
      </c>
      <c r="L79">
        <v>16</v>
      </c>
      <c r="M79">
        <v>16</v>
      </c>
      <c r="N79">
        <v>242</v>
      </c>
      <c r="O79">
        <v>12</v>
      </c>
    </row>
    <row r="81" spans="1:15" ht="12.75">
      <c r="A81" s="2">
        <v>44531</v>
      </c>
      <c r="B81">
        <v>7</v>
      </c>
      <c r="C81">
        <v>11</v>
      </c>
      <c r="D81">
        <v>66.6</v>
      </c>
      <c r="E81">
        <v>135.7</v>
      </c>
      <c r="F81">
        <v>6.9</v>
      </c>
      <c r="G81">
        <v>37</v>
      </c>
      <c r="H81">
        <v>110</v>
      </c>
      <c r="I81">
        <v>110</v>
      </c>
      <c r="J81">
        <v>41</v>
      </c>
      <c r="K81">
        <v>6.9</v>
      </c>
      <c r="L81">
        <v>6.9</v>
      </c>
      <c r="M81">
        <v>6.9</v>
      </c>
      <c r="N81">
        <v>18</v>
      </c>
      <c r="O81">
        <v>5</v>
      </c>
    </row>
    <row r="82" spans="2:15" ht="12.75">
      <c r="B82">
        <v>8</v>
      </c>
      <c r="C82">
        <v>24.7</v>
      </c>
      <c r="D82">
        <v>65.2</v>
      </c>
      <c r="E82">
        <v>244</v>
      </c>
      <c r="F82">
        <v>12</v>
      </c>
      <c r="G82">
        <v>57</v>
      </c>
      <c r="H82">
        <v>187</v>
      </c>
      <c r="I82">
        <v>192</v>
      </c>
      <c r="J82">
        <v>72</v>
      </c>
      <c r="K82">
        <v>12</v>
      </c>
      <c r="L82">
        <v>12</v>
      </c>
      <c r="M82">
        <v>12</v>
      </c>
      <c r="N82">
        <v>81</v>
      </c>
      <c r="O82">
        <v>4</v>
      </c>
    </row>
    <row r="83" spans="2:15" ht="12.75">
      <c r="B83">
        <v>9</v>
      </c>
      <c r="C83">
        <v>38.1</v>
      </c>
      <c r="D83">
        <v>61.6</v>
      </c>
      <c r="E83">
        <v>286</v>
      </c>
      <c r="F83">
        <v>14</v>
      </c>
      <c r="G83">
        <v>46</v>
      </c>
      <c r="H83">
        <v>179</v>
      </c>
      <c r="I83">
        <v>198</v>
      </c>
      <c r="J83">
        <v>83</v>
      </c>
      <c r="K83">
        <v>14</v>
      </c>
      <c r="L83">
        <v>14</v>
      </c>
      <c r="M83">
        <v>14</v>
      </c>
      <c r="N83">
        <v>154</v>
      </c>
      <c r="O83">
        <v>3</v>
      </c>
    </row>
    <row r="84" spans="2:15" ht="12.75">
      <c r="B84">
        <v>10</v>
      </c>
      <c r="C84">
        <v>50.8</v>
      </c>
      <c r="D84">
        <v>54.4</v>
      </c>
      <c r="E84">
        <v>306.1</v>
      </c>
      <c r="F84">
        <v>15</v>
      </c>
      <c r="G84">
        <v>26</v>
      </c>
      <c r="H84">
        <v>131</v>
      </c>
      <c r="I84">
        <v>168</v>
      </c>
      <c r="J84">
        <v>87</v>
      </c>
      <c r="K84">
        <v>15</v>
      </c>
      <c r="L84">
        <v>15</v>
      </c>
      <c r="M84">
        <v>15</v>
      </c>
      <c r="N84">
        <v>219</v>
      </c>
      <c r="O84">
        <v>2</v>
      </c>
    </row>
    <row r="85" spans="2:15" ht="12.75">
      <c r="B85">
        <v>11</v>
      </c>
      <c r="C85">
        <v>61.9</v>
      </c>
      <c r="D85">
        <v>39.4</v>
      </c>
      <c r="E85">
        <v>316.1</v>
      </c>
      <c r="F85">
        <v>16</v>
      </c>
      <c r="G85">
        <v>16</v>
      </c>
      <c r="H85">
        <v>70</v>
      </c>
      <c r="I85">
        <v>121</v>
      </c>
      <c r="J85">
        <v>89</v>
      </c>
      <c r="K85">
        <v>16</v>
      </c>
      <c r="L85">
        <v>16</v>
      </c>
      <c r="M85">
        <v>16</v>
      </c>
      <c r="N85">
        <v>255</v>
      </c>
      <c r="O85">
        <v>1</v>
      </c>
    </row>
    <row r="86" spans="2:15" ht="12.75">
      <c r="B86">
        <v>12</v>
      </c>
      <c r="C86">
        <v>68.4</v>
      </c>
      <c r="D86">
        <v>0</v>
      </c>
      <c r="E86">
        <v>319.9</v>
      </c>
      <c r="F86">
        <v>16</v>
      </c>
      <c r="G86">
        <v>16</v>
      </c>
      <c r="H86">
        <v>16</v>
      </c>
      <c r="I86">
        <v>61</v>
      </c>
      <c r="J86">
        <v>91</v>
      </c>
      <c r="K86">
        <v>16</v>
      </c>
      <c r="L86">
        <v>16</v>
      </c>
      <c r="M86">
        <v>16</v>
      </c>
      <c r="N86">
        <v>256</v>
      </c>
      <c r="O86">
        <v>12</v>
      </c>
    </row>
    <row r="87" spans="6:14" ht="12.75">
      <c r="F87" t="s">
        <v>18</v>
      </c>
      <c r="G87" t="s">
        <v>24</v>
      </c>
      <c r="H87" t="s">
        <v>22</v>
      </c>
      <c r="I87" t="s">
        <v>23</v>
      </c>
      <c r="J87" t="s">
        <v>50</v>
      </c>
      <c r="K87" t="s">
        <v>21</v>
      </c>
      <c r="L87" t="s">
        <v>20</v>
      </c>
      <c r="M87" t="s">
        <v>51</v>
      </c>
      <c r="N87" t="s">
        <v>52</v>
      </c>
    </row>
    <row r="89" ht="12.75">
      <c r="B89" s="17" t="s">
        <v>167</v>
      </c>
    </row>
    <row r="90" spans="2:4" ht="12.75">
      <c r="B90" t="s">
        <v>160</v>
      </c>
      <c r="D90">
        <v>8.41</v>
      </c>
    </row>
    <row r="91" spans="2:4" ht="12.75">
      <c r="B91" t="s">
        <v>161</v>
      </c>
      <c r="D91">
        <v>156</v>
      </c>
    </row>
    <row r="92" spans="2:4" ht="12.75">
      <c r="B92" t="s">
        <v>162</v>
      </c>
      <c r="D92">
        <f>+D93-D91</f>
        <v>24</v>
      </c>
    </row>
    <row r="93" spans="2:4" ht="12.75">
      <c r="B93" t="s">
        <v>163</v>
      </c>
      <c r="D93">
        <v>180</v>
      </c>
    </row>
    <row r="94" spans="2:4" ht="12.75">
      <c r="B94" t="s">
        <v>164</v>
      </c>
      <c r="D94">
        <v>0.8167</v>
      </c>
    </row>
    <row r="95" spans="2:4" ht="12.75">
      <c r="B95" t="s">
        <v>165</v>
      </c>
      <c r="D95">
        <v>0.1501</v>
      </c>
    </row>
    <row r="96" spans="2:4" ht="12.75">
      <c r="B96" t="s">
        <v>166</v>
      </c>
      <c r="D96">
        <f>133.2*(D94+D95)</f>
        <v>128.77776</v>
      </c>
    </row>
    <row r="98" ht="12.75">
      <c r="B98" t="s">
        <v>168</v>
      </c>
    </row>
    <row r="99" spans="2:4" ht="12.75">
      <c r="B99" t="s">
        <v>160</v>
      </c>
      <c r="D99">
        <v>8</v>
      </c>
    </row>
    <row r="100" spans="2:4" ht="12.75">
      <c r="B100" t="s">
        <v>161</v>
      </c>
      <c r="D100">
        <v>70.2</v>
      </c>
    </row>
    <row r="101" spans="2:5" ht="12.75">
      <c r="B101" t="s">
        <v>162</v>
      </c>
      <c r="D101">
        <v>180</v>
      </c>
      <c r="E101">
        <f>90-D100</f>
        <v>19.799999999999997</v>
      </c>
    </row>
    <row r="102" spans="2:5" ht="12.75">
      <c r="B102" t="s">
        <v>163</v>
      </c>
      <c r="D102">
        <f>+D101-D100</f>
        <v>109.8</v>
      </c>
      <c r="E102">
        <f>180-D102</f>
        <v>70.2</v>
      </c>
    </row>
    <row r="103" spans="2:4" ht="12.75">
      <c r="B103" t="s">
        <v>164</v>
      </c>
      <c r="D103">
        <v>0.8408</v>
      </c>
    </row>
    <row r="104" spans="2:4" ht="12.75">
      <c r="B104" t="s">
        <v>165</v>
      </c>
      <c r="D104">
        <v>0.06</v>
      </c>
    </row>
    <row r="105" spans="2:4" ht="12.75">
      <c r="B105" t="s">
        <v>166</v>
      </c>
      <c r="D105">
        <f>+E4*(D103+D104)</f>
        <v>80.1712</v>
      </c>
    </row>
  </sheetData>
  <mergeCells count="73">
    <mergeCell ref="Q29:Z30"/>
    <mergeCell ref="Q53:S53"/>
    <mergeCell ref="Q49:S49"/>
    <mergeCell ref="Q35:S35"/>
    <mergeCell ref="Y31:Z32"/>
    <mergeCell ref="R52:S52"/>
    <mergeCell ref="R51:S51"/>
    <mergeCell ref="R34:T34"/>
    <mergeCell ref="R44:S44"/>
    <mergeCell ref="S45:T45"/>
    <mergeCell ref="F2:N2"/>
    <mergeCell ref="F1:N1"/>
    <mergeCell ref="C1:D1"/>
    <mergeCell ref="R6:S6"/>
    <mergeCell ref="R1:AA1"/>
    <mergeCell ref="W2:AA2"/>
    <mergeCell ref="T4:U4"/>
    <mergeCell ref="R7:S7"/>
    <mergeCell ref="R8:S8"/>
    <mergeCell ref="R9:S9"/>
    <mergeCell ref="R10:S10"/>
    <mergeCell ref="R11:S11"/>
    <mergeCell ref="R12:S12"/>
    <mergeCell ref="R13:S13"/>
    <mergeCell ref="R14:S14"/>
    <mergeCell ref="R21:S21"/>
    <mergeCell ref="R22:S22"/>
    <mergeCell ref="R15:S15"/>
    <mergeCell ref="R16:S16"/>
    <mergeCell ref="R17:S17"/>
    <mergeCell ref="R18:S18"/>
    <mergeCell ref="R26:S26"/>
    <mergeCell ref="Y3:AA3"/>
    <mergeCell ref="W3:X4"/>
    <mergeCell ref="Y4:Z4"/>
    <mergeCell ref="R23:S23"/>
    <mergeCell ref="R24:S24"/>
    <mergeCell ref="R25:S25"/>
    <mergeCell ref="R5:S5"/>
    <mergeCell ref="R19:S19"/>
    <mergeCell ref="R20:S20"/>
    <mergeCell ref="R47:S47"/>
    <mergeCell ref="S40:T40"/>
    <mergeCell ref="S41:T41"/>
    <mergeCell ref="S42:T42"/>
    <mergeCell ref="U31:X31"/>
    <mergeCell ref="U32:V32"/>
    <mergeCell ref="R50:S50"/>
    <mergeCell ref="S43:T43"/>
    <mergeCell ref="R37:S37"/>
    <mergeCell ref="R36:S36"/>
    <mergeCell ref="S38:T38"/>
    <mergeCell ref="S39:T39"/>
    <mergeCell ref="S46:T46"/>
    <mergeCell ref="S48:T48"/>
    <mergeCell ref="AE3:AI3"/>
    <mergeCell ref="AK3:AO3"/>
    <mergeCell ref="AE2:AO2"/>
    <mergeCell ref="AC1:AO1"/>
    <mergeCell ref="AD2:AD3"/>
    <mergeCell ref="AC2:AC4"/>
    <mergeCell ref="AQ2:AT2"/>
    <mergeCell ref="AQ14:AT14"/>
    <mergeCell ref="AQ15:AT15"/>
    <mergeCell ref="AQ16:AT16"/>
    <mergeCell ref="S68:W68"/>
    <mergeCell ref="V63:X63"/>
    <mergeCell ref="V64:X64"/>
    <mergeCell ref="V65:X65"/>
    <mergeCell ref="S64:T64"/>
    <mergeCell ref="S65:T65"/>
    <mergeCell ref="S63:T63"/>
    <mergeCell ref="S67:W6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2"/>
  <sheetViews>
    <sheetView workbookViewId="0" topLeftCell="A13">
      <selection activeCell="K32" sqref="K32"/>
    </sheetView>
  </sheetViews>
  <sheetFormatPr defaultColWidth="11.421875" defaultRowHeight="12.75"/>
  <cols>
    <col min="1" max="1" width="18.57421875" style="0" customWidth="1"/>
    <col min="8" max="8" width="12.28125" style="0" customWidth="1"/>
  </cols>
  <sheetData>
    <row r="1" spans="1:16" ht="25.5">
      <c r="A1" s="1" t="s">
        <v>1</v>
      </c>
      <c r="B1" s="141" t="s">
        <v>170</v>
      </c>
      <c r="C1" s="141"/>
      <c r="D1" s="1" t="s">
        <v>6</v>
      </c>
      <c r="E1" s="1" t="s">
        <v>7</v>
      </c>
      <c r="F1" s="1"/>
      <c r="G1" s="1" t="s">
        <v>137</v>
      </c>
      <c r="H1" s="1" t="s">
        <v>138</v>
      </c>
      <c r="I1" s="1"/>
      <c r="J1" s="1"/>
      <c r="K1" s="1"/>
      <c r="L1" s="1"/>
      <c r="M1" s="1" t="s">
        <v>189</v>
      </c>
      <c r="N1" s="1" t="s">
        <v>81</v>
      </c>
      <c r="O1" s="1" t="s">
        <v>190</v>
      </c>
      <c r="P1" s="1" t="s">
        <v>7</v>
      </c>
    </row>
    <row r="2" spans="1:16" ht="12.75">
      <c r="A2" t="s">
        <v>0</v>
      </c>
      <c r="B2" t="s">
        <v>2</v>
      </c>
      <c r="C2">
        <f>2.4+0.7+0.4</f>
        <v>3.4999999999999996</v>
      </c>
      <c r="D2">
        <f>+C2*C3</f>
        <v>23.45</v>
      </c>
      <c r="E2" s="4">
        <f>+D2*(POWER(100/(12*2.54),2))</f>
        <v>252.413699271843</v>
      </c>
      <c r="K2" t="s">
        <v>183</v>
      </c>
      <c r="M2" s="4">
        <v>1.1</v>
      </c>
      <c r="N2" s="4">
        <v>6</v>
      </c>
      <c r="O2" s="4">
        <f>+N2*M2</f>
        <v>6.6000000000000005</v>
      </c>
      <c r="P2" s="4">
        <f>+O2*(POWER(100/(12*2.54),2))</f>
        <v>71.04180875028418</v>
      </c>
    </row>
    <row r="3" spans="2:16" ht="12.75">
      <c r="B3" t="s">
        <v>3</v>
      </c>
      <c r="C3">
        <v>6.7</v>
      </c>
      <c r="E3" s="4"/>
      <c r="K3" t="s">
        <v>183</v>
      </c>
      <c r="M3" s="4">
        <v>3.5</v>
      </c>
      <c r="N3" s="4">
        <v>0.7</v>
      </c>
      <c r="O3" s="4">
        <f>+N3*M3</f>
        <v>2.4499999999999997</v>
      </c>
      <c r="P3" s="4">
        <f aca="true" t="shared" si="0" ref="P3:P9">+O3*(POWER(100/(12*2.54),2))</f>
        <v>26.37158052093882</v>
      </c>
    </row>
    <row r="4" spans="2:16" ht="12.75">
      <c r="B4" s="141" t="s">
        <v>4</v>
      </c>
      <c r="C4" s="141"/>
      <c r="E4" s="4"/>
      <c r="K4" t="s">
        <v>184</v>
      </c>
      <c r="M4" s="4">
        <v>2.4</v>
      </c>
      <c r="N4" s="4">
        <v>6</v>
      </c>
      <c r="O4" s="4">
        <f>+N4*M4</f>
        <v>14.399999999999999</v>
      </c>
      <c r="P4" s="4">
        <f t="shared" si="0"/>
        <v>155.00031000062</v>
      </c>
    </row>
    <row r="5" spans="2:16" ht="12.75">
      <c r="B5" t="s">
        <v>2</v>
      </c>
      <c r="C5">
        <f>0.4+0.7</f>
        <v>1.1</v>
      </c>
      <c r="D5">
        <f>+C5*C6</f>
        <v>6.6000000000000005</v>
      </c>
      <c r="E5" s="4">
        <f>+D5*(POWER(100/(12*2.54),2))</f>
        <v>71.04180875028418</v>
      </c>
      <c r="K5" t="s">
        <v>185</v>
      </c>
      <c r="M5" s="4">
        <v>3.5</v>
      </c>
      <c r="N5" s="4">
        <v>9.1</v>
      </c>
      <c r="O5" s="4">
        <f>+N5*M5</f>
        <v>31.849999999999998</v>
      </c>
      <c r="P5" s="4">
        <f t="shared" si="0"/>
        <v>342.8305467722047</v>
      </c>
    </row>
    <row r="6" spans="2:16" ht="12.75">
      <c r="B6" t="s">
        <v>3</v>
      </c>
      <c r="C6">
        <v>6</v>
      </c>
      <c r="E6" s="4"/>
      <c r="K6" t="s">
        <v>186</v>
      </c>
      <c r="M6" s="4">
        <v>3.5</v>
      </c>
      <c r="N6" s="4">
        <v>3.9</v>
      </c>
      <c r="O6" s="4">
        <f>+N6*M6</f>
        <v>13.65</v>
      </c>
      <c r="P6" s="4">
        <f t="shared" si="0"/>
        <v>146.92737718808775</v>
      </c>
    </row>
    <row r="7" spans="2:16" ht="12.75">
      <c r="B7" t="s">
        <v>2</v>
      </c>
      <c r="C7">
        <v>0.7</v>
      </c>
      <c r="D7">
        <f>+C7*C8</f>
        <v>2.4499999999999997</v>
      </c>
      <c r="E7" s="4">
        <f>+D7*(POWER(100/(12*2.54),2))</f>
        <v>26.37158052093882</v>
      </c>
      <c r="G7" s="15">
        <f>+SANOS!H39</f>
        <v>155.44689777322816</v>
      </c>
      <c r="K7" t="s">
        <v>193</v>
      </c>
      <c r="M7" s="4">
        <v>2</v>
      </c>
      <c r="N7" s="4">
        <v>0.65</v>
      </c>
      <c r="O7" s="4">
        <f>+N7*M7*2</f>
        <v>2.6</v>
      </c>
      <c r="P7" s="4">
        <f t="shared" si="0"/>
        <v>27.98616708344528</v>
      </c>
    </row>
    <row r="8" spans="2:16" ht="12.75">
      <c r="B8" t="s">
        <v>3</v>
      </c>
      <c r="C8">
        <v>3.5</v>
      </c>
      <c r="E8" s="4"/>
      <c r="K8" t="s">
        <v>191</v>
      </c>
      <c r="M8" s="4"/>
      <c r="N8" s="4"/>
      <c r="O8" s="4">
        <v>19.4</v>
      </c>
      <c r="P8" s="4">
        <f t="shared" si="0"/>
        <v>208.81986208416862</v>
      </c>
    </row>
    <row r="9" spans="2:16" ht="12.75">
      <c r="B9" s="141" t="s">
        <v>5</v>
      </c>
      <c r="C9" s="141"/>
      <c r="E9" s="4"/>
      <c r="K9" t="s">
        <v>192</v>
      </c>
      <c r="M9" s="4"/>
      <c r="N9" s="4"/>
      <c r="O9" s="4">
        <v>19.4</v>
      </c>
      <c r="P9" s="4">
        <f t="shared" si="0"/>
        <v>208.81986208416862</v>
      </c>
    </row>
    <row r="10" spans="2:16" ht="12.75">
      <c r="B10" t="s">
        <v>2</v>
      </c>
      <c r="C10">
        <f>+C2-C5</f>
        <v>2.3999999999999995</v>
      </c>
      <c r="D10">
        <f>+C10*C11</f>
        <v>14.399999999999997</v>
      </c>
      <c r="E10" s="4">
        <f>+D10*(POWER(100/(12*2.54),2))</f>
        <v>155.00031000061998</v>
      </c>
      <c r="G10" s="4"/>
      <c r="M10" s="4"/>
      <c r="N10" s="4"/>
      <c r="O10" s="4"/>
      <c r="P10" s="4"/>
    </row>
    <row r="11" spans="2:14" ht="12.75">
      <c r="B11" t="s">
        <v>3</v>
      </c>
      <c r="C11">
        <v>6</v>
      </c>
      <c r="E11" s="4"/>
      <c r="G11" s="15">
        <f>+SANOS!E116</f>
        <v>11083.56</v>
      </c>
      <c r="K11" t="s">
        <v>194</v>
      </c>
      <c r="N11">
        <v>3</v>
      </c>
    </row>
    <row r="12" spans="1:14" ht="12.75">
      <c r="A12" t="s">
        <v>69</v>
      </c>
      <c r="D12">
        <f>+D5+D7+D10</f>
        <v>23.449999999999996</v>
      </c>
      <c r="E12" s="4">
        <f>+D12*(POWER(100/(12*2.54),2))</f>
        <v>252.41369927184297</v>
      </c>
      <c r="G12" s="10"/>
      <c r="K12" t="s">
        <v>37</v>
      </c>
      <c r="N12" t="s">
        <v>196</v>
      </c>
    </row>
    <row r="13" spans="5:14" ht="12.75">
      <c r="E13" s="4"/>
      <c r="K13" t="s">
        <v>195</v>
      </c>
      <c r="N13" t="s">
        <v>197</v>
      </c>
    </row>
    <row r="14" spans="1:5" ht="12.75">
      <c r="A14" t="s">
        <v>187</v>
      </c>
      <c r="B14" t="s">
        <v>2</v>
      </c>
      <c r="C14">
        <v>3.5</v>
      </c>
      <c r="D14">
        <f>+C14*C15</f>
        <v>31.849999999999998</v>
      </c>
      <c r="E14" s="4">
        <f>+D14*(POWER(100/(12*2.54),2))</f>
        <v>342.8305467722047</v>
      </c>
    </row>
    <row r="15" spans="2:12" ht="25.5">
      <c r="B15" t="s">
        <v>3</v>
      </c>
      <c r="C15">
        <f>2.55+1.35+2.15+1.35+0.1+1.6</f>
        <v>9.1</v>
      </c>
      <c r="E15" s="4"/>
      <c r="G15" s="15">
        <f>+SANOS!J31</f>
        <v>871.6030850140796</v>
      </c>
      <c r="K15" s="1" t="s">
        <v>311</v>
      </c>
      <c r="L15">
        <v>0.1</v>
      </c>
    </row>
    <row r="16" spans="1:7" ht="12.75">
      <c r="A16" t="s">
        <v>188</v>
      </c>
      <c r="B16" t="s">
        <v>2</v>
      </c>
      <c r="C16">
        <v>3.5</v>
      </c>
      <c r="D16">
        <f>+C16*C17</f>
        <v>13.65</v>
      </c>
      <c r="E16" s="4">
        <f>+D16*(POWER(100/(12*2.54),2))</f>
        <v>146.92737718808775</v>
      </c>
      <c r="G16" s="15"/>
    </row>
    <row r="17" spans="2:7" ht="12.75">
      <c r="B17" t="s">
        <v>3</v>
      </c>
      <c r="C17">
        <v>3.9</v>
      </c>
      <c r="E17" s="4"/>
      <c r="G17" s="15">
        <f>+SANOS!J46</f>
        <v>498.05890572233125</v>
      </c>
    </row>
    <row r="18" ht="12.75">
      <c r="E18" s="4"/>
    </row>
    <row r="19" spans="1:5" ht="12.75">
      <c r="A19" t="s">
        <v>32</v>
      </c>
      <c r="B19" t="s">
        <v>2</v>
      </c>
      <c r="C19">
        <v>2</v>
      </c>
      <c r="E19" s="4"/>
    </row>
    <row r="20" spans="2:5" ht="12.75">
      <c r="B20" t="s">
        <v>81</v>
      </c>
      <c r="C20">
        <v>0.65</v>
      </c>
      <c r="E20" s="4"/>
    </row>
    <row r="21" spans="2:7" ht="12.75">
      <c r="B21" t="s">
        <v>82</v>
      </c>
      <c r="D21">
        <f>+C20*C19*2</f>
        <v>2.6</v>
      </c>
      <c r="E21" s="4">
        <f>+D21*(POWER(100/(12*2.54),2))</f>
        <v>27.98616708344528</v>
      </c>
      <c r="G21" s="15">
        <f>+SANOS!J35</f>
        <v>80.6001612003224</v>
      </c>
    </row>
    <row r="22" ht="12.75" customHeight="1"/>
    <row r="23" spans="1:7" ht="24" customHeight="1">
      <c r="A23" s="1" t="s">
        <v>101</v>
      </c>
      <c r="D23">
        <v>19.4</v>
      </c>
      <c r="E23" s="4">
        <f>+D23*(POWER(100/(12*2.54),2))</f>
        <v>208.81986208416862</v>
      </c>
      <c r="G23" s="15">
        <f>+SANOS!J42+SANOS!J39</f>
        <v>1069.4833017425672</v>
      </c>
    </row>
    <row r="24" spans="1:8" ht="12.75">
      <c r="A24" t="s">
        <v>129</v>
      </c>
      <c r="G24">
        <f>+SANOS!B9</f>
        <v>735</v>
      </c>
      <c r="H24">
        <f>+SANOS!D9</f>
        <v>615</v>
      </c>
    </row>
    <row r="25" spans="1:7" ht="12.75">
      <c r="A25" t="s">
        <v>136</v>
      </c>
      <c r="G25" s="4">
        <f>0.6*3413*1.25</f>
        <v>2559.75</v>
      </c>
    </row>
    <row r="26" spans="1:8" ht="12.75">
      <c r="A26" t="s">
        <v>130</v>
      </c>
      <c r="G26" s="4">
        <f>+SANOS!B11</f>
        <v>2700</v>
      </c>
      <c r="H26">
        <f>+SANOS!D11</f>
        <v>2400</v>
      </c>
    </row>
    <row r="27" spans="1:6" ht="12.75">
      <c r="A27" t="s">
        <v>131</v>
      </c>
      <c r="F27">
        <v>144</v>
      </c>
    </row>
    <row r="28" spans="7:8" ht="12.75">
      <c r="G28" s="4">
        <f>+G7+G11+G15+G17+G21+G23+G24+G25+G26</f>
        <v>19753.502351452527</v>
      </c>
      <c r="H28">
        <f>+H24+H26</f>
        <v>3015</v>
      </c>
    </row>
    <row r="29" spans="1:8" ht="12.75">
      <c r="A29" t="s">
        <v>309</v>
      </c>
      <c r="H29" s="4">
        <f>+H28+G28</f>
        <v>22768.502351452527</v>
      </c>
    </row>
    <row r="30" spans="1:8" ht="12.75">
      <c r="A30" s="93" t="s">
        <v>310</v>
      </c>
      <c r="H30" s="4">
        <f>+$F$27*1.08*(SANOS!G4-SANOS!G3)*$L$15</f>
        <v>279.93600000000004</v>
      </c>
    </row>
    <row r="31" spans="1:11" ht="12.75">
      <c r="A31" s="93" t="s">
        <v>343</v>
      </c>
      <c r="H31" s="4">
        <f>0.685*($F$27)*(SANOS!G8-SANOS!G9)*$L$15</f>
        <v>720.0720000000001</v>
      </c>
      <c r="K31" t="s">
        <v>316</v>
      </c>
    </row>
    <row r="32" spans="1:11" ht="12.75">
      <c r="A32" t="s">
        <v>314</v>
      </c>
      <c r="H32" s="4">
        <f>+(G28+H30)/(H29+H30+H31)</f>
        <v>0.8428562857002209</v>
      </c>
      <c r="J32" t="s">
        <v>315</v>
      </c>
      <c r="K32">
        <v>52</v>
      </c>
    </row>
    <row r="33" spans="1:8" ht="12.75">
      <c r="A33" t="s">
        <v>317</v>
      </c>
      <c r="H33" s="4">
        <f>+$L$15*(SANOS!G3-calculos!K32)+calculos!K32</f>
        <v>54.2</v>
      </c>
    </row>
    <row r="34" spans="1:8" ht="12.75">
      <c r="A34" s="93" t="s">
        <v>344</v>
      </c>
      <c r="H34" s="4">
        <f>+F27*1.08*(SANOS!G4-SANOS!G3)*(1-calculos!L15)</f>
        <v>2519.424</v>
      </c>
    </row>
    <row r="35" spans="1:8" ht="12.75">
      <c r="A35" s="93" t="s">
        <v>345</v>
      </c>
      <c r="H35" s="4">
        <f>0.685*F27*(SANOS!G8-SANOS!G9)*(1-calculos!L15)</f>
        <v>6480.648000000001</v>
      </c>
    </row>
    <row r="37" spans="1:8" ht="12.75">
      <c r="A37" t="s">
        <v>318</v>
      </c>
      <c r="H37" s="4">
        <f>+H28+H31+H35</f>
        <v>10215.720000000001</v>
      </c>
    </row>
    <row r="38" spans="1:8" ht="12.75">
      <c r="A38" t="s">
        <v>319</v>
      </c>
      <c r="H38" s="4">
        <f>+G28+H30+H34</f>
        <v>22552.862351452528</v>
      </c>
    </row>
    <row r="39" spans="1:8" ht="12.75">
      <c r="A39" t="s">
        <v>320</v>
      </c>
      <c r="H39" s="5">
        <f>+H37+H38</f>
        <v>32768.582351452525</v>
      </c>
    </row>
    <row r="101" spans="1:2" ht="12.75">
      <c r="A101" s="2"/>
      <c r="B101" s="3"/>
    </row>
    <row r="102" spans="1:2" ht="12.75">
      <c r="A102" s="2"/>
      <c r="B102" s="3"/>
    </row>
  </sheetData>
  <mergeCells count="3">
    <mergeCell ref="B1:C1"/>
    <mergeCell ref="B4:C4"/>
    <mergeCell ref="B9:C9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0"/>
  <sheetViews>
    <sheetView workbookViewId="0" topLeftCell="A88">
      <selection activeCell="G4" sqref="G4"/>
    </sheetView>
  </sheetViews>
  <sheetFormatPr defaultColWidth="11.421875" defaultRowHeight="12.75"/>
  <cols>
    <col min="1" max="1" width="24.7109375" style="0" customWidth="1"/>
    <col min="2" max="2" width="20.57421875" style="0" customWidth="1"/>
    <col min="7" max="7" width="13.140625" style="0" customWidth="1"/>
    <col min="8" max="8" width="13.57421875" style="0" customWidth="1"/>
    <col min="9" max="9" width="19.7109375" style="0" customWidth="1"/>
    <col min="11" max="11" width="16.00390625" style="0" customWidth="1"/>
  </cols>
  <sheetData>
    <row r="1" spans="1:11" ht="12.75">
      <c r="A1" s="6" t="s">
        <v>40</v>
      </c>
      <c r="G1" t="s">
        <v>47</v>
      </c>
      <c r="H1" t="s">
        <v>48</v>
      </c>
      <c r="I1" s="6" t="s">
        <v>60</v>
      </c>
      <c r="K1" s="6" t="s">
        <v>78</v>
      </c>
    </row>
    <row r="2" spans="2:4" ht="12.75">
      <c r="B2" s="6" t="s">
        <v>38</v>
      </c>
      <c r="D2" s="6" t="s">
        <v>39</v>
      </c>
    </row>
    <row r="3" spans="1:12" ht="12.75">
      <c r="A3" t="s">
        <v>29</v>
      </c>
      <c r="B3" t="s">
        <v>35</v>
      </c>
      <c r="D3">
        <v>0</v>
      </c>
      <c r="F3" t="s">
        <v>97</v>
      </c>
      <c r="G3">
        <v>74</v>
      </c>
      <c r="H3">
        <f>+(G3-32)*5/9</f>
        <v>23.333333333333332</v>
      </c>
      <c r="I3" t="s">
        <v>61</v>
      </c>
      <c r="J3">
        <v>0.17</v>
      </c>
      <c r="K3" t="s">
        <v>75</v>
      </c>
      <c r="L3">
        <v>0.68</v>
      </c>
    </row>
    <row r="4" spans="1:12" ht="12.75">
      <c r="A4" t="s">
        <v>30</v>
      </c>
      <c r="B4" t="s">
        <v>42</v>
      </c>
      <c r="D4">
        <v>0</v>
      </c>
      <c r="F4" t="s">
        <v>98</v>
      </c>
      <c r="G4">
        <v>92</v>
      </c>
      <c r="H4">
        <f>+(G4-32)*5/9</f>
        <v>33.333333333333336</v>
      </c>
      <c r="I4" t="s">
        <v>65</v>
      </c>
      <c r="J4">
        <v>0.44</v>
      </c>
      <c r="K4" t="s">
        <v>62</v>
      </c>
      <c r="L4">
        <v>0.1</v>
      </c>
    </row>
    <row r="5" spans="1:10" ht="12.75">
      <c r="A5" t="s">
        <v>31</v>
      </c>
      <c r="B5" t="s">
        <v>36</v>
      </c>
      <c r="D5">
        <v>0</v>
      </c>
      <c r="F5" s="1" t="s">
        <v>99</v>
      </c>
      <c r="G5">
        <v>80</v>
      </c>
      <c r="H5">
        <f>+(G5-32)*5/9</f>
        <v>26.666666666666668</v>
      </c>
      <c r="I5" t="s">
        <v>354</v>
      </c>
      <c r="J5">
        <f>0.1*2</f>
        <v>0.2</v>
      </c>
    </row>
    <row r="6" spans="1:12" ht="12.75">
      <c r="A6" t="s">
        <v>32</v>
      </c>
      <c r="B6" t="s">
        <v>36</v>
      </c>
      <c r="D6">
        <v>0</v>
      </c>
      <c r="F6" t="s">
        <v>178</v>
      </c>
      <c r="G6">
        <v>82</v>
      </c>
      <c r="H6">
        <f>+(G6-32)*5/9</f>
        <v>27.77777777777778</v>
      </c>
      <c r="I6" t="s">
        <v>63</v>
      </c>
      <c r="J6">
        <v>1.72</v>
      </c>
      <c r="K6" t="s">
        <v>76</v>
      </c>
      <c r="L6">
        <v>0.8</v>
      </c>
    </row>
    <row r="7" spans="1:12" ht="12.75">
      <c r="A7" t="s">
        <v>33</v>
      </c>
      <c r="B7" t="s">
        <v>43</v>
      </c>
      <c r="D7">
        <v>0</v>
      </c>
      <c r="F7" t="s">
        <v>342</v>
      </c>
      <c r="G7">
        <f>+calculos!H33</f>
        <v>54.2</v>
      </c>
      <c r="H7">
        <f>+(G7-32)*5/9</f>
        <v>12.333333333333336</v>
      </c>
      <c r="I7" t="s">
        <v>62</v>
      </c>
      <c r="J7">
        <v>0.1</v>
      </c>
      <c r="K7" t="s">
        <v>77</v>
      </c>
      <c r="L7">
        <v>0.1</v>
      </c>
    </row>
    <row r="8" spans="1:10" ht="38.25">
      <c r="A8" t="s">
        <v>34</v>
      </c>
      <c r="B8" t="s">
        <v>44</v>
      </c>
      <c r="D8">
        <v>0</v>
      </c>
      <c r="F8" s="1" t="s">
        <v>312</v>
      </c>
      <c r="G8">
        <v>136</v>
      </c>
      <c r="I8" t="s">
        <v>64</v>
      </c>
      <c r="J8">
        <v>0.45</v>
      </c>
    </row>
    <row r="9" spans="1:12" ht="38.25">
      <c r="A9" t="s">
        <v>140</v>
      </c>
      <c r="B9">
        <f>245*3</f>
        <v>735</v>
      </c>
      <c r="D9">
        <f>205*3</f>
        <v>615</v>
      </c>
      <c r="F9" s="1" t="s">
        <v>313</v>
      </c>
      <c r="G9">
        <v>63</v>
      </c>
      <c r="I9" t="s">
        <v>66</v>
      </c>
      <c r="J9">
        <v>0.68</v>
      </c>
      <c r="K9" t="s">
        <v>75</v>
      </c>
      <c r="L9">
        <v>0.68</v>
      </c>
    </row>
    <row r="10" spans="1:12" ht="12.75">
      <c r="A10" t="s">
        <v>37</v>
      </c>
      <c r="B10" t="s">
        <v>159</v>
      </c>
      <c r="D10">
        <v>0</v>
      </c>
      <c r="I10" t="s">
        <v>67</v>
      </c>
      <c r="J10">
        <f>SUM(J3:J9)</f>
        <v>3.7600000000000007</v>
      </c>
      <c r="K10" t="s">
        <v>67</v>
      </c>
      <c r="L10">
        <f>+L3+L4+L5+L6+L7+L8*2+L9</f>
        <v>2.3600000000000003</v>
      </c>
    </row>
    <row r="11" spans="1:12" ht="27" customHeight="1">
      <c r="A11" s="1" t="s">
        <v>139</v>
      </c>
      <c r="B11">
        <v>2700</v>
      </c>
      <c r="D11">
        <v>2400</v>
      </c>
      <c r="I11" s="6" t="s">
        <v>68</v>
      </c>
      <c r="J11" s="4">
        <f>1/J10</f>
        <v>0.2659574468085106</v>
      </c>
      <c r="K11" s="6" t="s">
        <v>74</v>
      </c>
      <c r="L11" s="4">
        <f>1/L10</f>
        <v>0.42372881355932196</v>
      </c>
    </row>
    <row r="12" spans="1:4" ht="21" customHeight="1">
      <c r="A12" s="1" t="s">
        <v>155</v>
      </c>
      <c r="B12" t="s">
        <v>154</v>
      </c>
      <c r="D12" t="s">
        <v>153</v>
      </c>
    </row>
    <row r="13" spans="8:10" ht="12.75">
      <c r="H13" t="s">
        <v>92</v>
      </c>
      <c r="I13" t="s">
        <v>87</v>
      </c>
      <c r="J13">
        <v>0.45</v>
      </c>
    </row>
    <row r="14" spans="1:10" ht="12.75">
      <c r="A14" s="6" t="s">
        <v>46</v>
      </c>
      <c r="H14" t="s">
        <v>93</v>
      </c>
      <c r="I14" t="s">
        <v>89</v>
      </c>
      <c r="J14">
        <v>0.85</v>
      </c>
    </row>
    <row r="15" spans="1:10" ht="12.75">
      <c r="A15" t="s">
        <v>57</v>
      </c>
      <c r="B15" s="4">
        <f>+calculos!E10</f>
        <v>155.00031000061998</v>
      </c>
      <c r="I15" t="s">
        <v>66</v>
      </c>
      <c r="J15">
        <v>0.61</v>
      </c>
    </row>
    <row r="16" spans="1:10" ht="12.75">
      <c r="A16" t="s">
        <v>58</v>
      </c>
      <c r="B16" s="4">
        <f>+calculos!E5+calculos!E7</f>
        <v>97.413389271223</v>
      </c>
      <c r="I16" t="s">
        <v>90</v>
      </c>
      <c r="J16">
        <f>+J13+J14+J15</f>
        <v>1.9100000000000001</v>
      </c>
    </row>
    <row r="17" spans="1:10" ht="12.75">
      <c r="A17" t="s">
        <v>27</v>
      </c>
      <c r="B17">
        <v>0.64</v>
      </c>
      <c r="I17" s="6" t="s">
        <v>88</v>
      </c>
      <c r="J17" s="4">
        <f>1/J16</f>
        <v>0.5235602094240838</v>
      </c>
    </row>
    <row r="18" spans="1:13" ht="12.75">
      <c r="A18" t="s">
        <v>56</v>
      </c>
      <c r="M18" t="s">
        <v>141</v>
      </c>
    </row>
    <row r="19" spans="1:14" ht="12.75">
      <c r="A19" t="s">
        <v>55</v>
      </c>
      <c r="B19">
        <v>1.06</v>
      </c>
      <c r="C19" t="s">
        <v>49</v>
      </c>
      <c r="I19" t="s">
        <v>66</v>
      </c>
      <c r="J19">
        <v>0.61</v>
      </c>
      <c r="M19" t="s">
        <v>142</v>
      </c>
      <c r="N19">
        <v>75</v>
      </c>
    </row>
    <row r="20" spans="1:14" ht="12.75">
      <c r="A20" t="s">
        <v>53</v>
      </c>
      <c r="B20">
        <f>+G4</f>
        <v>92</v>
      </c>
      <c r="I20" t="s">
        <v>62</v>
      </c>
      <c r="J20">
        <v>0.1</v>
      </c>
      <c r="M20" t="s">
        <v>143</v>
      </c>
      <c r="N20">
        <v>76</v>
      </c>
    </row>
    <row r="21" spans="1:14" ht="12.75">
      <c r="A21" t="s">
        <v>54</v>
      </c>
      <c r="B21">
        <f>+G3</f>
        <v>74</v>
      </c>
      <c r="I21" t="s">
        <v>296</v>
      </c>
      <c r="J21">
        <v>2.22</v>
      </c>
      <c r="M21" t="s">
        <v>144</v>
      </c>
      <c r="N21">
        <v>72</v>
      </c>
    </row>
    <row r="22" spans="1:14" ht="12.75">
      <c r="A22" t="s">
        <v>99</v>
      </c>
      <c r="B22">
        <f>+G5</f>
        <v>80</v>
      </c>
      <c r="D22" t="s">
        <v>100</v>
      </c>
      <c r="I22" t="s">
        <v>62</v>
      </c>
      <c r="J22">
        <v>0.1</v>
      </c>
      <c r="M22" t="s">
        <v>145</v>
      </c>
      <c r="N22">
        <v>80.5</v>
      </c>
    </row>
    <row r="23" spans="1:14" ht="12.75">
      <c r="A23" t="s">
        <v>28</v>
      </c>
      <c r="B23" s="4">
        <f>+J11</f>
        <v>0.2659574468085106</v>
      </c>
      <c r="I23" t="s">
        <v>90</v>
      </c>
      <c r="J23" s="4">
        <f>+J19+J20+J21+J22</f>
        <v>3.0300000000000002</v>
      </c>
      <c r="M23" t="s">
        <v>146</v>
      </c>
      <c r="N23">
        <v>74</v>
      </c>
    </row>
    <row r="24" spans="1:14" ht="12.75">
      <c r="A24" t="s">
        <v>41</v>
      </c>
      <c r="B24" s="4">
        <f>+L11</f>
        <v>0.42372881355932196</v>
      </c>
      <c r="I24" s="6" t="s">
        <v>295</v>
      </c>
      <c r="J24" s="4">
        <f>1/J23</f>
        <v>0.33003300330033003</v>
      </c>
      <c r="M24" t="s">
        <v>147</v>
      </c>
      <c r="N24">
        <v>87</v>
      </c>
    </row>
    <row r="25" spans="1:14" ht="12.75">
      <c r="A25" t="s">
        <v>83</v>
      </c>
      <c r="B25" s="4">
        <v>0.48</v>
      </c>
      <c r="M25" t="s">
        <v>148</v>
      </c>
      <c r="N25">
        <v>90</v>
      </c>
    </row>
    <row r="26" spans="1:14" ht="12.75">
      <c r="A26" t="s">
        <v>85</v>
      </c>
      <c r="B26" s="4">
        <f>+calculos!E23</f>
        <v>208.81986208416862</v>
      </c>
      <c r="M26" t="s">
        <v>149</v>
      </c>
      <c r="N26">
        <v>91.5</v>
      </c>
    </row>
    <row r="27" spans="1:14" ht="12.75">
      <c r="A27" t="s">
        <v>91</v>
      </c>
      <c r="B27" s="4">
        <f>+J17</f>
        <v>0.5235602094240838</v>
      </c>
      <c r="M27" t="s">
        <v>150</v>
      </c>
      <c r="N27">
        <v>92</v>
      </c>
    </row>
    <row r="28" spans="1:14" ht="12.75">
      <c r="A28" t="s">
        <v>178</v>
      </c>
      <c r="B28">
        <v>82</v>
      </c>
      <c r="M28" t="s">
        <v>151</v>
      </c>
      <c r="N28">
        <v>91.5</v>
      </c>
    </row>
    <row r="29" spans="1:14" ht="15.75">
      <c r="A29" s="153" t="s">
        <v>70</v>
      </c>
      <c r="B29" s="153"/>
      <c r="C29" s="153"/>
      <c r="D29" s="7"/>
      <c r="E29" s="7"/>
      <c r="F29" s="153" t="s">
        <v>96</v>
      </c>
      <c r="G29" s="153"/>
      <c r="H29" s="153"/>
      <c r="I29" s="6" t="s">
        <v>79</v>
      </c>
      <c r="M29" t="s">
        <v>152</v>
      </c>
      <c r="N29">
        <v>90</v>
      </c>
    </row>
    <row r="30" spans="2:10" ht="12.75">
      <c r="B30" t="s">
        <v>94</v>
      </c>
      <c r="C30" t="s">
        <v>26</v>
      </c>
      <c r="D30" t="s">
        <v>95</v>
      </c>
      <c r="E30" t="s">
        <v>26</v>
      </c>
      <c r="F30" t="s">
        <v>45</v>
      </c>
      <c r="G30" s="8" t="s">
        <v>71</v>
      </c>
      <c r="H30" t="s">
        <v>26</v>
      </c>
      <c r="I30" t="s">
        <v>80</v>
      </c>
      <c r="J30" t="s">
        <v>26</v>
      </c>
    </row>
    <row r="31" spans="1:10" ht="12.75">
      <c r="A31" s="2">
        <f>+'Posición Solar'!A4</f>
        <v>44197</v>
      </c>
      <c r="B31" s="3">
        <f>+'Posición Solar'!B4</f>
        <v>7</v>
      </c>
      <c r="C31" s="4">
        <f>+$B$15*(($B$17*('Posición Solar'!F4))+(SANOS!$B$19*(N19-SANOS!$B$21)))</f>
        <v>610.7012214024427</v>
      </c>
      <c r="D31" s="3">
        <v>1</v>
      </c>
      <c r="E31" s="4">
        <f>+$B$15*(($B$17*('Posición Solar'!F8)+SANOS!$B$19*(N25-SANOS!$B$21)))</f>
        <v>4216.0084320168635</v>
      </c>
      <c r="F31">
        <v>7</v>
      </c>
      <c r="G31">
        <v>0</v>
      </c>
      <c r="H31" s="4">
        <f aca="true" t="shared" si="0" ref="H31:H46">+$J$11*$B$16*G31</f>
        <v>0</v>
      </c>
      <c r="I31">
        <f>+B22-B21</f>
        <v>6</v>
      </c>
      <c r="J31" s="5">
        <f>+$B$24*calculos!E14*SANOS!I31</f>
        <v>871.6030850140796</v>
      </c>
    </row>
    <row r="32" spans="2:8" ht="12.75">
      <c r="B32" s="3">
        <f>+'Posición Solar'!B5</f>
        <v>8</v>
      </c>
      <c r="C32" s="4">
        <f>+$B$15*(($B$17*('Posición Solar'!F5))+(SANOS!$B$19*(N20-SANOS!$B$21)))</f>
        <v>1419.802839605679</v>
      </c>
      <c r="D32" s="3">
        <v>2</v>
      </c>
      <c r="E32" s="4">
        <f>+$B$15*(($B$17*('Posición Solar'!F7)+SANOS!$B$19*(N26-SANOS!$B$21)))</f>
        <v>4363.2587265174525</v>
      </c>
      <c r="F32">
        <v>8</v>
      </c>
      <c r="G32">
        <v>1</v>
      </c>
      <c r="H32" s="4">
        <f t="shared" si="0"/>
        <v>25.907816295538026</v>
      </c>
    </row>
    <row r="33" spans="2:9" ht="12.75">
      <c r="B33" s="3">
        <f>+'Posición Solar'!B6</f>
        <v>9</v>
      </c>
      <c r="C33" s="4">
        <f>+$B$15*(($B$17*('Posición Solar'!F6))+(SANOS!$B$19*(N21-SANOS!$B$21)))</f>
        <v>1060.2021204042408</v>
      </c>
      <c r="D33" s="3">
        <v>3</v>
      </c>
      <c r="E33" s="77">
        <f>+$B$15*(($B$17*('Posición Solar'!F6)+SANOS!$B$19*($B$20-SANOS!$B$21)))</f>
        <v>4346.208692417385</v>
      </c>
      <c r="F33">
        <v>9</v>
      </c>
      <c r="G33">
        <v>2</v>
      </c>
      <c r="H33" s="4">
        <f t="shared" si="0"/>
        <v>51.81563259107605</v>
      </c>
      <c r="I33" s="6" t="s">
        <v>84</v>
      </c>
    </row>
    <row r="34" spans="2:10" ht="12.75">
      <c r="B34" s="3">
        <f>+'Posición Solar'!B7</f>
        <v>10</v>
      </c>
      <c r="C34" s="4">
        <f>+$B$15*(($B$17*('Posición Solar'!F7))+(SANOS!$B$19*(N22-SANOS!$B$21)))</f>
        <v>2555.955111910224</v>
      </c>
      <c r="D34" s="3">
        <v>4</v>
      </c>
      <c r="E34" s="4">
        <f>+$B$15*(($B$17*('Posición Solar'!F5)+SANOS!$B$19*(N28-SANOS!$B$21)))</f>
        <v>3966.457932915865</v>
      </c>
      <c r="F34">
        <v>10</v>
      </c>
      <c r="G34">
        <v>3</v>
      </c>
      <c r="H34" s="4">
        <f t="shared" si="0"/>
        <v>77.72344888661408</v>
      </c>
      <c r="I34" t="s">
        <v>80</v>
      </c>
      <c r="J34" t="s">
        <v>26</v>
      </c>
    </row>
    <row r="35" spans="2:10" ht="12.75">
      <c r="B35" s="3">
        <f>+'Posición Solar'!B8</f>
        <v>11</v>
      </c>
      <c r="C35" s="4">
        <f>+$B$15*(($B$17*('Posición Solar'!F8))+(SANOS!$B$19*(N23-SANOS!$B$21)))</f>
        <v>1587.2031744063486</v>
      </c>
      <c r="D35" s="3">
        <v>5</v>
      </c>
      <c r="E35" s="4">
        <f>+$B$15*(($B$17*('Posición Solar'!F4)+SANOS!$B$19*(N29-SANOS!$B$21)))</f>
        <v>3075.2061504123003</v>
      </c>
      <c r="F35">
        <v>11</v>
      </c>
      <c r="G35">
        <v>4</v>
      </c>
      <c r="H35" s="4">
        <f t="shared" si="0"/>
        <v>103.6312651821521</v>
      </c>
      <c r="I35">
        <f>+B22-B21</f>
        <v>6</v>
      </c>
      <c r="J35" s="5">
        <f>+I35*B25*calculos!E21</f>
        <v>80.6001612003224</v>
      </c>
    </row>
    <row r="36" spans="2:8" ht="12" customHeight="1">
      <c r="B36" s="3">
        <f>+'Posición Solar'!B9</f>
        <v>12</v>
      </c>
      <c r="C36" s="4">
        <f>+$B$15*(($B$17*('Posición Solar'!F9))+(SANOS!$B$19*(N24-SANOS!$B$21)))</f>
        <v>3723.107446214892</v>
      </c>
      <c r="D36" s="4"/>
      <c r="E36" s="4"/>
      <c r="F36">
        <v>12</v>
      </c>
      <c r="G36">
        <v>4</v>
      </c>
      <c r="H36" s="4">
        <f t="shared" si="0"/>
        <v>103.6312651821521</v>
      </c>
    </row>
    <row r="37" spans="2:9" ht="12.75">
      <c r="B37" s="3"/>
      <c r="C37" s="4"/>
      <c r="D37" s="4"/>
      <c r="E37" s="4"/>
      <c r="F37">
        <v>13</v>
      </c>
      <c r="G37">
        <v>5</v>
      </c>
      <c r="H37" s="4">
        <f t="shared" si="0"/>
        <v>129.53908147769013</v>
      </c>
      <c r="I37" s="6" t="s">
        <v>86</v>
      </c>
    </row>
    <row r="38" spans="1:10" ht="12.75">
      <c r="A38" s="2">
        <f>+'Posición Solar'!A11</f>
        <v>44228</v>
      </c>
      <c r="B38" s="3">
        <f>+'Posición Solar'!B11</f>
        <v>7</v>
      </c>
      <c r="C38" s="4">
        <f>+$B$15*($B$17*('Posición Solar'!F11)+SANOS!$B$19*(N19-SANOS!$B$21))</f>
        <v>571.0211420422839</v>
      </c>
      <c r="D38" s="3">
        <v>1</v>
      </c>
      <c r="E38" s="4">
        <f>+$B$15*(($B$17*('Posición Solar'!F15)+SANOS!$B$19*(N25-SANOS!$B$21)))</f>
        <v>4216.0084320168635</v>
      </c>
      <c r="F38">
        <v>14</v>
      </c>
      <c r="G38">
        <v>5</v>
      </c>
      <c r="H38" s="4">
        <f t="shared" si="0"/>
        <v>129.53908147769013</v>
      </c>
      <c r="I38" t="s">
        <v>80</v>
      </c>
      <c r="J38" t="s">
        <v>26</v>
      </c>
    </row>
    <row r="39" spans="2:11" ht="12.75">
      <c r="B39" s="3">
        <f>+'Posición Solar'!B12</f>
        <v>8</v>
      </c>
      <c r="C39" s="4">
        <f>+$B$15*($B$17*('Posición Solar'!F12)+SANOS!$B$19*(N20-SANOS!$B$21))</f>
        <v>1419.802839605679</v>
      </c>
      <c r="D39" s="3">
        <v>2</v>
      </c>
      <c r="E39" s="4">
        <f>+$B$15*(($B$17*('Posición Solar'!F14)+SANOS!$B$19*(N26-SANOS!$B$21)))</f>
        <v>4363.2587265174525</v>
      </c>
      <c r="F39">
        <v>15</v>
      </c>
      <c r="G39">
        <v>6</v>
      </c>
      <c r="H39" s="108">
        <f t="shared" si="0"/>
        <v>155.44689777322816</v>
      </c>
      <c r="I39">
        <f>+B22-B21</f>
        <v>6</v>
      </c>
      <c r="J39" s="5">
        <f>+B27*I39*B26</f>
        <v>655.9786243481738</v>
      </c>
      <c r="K39" s="4"/>
    </row>
    <row r="40" spans="1:10" ht="12.75">
      <c r="A40" s="2"/>
      <c r="B40" s="3">
        <f>+'Posición Solar'!B13</f>
        <v>9</v>
      </c>
      <c r="C40" s="4">
        <f>+$B$15*($B$17*('Posición Solar'!F13)+SANOS!$B$19*(N21-SANOS!$B$21))</f>
        <v>1060.2021204042408</v>
      </c>
      <c r="D40" s="3">
        <v>3</v>
      </c>
      <c r="E40" s="77">
        <f>+$B$15*(($B$17*('Posición Solar'!F13)+SANOS!$B$19*($B$20-SANOS!$B$21)))</f>
        <v>4346.208692417385</v>
      </c>
      <c r="F40">
        <v>16</v>
      </c>
      <c r="G40">
        <v>5</v>
      </c>
      <c r="H40" s="4">
        <f t="shared" si="0"/>
        <v>129.53908147769013</v>
      </c>
      <c r="I40" s="6" t="s">
        <v>180</v>
      </c>
      <c r="J40" s="11"/>
    </row>
    <row r="41" spans="2:10" ht="12.75">
      <c r="B41" s="3">
        <f>+'Posición Solar'!B14</f>
        <v>10</v>
      </c>
      <c r="C41" s="4">
        <f>+$B$15*($B$17*('Posición Solar'!F14)+SANOS!$B$19*(N22-SANOS!$B$21))</f>
        <v>2555.955111910224</v>
      </c>
      <c r="D41" s="3">
        <v>4</v>
      </c>
      <c r="E41" s="4">
        <f>+$B$15*(($B$17*('Posición Solar'!F12)+SANOS!$B$19*(N28-SANOS!$B$21)))</f>
        <v>3966.457932915865</v>
      </c>
      <c r="F41">
        <v>17</v>
      </c>
      <c r="G41">
        <v>5</v>
      </c>
      <c r="H41" s="4">
        <f t="shared" si="0"/>
        <v>129.53908147769013</v>
      </c>
      <c r="I41" t="s">
        <v>80</v>
      </c>
      <c r="J41" t="s">
        <v>26</v>
      </c>
    </row>
    <row r="42" spans="2:10" ht="12.75">
      <c r="B42" s="3">
        <f>+'Posición Solar'!B15</f>
        <v>11</v>
      </c>
      <c r="C42" s="4">
        <f>+$B$15*($B$17*('Posición Solar'!F15)+SANOS!$B$19*(N23-SANOS!$B$21))</f>
        <v>1587.2031744063486</v>
      </c>
      <c r="D42" s="3">
        <v>5</v>
      </c>
      <c r="E42" s="4">
        <f>+$B$15*(($B$17*('Posición Solar'!F11)+SANOS!$B$19*(N29-SANOS!$B$21)))</f>
        <v>3035.5260710521416</v>
      </c>
      <c r="F42">
        <v>18</v>
      </c>
      <c r="G42">
        <v>3</v>
      </c>
      <c r="H42" s="4">
        <f t="shared" si="0"/>
        <v>77.72344888661408</v>
      </c>
      <c r="I42">
        <f>+B22-B21</f>
        <v>6</v>
      </c>
      <c r="J42" s="5">
        <f>+B26*I42*J24</f>
        <v>413.50467739439335</v>
      </c>
    </row>
    <row r="43" spans="2:8" ht="12.75">
      <c r="B43" s="3">
        <f>+'Posición Solar'!B16</f>
        <v>12</v>
      </c>
      <c r="C43" s="4">
        <f>+$B$15*($B$17*('Posición Solar'!F16)+SANOS!$B$19*(N24-SANOS!$B$21))</f>
        <v>3723.107446214892</v>
      </c>
      <c r="D43" s="4"/>
      <c r="E43" s="4"/>
      <c r="F43">
        <v>19</v>
      </c>
      <c r="G43">
        <v>11</v>
      </c>
      <c r="H43" s="4">
        <f t="shared" si="0"/>
        <v>284.98597925091826</v>
      </c>
    </row>
    <row r="44" spans="2:9" ht="12.75">
      <c r="B44" s="3"/>
      <c r="C44" s="4"/>
      <c r="D44" s="4"/>
      <c r="E44" s="4"/>
      <c r="F44">
        <v>20</v>
      </c>
      <c r="G44">
        <v>6</v>
      </c>
      <c r="H44" s="4">
        <f t="shared" si="0"/>
        <v>155.44689777322816</v>
      </c>
      <c r="I44" s="6" t="s">
        <v>294</v>
      </c>
    </row>
    <row r="45" spans="1:9" ht="12.75">
      <c r="A45" s="2">
        <f>+'Posición Solar'!A18</f>
        <v>44256</v>
      </c>
      <c r="B45" s="3">
        <f>+'Posición Solar'!B18</f>
        <v>7</v>
      </c>
      <c r="C45" s="4">
        <f>+$B$15*($B$17*('Posición Solar'!F18)+SANOS!$B$19*(N19-SANOS!$B$21))</f>
        <v>759.501519003038</v>
      </c>
      <c r="D45" s="3">
        <v>1</v>
      </c>
      <c r="E45" s="4">
        <f>+$B$15*(($B$17*('Posición Solar'!F22)+SANOS!$B$19*(N25-SANOS!$B$21)))</f>
        <v>4216.0084320168635</v>
      </c>
      <c r="F45">
        <v>21</v>
      </c>
      <c r="G45">
        <v>5</v>
      </c>
      <c r="H45" s="4">
        <f t="shared" si="0"/>
        <v>129.53908147769013</v>
      </c>
      <c r="I45" t="s">
        <v>80</v>
      </c>
    </row>
    <row r="46" spans="1:10" ht="12.75">
      <c r="A46" s="2"/>
      <c r="B46" s="3">
        <f>+'Posición Solar'!B19</f>
        <v>8</v>
      </c>
      <c r="C46" s="4">
        <f>+$B$15*($B$17*('Posición Solar'!F19)+SANOS!$B$19*(N20-SANOS!$B$21))</f>
        <v>1519.003038006076</v>
      </c>
      <c r="D46" s="3">
        <v>2</v>
      </c>
      <c r="E46" s="4">
        <f>+$B$15*(($B$17*('Posición Solar'!F21)+SANOS!$B$19*(N26-SANOS!$B$21)))</f>
        <v>4363.2587265174525</v>
      </c>
      <c r="F46">
        <v>22</v>
      </c>
      <c r="G46">
        <v>4</v>
      </c>
      <c r="H46" s="4">
        <f t="shared" si="0"/>
        <v>103.6312651821521</v>
      </c>
      <c r="I46">
        <f>+B28-B21</f>
        <v>8</v>
      </c>
      <c r="J46" s="5">
        <f>+I46*B24*calculos!E16</f>
        <v>498.05890572233125</v>
      </c>
    </row>
    <row r="47" spans="1:9" ht="12.75">
      <c r="A47" s="2"/>
      <c r="B47" s="3">
        <f>+'Posición Solar'!B20</f>
        <v>9</v>
      </c>
      <c r="C47" s="4">
        <f>+$B$15*($B$17*('Posición Solar'!F20)+SANOS!$B$19*(N21-SANOS!$B$21))</f>
        <v>1060.2021204042408</v>
      </c>
      <c r="D47" s="3">
        <v>3</v>
      </c>
      <c r="E47" s="77">
        <f>+$B$15*(($B$17*('Posición Solar'!F20)+SANOS!$B$19*($B$20-SANOS!$B$21)))</f>
        <v>4346.208692417385</v>
      </c>
      <c r="G47" t="s">
        <v>72</v>
      </c>
      <c r="H47" s="9">
        <f>SUM(H31:H46)</f>
        <v>1787.6393243921239</v>
      </c>
      <c r="I47" s="6"/>
    </row>
    <row r="48" spans="1:8" ht="12.75">
      <c r="A48" s="2"/>
      <c r="B48" s="3">
        <f>+'Posición Solar'!B21</f>
        <v>10</v>
      </c>
      <c r="C48" s="4">
        <f>+$B$15*($B$17*('Posición Solar'!F21)+SANOS!$B$19*(N22-SANOS!$B$21))</f>
        <v>2555.955111910224</v>
      </c>
      <c r="D48" s="3">
        <v>4</v>
      </c>
      <c r="E48" s="4">
        <f>+$B$15*(($B$17*('Posición Solar'!F19)+SANOS!$B$19*(N28-SANOS!$B$21)))</f>
        <v>4065.658131316262</v>
      </c>
      <c r="G48" t="s">
        <v>73</v>
      </c>
      <c r="H48" s="5">
        <f>+H47/15</f>
        <v>119.17595495947492</v>
      </c>
    </row>
    <row r="49" spans="1:5" ht="12.75">
      <c r="A49" s="2"/>
      <c r="B49" s="3">
        <f>+'Posición Solar'!B22</f>
        <v>11</v>
      </c>
      <c r="C49" s="4">
        <f>+$B$15*($B$17*('Posición Solar'!F22)+SANOS!$B$19*(N23-SANOS!$B$21))</f>
        <v>1587.2031744063486</v>
      </c>
      <c r="D49" s="3">
        <v>5</v>
      </c>
      <c r="E49" s="4">
        <f>+$B$15*(($B$17*('Posición Solar'!F18)+SANOS!$B$19*(N29-SANOS!$B$21)))</f>
        <v>3224.006448012896</v>
      </c>
    </row>
    <row r="50" spans="1:5" ht="12.75">
      <c r="A50" s="2"/>
      <c r="B50" s="3">
        <f>+'Posición Solar'!B23</f>
        <v>12</v>
      </c>
      <c r="C50" s="4">
        <f>+$B$15*($B$17*('Posición Solar'!F23)+SANOS!$B$19*(N24-SANOS!$B$21))</f>
        <v>4516.709033418067</v>
      </c>
      <c r="D50" s="4"/>
      <c r="E50" s="4"/>
    </row>
    <row r="51" spans="1:5" ht="12.75">
      <c r="A51" s="2"/>
      <c r="B51" s="3"/>
      <c r="C51" s="4"/>
      <c r="D51" s="4"/>
      <c r="E51" s="4"/>
    </row>
    <row r="52" spans="1:5" ht="12.75">
      <c r="A52" s="2">
        <f>+'Posición Solar'!A25</f>
        <v>44287</v>
      </c>
      <c r="B52" s="3">
        <f>+'Posición Solar'!B25</f>
        <v>7</v>
      </c>
      <c r="C52" s="4">
        <f>+$B$15*($B$17*('Posición Solar'!F25)+SANOS!$B$19*(N19-SANOS!$B$21))</f>
        <v>10481.120962241923</v>
      </c>
      <c r="D52" s="3">
        <v>1</v>
      </c>
      <c r="E52" s="4">
        <f>+$B$15*(($B$17*('Posición Solar'!F29)+SANOS!$B$19*(N25-SANOS!$B$21)))</f>
        <v>9275.2185504371</v>
      </c>
    </row>
    <row r="53" spans="1:5" ht="12.75">
      <c r="A53" s="2"/>
      <c r="B53" s="3">
        <f>+'Posición Solar'!B26</f>
        <v>8</v>
      </c>
      <c r="C53" s="4">
        <f>+$B$15*($B$17*('Posición Solar'!F26)+SANOS!$B$19*(N20-SANOS!$B$21))</f>
        <v>19672.639345278687</v>
      </c>
      <c r="D53" s="3">
        <v>2</v>
      </c>
      <c r="E53" s="4">
        <f>+$B$15*(($B$17*('Posición Solar'!F28)+SANOS!$B$19*(N26-SANOS!$B$21)))</f>
        <v>16068.882137764273</v>
      </c>
    </row>
    <row r="54" spans="1:5" ht="12.75">
      <c r="A54" s="2"/>
      <c r="B54" s="3">
        <f>+'Posición Solar'!B27</f>
        <v>9</v>
      </c>
      <c r="C54" s="4">
        <f>+$B$15*($B$17*('Posición Solar'!F27)+SANOS!$B$19*(N21-SANOS!$B$21))</f>
        <v>18122.636245272486</v>
      </c>
      <c r="D54" s="3">
        <v>3</v>
      </c>
      <c r="E54" s="77">
        <f>+$B$15*(($B$17*('Posición Solar'!F27)+SANOS!$B$19*($B$20-SANOS!$B$21)))</f>
        <v>21408.642817285632</v>
      </c>
    </row>
    <row r="55" spans="1:5" ht="12.75">
      <c r="A55" s="2"/>
      <c r="B55" s="3">
        <f>+'Posición Solar'!B28</f>
        <v>10</v>
      </c>
      <c r="C55" s="4">
        <f>+$B$15*($B$17*('Posición Solar'!F28)+SANOS!$B$19*(N22-SANOS!$B$21))</f>
        <v>14261.578523157044</v>
      </c>
      <c r="D55" s="3">
        <v>4</v>
      </c>
      <c r="E55" s="15">
        <f>+$B$15*(($B$17*('Posición Solar'!F26)+SANOS!$B$19*(N28-SANOS!$B$21)))</f>
        <v>22219.294438588873</v>
      </c>
    </row>
    <row r="56" spans="1:5" ht="12.75">
      <c r="A56" s="2"/>
      <c r="B56" s="3">
        <f>+'Posición Solar'!B29</f>
        <v>11</v>
      </c>
      <c r="C56" s="4">
        <f>+$B$15*($B$17*('Posición Solar'!F29)+SANOS!$B$19*(N23-SANOS!$B$21))</f>
        <v>6646.413292826585</v>
      </c>
      <c r="D56" s="3">
        <v>5</v>
      </c>
      <c r="E56" s="4">
        <f>+$B$15*(($B$17*('Posición Solar'!F25)+SANOS!$B$19*(N29-SANOS!$B$21)))</f>
        <v>12945.625891251782</v>
      </c>
    </row>
    <row r="57" spans="1:5" ht="12.75">
      <c r="A57" s="2"/>
      <c r="B57" s="3">
        <f>+'Posición Solar'!B30</f>
        <v>12</v>
      </c>
      <c r="C57" s="4">
        <f>+$B$15*($B$17*('Posición Solar'!F30)+SANOS!$B$19*(N24-SANOS!$B$21))</f>
        <v>6897.513795027589</v>
      </c>
      <c r="D57" s="4"/>
      <c r="E57" s="4"/>
    </row>
    <row r="58" spans="1:5" ht="12.75">
      <c r="A58" s="2"/>
      <c r="B58" s="3"/>
      <c r="C58" s="4"/>
      <c r="D58" s="4"/>
      <c r="E58" s="4"/>
    </row>
    <row r="59" spans="1:5" ht="12.75">
      <c r="A59" s="2">
        <f>+'Posición Solar'!A32</f>
        <v>44317</v>
      </c>
      <c r="B59" s="3">
        <f>+'Posición Solar'!B32</f>
        <v>7</v>
      </c>
      <c r="C59" s="4">
        <f>+$B$15*($B$17*('Posición Solar'!F32)+SANOS!$B$19*(N19-SANOS!$B$21))</f>
        <v>11770.723541447082</v>
      </c>
      <c r="D59" s="3">
        <v>1</v>
      </c>
      <c r="E59" s="4">
        <f>+$B$15*(($B$17*('Posición Solar'!F36)+SANOS!$B$19*(N25-SANOS!$B$21)))</f>
        <v>8382.416764833528</v>
      </c>
    </row>
    <row r="60" spans="1:5" ht="12.75">
      <c r="A60" s="2"/>
      <c r="B60" s="3">
        <f>+'Posición Solar'!B33</f>
        <v>8</v>
      </c>
      <c r="C60" s="4">
        <f>+$B$15*($B$17*('Posición Solar'!F33)+SANOS!$B$19*(N20-SANOS!$B$21))</f>
        <v>18680.63736127472</v>
      </c>
      <c r="D60" s="3">
        <v>2</v>
      </c>
      <c r="E60" s="4">
        <f>+$B$15*(($B$17*('Posición Solar'!F35)+SANOS!$B$19*(N26-SANOS!$B$21)))</f>
        <v>14779.279558559114</v>
      </c>
    </row>
    <row r="61" spans="1:5" ht="12.75">
      <c r="A61" s="2"/>
      <c r="B61" s="3">
        <f>+'Posición Solar'!B34</f>
        <v>9</v>
      </c>
      <c r="C61" s="4">
        <f>+$B$15*($B$17*('Posición Solar'!F34)+SANOS!$B$19*(N21-SANOS!$B$21))</f>
        <v>16535.433070866136</v>
      </c>
      <c r="D61" s="3">
        <v>3</v>
      </c>
      <c r="E61" s="77">
        <f>+$B$15*(($B$17*('Posición Solar'!F34)+SANOS!$B$19*($B$20-SANOS!$B$21)))</f>
        <v>19821.439642879282</v>
      </c>
    </row>
    <row r="62" spans="1:5" ht="12.75">
      <c r="A62" s="2"/>
      <c r="B62" s="3">
        <f>+'Posición Solar'!B35</f>
        <v>10</v>
      </c>
      <c r="C62" s="4">
        <f>+$B$15*($B$17*('Posición Solar'!F35)+SANOS!$B$19*(N22-SANOS!$B$21))</f>
        <v>12971.975943951886</v>
      </c>
      <c r="D62" s="3">
        <v>4</v>
      </c>
      <c r="E62" s="4">
        <f>+$B$15*(($B$17*('Posición Solar'!F33)+SANOS!$B$19*(N28-SANOS!$B$21)))</f>
        <v>21227.29245458491</v>
      </c>
    </row>
    <row r="63" spans="1:5" ht="12.75">
      <c r="A63" s="2"/>
      <c r="B63" s="3">
        <f>+'Posición Solar'!B36</f>
        <v>11</v>
      </c>
      <c r="C63" s="4">
        <f>+$B$15*($B$17*('Posición Solar'!F36)+SANOS!$B$19*(N23-SANOS!$B$21))</f>
        <v>5753.611507223013</v>
      </c>
      <c r="D63" s="3">
        <v>5</v>
      </c>
      <c r="E63" s="4">
        <f>+$B$15*(($B$17*('Posición Solar'!F32)+SANOS!$B$19*(N29-SANOS!$B$21)))</f>
        <v>14235.22847045694</v>
      </c>
    </row>
    <row r="64" spans="1:5" ht="12.75">
      <c r="A64" s="2"/>
      <c r="B64" s="3">
        <f>+'Posición Solar'!B37</f>
        <v>12</v>
      </c>
      <c r="C64" s="4">
        <f>+$B$15*($B$17*('Posición Solar'!F37)+SANOS!$B$19*(N24-SANOS!$B$21))</f>
        <v>10171.120342240683</v>
      </c>
      <c r="D64" s="4"/>
      <c r="E64" s="4"/>
    </row>
    <row r="65" spans="1:5" ht="12.75">
      <c r="A65" s="2"/>
      <c r="B65" s="3"/>
      <c r="C65" s="4"/>
      <c r="D65" s="4"/>
      <c r="E65" s="4"/>
    </row>
    <row r="66" spans="1:5" ht="12.75">
      <c r="A66" s="2">
        <f>+'Posición Solar'!A39</f>
        <v>44348</v>
      </c>
      <c r="B66" s="3">
        <f>+'Posición Solar'!B39</f>
        <v>7</v>
      </c>
      <c r="C66" s="4">
        <f>+$B$15*($B$17*('Posición Solar'!F39)+SANOS!$B$19*(N19-SANOS!$B$21))</f>
        <v>10381.920763841526</v>
      </c>
      <c r="D66" s="3">
        <v>1</v>
      </c>
      <c r="E66" s="4">
        <f>+$B$15*(($B$17*('Posición Solar'!F43)+SANOS!$B$19*(N25-SANOS!$B$21)))</f>
        <v>8580.817161634322</v>
      </c>
    </row>
    <row r="67" spans="1:5" ht="12.75">
      <c r="A67" s="2"/>
      <c r="B67" s="3">
        <f>+'Posición Solar'!B40</f>
        <v>8</v>
      </c>
      <c r="C67" s="4">
        <f>+$B$15*($B$17*('Posición Solar'!F40)+SANOS!$B$19*(N20-SANOS!$B$21))</f>
        <v>17986.235972471943</v>
      </c>
      <c r="D67" s="3">
        <v>2</v>
      </c>
      <c r="E67" s="4">
        <f>+$B$15*(($B$17*('Posición Solar'!F42)+SANOS!$B$19*(N26-SANOS!$B$21)))</f>
        <v>14680.079360158717</v>
      </c>
    </row>
    <row r="68" spans="1:5" ht="12.75">
      <c r="A68" s="2"/>
      <c r="B68" s="3">
        <f>+'Posición Solar'!B41</f>
        <v>9</v>
      </c>
      <c r="C68" s="4">
        <f>+$B$15*($B$17*('Posición Solar'!F41)+SANOS!$B$19*(N21-SANOS!$B$21))</f>
        <v>16138.632277264553</v>
      </c>
      <c r="D68" s="3">
        <v>3</v>
      </c>
      <c r="E68" s="77">
        <f>+$B$15*(($B$17*('Posición Solar'!F41)+SANOS!$B$19*($B$20-SANOS!$B$21)))</f>
        <v>19424.638849277697</v>
      </c>
    </row>
    <row r="69" spans="1:5" ht="12.75">
      <c r="A69" s="2"/>
      <c r="B69" s="3">
        <f>+'Posición Solar'!B42</f>
        <v>10</v>
      </c>
      <c r="C69" s="4">
        <f>+$B$15*($B$17*('Posición Solar'!F42)+SANOS!$B$19*(N22-SANOS!$B$21))</f>
        <v>12872.77574555149</v>
      </c>
      <c r="D69" s="3">
        <v>4</v>
      </c>
      <c r="E69" s="4">
        <f>+$B$15*(($B$17*('Posición Solar'!F40)+SANOS!$B$19*(N28-SANOS!$B$21)))</f>
        <v>20532.89106578213</v>
      </c>
    </row>
    <row r="70" spans="1:5" ht="12.75">
      <c r="A70" s="2"/>
      <c r="B70" s="3">
        <f>+'Posición Solar'!B43</f>
        <v>11</v>
      </c>
      <c r="C70" s="4">
        <f>+$B$15*($B$17*('Posición Solar'!F43)+SANOS!$B$19*(N23-SANOS!$B$21))</f>
        <v>5952.011904023807</v>
      </c>
      <c r="D70" s="3">
        <v>5</v>
      </c>
      <c r="E70" s="4">
        <f>+$B$15*(($B$17*('Posición Solar'!F39)+SANOS!$B$19*(N29-SANOS!$B$21)))</f>
        <v>12846.425692851382</v>
      </c>
    </row>
    <row r="71" spans="1:5" ht="12.75">
      <c r="A71" s="2"/>
      <c r="B71" s="3">
        <f>+'Posición Solar'!B44</f>
        <v>12</v>
      </c>
      <c r="C71" s="4">
        <f>+$B$15*($B$17*('Posición Solar'!F44)+SANOS!$B$19*(N24-SANOS!$B$21))</f>
        <v>11659.123318246635</v>
      </c>
      <c r="D71" s="4"/>
      <c r="E71" s="4"/>
    </row>
    <row r="72" spans="1:5" ht="12.75">
      <c r="A72" s="2"/>
      <c r="B72" s="3"/>
      <c r="C72" s="4"/>
      <c r="D72" s="4"/>
      <c r="E72" s="4"/>
    </row>
    <row r="73" spans="1:5" ht="12.75">
      <c r="A73" s="2">
        <f>+'Posición Solar'!A46</f>
        <v>44378</v>
      </c>
      <c r="B73" s="3">
        <f>+'Posición Solar'!B46</f>
        <v>7</v>
      </c>
      <c r="C73" s="4">
        <f>+$B$15*($B$17*('Posición Solar'!F46)+SANOS!$B$19*(N19-SANOS!$B$21))</f>
        <v>9290.718581437162</v>
      </c>
      <c r="D73" s="3">
        <v>1</v>
      </c>
      <c r="E73" s="4">
        <f>+$B$15*(($B$17*('Posición Solar'!F50)+SANOS!$B$19*(N25-SANOS!$B$21)))</f>
        <v>9275.2185504371</v>
      </c>
    </row>
    <row r="74" spans="1:5" ht="12.75">
      <c r="A74" s="2"/>
      <c r="B74" s="3">
        <f>+'Posición Solar'!B47</f>
        <v>8</v>
      </c>
      <c r="C74" s="4">
        <f>+$B$15*($B$17*('Posición Solar'!F47)+SANOS!$B$19*(N20-SANOS!$B$21))</f>
        <v>18283.836567673134</v>
      </c>
      <c r="D74" s="3">
        <v>2</v>
      </c>
      <c r="E74" s="4">
        <f>+$B$15*(($B$17*('Posición Solar'!F49)+SANOS!$B$19*(N26-SANOS!$B$21)))</f>
        <v>15473.680947361892</v>
      </c>
    </row>
    <row r="75" spans="1:5" ht="12.75">
      <c r="A75" s="2"/>
      <c r="B75" s="3">
        <f>+'Posición Solar'!B48</f>
        <v>9</v>
      </c>
      <c r="C75" s="4">
        <f>+$B$15*($B$17*('Posición Solar'!F48)+SANOS!$B$19*(N21-SANOS!$B$21))</f>
        <v>16833.033666067327</v>
      </c>
      <c r="D75" s="3">
        <v>3</v>
      </c>
      <c r="E75" s="77">
        <f>+$B$15*(($B$17*('Posición Solar'!F48)+SANOS!$B$19*($B$20-SANOS!$B$21)))</f>
        <v>20119.040238080474</v>
      </c>
    </row>
    <row r="76" spans="1:5" ht="12.75">
      <c r="A76" s="2"/>
      <c r="B76" s="3">
        <f>+'Posición Solar'!B49</f>
        <v>10</v>
      </c>
      <c r="C76" s="4">
        <f>+$B$15*($B$17*('Posición Solar'!F49)+SANOS!$B$19*(N22-SANOS!$B$21))</f>
        <v>13666.377332754664</v>
      </c>
      <c r="D76" s="3">
        <v>4</v>
      </c>
      <c r="E76" s="4">
        <f>+$B$15*(($B$17*('Posición Solar'!F47)+SANOS!$B$19*(N28-SANOS!$B$21)))</f>
        <v>20830.49166098332</v>
      </c>
    </row>
    <row r="77" spans="1:5" ht="12.75">
      <c r="A77" s="2"/>
      <c r="B77" s="3">
        <f>+'Posición Solar'!B50</f>
        <v>11</v>
      </c>
      <c r="C77" s="4">
        <f>+$B$15*($B$17*('Posición Solar'!F50)+SANOS!$B$19*(N23-SANOS!$B$21))</f>
        <v>6646.413292826585</v>
      </c>
      <c r="D77" s="3">
        <v>5</v>
      </c>
      <c r="E77" s="4">
        <f>+$B$15*(($B$17*('Posición Solar'!F46)+SANOS!$B$19*(N29-SANOS!$B$21)))</f>
        <v>11755.22351044702</v>
      </c>
    </row>
    <row r="78" spans="1:5" ht="12.75">
      <c r="A78" s="2"/>
      <c r="B78" s="3">
        <f>+'Posición Solar'!B51</f>
        <v>12</v>
      </c>
      <c r="C78" s="4">
        <f>+$B$15*($B$17*('Posición Solar'!F51)+SANOS!$B$19*(N24-SANOS!$B$21))</f>
        <v>10567.92113584227</v>
      </c>
      <c r="D78" s="4"/>
      <c r="E78" s="4"/>
    </row>
    <row r="79" spans="1:5" ht="12.75">
      <c r="A79" s="2"/>
      <c r="B79" s="3"/>
      <c r="C79" s="4"/>
      <c r="D79" s="4"/>
      <c r="E79" s="4"/>
    </row>
    <row r="80" spans="1:5" ht="12.75">
      <c r="A80" s="2">
        <f>+'Posición Solar'!A53</f>
        <v>44409</v>
      </c>
      <c r="B80" s="3">
        <f>+'Posición Solar'!B53</f>
        <v>7</v>
      </c>
      <c r="C80" s="4">
        <f>+$B$15*($B$17*('Posición Solar'!F53)+SANOS!$B$19*(N19-SANOS!$B$21))</f>
        <v>9985.119970239939</v>
      </c>
      <c r="D80" s="3">
        <v>1</v>
      </c>
      <c r="E80" s="4">
        <f>+$B$15*(($B$17*('Posición Solar'!F57)+SANOS!$B$19*(N25-SANOS!$B$21)))</f>
        <v>9473.618947237894</v>
      </c>
    </row>
    <row r="81" spans="1:5" ht="12.75">
      <c r="A81" s="2"/>
      <c r="B81" s="3">
        <f>+'Posición Solar'!B54</f>
        <v>8</v>
      </c>
      <c r="C81" s="4">
        <f>+$B$15*($B$17*('Posición Solar'!F54)+SANOS!$B$19*(N20-SANOS!$B$21))</f>
        <v>19573.439146878292</v>
      </c>
      <c r="D81" s="3">
        <v>2</v>
      </c>
      <c r="E81" s="4">
        <f>+$B$15*(($B$17*('Posición Solar'!F56)+SANOS!$B$19*(N26-SANOS!$B$21)))</f>
        <v>16267.282534565067</v>
      </c>
    </row>
    <row r="82" spans="1:5" ht="12.75">
      <c r="A82" s="2"/>
      <c r="B82" s="3">
        <f>+'Posición Solar'!B55</f>
        <v>9</v>
      </c>
      <c r="C82" s="4">
        <f>+$B$15*($B$17*('Posición Solar'!F55)+SANOS!$B$19*(N21-SANOS!$B$21))</f>
        <v>18221.836443672884</v>
      </c>
      <c r="D82" s="3">
        <v>3</v>
      </c>
      <c r="E82" s="77">
        <f>+$B$15*(($B$17*('Posición Solar'!F55)+SANOS!$B$19*($B$20-SANOS!$B$21)))</f>
        <v>21507.84301568603</v>
      </c>
    </row>
    <row r="83" spans="1:5" ht="12.75">
      <c r="A83" s="2"/>
      <c r="B83" s="3">
        <f>+'Posición Solar'!B56</f>
        <v>10</v>
      </c>
      <c r="C83" s="4">
        <f>+$B$15*($B$17*('Posición Solar'!F56)+SANOS!$B$19*(N22-SANOS!$B$21))</f>
        <v>14459.978919957839</v>
      </c>
      <c r="D83" s="3">
        <v>4</v>
      </c>
      <c r="E83" s="4">
        <f>+$B$15*(($B$17*('Posición Solar'!F54)+SANOS!$B$19*(N28-SANOS!$B$21)))</f>
        <v>22120.09424018848</v>
      </c>
    </row>
    <row r="84" spans="1:5" ht="12.75">
      <c r="A84" s="2"/>
      <c r="B84" s="3">
        <f>+'Posición Solar'!B57</f>
        <v>11</v>
      </c>
      <c r="C84" s="4">
        <f>+$B$15*($B$17*('Posición Solar'!F57)+SANOS!$B$19*(N23-SANOS!$B$21))</f>
        <v>6844.813689627379</v>
      </c>
      <c r="D84" s="3">
        <v>5</v>
      </c>
      <c r="E84" s="4">
        <f>+$B$15*(($B$17*('Posición Solar'!F53)+SANOS!$B$19*(N29-SANOS!$B$21)))</f>
        <v>12449.624899249795</v>
      </c>
    </row>
    <row r="85" spans="1:5" ht="12.75">
      <c r="A85" s="2"/>
      <c r="B85" s="3">
        <f>+'Posición Solar'!B58</f>
        <v>12</v>
      </c>
      <c r="C85" s="4">
        <f>+$B$15*($B$17*('Posición Solar'!F58)+SANOS!$B$19*(N24-SANOS!$B$21))</f>
        <v>7095.914191828383</v>
      </c>
      <c r="D85" s="4"/>
      <c r="E85" s="4"/>
    </row>
    <row r="86" spans="1:5" ht="12.75">
      <c r="A86" s="2"/>
      <c r="B86" s="3"/>
      <c r="C86" s="4"/>
      <c r="D86" s="4"/>
      <c r="E86" s="4"/>
    </row>
    <row r="87" spans="1:5" ht="12.75">
      <c r="A87" s="2">
        <f>+'Posición Solar'!A60</f>
        <v>44440</v>
      </c>
      <c r="B87" s="3">
        <f>+'Posición Solar'!B60</f>
        <v>7</v>
      </c>
      <c r="C87" s="4">
        <f>+$B$15*($B$17*('Posición Solar'!F60)+SANOS!$B$19*(N19-SANOS!$B$21))</f>
        <v>1067.022134044268</v>
      </c>
      <c r="D87" s="3">
        <v>1</v>
      </c>
      <c r="E87" s="4">
        <f>+$B$15*(($B$17*('Posición Solar'!F64)+SANOS!$B$19*(N25-SANOS!$B$21)))</f>
        <v>4216.0084320168635</v>
      </c>
    </row>
    <row r="88" spans="1:5" ht="12.75">
      <c r="A88" s="2"/>
      <c r="B88" s="3">
        <f>+'Posición Solar'!B61</f>
        <v>8</v>
      </c>
      <c r="C88" s="4">
        <f>+$B$15*($B$17*('Posición Solar'!F61)+SANOS!$B$19*(N20-SANOS!$B$21))</f>
        <v>1618.2032364064728</v>
      </c>
      <c r="D88" s="3">
        <v>2</v>
      </c>
      <c r="E88" s="4">
        <f>+$B$15*(($B$17*('Posición Solar'!F63)+SANOS!$B$19*(N26-SANOS!$B$21)))</f>
        <v>4363.2587265174525</v>
      </c>
    </row>
    <row r="89" spans="1:5" ht="12.75">
      <c r="A89" s="2"/>
      <c r="B89" s="3">
        <f>+'Posición Solar'!B62</f>
        <v>9</v>
      </c>
      <c r="C89" s="4">
        <f>+$B$15*($B$17*('Posición Solar'!F62)+SANOS!$B$19*(N21-SANOS!$B$21))</f>
        <v>1159.4023188046374</v>
      </c>
      <c r="D89" s="3">
        <v>3</v>
      </c>
      <c r="E89" s="77">
        <f>+$B$15*(($B$17*('Posición Solar'!F62)+SANOS!$B$19*($B$20-SANOS!$B$21)))</f>
        <v>4445.408890817781</v>
      </c>
    </row>
    <row r="90" spans="1:5" ht="12.75">
      <c r="A90" s="2"/>
      <c r="B90" s="3">
        <f>+'Posición Solar'!B63</f>
        <v>10</v>
      </c>
      <c r="C90" s="4">
        <f>+$B$15*($B$17*('Posición Solar'!F63)+SANOS!$B$19*(N22-SANOS!$B$21))</f>
        <v>2555.955111910224</v>
      </c>
      <c r="D90" s="3">
        <v>4</v>
      </c>
      <c r="E90" s="4">
        <f>+$B$15*(($B$17*('Posición Solar'!F61)+SANOS!$B$19*(N28-SANOS!$B$21)))</f>
        <v>4164.858329716659</v>
      </c>
    </row>
    <row r="91" spans="1:5" ht="12.75">
      <c r="A91" s="2"/>
      <c r="B91" s="3">
        <f>+'Posición Solar'!B64</f>
        <v>11</v>
      </c>
      <c r="C91" s="4">
        <f>+$B$15*($B$17*('Posición Solar'!F64)+SANOS!$B$19*(N23-SANOS!$B$21))</f>
        <v>1587.2031744063486</v>
      </c>
      <c r="D91" s="3">
        <v>5</v>
      </c>
      <c r="E91" s="4">
        <f>+$B$15*(($B$17*('Posición Solar'!F60)+SANOS!$B$19*(N29-SANOS!$B$21)))</f>
        <v>3531.5270630541254</v>
      </c>
    </row>
    <row r="92" spans="1:5" ht="12.75">
      <c r="A92" s="2"/>
      <c r="B92" s="3">
        <f>+'Posición Solar'!B65</f>
        <v>12</v>
      </c>
      <c r="C92" s="4">
        <f>+$B$15*($B$17*('Posición Solar'!F65)+SANOS!$B$19*(N24-SANOS!$B$21))</f>
        <v>3425.5068510137016</v>
      </c>
      <c r="D92" s="4"/>
      <c r="E92" s="4"/>
    </row>
    <row r="93" spans="1:5" ht="12.75">
      <c r="A93" s="2"/>
      <c r="B93" s="3"/>
      <c r="C93" s="4"/>
      <c r="D93" s="4"/>
      <c r="E93" s="4"/>
    </row>
    <row r="94" spans="1:5" ht="12.75">
      <c r="A94" s="2">
        <f>+'Posición Solar'!A67</f>
        <v>44470</v>
      </c>
      <c r="B94" s="3">
        <f>+'Posición Solar'!B67</f>
        <v>7</v>
      </c>
      <c r="C94" s="4">
        <f>+$B$15*($B$17*('Posición Solar'!F67)+SANOS!$B$19*(N19-SANOS!$B$21))</f>
        <v>1116.6222332444663</v>
      </c>
      <c r="D94" s="3">
        <v>1</v>
      </c>
      <c r="E94" s="4">
        <f>+$B$15*(($B$17*('Posición Solar'!F71)+SANOS!$B$19*(N25-SANOS!$B$21)))</f>
        <v>4216.0084320168635</v>
      </c>
    </row>
    <row r="95" spans="1:5" ht="12.75">
      <c r="A95" s="2"/>
      <c r="B95" s="3">
        <f>+'Posición Solar'!B68</f>
        <v>8</v>
      </c>
      <c r="C95" s="4">
        <f>+$B$15*($B$17*('Posición Solar'!F68)+SANOS!$B$19*(N20-SANOS!$B$21))</f>
        <v>1618.2032364064728</v>
      </c>
      <c r="D95" s="3">
        <v>2</v>
      </c>
      <c r="E95" s="4">
        <f>+$B$15*(($B$17*('Posición Solar'!F70)+SANOS!$B$19*(N26-SANOS!$B$21)))</f>
        <v>4462.458924917849</v>
      </c>
    </row>
    <row r="96" spans="1:5" ht="12.75">
      <c r="A96" s="2"/>
      <c r="B96" s="3">
        <f>+'Posición Solar'!B69</f>
        <v>9</v>
      </c>
      <c r="C96" s="4">
        <f>+$B$15*($B$17*('Posición Solar'!F69)+SANOS!$B$19*(N21-SANOS!$B$21))</f>
        <v>1159.4023188046374</v>
      </c>
      <c r="D96" s="3">
        <v>3</v>
      </c>
      <c r="E96" s="77">
        <f>+$B$15*(($B$17*('Posición Solar'!F69)+SANOS!$B$19*($B$20-SANOS!$B$21)))</f>
        <v>4445.408890817781</v>
      </c>
    </row>
    <row r="97" spans="1:5" ht="12.75">
      <c r="A97" s="2"/>
      <c r="B97" s="3">
        <f>+'Posición Solar'!B70</f>
        <v>10</v>
      </c>
      <c r="C97" s="4">
        <f>+$B$15*($B$17*('Posición Solar'!F70)+SANOS!$B$19*(N22-SANOS!$B$21))</f>
        <v>2655.1553103106207</v>
      </c>
      <c r="D97" s="3">
        <v>4</v>
      </c>
      <c r="E97" s="4">
        <f>+$B$15*(($B$17*('Posición Solar'!F68)+SANOS!$B$19*(N28-SANOS!$B$21)))</f>
        <v>4164.858329716659</v>
      </c>
    </row>
    <row r="98" spans="1:5" ht="12.75">
      <c r="A98" s="2"/>
      <c r="B98" s="3">
        <f>+'Posición Solar'!B71</f>
        <v>11</v>
      </c>
      <c r="C98" s="4">
        <f>+$B$15*($B$17*('Posición Solar'!F71)+SANOS!$B$19*(N23-SANOS!$B$21))</f>
        <v>1587.2031744063486</v>
      </c>
      <c r="D98" s="3">
        <v>5</v>
      </c>
      <c r="E98" s="4">
        <f>+$B$15*(($B$17*('Posición Solar'!F67)+SANOS!$B$19*(N29-SANOS!$B$21)))</f>
        <v>3581.1271622543236</v>
      </c>
    </row>
    <row r="99" spans="1:5" ht="12.75">
      <c r="A99" s="2"/>
      <c r="B99" s="3">
        <f>+'Posición Solar'!B72</f>
        <v>12</v>
      </c>
      <c r="C99" s="4">
        <f>+$B$15*($B$17*('Posición Solar'!F72)+SANOS!$B$19*(N24-SANOS!$B$21))</f>
        <v>3723.107446214892</v>
      </c>
      <c r="D99" s="4"/>
      <c r="E99" s="4"/>
    </row>
    <row r="100" spans="1:5" ht="12.75">
      <c r="A100" s="2"/>
      <c r="B100" s="3"/>
      <c r="C100" s="4"/>
      <c r="D100" s="4"/>
      <c r="E100" s="4"/>
    </row>
    <row r="101" spans="1:5" ht="12.75">
      <c r="A101" s="2">
        <f>+'Posición Solar'!A74</f>
        <v>44501</v>
      </c>
      <c r="B101" s="3">
        <f>+'Posición Solar'!B74</f>
        <v>7</v>
      </c>
      <c r="C101" s="4">
        <f>+$B$15*($B$17*('Posición Solar'!F74)+SANOS!$B$19*(N19-SANOS!$B$21))</f>
        <v>1047.1820943641885</v>
      </c>
      <c r="D101" s="3">
        <v>1</v>
      </c>
      <c r="E101" s="4">
        <f>+$B$15*(($B$17*('Posición Solar'!F78)+SANOS!$B$19*(N25-SANOS!$B$21)))</f>
        <v>4216.0084320168635</v>
      </c>
    </row>
    <row r="102" spans="1:5" ht="12.75">
      <c r="A102" s="2"/>
      <c r="B102" s="3">
        <f>+'Posición Solar'!B75</f>
        <v>8</v>
      </c>
      <c r="C102" s="4">
        <f>+$B$15*($B$17*('Posición Solar'!F75)+SANOS!$B$19*(N20-SANOS!$B$21))</f>
        <v>1618.2032364064728</v>
      </c>
      <c r="D102" s="3">
        <v>2</v>
      </c>
      <c r="E102" s="4">
        <f>+$B$15*(($B$17*('Posición Solar'!F77)+SANOS!$B$19*(N26-SANOS!$B$21)))</f>
        <v>4363.2587265174525</v>
      </c>
    </row>
    <row r="103" spans="1:5" ht="12.75">
      <c r="A103" s="2"/>
      <c r="B103" s="3">
        <f>+'Posición Solar'!B76</f>
        <v>9</v>
      </c>
      <c r="C103" s="4">
        <f>+$B$15*($B$17*('Posición Solar'!F76)+SANOS!$B$19*(N21-SANOS!$B$21))</f>
        <v>1159.4023188046374</v>
      </c>
      <c r="D103" s="3">
        <v>3</v>
      </c>
      <c r="E103" s="77">
        <f>+$B$15*(($B$17*('Posición Solar'!F76)+SANOS!$B$19*($B$20-SANOS!$B$21)))</f>
        <v>4445.408890817781</v>
      </c>
    </row>
    <row r="104" spans="1:5" ht="12.75">
      <c r="A104" s="2"/>
      <c r="B104" s="3">
        <f>+'Posición Solar'!B77</f>
        <v>10</v>
      </c>
      <c r="C104" s="4">
        <f>+$B$15*($B$17*('Posición Solar'!F77)+SANOS!$B$19*(N22-SANOS!$B$21))</f>
        <v>2555.955111910224</v>
      </c>
      <c r="D104" s="3">
        <v>4</v>
      </c>
      <c r="E104" s="4">
        <f>+$B$15*(($B$17*('Posición Solar'!F75)+SANOS!$B$19*(N28-SANOS!$B$21)))</f>
        <v>4164.858329716659</v>
      </c>
    </row>
    <row r="105" spans="1:5" ht="12.75">
      <c r="A105" s="2"/>
      <c r="B105" s="3">
        <f>+'Posición Solar'!B78</f>
        <v>11</v>
      </c>
      <c r="C105" s="4">
        <f>+$B$15*($B$17*('Posición Solar'!F78)+SANOS!$B$19*(N23-SANOS!$B$21))</f>
        <v>1587.2031744063486</v>
      </c>
      <c r="D105" s="3">
        <v>5</v>
      </c>
      <c r="E105" s="4">
        <f>+$B$15*(($B$17*('Posición Solar'!F74)+SANOS!$B$19*(N29-SANOS!$B$21)))</f>
        <v>3511.6870233740465</v>
      </c>
    </row>
    <row r="106" spans="1:5" ht="12.75">
      <c r="A106" s="2"/>
      <c r="B106" s="3">
        <f>+'Posición Solar'!B79</f>
        <v>12</v>
      </c>
      <c r="C106" s="4">
        <f>+$B$15*($B$17*('Posición Solar'!F79)+SANOS!$B$19*(N24-SANOS!$B$21))</f>
        <v>3723.107446214892</v>
      </c>
      <c r="D106" s="4"/>
      <c r="E106" s="4"/>
    </row>
    <row r="107" spans="1:5" ht="12.75">
      <c r="A107" s="2"/>
      <c r="B107" s="3"/>
      <c r="C107" s="4"/>
      <c r="D107" s="4"/>
      <c r="E107" s="4"/>
    </row>
    <row r="108" spans="1:5" ht="12.75">
      <c r="A108" s="2">
        <f>+'Posición Solar'!A81</f>
        <v>44531</v>
      </c>
      <c r="B108" s="3">
        <f>+'Posición Solar'!B81</f>
        <v>7</v>
      </c>
      <c r="C108" s="4">
        <f>+$B$15*($B$17*('Posición Solar'!F81)+SANOS!$B$19*(N19-SANOS!$B$21))</f>
        <v>848.7816975633951</v>
      </c>
      <c r="D108" s="3">
        <v>1</v>
      </c>
      <c r="E108" s="4">
        <f>+$B$15*(($B$17*('Posición Solar'!F85)+SANOS!$B$19*(N25-SANOS!$B$21)))</f>
        <v>4216.0084320168635</v>
      </c>
    </row>
    <row r="109" spans="1:5" ht="12.75">
      <c r="A109" s="2"/>
      <c r="B109" s="3">
        <f>+'Posición Solar'!B82</f>
        <v>8</v>
      </c>
      <c r="C109" s="4">
        <f>+$B$15*($B$17*('Posición Solar'!F82)+SANOS!$B$19*(N20-SANOS!$B$21))</f>
        <v>1519.003038006076</v>
      </c>
      <c r="D109" s="3">
        <v>2</v>
      </c>
      <c r="E109" s="4">
        <f>+$B$15*(($B$17*('Posición Solar'!F84)+SANOS!$B$19*(N26-SANOS!$B$21)))</f>
        <v>4363.2587265174525</v>
      </c>
    </row>
    <row r="110" spans="1:5" ht="12.75">
      <c r="A110" s="2"/>
      <c r="B110" s="3">
        <f>+'Posición Solar'!B83</f>
        <v>9</v>
      </c>
      <c r="C110" s="4">
        <f>+$B$15*($B$17*('Posición Solar'!F83)+SANOS!$B$19*(N21-SANOS!$B$21))</f>
        <v>1060.2021204042408</v>
      </c>
      <c r="D110" s="3">
        <v>3</v>
      </c>
      <c r="E110" s="77">
        <f>+$B$15*(($B$17*('Posición Solar'!F83)+SANOS!$B$19*($B$20-SANOS!$B$21)))</f>
        <v>4346.208692417385</v>
      </c>
    </row>
    <row r="111" spans="1:5" ht="12.75">
      <c r="A111" s="2"/>
      <c r="B111" s="3">
        <f>+'Posición Solar'!B84</f>
        <v>10</v>
      </c>
      <c r="C111" s="4">
        <f>+$B$15*($B$17*('Posición Solar'!F84)+SANOS!$B$19*(N22-SANOS!$B$21))</f>
        <v>2555.955111910224</v>
      </c>
      <c r="D111" s="3">
        <v>4</v>
      </c>
      <c r="E111" s="4">
        <f>+$B$15*(($B$17*('Posición Solar'!F82)+SANOS!$B$19*(N28-SANOS!$B$21)))</f>
        <v>4065.658131316262</v>
      </c>
    </row>
    <row r="112" spans="1:5" ht="12.75">
      <c r="A112" s="2"/>
      <c r="B112" s="3">
        <f>+'Posición Solar'!B85</f>
        <v>11</v>
      </c>
      <c r="C112" s="4">
        <f>+$B$15*($B$17*('Posición Solar'!F85)+SANOS!$B$19*(N23-SANOS!$B$21))</f>
        <v>1587.2031744063486</v>
      </c>
      <c r="D112" s="3">
        <v>5</v>
      </c>
      <c r="E112" s="4">
        <f>+$B$15*(($B$17*('Posición Solar'!F81)+SANOS!$B$19*(N29-SANOS!$B$21)))</f>
        <v>3313.2866265732528</v>
      </c>
    </row>
    <row r="113" spans="1:5" ht="12.75">
      <c r="A113" s="2"/>
      <c r="B113" s="3">
        <f>+'Posición Solar'!B86</f>
        <v>12</v>
      </c>
      <c r="C113" s="4">
        <f>+$B$15*($B$17*('Posición Solar'!F86)+SANOS!$B$19*(N24-SANOS!$B$21))</f>
        <v>3723.107446214892</v>
      </c>
      <c r="D113" s="4"/>
      <c r="E113" s="4"/>
    </row>
    <row r="114" spans="1:5" ht="12.75">
      <c r="A114" t="s">
        <v>283</v>
      </c>
      <c r="C114" s="9">
        <f>SUM(C108:C113,C101:C106,C94:C99,C87:C92,C80:C85,C73:C78,C66:C71,C59:C64,C52:C57,C45:C50,C38:C43,C31:C36)</f>
        <v>458556.6371132741</v>
      </c>
      <c r="D114" s="9"/>
      <c r="E114" s="9">
        <f>SUM(E31:E35,E38:E42,E45:E49,E52:E56,E59:E63,E66:E70,E73:E77,E80:E84,E87:E91,E94:E98,E101:E105,E108:E112)</f>
        <v>538406.5968131936</v>
      </c>
    </row>
    <row r="115" spans="3:5" ht="16.5" customHeight="1">
      <c r="C115" s="12"/>
      <c r="D115" s="10">
        <f>+C114+E114</f>
        <v>996963.2339264677</v>
      </c>
      <c r="E115" s="12"/>
    </row>
    <row r="116" spans="1:5" ht="12.75">
      <c r="A116" t="s">
        <v>285</v>
      </c>
      <c r="D116" s="65">
        <f>+(C114+E114)/12</f>
        <v>83080.26949387231</v>
      </c>
      <c r="E116" s="64">
        <f>ROUNDUP(((E33+E40+E47+E54+E61+E68+E75+E82+E89+E96+E103+E110)/12),2)</f>
        <v>11083.56</v>
      </c>
    </row>
    <row r="117" spans="1:4" ht="12.75">
      <c r="A117" t="s">
        <v>284</v>
      </c>
      <c r="D117" s="66">
        <f>+D116/11</f>
        <v>7552.751772170211</v>
      </c>
    </row>
    <row r="119" ht="12.75">
      <c r="D119" s="4"/>
    </row>
    <row r="120" ht="12.75">
      <c r="D120" s="4"/>
    </row>
  </sheetData>
  <mergeCells count="2">
    <mergeCell ref="A29:C29"/>
    <mergeCell ref="F29:H29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G10" sqref="G10"/>
    </sheetView>
  </sheetViews>
  <sheetFormatPr defaultColWidth="11.421875" defaultRowHeight="12.75"/>
  <cols>
    <col min="1" max="1" width="3.7109375" style="0" customWidth="1"/>
    <col min="2" max="2" width="26.28125" style="0" customWidth="1"/>
    <col min="3" max="3" width="4.00390625" style="0" customWidth="1"/>
    <col min="4" max="4" width="9.28125" style="0" customWidth="1"/>
    <col min="5" max="5" width="12.8515625" style="0" customWidth="1"/>
    <col min="6" max="6" width="4.421875" style="0" customWidth="1"/>
    <col min="7" max="7" width="22.00390625" style="0" customWidth="1"/>
    <col min="8" max="8" width="9.7109375" style="0" customWidth="1"/>
    <col min="10" max="10" width="9.7109375" style="0" customWidth="1"/>
    <col min="11" max="11" width="6.140625" style="0" customWidth="1"/>
    <col min="12" max="12" width="7.00390625" style="0" customWidth="1"/>
    <col min="13" max="13" width="5.7109375" style="0" customWidth="1"/>
    <col min="14" max="14" width="4.7109375" style="0" customWidth="1"/>
  </cols>
  <sheetData>
    <row r="1" spans="1:11" ht="12.75">
      <c r="A1" s="154" t="s">
        <v>102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7" ht="12.75">
      <c r="A2" s="6" t="s">
        <v>104</v>
      </c>
      <c r="B2" t="s">
        <v>103</v>
      </c>
      <c r="E2" s="6" t="s">
        <v>107</v>
      </c>
      <c r="F2" s="154" t="s">
        <v>108</v>
      </c>
      <c r="G2" s="154"/>
    </row>
    <row r="3" spans="1:8" ht="12.75">
      <c r="A3" s="155" t="s">
        <v>105</v>
      </c>
      <c r="B3" s="155"/>
      <c r="C3" s="154"/>
      <c r="D3" s="154"/>
      <c r="F3" s="155" t="s">
        <v>111</v>
      </c>
      <c r="G3" s="155"/>
      <c r="H3" s="155"/>
    </row>
    <row r="4" spans="1:15" ht="12.75">
      <c r="A4" s="6" t="s">
        <v>106</v>
      </c>
      <c r="B4" s="6"/>
      <c r="C4" s="16">
        <v>92</v>
      </c>
      <c r="D4" t="s">
        <v>109</v>
      </c>
      <c r="F4" s="16">
        <v>80</v>
      </c>
      <c r="G4" t="s">
        <v>110</v>
      </c>
      <c r="H4" s="6" t="s">
        <v>112</v>
      </c>
      <c r="I4" s="6"/>
      <c r="J4" s="6"/>
      <c r="K4">
        <v>74</v>
      </c>
      <c r="L4" s="154" t="s">
        <v>109</v>
      </c>
      <c r="M4" s="154"/>
      <c r="N4">
        <v>62</v>
      </c>
      <c r="O4" t="s">
        <v>113</v>
      </c>
    </row>
    <row r="5" spans="1:2" ht="12.75">
      <c r="A5">
        <v>1</v>
      </c>
      <c r="B5" t="s">
        <v>114</v>
      </c>
    </row>
    <row r="6" spans="1:2" ht="12.75">
      <c r="A6">
        <v>2</v>
      </c>
      <c r="B6" t="s">
        <v>115</v>
      </c>
    </row>
    <row r="7" spans="1:2" ht="12.75">
      <c r="A7">
        <v>3</v>
      </c>
      <c r="B7" t="s">
        <v>116</v>
      </c>
    </row>
    <row r="8" spans="1:2" ht="12.75">
      <c r="A8">
        <v>4</v>
      </c>
      <c r="B8" t="s">
        <v>117</v>
      </c>
    </row>
    <row r="9" spans="4:5" ht="41.25" customHeight="1">
      <c r="D9" s="1" t="s">
        <v>134</v>
      </c>
      <c r="E9" s="13" t="s">
        <v>135</v>
      </c>
    </row>
    <row r="10" spans="1:4" ht="12.75">
      <c r="A10">
        <v>5</v>
      </c>
      <c r="B10" s="138" t="s">
        <v>118</v>
      </c>
      <c r="C10" t="s">
        <v>119</v>
      </c>
      <c r="D10" t="s">
        <v>0</v>
      </c>
    </row>
    <row r="11" spans="2:4" ht="12.75">
      <c r="B11" s="138"/>
      <c r="C11" t="s">
        <v>120</v>
      </c>
      <c r="D11" t="s">
        <v>121</v>
      </c>
    </row>
    <row r="12" spans="1:4" ht="12.75">
      <c r="A12">
        <v>6</v>
      </c>
      <c r="B12" t="s">
        <v>122</v>
      </c>
      <c r="C12" t="s">
        <v>119</v>
      </c>
      <c r="D12" t="s">
        <v>0</v>
      </c>
    </row>
    <row r="13" spans="3:4" ht="12.75">
      <c r="C13" t="s">
        <v>120</v>
      </c>
      <c r="D13" t="s">
        <v>32</v>
      </c>
    </row>
    <row r="14" spans="2:4" ht="12.75">
      <c r="B14" t="s">
        <v>123</v>
      </c>
      <c r="D14" t="s">
        <v>124</v>
      </c>
    </row>
    <row r="15" spans="1:4" ht="12.75">
      <c r="A15">
        <v>7</v>
      </c>
      <c r="B15" t="s">
        <v>125</v>
      </c>
      <c r="D15" t="s">
        <v>124</v>
      </c>
    </row>
    <row r="16" spans="1:4" ht="12.75">
      <c r="A16">
        <v>8</v>
      </c>
      <c r="B16" t="s">
        <v>126</v>
      </c>
      <c r="D16" t="s">
        <v>124</v>
      </c>
    </row>
    <row r="17" spans="1:2" ht="12.75">
      <c r="A17">
        <v>9</v>
      </c>
      <c r="B17" t="s">
        <v>127</v>
      </c>
    </row>
    <row r="18" spans="1:2" ht="12.75">
      <c r="A18">
        <v>10</v>
      </c>
      <c r="B18" t="s">
        <v>128</v>
      </c>
    </row>
    <row r="19" spans="1:2" ht="12.75">
      <c r="A19">
        <v>11</v>
      </c>
      <c r="B19" t="s">
        <v>129</v>
      </c>
    </row>
    <row r="20" spans="1:2" ht="12.75">
      <c r="A20">
        <v>12</v>
      </c>
      <c r="B20" t="s">
        <v>130</v>
      </c>
    </row>
    <row r="21" spans="1:2" ht="12.75">
      <c r="A21">
        <v>13</v>
      </c>
      <c r="B21" t="s">
        <v>131</v>
      </c>
    </row>
    <row r="22" spans="1:2" ht="12.75">
      <c r="A22">
        <v>15</v>
      </c>
      <c r="B22" t="s">
        <v>132</v>
      </c>
    </row>
    <row r="23" ht="12.75">
      <c r="A23">
        <v>16</v>
      </c>
    </row>
    <row r="24" spans="1:2" ht="12.75">
      <c r="A24">
        <v>17</v>
      </c>
      <c r="B24" t="s">
        <v>133</v>
      </c>
    </row>
  </sheetData>
  <mergeCells count="7">
    <mergeCell ref="A1:K1"/>
    <mergeCell ref="C3:D3"/>
    <mergeCell ref="L4:M4"/>
    <mergeCell ref="B10:B11"/>
    <mergeCell ref="A3:B3"/>
    <mergeCell ref="F2:G2"/>
    <mergeCell ref="F3:H3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C1">
      <selection activeCell="I25" sqref="I25"/>
    </sheetView>
  </sheetViews>
  <sheetFormatPr defaultColWidth="11.421875" defaultRowHeight="12.75"/>
  <cols>
    <col min="1" max="1" width="7.140625" style="0" customWidth="1"/>
    <col min="2" max="2" width="12.8515625" style="0" customWidth="1"/>
    <col min="3" max="14" width="10.57421875" style="0" customWidth="1"/>
  </cols>
  <sheetData>
    <row r="1" spans="1:14" ht="26.25">
      <c r="A1" s="159" t="s">
        <v>277</v>
      </c>
      <c r="B1" s="63" t="s">
        <v>281</v>
      </c>
      <c r="C1" s="156" t="s">
        <v>26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8"/>
    </row>
    <row r="2" spans="1:14" ht="16.5" customHeight="1">
      <c r="A2" s="160"/>
      <c r="B2" s="32" t="s">
        <v>282</v>
      </c>
      <c r="C2" s="48">
        <v>44197</v>
      </c>
      <c r="D2" s="49">
        <v>44228</v>
      </c>
      <c r="E2" s="49">
        <v>44256</v>
      </c>
      <c r="F2" s="49">
        <v>44287</v>
      </c>
      <c r="G2" s="49">
        <v>44317</v>
      </c>
      <c r="H2" s="49">
        <v>44348</v>
      </c>
      <c r="I2" s="49">
        <v>44378</v>
      </c>
      <c r="J2" s="49">
        <v>44409</v>
      </c>
      <c r="K2" s="49">
        <v>44440</v>
      </c>
      <c r="L2" s="49">
        <v>44470</v>
      </c>
      <c r="M2" s="49">
        <v>44501</v>
      </c>
      <c r="N2" s="50">
        <v>44531</v>
      </c>
    </row>
    <row r="3" spans="1:14" ht="12.75">
      <c r="A3" s="37">
        <v>0.2916666666666667</v>
      </c>
      <c r="B3" s="32">
        <v>75</v>
      </c>
      <c r="C3" s="51">
        <v>610.7012214024427</v>
      </c>
      <c r="D3" s="52">
        <v>571.0211420422839</v>
      </c>
      <c r="E3" s="52">
        <v>759.501519003038</v>
      </c>
      <c r="F3" s="52">
        <v>10481.120962241923</v>
      </c>
      <c r="G3" s="52">
        <v>11770.723541447082</v>
      </c>
      <c r="H3" s="52">
        <v>10381.920763841526</v>
      </c>
      <c r="I3" s="52">
        <v>9290.718581437162</v>
      </c>
      <c r="J3" s="52">
        <v>9985.119970239939</v>
      </c>
      <c r="K3" s="52">
        <v>1067.022134044268</v>
      </c>
      <c r="L3" s="52">
        <v>1116.6222332444663</v>
      </c>
      <c r="M3" s="52">
        <v>1047.1820943641885</v>
      </c>
      <c r="N3" s="53">
        <v>848.7816975633951</v>
      </c>
    </row>
    <row r="4" spans="1:14" ht="12.75">
      <c r="A4" s="37">
        <v>0.333333333333333</v>
      </c>
      <c r="B4" s="32">
        <v>76</v>
      </c>
      <c r="C4" s="51">
        <v>1419.802839605679</v>
      </c>
      <c r="D4" s="52">
        <v>1419.802839605679</v>
      </c>
      <c r="E4" s="52">
        <v>1519.003038006076</v>
      </c>
      <c r="F4" s="52">
        <v>19672.639345278687</v>
      </c>
      <c r="G4" s="52">
        <v>18680.63736127472</v>
      </c>
      <c r="H4" s="52">
        <v>17986.235972471943</v>
      </c>
      <c r="I4" s="52">
        <v>18283.836567673134</v>
      </c>
      <c r="J4" s="52">
        <v>19573.439146878292</v>
      </c>
      <c r="K4" s="52">
        <v>1618.2032364064728</v>
      </c>
      <c r="L4" s="52">
        <v>1618.2032364064728</v>
      </c>
      <c r="M4" s="52">
        <v>1618.2032364064728</v>
      </c>
      <c r="N4" s="53">
        <v>1519.003038006076</v>
      </c>
    </row>
    <row r="5" spans="1:14" ht="12.75">
      <c r="A5" s="37">
        <v>0.375</v>
      </c>
      <c r="B5" s="32">
        <v>72</v>
      </c>
      <c r="C5" s="51">
        <v>1060.2021204042408</v>
      </c>
      <c r="D5" s="52">
        <v>1060.2021204042408</v>
      </c>
      <c r="E5" s="52">
        <v>1060.2021204042408</v>
      </c>
      <c r="F5" s="52">
        <v>18122.636245272486</v>
      </c>
      <c r="G5" s="52">
        <v>16535.433070866136</v>
      </c>
      <c r="H5" s="52">
        <v>16138.632277264553</v>
      </c>
      <c r="I5" s="52">
        <v>16833.033666067327</v>
      </c>
      <c r="J5" s="52">
        <v>18221.836443672884</v>
      </c>
      <c r="K5" s="52">
        <v>1159.4023188046374</v>
      </c>
      <c r="L5" s="52">
        <v>1159.4023188046374</v>
      </c>
      <c r="M5" s="52">
        <v>1159.4023188046374</v>
      </c>
      <c r="N5" s="53">
        <v>1060.2021204042408</v>
      </c>
    </row>
    <row r="6" spans="1:14" ht="12.75">
      <c r="A6" s="37">
        <v>0.416666666666667</v>
      </c>
      <c r="B6" s="32">
        <v>80.5</v>
      </c>
      <c r="C6" s="51">
        <v>2555.955111910224</v>
      </c>
      <c r="D6" s="52">
        <v>2555.955111910224</v>
      </c>
      <c r="E6" s="52">
        <v>2555.955111910224</v>
      </c>
      <c r="F6" s="52">
        <v>14261.578523157044</v>
      </c>
      <c r="G6" s="52">
        <v>12971.975943951886</v>
      </c>
      <c r="H6" s="52">
        <v>12872.77574555149</v>
      </c>
      <c r="I6" s="52">
        <v>13666.377332754664</v>
      </c>
      <c r="J6" s="52">
        <v>14459.978919957839</v>
      </c>
      <c r="K6" s="52">
        <v>2555.955111910224</v>
      </c>
      <c r="L6" s="52">
        <v>2655.1553103106207</v>
      </c>
      <c r="M6" s="52">
        <v>2555.955111910224</v>
      </c>
      <c r="N6" s="53">
        <v>2555.955111910224</v>
      </c>
    </row>
    <row r="7" spans="1:14" ht="12.75">
      <c r="A7" s="37">
        <v>0.458333333333333</v>
      </c>
      <c r="B7" s="32">
        <v>74</v>
      </c>
      <c r="C7" s="51">
        <v>1587.2031744063486</v>
      </c>
      <c r="D7" s="52">
        <v>1587.2031744063486</v>
      </c>
      <c r="E7" s="52">
        <v>1587.2031744063486</v>
      </c>
      <c r="F7" s="52">
        <v>6646.413292826585</v>
      </c>
      <c r="G7" s="52">
        <v>5753.611507223013</v>
      </c>
      <c r="H7" s="52">
        <v>5952.011904023807</v>
      </c>
      <c r="I7" s="52">
        <v>6646.413292826585</v>
      </c>
      <c r="J7" s="52">
        <v>6844.813689627379</v>
      </c>
      <c r="K7" s="52">
        <v>1587.2031744063486</v>
      </c>
      <c r="L7" s="52">
        <v>1587.2031744063486</v>
      </c>
      <c r="M7" s="52">
        <v>1587.2031744063486</v>
      </c>
      <c r="N7" s="53">
        <v>1587.2031744063486</v>
      </c>
    </row>
    <row r="8" spans="1:14" ht="12.75">
      <c r="A8" s="37">
        <v>0.5</v>
      </c>
      <c r="B8" s="32">
        <v>87</v>
      </c>
      <c r="C8" s="51">
        <v>3723.107446214892</v>
      </c>
      <c r="D8" s="52">
        <v>3723.107446214892</v>
      </c>
      <c r="E8" s="52">
        <v>4516.709033418067</v>
      </c>
      <c r="F8" s="52">
        <v>6897.513795027589</v>
      </c>
      <c r="G8" s="52">
        <v>10171.120342240683</v>
      </c>
      <c r="H8" s="52">
        <v>11659.123318246635</v>
      </c>
      <c r="I8" s="52">
        <v>10567.92113584227</v>
      </c>
      <c r="J8" s="52">
        <v>7095.914191828383</v>
      </c>
      <c r="K8" s="52">
        <v>3425.5068510137016</v>
      </c>
      <c r="L8" s="52">
        <v>3723.107446214892</v>
      </c>
      <c r="M8" s="52">
        <v>3723.107446214892</v>
      </c>
      <c r="N8" s="53">
        <v>3723.107446214892</v>
      </c>
    </row>
    <row r="9" spans="1:14" ht="12.75">
      <c r="A9" s="37">
        <v>0.541666666666667</v>
      </c>
      <c r="B9" s="32">
        <v>90</v>
      </c>
      <c r="C9" s="51">
        <v>4216.0084320168635</v>
      </c>
      <c r="D9" s="52">
        <v>4216.0084320168635</v>
      </c>
      <c r="E9" s="52">
        <v>4216.0084320168635</v>
      </c>
      <c r="F9" s="52">
        <v>9275.2185504371</v>
      </c>
      <c r="G9" s="52">
        <v>8382.416764833528</v>
      </c>
      <c r="H9" s="52">
        <v>8580.817161634322</v>
      </c>
      <c r="I9" s="52">
        <v>9275.2185504371</v>
      </c>
      <c r="J9" s="52">
        <v>9473.618947237894</v>
      </c>
      <c r="K9" s="52">
        <v>4216.0084320168635</v>
      </c>
      <c r="L9" s="52">
        <v>4216.0084320168635</v>
      </c>
      <c r="M9" s="52">
        <v>4216.0084320168635</v>
      </c>
      <c r="N9" s="53">
        <v>4216.0084320168635</v>
      </c>
    </row>
    <row r="10" spans="1:14" ht="12.75">
      <c r="A10" s="37">
        <v>0.583333333333333</v>
      </c>
      <c r="B10" s="32">
        <v>91.5</v>
      </c>
      <c r="C10" s="51">
        <v>4363.2587265174525</v>
      </c>
      <c r="D10" s="52">
        <v>4363.2587265174525</v>
      </c>
      <c r="E10" s="52">
        <v>4363.2587265174525</v>
      </c>
      <c r="F10" s="52">
        <v>16068.882137764273</v>
      </c>
      <c r="G10" s="52">
        <v>14779.279558559114</v>
      </c>
      <c r="H10" s="52">
        <v>14680.079360158717</v>
      </c>
      <c r="I10" s="52">
        <v>15473.680947361892</v>
      </c>
      <c r="J10" s="52">
        <v>16267.282534565067</v>
      </c>
      <c r="K10" s="52">
        <v>4363.2587265174525</v>
      </c>
      <c r="L10" s="52">
        <v>4462.458924917849</v>
      </c>
      <c r="M10" s="52">
        <v>4363.2587265174525</v>
      </c>
      <c r="N10" s="53">
        <v>4363.2587265174525</v>
      </c>
    </row>
    <row r="11" spans="1:15" ht="12.75">
      <c r="A11" s="39">
        <v>0.625</v>
      </c>
      <c r="B11" s="40">
        <v>92</v>
      </c>
      <c r="C11" s="54">
        <v>4346.208692417385</v>
      </c>
      <c r="D11" s="55">
        <v>4346.208692417385</v>
      </c>
      <c r="E11" s="55">
        <v>4346.208692417385</v>
      </c>
      <c r="F11" s="55">
        <v>21408.642817285632</v>
      </c>
      <c r="G11" s="55">
        <v>19821.439642879282</v>
      </c>
      <c r="H11" s="55">
        <v>19424.638849277697</v>
      </c>
      <c r="I11" s="55">
        <v>20119.040238080474</v>
      </c>
      <c r="J11" s="55">
        <v>21507.84301568603</v>
      </c>
      <c r="K11" s="55">
        <v>4445.408890817781</v>
      </c>
      <c r="L11" s="55">
        <v>4445.408890817781</v>
      </c>
      <c r="M11" s="55">
        <v>4445.408890817781</v>
      </c>
      <c r="N11" s="56">
        <v>4346.208692417385</v>
      </c>
      <c r="O11" s="33">
        <f>SUM(C11:N11)</f>
        <v>133002.666005332</v>
      </c>
    </row>
    <row r="12" spans="1:14" ht="12.75">
      <c r="A12" s="37">
        <v>0.666666666666667</v>
      </c>
      <c r="B12" s="32">
        <v>91.5</v>
      </c>
      <c r="C12" s="51">
        <v>3966.457932915865</v>
      </c>
      <c r="D12" s="52">
        <v>3966.457932915865</v>
      </c>
      <c r="E12" s="52">
        <v>4065.658131316262</v>
      </c>
      <c r="F12" s="52">
        <v>22219.294438588873</v>
      </c>
      <c r="G12" s="52">
        <v>21227.29245458491</v>
      </c>
      <c r="H12" s="52">
        <v>20532.89106578213</v>
      </c>
      <c r="I12" s="52">
        <v>20830.49166098332</v>
      </c>
      <c r="J12" s="52">
        <v>22120.09424018848</v>
      </c>
      <c r="K12" s="52">
        <v>4164.858329716659</v>
      </c>
      <c r="L12" s="52">
        <v>4164.858329716659</v>
      </c>
      <c r="M12" s="52">
        <v>4164.858329716659</v>
      </c>
      <c r="N12" s="53">
        <v>4065.658131316262</v>
      </c>
    </row>
    <row r="13" spans="1:14" ht="12.75">
      <c r="A13" s="41">
        <v>0.708333333333333</v>
      </c>
      <c r="B13" s="42">
        <v>90</v>
      </c>
      <c r="C13" s="57">
        <v>3075.2061504123003</v>
      </c>
      <c r="D13" s="58">
        <v>3035.5260710521416</v>
      </c>
      <c r="E13" s="58">
        <v>3224.006448012896</v>
      </c>
      <c r="F13" s="58">
        <v>12945.625891251782</v>
      </c>
      <c r="G13" s="58">
        <v>14235.22847045694</v>
      </c>
      <c r="H13" s="58">
        <v>12846.425692851382</v>
      </c>
      <c r="I13" s="58">
        <v>11755.22351044702</v>
      </c>
      <c r="J13" s="58">
        <v>12449.624899249795</v>
      </c>
      <c r="K13" s="58">
        <v>3531.5270630541254</v>
      </c>
      <c r="L13" s="58">
        <v>3581.1271622543236</v>
      </c>
      <c r="M13" s="58">
        <v>3511.6870233740465</v>
      </c>
      <c r="N13" s="59">
        <v>3313.2866265732528</v>
      </c>
    </row>
    <row r="14" spans="1:14" ht="17.25" customHeight="1">
      <c r="A14" s="34"/>
      <c r="B14" s="35" t="s">
        <v>278</v>
      </c>
      <c r="C14" s="60">
        <f>SUM(C3:C13)</f>
        <v>30924.111848223696</v>
      </c>
      <c r="D14" s="61">
        <f>SUM(D3:D13)</f>
        <v>30844.751689503377</v>
      </c>
      <c r="E14" s="61">
        <f aca="true" t="shared" si="0" ref="E14:N14">SUM(E3:E13)</f>
        <v>32213.71442742885</v>
      </c>
      <c r="F14" s="61">
        <f t="shared" si="0"/>
        <v>157999.565999132</v>
      </c>
      <c r="G14" s="61">
        <f t="shared" si="0"/>
        <v>154329.15865831726</v>
      </c>
      <c r="H14" s="61">
        <f t="shared" si="0"/>
        <v>151055.55211110422</v>
      </c>
      <c r="I14" s="61">
        <f t="shared" si="0"/>
        <v>152741.95548391095</v>
      </c>
      <c r="J14" s="61">
        <f>SUM(J3:J13)</f>
        <v>157999.56599913197</v>
      </c>
      <c r="K14" s="61">
        <f t="shared" si="0"/>
        <v>32134.35426870853</v>
      </c>
      <c r="L14" s="61">
        <f t="shared" si="0"/>
        <v>32729.555459110914</v>
      </c>
      <c r="M14" s="61">
        <f t="shared" si="0"/>
        <v>32392.27478454956</v>
      </c>
      <c r="N14" s="62">
        <f t="shared" si="0"/>
        <v>31598.67319734639</v>
      </c>
    </row>
    <row r="15" spans="1:14" ht="15.75" customHeight="1">
      <c r="A15" s="36"/>
      <c r="B15" s="32" t="s">
        <v>279</v>
      </c>
      <c r="C15" s="38"/>
      <c r="D15" s="38"/>
      <c r="E15" s="38"/>
      <c r="F15" s="38"/>
      <c r="G15" s="38"/>
      <c r="H15" s="32"/>
      <c r="I15" s="32"/>
      <c r="J15" s="32"/>
      <c r="K15" s="32"/>
      <c r="L15" s="32"/>
      <c r="M15" s="32"/>
      <c r="N15" s="45">
        <f>SUM(C14:N14)</f>
        <v>996963.2339264677</v>
      </c>
    </row>
    <row r="16" spans="1:14" ht="15" customHeight="1">
      <c r="A16" s="36"/>
      <c r="B16" s="32" t="s">
        <v>286</v>
      </c>
      <c r="C16" s="38"/>
      <c r="D16" s="38"/>
      <c r="E16" s="38"/>
      <c r="F16" s="38"/>
      <c r="G16" s="38"/>
      <c r="H16" s="32"/>
      <c r="I16" s="32"/>
      <c r="J16" s="32"/>
      <c r="K16" s="32"/>
      <c r="L16" s="32"/>
      <c r="M16" s="32"/>
      <c r="N16" s="46">
        <f>+N15/(12*11)</f>
        <v>7552.75177217021</v>
      </c>
    </row>
    <row r="17" spans="1:14" ht="14.25" customHeight="1">
      <c r="A17" s="44"/>
      <c r="B17" s="42" t="s">
        <v>280</v>
      </c>
      <c r="C17" s="43"/>
      <c r="D17" s="43"/>
      <c r="E17" s="43"/>
      <c r="F17" s="43"/>
      <c r="G17" s="43"/>
      <c r="H17" s="42"/>
      <c r="I17" s="42"/>
      <c r="J17" s="42"/>
      <c r="K17" s="42"/>
      <c r="L17" s="42"/>
      <c r="M17" s="42"/>
      <c r="N17" s="47">
        <f>+O11/12</f>
        <v>11083.555500444332</v>
      </c>
    </row>
    <row r="19" ht="12.75">
      <c r="E19" s="4"/>
    </row>
  </sheetData>
  <mergeCells count="2">
    <mergeCell ref="C1:N1"/>
    <mergeCell ref="A1:A2"/>
  </mergeCells>
  <printOptions horizontalCentered="1" verticalCentered="1"/>
  <pageMargins left="1.5748031496062993" right="1.5748031496062993" top="0.984251968503937" bottom="1.5748031496062993" header="0" footer="0"/>
  <pageSetup horizontalDpi="600" verticalDpi="600" orientation="landscape" paperSize="9" scale="74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19"/>
  <sheetViews>
    <sheetView tabSelected="1" workbookViewId="0" topLeftCell="B16">
      <selection activeCell="F45" sqref="F45"/>
    </sheetView>
  </sheetViews>
  <sheetFormatPr defaultColWidth="11.421875" defaultRowHeight="12.75"/>
  <cols>
    <col min="4" max="4" width="13.28125" style="0" customWidth="1"/>
    <col min="5" max="5" width="24.7109375" style="0" customWidth="1"/>
    <col min="6" max="6" width="20.57421875" style="0" customWidth="1"/>
    <col min="11" max="11" width="13.140625" style="0" customWidth="1"/>
    <col min="12" max="12" width="13.57421875" style="0" customWidth="1"/>
    <col min="13" max="13" width="19.7109375" style="0" customWidth="1"/>
    <col min="15" max="15" width="16.00390625" style="0" customWidth="1"/>
  </cols>
  <sheetData>
    <row r="1" spans="3:15" ht="12.75">
      <c r="C1" t="s">
        <v>172</v>
      </c>
      <c r="D1" t="s">
        <v>171</v>
      </c>
      <c r="E1" s="6" t="s">
        <v>40</v>
      </c>
      <c r="K1" t="s">
        <v>47</v>
      </c>
      <c r="L1" t="s">
        <v>48</v>
      </c>
      <c r="M1" s="6" t="s">
        <v>60</v>
      </c>
      <c r="O1" s="6" t="s">
        <v>78</v>
      </c>
    </row>
    <row r="2" spans="6:8" ht="12.75">
      <c r="F2" s="6" t="s">
        <v>38</v>
      </c>
      <c r="H2" s="6" t="s">
        <v>39</v>
      </c>
    </row>
    <row r="3" spans="1:16" ht="12.75">
      <c r="A3" t="s">
        <v>321</v>
      </c>
      <c r="B3" t="s">
        <v>173</v>
      </c>
      <c r="C3" s="4">
        <f>1.1*4.66</f>
        <v>5.126</v>
      </c>
      <c r="D3" s="4">
        <f>+ROUNDUP(C3*(POWER((100/(2.54*12)),2)),2)</f>
        <v>55.18</v>
      </c>
      <c r="E3" t="s">
        <v>29</v>
      </c>
      <c r="F3" s="4">
        <f>+N28</f>
        <v>241.69</v>
      </c>
      <c r="H3">
        <v>0</v>
      </c>
      <c r="J3" t="s">
        <v>97</v>
      </c>
      <c r="K3">
        <v>74</v>
      </c>
      <c r="L3">
        <f>+(K3-32)*5/9</f>
        <v>23.333333333333332</v>
      </c>
      <c r="M3" t="s">
        <v>61</v>
      </c>
      <c r="N3">
        <v>0.17</v>
      </c>
      <c r="O3" t="s">
        <v>75</v>
      </c>
      <c r="P3">
        <v>0.68</v>
      </c>
    </row>
    <row r="4" spans="2:16" ht="12.75">
      <c r="B4" t="s">
        <v>174</v>
      </c>
      <c r="C4" s="4">
        <f>+(2.1+1.9+1.95+1.9+5.3)*3+(4.66*1.9)+(2.35-0.63)*3</f>
        <v>53.464</v>
      </c>
      <c r="D4" s="4">
        <f>+ROUNDUP(C4*(POWER((100/(2.54*12)),2)),2)</f>
        <v>575.49</v>
      </c>
      <c r="E4" t="s">
        <v>333</v>
      </c>
      <c r="F4" s="4"/>
      <c r="H4">
        <v>0</v>
      </c>
      <c r="J4" t="s">
        <v>98</v>
      </c>
      <c r="K4">
        <v>92</v>
      </c>
      <c r="L4">
        <f>+(K4-32)*5/9</f>
        <v>33.333333333333336</v>
      </c>
      <c r="M4" t="s">
        <v>65</v>
      </c>
      <c r="N4">
        <v>0.44</v>
      </c>
      <c r="O4" t="s">
        <v>62</v>
      </c>
      <c r="P4">
        <v>0.1</v>
      </c>
    </row>
    <row r="5" spans="2:14" ht="12.75">
      <c r="B5" t="s">
        <v>175</v>
      </c>
      <c r="C5" s="4">
        <f>+(1.09+0.63+1.9)*2</f>
        <v>7.24</v>
      </c>
      <c r="D5" s="4">
        <f>+ROUNDUP(C5*(POWER((100/(2.54*12)),2)),2)</f>
        <v>77.94000000000001</v>
      </c>
      <c r="E5" t="s">
        <v>31</v>
      </c>
      <c r="F5" s="4">
        <f>+N24+N32</f>
        <v>2110.0699999999997</v>
      </c>
      <c r="H5">
        <v>0</v>
      </c>
      <c r="J5" s="1" t="s">
        <v>99</v>
      </c>
      <c r="K5">
        <v>80</v>
      </c>
      <c r="L5">
        <f>+(K5-32)*5/9</f>
        <v>26.666666666666668</v>
      </c>
      <c r="M5" t="s">
        <v>62</v>
      </c>
      <c r="N5">
        <v>0.1</v>
      </c>
    </row>
    <row r="6" spans="2:16" ht="12.75">
      <c r="B6" t="s">
        <v>176</v>
      </c>
      <c r="C6" s="4">
        <v>30.89</v>
      </c>
      <c r="D6" s="4">
        <f>+ROUNDUP(C6*(POWER((100/(2.54*12)),2)),2)</f>
        <v>332.5</v>
      </c>
      <c r="E6" t="s">
        <v>32</v>
      </c>
      <c r="F6" s="4">
        <f>+N37</f>
        <v>397.5</v>
      </c>
      <c r="H6">
        <v>0</v>
      </c>
      <c r="J6" t="s">
        <v>178</v>
      </c>
      <c r="K6">
        <v>82</v>
      </c>
      <c r="L6">
        <f>+(K6-32)*5/9</f>
        <v>27.77777777777778</v>
      </c>
      <c r="M6" t="s">
        <v>63</v>
      </c>
      <c r="N6">
        <v>1.72</v>
      </c>
      <c r="O6" t="s">
        <v>76</v>
      </c>
      <c r="P6">
        <v>0.8</v>
      </c>
    </row>
    <row r="7" spans="1:16" ht="12.75">
      <c r="A7" t="s">
        <v>322</v>
      </c>
      <c r="B7" s="1" t="s">
        <v>174</v>
      </c>
      <c r="C7" s="4">
        <f>+(2.96+1.1+1.85)*3</f>
        <v>17.73</v>
      </c>
      <c r="D7" s="4">
        <f>+ROUNDUP(C7*(POWER((100/(2.54*12)),2)),2)</f>
        <v>190.85</v>
      </c>
      <c r="E7" t="s">
        <v>33</v>
      </c>
      <c r="F7" s="4">
        <f>+N42</f>
        <v>1044.51</v>
      </c>
      <c r="H7">
        <v>0</v>
      </c>
      <c r="J7" t="s">
        <v>329</v>
      </c>
      <c r="K7">
        <v>63</v>
      </c>
      <c r="M7" t="s">
        <v>62</v>
      </c>
      <c r="N7">
        <v>0.1</v>
      </c>
      <c r="O7" t="s">
        <v>77</v>
      </c>
      <c r="P7">
        <v>0.1</v>
      </c>
    </row>
    <row r="8" spans="4:14" ht="12.75">
      <c r="D8" s="4"/>
      <c r="E8" t="s">
        <v>323</v>
      </c>
      <c r="F8" s="4">
        <f>+N45</f>
        <v>658.42</v>
      </c>
      <c r="H8">
        <v>0</v>
      </c>
      <c r="J8" t="s">
        <v>330</v>
      </c>
      <c r="K8">
        <v>136</v>
      </c>
      <c r="M8" t="s">
        <v>64</v>
      </c>
      <c r="N8">
        <v>0.45</v>
      </c>
    </row>
    <row r="9" spans="2:16" ht="12.75">
      <c r="B9" t="s">
        <v>181</v>
      </c>
      <c r="C9" t="s">
        <v>182</v>
      </c>
      <c r="D9" s="4"/>
      <c r="E9" t="s">
        <v>156</v>
      </c>
      <c r="F9">
        <f>245*4</f>
        <v>980</v>
      </c>
      <c r="H9">
        <f>205*4</f>
        <v>820</v>
      </c>
      <c r="J9" t="s">
        <v>342</v>
      </c>
      <c r="K9">
        <f>+F41</f>
        <v>50.6</v>
      </c>
      <c r="L9">
        <f>+(K9-32)*5/9</f>
        <v>10.333333333333334</v>
      </c>
      <c r="M9" t="s">
        <v>66</v>
      </c>
      <c r="N9">
        <v>0.68</v>
      </c>
      <c r="O9" t="s">
        <v>75</v>
      </c>
      <c r="P9">
        <v>0.68</v>
      </c>
    </row>
    <row r="10" spans="5:16" ht="12.75">
      <c r="E10" t="s">
        <v>157</v>
      </c>
      <c r="F10">
        <f>3413*0.8*1.25</f>
        <v>3413</v>
      </c>
      <c r="H10">
        <v>0</v>
      </c>
      <c r="M10" t="s">
        <v>67</v>
      </c>
      <c r="N10">
        <f>SUM(N3:N9)</f>
        <v>3.66</v>
      </c>
      <c r="O10" t="s">
        <v>67</v>
      </c>
      <c r="P10">
        <f>+P3+P4+P5+P6+P7+P8*2+P9</f>
        <v>2.3600000000000003</v>
      </c>
    </row>
    <row r="11" spans="3:16" ht="27" customHeight="1">
      <c r="C11">
        <f>2*D6</f>
        <v>665</v>
      </c>
      <c r="E11" s="1" t="s">
        <v>324</v>
      </c>
      <c r="F11">
        <v>2700</v>
      </c>
      <c r="H11">
        <v>2400</v>
      </c>
      <c r="M11" s="6" t="s">
        <v>68</v>
      </c>
      <c r="N11" s="4">
        <f>1/N10</f>
        <v>0.27322404371584696</v>
      </c>
      <c r="O11" s="6" t="s">
        <v>74</v>
      </c>
      <c r="P11" s="4">
        <f>1/P10</f>
        <v>0.42372881355932196</v>
      </c>
    </row>
    <row r="12" spans="3:8" ht="26.25" customHeight="1">
      <c r="C12" s="4">
        <f>+C11-F35</f>
        <v>40.863834955856646</v>
      </c>
      <c r="E12" s="1" t="s">
        <v>325</v>
      </c>
      <c r="F12">
        <f>4*795*0.7</f>
        <v>2226</v>
      </c>
      <c r="H12">
        <v>0</v>
      </c>
    </row>
    <row r="13" spans="5:16" ht="12.75">
      <c r="E13" t="s">
        <v>72</v>
      </c>
      <c r="F13" s="15">
        <f>+ROUNDUP((F3+F5+F6+F7+F8+F9+F10+F11+F12),2)</f>
        <v>13771.19</v>
      </c>
      <c r="H13" s="19">
        <f>+H9+H11+H12</f>
        <v>3220</v>
      </c>
      <c r="L13" t="s">
        <v>92</v>
      </c>
      <c r="M13" t="s">
        <v>87</v>
      </c>
      <c r="N13">
        <v>0.45</v>
      </c>
      <c r="O13" t="s">
        <v>66</v>
      </c>
      <c r="P13">
        <v>0.61</v>
      </c>
    </row>
    <row r="14" spans="6:16" ht="12.75">
      <c r="F14" s="4"/>
      <c r="O14" t="s">
        <v>62</v>
      </c>
      <c r="P14">
        <v>0.1</v>
      </c>
    </row>
    <row r="15" spans="5:16" ht="12.75">
      <c r="E15" s="6" t="s">
        <v>158</v>
      </c>
      <c r="L15" t="s">
        <v>93</v>
      </c>
      <c r="M15" t="s">
        <v>89</v>
      </c>
      <c r="N15">
        <v>0.85</v>
      </c>
      <c r="O15" t="s">
        <v>296</v>
      </c>
      <c r="P15">
        <v>2.22</v>
      </c>
    </row>
    <row r="16" spans="5:16" ht="12.75">
      <c r="E16" t="s">
        <v>57</v>
      </c>
      <c r="F16" s="4">
        <f>+D3</f>
        <v>55.18</v>
      </c>
      <c r="M16" t="s">
        <v>66</v>
      </c>
      <c r="N16">
        <v>0.61</v>
      </c>
      <c r="O16" t="s">
        <v>62</v>
      </c>
      <c r="P16">
        <v>0.1</v>
      </c>
    </row>
    <row r="17" spans="5:16" ht="12.75">
      <c r="E17" t="s">
        <v>58</v>
      </c>
      <c r="F17" s="4">
        <f>+D4</f>
        <v>575.49</v>
      </c>
      <c r="M17" t="s">
        <v>90</v>
      </c>
      <c r="N17">
        <f>+N13+N15+N16</f>
        <v>1.9100000000000001</v>
      </c>
      <c r="O17" t="s">
        <v>90</v>
      </c>
      <c r="P17" s="4">
        <f>+P13+P14+P15+P16</f>
        <v>3.0300000000000002</v>
      </c>
    </row>
    <row r="18" spans="13:16" ht="12.75">
      <c r="M18" s="6" t="s">
        <v>88</v>
      </c>
      <c r="N18" s="4">
        <f>1/N17</f>
        <v>0.5235602094240838</v>
      </c>
      <c r="O18" s="6" t="s">
        <v>295</v>
      </c>
      <c r="P18" s="4">
        <f>1/P17</f>
        <v>0.33003300330033003</v>
      </c>
    </row>
    <row r="19" ht="12.75">
      <c r="Q19" t="s">
        <v>141</v>
      </c>
    </row>
    <row r="20" spans="5:18" ht="12.75">
      <c r="E20" t="s">
        <v>55</v>
      </c>
      <c r="F20">
        <v>0.73</v>
      </c>
      <c r="G20" t="s">
        <v>49</v>
      </c>
      <c r="Q20" t="s">
        <v>142</v>
      </c>
      <c r="R20">
        <v>75</v>
      </c>
    </row>
    <row r="21" spans="5:18" ht="12.75">
      <c r="E21" t="s">
        <v>53</v>
      </c>
      <c r="F21">
        <f>+K4</f>
        <v>92</v>
      </c>
      <c r="Q21" t="s">
        <v>143</v>
      </c>
      <c r="R21">
        <v>76</v>
      </c>
    </row>
    <row r="22" spans="5:18" ht="12.75">
      <c r="E22" t="s">
        <v>54</v>
      </c>
      <c r="F22">
        <f>+K3</f>
        <v>74</v>
      </c>
      <c r="M22" s="6" t="s">
        <v>179</v>
      </c>
      <c r="Q22" t="s">
        <v>144</v>
      </c>
      <c r="R22">
        <v>72</v>
      </c>
    </row>
    <row r="23" spans="5:18" ht="12.75">
      <c r="E23" t="s">
        <v>99</v>
      </c>
      <c r="F23">
        <f>+K5</f>
        <v>80</v>
      </c>
      <c r="H23" t="s">
        <v>100</v>
      </c>
      <c r="M23" t="s">
        <v>80</v>
      </c>
      <c r="Q23" t="s">
        <v>145</v>
      </c>
      <c r="R23">
        <v>80.5</v>
      </c>
    </row>
    <row r="24" spans="5:18" ht="12.75">
      <c r="E24" t="s">
        <v>28</v>
      </c>
      <c r="F24" s="4">
        <f>+N11</f>
        <v>0.27322404371584696</v>
      </c>
      <c r="M24">
        <f>+F29-F22</f>
        <v>8</v>
      </c>
      <c r="N24" s="5">
        <f>ROUNDUP((M24*F25*D7),2)</f>
        <v>646.95</v>
      </c>
      <c r="Q24" t="s">
        <v>146</v>
      </c>
      <c r="R24">
        <v>74</v>
      </c>
    </row>
    <row r="25" spans="5:18" ht="12.75">
      <c r="E25" t="s">
        <v>41</v>
      </c>
      <c r="F25" s="4">
        <f>+P11</f>
        <v>0.42372881355932196</v>
      </c>
      <c r="Q25" t="s">
        <v>147</v>
      </c>
      <c r="R25">
        <v>87</v>
      </c>
    </row>
    <row r="26" spans="5:18" ht="12.75">
      <c r="E26" t="s">
        <v>83</v>
      </c>
      <c r="F26" s="4">
        <v>0.85</v>
      </c>
      <c r="M26" s="6" t="s">
        <v>177</v>
      </c>
      <c r="Q26" t="s">
        <v>148</v>
      </c>
      <c r="R26">
        <v>90</v>
      </c>
    </row>
    <row r="27" spans="5:18" ht="12.75">
      <c r="E27" t="s">
        <v>85</v>
      </c>
      <c r="F27" s="4">
        <f>+D6</f>
        <v>332.5</v>
      </c>
      <c r="M27" t="s">
        <v>80</v>
      </c>
      <c r="Q27" t="s">
        <v>149</v>
      </c>
      <c r="R27">
        <v>91.5</v>
      </c>
    </row>
    <row r="28" spans="5:18" ht="12.75">
      <c r="E28" t="s">
        <v>91</v>
      </c>
      <c r="F28" s="4">
        <f>+N18</f>
        <v>0.5235602094240838</v>
      </c>
      <c r="M28">
        <v>6</v>
      </c>
      <c r="N28" s="5">
        <f>+ROUNDUP((M28*D3*F20),2)</f>
        <v>241.69</v>
      </c>
      <c r="Q28" t="s">
        <v>150</v>
      </c>
      <c r="R28">
        <v>92</v>
      </c>
    </row>
    <row r="29" spans="5:18" ht="12.75">
      <c r="E29" t="s">
        <v>178</v>
      </c>
      <c r="F29">
        <f>+K6</f>
        <v>82</v>
      </c>
      <c r="Q29" t="s">
        <v>151</v>
      </c>
      <c r="R29">
        <v>91.5</v>
      </c>
    </row>
    <row r="30" spans="5:18" ht="15.75">
      <c r="E30" s="107" t="s">
        <v>120</v>
      </c>
      <c r="F30" s="7">
        <v>0.1</v>
      </c>
      <c r="G30" s="7"/>
      <c r="H30" s="7"/>
      <c r="I30" s="7"/>
      <c r="J30" s="153"/>
      <c r="K30" s="153"/>
      <c r="L30" s="153"/>
      <c r="M30" s="6" t="s">
        <v>79</v>
      </c>
      <c r="Q30" t="s">
        <v>152</v>
      </c>
      <c r="R30">
        <v>90</v>
      </c>
    </row>
    <row r="31" spans="11:14" ht="12.75">
      <c r="K31" s="8"/>
      <c r="M31" t="s">
        <v>80</v>
      </c>
      <c r="N31" t="s">
        <v>26</v>
      </c>
    </row>
    <row r="32" spans="5:15" ht="12.75">
      <c r="E32" s="2" t="s">
        <v>314</v>
      </c>
      <c r="F32" s="4">
        <f>+F13/(F13+H13)</f>
        <v>0.8104900245362449</v>
      </c>
      <c r="G32" s="4"/>
      <c r="H32" s="3"/>
      <c r="I32" s="4"/>
      <c r="L32" s="4"/>
      <c r="M32">
        <f>+F23-F22</f>
        <v>6</v>
      </c>
      <c r="N32" s="5">
        <f>+ROUNDUP((M32*D4*F25),2)</f>
        <v>1463.12</v>
      </c>
      <c r="O32" s="4">
        <f>+N32+N24</f>
        <v>2110.0699999999997</v>
      </c>
    </row>
    <row r="33" spans="5:12" ht="12.75">
      <c r="E33" s="93" t="s">
        <v>327</v>
      </c>
      <c r="F33" s="94">
        <v>51.3</v>
      </c>
      <c r="G33" s="4"/>
      <c r="H33" s="3"/>
      <c r="I33" s="4"/>
      <c r="L33" s="4"/>
    </row>
    <row r="34" spans="5:12" ht="12.75">
      <c r="E34" s="97" t="s">
        <v>341</v>
      </c>
      <c r="F34" s="98">
        <f>+$F$30*($K$3-$F$33)+$F$33</f>
        <v>53.57</v>
      </c>
      <c r="G34" s="4"/>
      <c r="H34" s="3"/>
      <c r="I34" s="4"/>
      <c r="L34" s="4"/>
    </row>
    <row r="35" spans="5:13" ht="12.75">
      <c r="E35" t="s">
        <v>326</v>
      </c>
      <c r="F35" s="4">
        <f>+F13/(1.08*(K3-F33)*(1-F30))</f>
        <v>624.1361650441434</v>
      </c>
      <c r="G35" s="4"/>
      <c r="H35" s="3">
        <f>+F13/((1.08*(K3-F34)))</f>
        <v>624.1361650441435</v>
      </c>
      <c r="I35" s="4"/>
      <c r="L35" s="4"/>
      <c r="M35" s="6" t="s">
        <v>84</v>
      </c>
    </row>
    <row r="36" spans="5:14" ht="12.75">
      <c r="E36" t="s">
        <v>310</v>
      </c>
      <c r="F36" s="4">
        <f>1.08*F35*(K4-K3)*F30</f>
        <v>1213.3207048458148</v>
      </c>
      <c r="G36" s="4"/>
      <c r="H36" s="3"/>
      <c r="I36" s="4"/>
      <c r="L36" s="4"/>
      <c r="M36" t="s">
        <v>80</v>
      </c>
      <c r="N36" t="s">
        <v>26</v>
      </c>
    </row>
    <row r="37" spans="5:14" ht="12.75">
      <c r="E37" t="s">
        <v>328</v>
      </c>
      <c r="F37" s="4">
        <f>0.685*F35*(K8-K7)*F30</f>
        <v>3120.9928933032393</v>
      </c>
      <c r="G37" s="4"/>
      <c r="H37" s="3"/>
      <c r="I37" s="4"/>
      <c r="L37" s="4"/>
      <c r="M37">
        <f>+F23-F22</f>
        <v>6</v>
      </c>
      <c r="N37" s="5">
        <f>+ROUNDUP((D5*F26*M37),2)</f>
        <v>397.5</v>
      </c>
    </row>
    <row r="38" spans="6:12" ht="12" customHeight="1">
      <c r="F38" s="3"/>
      <c r="G38" s="4"/>
      <c r="H38" s="4"/>
      <c r="I38" s="4"/>
      <c r="L38" s="4"/>
    </row>
    <row r="39" spans="5:13" ht="12.75">
      <c r="E39" t="s">
        <v>331</v>
      </c>
      <c r="F39" s="4">
        <f>+(F13+F36)/(F13+H13+F36+F37)</f>
        <v>0.7026568275811501</v>
      </c>
      <c r="G39" s="4"/>
      <c r="H39" s="4"/>
      <c r="I39" s="4"/>
      <c r="L39" s="4"/>
      <c r="M39" s="6" t="s">
        <v>86</v>
      </c>
    </row>
    <row r="40" spans="5:14" ht="12.75">
      <c r="E40" s="95" t="s">
        <v>327</v>
      </c>
      <c r="F40" s="94">
        <v>48</v>
      </c>
      <c r="G40" s="4"/>
      <c r="H40" s="3"/>
      <c r="I40" s="4"/>
      <c r="L40" s="4"/>
      <c r="M40" t="s">
        <v>80</v>
      </c>
      <c r="N40" t="s">
        <v>26</v>
      </c>
    </row>
    <row r="41" spans="5:12" ht="12.75">
      <c r="E41" s="97" t="s">
        <v>341</v>
      </c>
      <c r="F41" s="98">
        <f>+F30*(K3-F40)+F40</f>
        <v>50.6</v>
      </c>
      <c r="G41" s="4"/>
      <c r="H41" s="3"/>
      <c r="I41" s="4"/>
      <c r="L41" s="4"/>
    </row>
    <row r="42" spans="5:15" ht="12.75">
      <c r="E42" t="s">
        <v>310</v>
      </c>
      <c r="F42" s="4">
        <f>+F35*1.08*(K4-K3)*(1-F30)</f>
        <v>10919.886343612332</v>
      </c>
      <c r="G42" s="4"/>
      <c r="H42" s="3"/>
      <c r="I42" s="4"/>
      <c r="L42" s="4"/>
      <c r="M42">
        <f>+F23-F22</f>
        <v>6</v>
      </c>
      <c r="N42" s="5">
        <f>+ROUNDUP((F28*M42*F27),2)</f>
        <v>1044.51</v>
      </c>
      <c r="O42" s="4"/>
    </row>
    <row r="43" spans="5:14" ht="12.75">
      <c r="E43" t="s">
        <v>328</v>
      </c>
      <c r="F43" s="4">
        <f>0.685*F35*(K8-K7)*(1-F30)</f>
        <v>28088.936039729153</v>
      </c>
      <c r="G43" s="4"/>
      <c r="H43" s="3"/>
      <c r="I43" s="4"/>
      <c r="L43" s="4"/>
      <c r="M43" s="6" t="s">
        <v>180</v>
      </c>
      <c r="N43" s="11"/>
    </row>
    <row r="44" spans="6:14" ht="12.75">
      <c r="F44" s="3"/>
      <c r="G44" s="4"/>
      <c r="H44" s="3"/>
      <c r="I44" s="4"/>
      <c r="L44" s="4"/>
      <c r="M44" t="s">
        <v>80</v>
      </c>
      <c r="N44" t="s">
        <v>26</v>
      </c>
    </row>
    <row r="45" spans="5:14" ht="12.75">
      <c r="E45" s="64" t="s">
        <v>332</v>
      </c>
      <c r="F45" s="5">
        <f>+F13+H13+F36+F37+F42+F43</f>
        <v>60334.32598149054</v>
      </c>
      <c r="G45" s="4"/>
      <c r="H45" s="3"/>
      <c r="I45" s="4"/>
      <c r="L45" s="4"/>
      <c r="M45">
        <f>+F23-F22</f>
        <v>6</v>
      </c>
      <c r="N45" s="5">
        <f>+ROUNDUP((F27*M45*P18),2)</f>
        <v>658.42</v>
      </c>
    </row>
    <row r="46" spans="6:12" ht="12.75">
      <c r="F46" s="3"/>
      <c r="G46" s="4"/>
      <c r="H46" s="4"/>
      <c r="I46" s="4"/>
      <c r="L46" s="4"/>
    </row>
    <row r="47" spans="4:14" ht="12.75">
      <c r="D47" s="1" t="s">
        <v>334</v>
      </c>
      <c r="F47" s="3"/>
      <c r="G47" s="4"/>
      <c r="H47" s="4"/>
      <c r="I47" s="4"/>
      <c r="L47" s="4"/>
      <c r="N47" s="4">
        <f>+ROUNDUP((N32+N37+N42+N45+N28+N24),2)</f>
        <v>4452.19</v>
      </c>
    </row>
    <row r="48" spans="4:12" ht="25.5">
      <c r="D48" s="1" t="s">
        <v>335</v>
      </c>
      <c r="E48" s="2"/>
      <c r="F48" s="3">
        <f>3.5*0.6</f>
        <v>2.1</v>
      </c>
      <c r="G48" s="4" t="s">
        <v>336</v>
      </c>
      <c r="H48" s="3"/>
      <c r="I48" s="4"/>
      <c r="L48" s="4"/>
    </row>
    <row r="49" spans="4:12" ht="15" customHeight="1">
      <c r="D49" s="1" t="s">
        <v>337</v>
      </c>
      <c r="E49" s="96">
        <v>4</v>
      </c>
      <c r="F49" s="3">
        <f>+E49*F48</f>
        <v>8.4</v>
      </c>
      <c r="G49" s="4" t="s">
        <v>326</v>
      </c>
      <c r="H49" s="3"/>
      <c r="I49" s="4"/>
      <c r="L49" s="4"/>
    </row>
    <row r="50" spans="4:12" ht="39.75" customHeight="1">
      <c r="D50" s="1" t="s">
        <v>340</v>
      </c>
      <c r="E50" s="96">
        <v>90</v>
      </c>
      <c r="F50" s="3"/>
      <c r="G50" s="4"/>
      <c r="H50" s="3"/>
      <c r="I50" s="4"/>
      <c r="L50" s="9"/>
    </row>
    <row r="51" spans="4:12" ht="12.75">
      <c r="D51" s="1" t="s">
        <v>338</v>
      </c>
      <c r="E51" s="96"/>
      <c r="F51" s="3">
        <f>+(F49/13.5)*0.244*(K5-K3)</f>
        <v>0.9109333333333334</v>
      </c>
      <c r="G51" s="4"/>
      <c r="H51" s="3"/>
      <c r="I51" s="4"/>
      <c r="L51" s="10"/>
    </row>
    <row r="52" spans="4:9" ht="12.75">
      <c r="D52" s="1" t="s">
        <v>339</v>
      </c>
      <c r="E52" s="96"/>
      <c r="F52" s="3">
        <f>+(F49/13.5)*(E50-K7)*(3/20)</f>
        <v>2.52</v>
      </c>
      <c r="G52" s="4"/>
      <c r="H52" s="3"/>
      <c r="I52" s="4"/>
    </row>
    <row r="53" spans="5:9" ht="12.75">
      <c r="E53" s="96"/>
      <c r="F53" s="3"/>
      <c r="G53" s="4"/>
      <c r="H53" s="4"/>
      <c r="I53" s="4"/>
    </row>
    <row r="54" spans="5:9" ht="12.75">
      <c r="E54" s="96"/>
      <c r="F54" s="3"/>
      <c r="G54" s="4"/>
      <c r="H54" s="4"/>
      <c r="I54" s="4"/>
    </row>
    <row r="55" spans="5:9" ht="12.75">
      <c r="E55" s="96"/>
      <c r="F55" s="3"/>
      <c r="G55" s="4"/>
      <c r="H55" s="3"/>
      <c r="I55" s="4"/>
    </row>
    <row r="56" spans="5:9" ht="12.75">
      <c r="E56" s="96"/>
      <c r="F56" s="3"/>
      <c r="G56" s="4"/>
      <c r="H56" s="3"/>
      <c r="I56" s="4"/>
    </row>
    <row r="57" spans="5:9" ht="12.75">
      <c r="E57" s="96"/>
      <c r="F57" s="3"/>
      <c r="G57" s="4"/>
      <c r="H57" s="3"/>
      <c r="I57" s="4"/>
    </row>
    <row r="58" spans="5:9" ht="12.75">
      <c r="E58" s="96"/>
      <c r="F58" s="3"/>
      <c r="G58" s="4"/>
      <c r="H58" s="3"/>
      <c r="I58" s="4"/>
    </row>
    <row r="59" spans="5:9" ht="12.75">
      <c r="E59" s="96"/>
      <c r="F59" s="3"/>
      <c r="G59" s="4"/>
      <c r="H59" s="3"/>
      <c r="I59" s="4"/>
    </row>
    <row r="60" spans="5:9" ht="12.75">
      <c r="E60" s="96"/>
      <c r="F60" s="3"/>
      <c r="G60" s="4"/>
      <c r="H60" s="4"/>
      <c r="I60" s="4"/>
    </row>
    <row r="61" spans="5:9" ht="12.75">
      <c r="E61" s="96"/>
      <c r="F61" s="3"/>
      <c r="G61" s="4"/>
      <c r="H61" s="4"/>
      <c r="I61" s="4"/>
    </row>
    <row r="62" spans="5:9" ht="12.75">
      <c r="E62" s="96"/>
      <c r="F62" s="3"/>
      <c r="G62" s="4"/>
      <c r="H62" s="3"/>
      <c r="I62" s="4"/>
    </row>
    <row r="63" spans="5:9" ht="12.75">
      <c r="E63" s="96"/>
      <c r="F63" s="3"/>
      <c r="G63" s="4"/>
      <c r="H63" s="3"/>
      <c r="I63" s="4"/>
    </row>
    <row r="64" spans="5:9" ht="12.75">
      <c r="E64" s="96"/>
      <c r="F64" s="3"/>
      <c r="G64" s="4"/>
      <c r="H64" s="3"/>
      <c r="I64" s="4"/>
    </row>
    <row r="65" spans="5:9" ht="12.75">
      <c r="E65" s="96"/>
      <c r="F65" s="3"/>
      <c r="G65" s="4"/>
      <c r="H65" s="3"/>
      <c r="I65" s="4"/>
    </row>
    <row r="66" spans="5:9" ht="12.75">
      <c r="E66" s="2"/>
      <c r="F66" s="3"/>
      <c r="G66" s="4"/>
      <c r="H66" s="3"/>
      <c r="I66" s="4"/>
    </row>
    <row r="67" spans="5:9" ht="12.75">
      <c r="E67" s="2"/>
      <c r="F67" s="3"/>
      <c r="G67" s="4"/>
      <c r="H67" s="4"/>
      <c r="I67" s="4"/>
    </row>
    <row r="68" spans="5:9" ht="12.75">
      <c r="E68" s="2"/>
      <c r="F68" s="3"/>
      <c r="G68" s="4"/>
      <c r="H68" s="4"/>
      <c r="I68" s="4"/>
    </row>
    <row r="69" spans="5:9" ht="12.75">
      <c r="E69" s="2"/>
      <c r="F69" s="3"/>
      <c r="G69" s="4"/>
      <c r="H69" s="3"/>
      <c r="I69" s="4"/>
    </row>
    <row r="70" spans="5:9" ht="12.75">
      <c r="E70" s="2"/>
      <c r="F70" s="3"/>
      <c r="G70" s="4"/>
      <c r="H70" s="3"/>
      <c r="I70" s="4"/>
    </row>
    <row r="71" spans="5:9" ht="12.75">
      <c r="E71" s="2"/>
      <c r="F71" s="3"/>
      <c r="G71" s="4"/>
      <c r="H71" s="3"/>
      <c r="I71" s="4"/>
    </row>
    <row r="72" spans="5:9" ht="12.75">
      <c r="E72" s="2"/>
      <c r="F72" s="3"/>
      <c r="G72" s="4"/>
      <c r="H72" s="3"/>
      <c r="I72" s="4"/>
    </row>
    <row r="73" spans="5:9" ht="12.75">
      <c r="E73" s="2"/>
      <c r="F73" s="3"/>
      <c r="G73" s="4"/>
      <c r="H73" s="3"/>
      <c r="I73" s="4"/>
    </row>
    <row r="74" spans="5:9" ht="12.75">
      <c r="E74" s="2"/>
      <c r="F74" s="3"/>
      <c r="G74" s="4"/>
      <c r="H74" s="4"/>
      <c r="I74" s="4"/>
    </row>
    <row r="75" spans="5:9" ht="12.75">
      <c r="E75" s="2"/>
      <c r="F75" s="3"/>
      <c r="G75" s="4"/>
      <c r="H75" s="4"/>
      <c r="I75" s="4"/>
    </row>
    <row r="76" spans="5:9" ht="12.75">
      <c r="E76" s="2"/>
      <c r="F76" s="3"/>
      <c r="G76" s="4"/>
      <c r="H76" s="3"/>
      <c r="I76" s="4"/>
    </row>
    <row r="77" spans="5:9" ht="12.75">
      <c r="E77" s="2"/>
      <c r="F77" s="3"/>
      <c r="G77" s="4"/>
      <c r="H77" s="3"/>
      <c r="I77" s="4"/>
    </row>
    <row r="78" spans="5:9" ht="12.75">
      <c r="E78" s="2"/>
      <c r="F78" s="3"/>
      <c r="G78" s="4"/>
      <c r="H78" s="3"/>
      <c r="I78" s="4"/>
    </row>
    <row r="79" spans="5:9" ht="12.75">
      <c r="E79" s="2"/>
      <c r="F79" s="3"/>
      <c r="G79" s="4"/>
      <c r="H79" s="3"/>
      <c r="I79" s="4"/>
    </row>
    <row r="80" spans="5:9" ht="12.75">
      <c r="E80" s="2"/>
      <c r="F80" s="3"/>
      <c r="G80" s="4"/>
      <c r="H80" s="3"/>
      <c r="I80" s="4"/>
    </row>
    <row r="81" spans="5:9" ht="12.75">
      <c r="E81" s="2"/>
      <c r="F81" s="3"/>
      <c r="G81" s="4"/>
      <c r="H81" s="4"/>
      <c r="I81" s="4"/>
    </row>
    <row r="82" spans="5:9" ht="12.75">
      <c r="E82" s="2"/>
      <c r="F82" s="3"/>
      <c r="G82" s="4"/>
      <c r="H82" s="4"/>
      <c r="I82" s="4"/>
    </row>
    <row r="83" spans="5:9" ht="12.75">
      <c r="E83" s="2"/>
      <c r="F83" s="3"/>
      <c r="G83" s="4"/>
      <c r="H83" s="3"/>
      <c r="I83" s="4"/>
    </row>
    <row r="84" spans="5:9" ht="12.75">
      <c r="E84" s="2"/>
      <c r="F84" s="3"/>
      <c r="G84" s="4"/>
      <c r="H84" s="3"/>
      <c r="I84" s="4"/>
    </row>
    <row r="85" spans="5:9" ht="12.75">
      <c r="E85" s="2"/>
      <c r="F85" s="3"/>
      <c r="G85" s="4"/>
      <c r="H85" s="3"/>
      <c r="I85" s="4"/>
    </row>
    <row r="86" spans="5:9" ht="12.75">
      <c r="E86" s="2"/>
      <c r="F86" s="3"/>
      <c r="G86" s="4"/>
      <c r="H86" s="3"/>
      <c r="I86" s="4"/>
    </row>
    <row r="87" spans="5:9" ht="12.75">
      <c r="E87" s="2"/>
      <c r="F87" s="3"/>
      <c r="G87" s="4"/>
      <c r="H87" s="3"/>
      <c r="I87" s="4"/>
    </row>
    <row r="88" spans="5:9" ht="12.75">
      <c r="E88" s="2"/>
      <c r="F88" s="3"/>
      <c r="G88" s="4"/>
      <c r="H88" s="4"/>
      <c r="I88" s="4"/>
    </row>
    <row r="89" spans="5:9" ht="12.75">
      <c r="E89" s="2"/>
      <c r="F89" s="3"/>
      <c r="G89" s="4"/>
      <c r="H89" s="4"/>
      <c r="I89" s="4"/>
    </row>
    <row r="90" spans="5:9" ht="12.75">
      <c r="E90" s="2"/>
      <c r="F90" s="3"/>
      <c r="G90" s="4"/>
      <c r="H90" s="3"/>
      <c r="I90" s="4"/>
    </row>
    <row r="91" spans="5:9" ht="12.75">
      <c r="E91" s="2"/>
      <c r="F91" s="3"/>
      <c r="G91" s="4"/>
      <c r="H91" s="3"/>
      <c r="I91" s="4"/>
    </row>
    <row r="92" spans="5:9" ht="12.75">
      <c r="E92" s="2"/>
      <c r="F92" s="3"/>
      <c r="G92" s="4"/>
      <c r="H92" s="3"/>
      <c r="I92" s="4"/>
    </row>
    <row r="93" spans="5:9" ht="12.75">
      <c r="E93" s="2"/>
      <c r="F93" s="3"/>
      <c r="G93" s="4"/>
      <c r="H93" s="3"/>
      <c r="I93" s="4"/>
    </row>
    <row r="94" spans="5:9" ht="12.75">
      <c r="E94" s="2"/>
      <c r="F94" s="3"/>
      <c r="G94" s="4"/>
      <c r="H94" s="3"/>
      <c r="I94" s="4"/>
    </row>
    <row r="95" spans="5:9" ht="12.75">
      <c r="E95" s="2"/>
      <c r="F95" s="3"/>
      <c r="G95" s="4"/>
      <c r="H95" s="4"/>
      <c r="I95" s="4"/>
    </row>
    <row r="96" spans="5:9" ht="12.75">
      <c r="E96" s="2"/>
      <c r="F96" s="3"/>
      <c r="G96" s="4"/>
      <c r="H96" s="4"/>
      <c r="I96" s="4"/>
    </row>
    <row r="97" spans="5:9" ht="12.75">
      <c r="E97" s="2"/>
      <c r="F97" s="3"/>
      <c r="G97" s="4"/>
      <c r="H97" s="3"/>
      <c r="I97" s="4"/>
    </row>
    <row r="98" spans="5:9" ht="12.75">
      <c r="E98" s="2"/>
      <c r="F98" s="3"/>
      <c r="G98" s="4"/>
      <c r="H98" s="3"/>
      <c r="I98" s="4"/>
    </row>
    <row r="99" spans="5:9" ht="12.75">
      <c r="E99" s="2"/>
      <c r="F99" s="3"/>
      <c r="G99" s="4"/>
      <c r="H99" s="3"/>
      <c r="I99" s="4"/>
    </row>
    <row r="100" spans="5:9" ht="12.75">
      <c r="E100" s="2"/>
      <c r="F100" s="3"/>
      <c r="G100" s="4"/>
      <c r="H100" s="3"/>
      <c r="I100" s="4"/>
    </row>
    <row r="101" spans="5:9" ht="12.75">
      <c r="E101" s="2"/>
      <c r="F101" s="3"/>
      <c r="G101" s="4"/>
      <c r="H101" s="3"/>
      <c r="I101" s="4"/>
    </row>
    <row r="102" spans="5:9" ht="12.75">
      <c r="E102" s="2"/>
      <c r="F102" s="3"/>
      <c r="G102" s="4"/>
      <c r="H102" s="4"/>
      <c r="I102" s="4"/>
    </row>
    <row r="103" spans="5:9" ht="12.75">
      <c r="E103" s="2"/>
      <c r="F103" s="3"/>
      <c r="G103" s="4"/>
      <c r="H103" s="4"/>
      <c r="I103" s="4"/>
    </row>
    <row r="104" spans="5:9" ht="12.75">
      <c r="E104" s="2"/>
      <c r="F104" s="3"/>
      <c r="G104" s="4"/>
      <c r="H104" s="3"/>
      <c r="I104" s="4"/>
    </row>
    <row r="105" spans="5:9" ht="12.75">
      <c r="E105" s="2"/>
      <c r="F105" s="3"/>
      <c r="G105" s="4"/>
      <c r="H105" s="3"/>
      <c r="I105" s="4"/>
    </row>
    <row r="106" spans="5:9" ht="12.75">
      <c r="E106" s="2"/>
      <c r="F106" s="3"/>
      <c r="G106" s="4"/>
      <c r="H106" s="3"/>
      <c r="I106" s="4"/>
    </row>
    <row r="107" spans="5:9" ht="12.75">
      <c r="E107" s="2"/>
      <c r="F107" s="3"/>
      <c r="G107" s="4"/>
      <c r="H107" s="3"/>
      <c r="I107" s="4"/>
    </row>
    <row r="108" spans="5:9" ht="12.75">
      <c r="E108" s="2"/>
      <c r="F108" s="3"/>
      <c r="G108" s="4"/>
      <c r="H108" s="3"/>
      <c r="I108" s="4"/>
    </row>
    <row r="109" spans="5:9" ht="12.75">
      <c r="E109" s="2"/>
      <c r="F109" s="3"/>
      <c r="G109" s="4"/>
      <c r="H109" s="4"/>
      <c r="I109" s="4"/>
    </row>
    <row r="110" spans="5:9" ht="12.75">
      <c r="E110" s="2"/>
      <c r="F110" s="3"/>
      <c r="G110" s="4"/>
      <c r="H110" s="4"/>
      <c r="I110" s="4"/>
    </row>
    <row r="111" spans="5:9" ht="12.75">
      <c r="E111" s="2"/>
      <c r="F111" s="3"/>
      <c r="G111" s="4"/>
      <c r="H111" s="3"/>
      <c r="I111" s="4"/>
    </row>
    <row r="112" spans="5:9" ht="12.75">
      <c r="E112" s="2"/>
      <c r="F112" s="3"/>
      <c r="G112" s="4"/>
      <c r="H112" s="3"/>
      <c r="I112" s="4"/>
    </row>
    <row r="113" spans="5:9" ht="12.75">
      <c r="E113" s="2"/>
      <c r="F113" s="3"/>
      <c r="G113" s="4"/>
      <c r="H113" s="3"/>
      <c r="I113" s="4"/>
    </row>
    <row r="114" spans="5:9" ht="12.75">
      <c r="E114" s="2"/>
      <c r="F114" s="3"/>
      <c r="G114" s="4"/>
      <c r="H114" s="3"/>
      <c r="I114" s="4"/>
    </row>
    <row r="115" spans="5:9" ht="12.75">
      <c r="E115" s="2"/>
      <c r="F115" s="3"/>
      <c r="G115" s="4"/>
      <c r="H115" s="3"/>
      <c r="I115" s="4"/>
    </row>
    <row r="116" spans="5:9" ht="12.75">
      <c r="E116" s="2"/>
      <c r="F116" s="3"/>
      <c r="G116" s="4"/>
      <c r="H116" s="4"/>
      <c r="I116" s="4"/>
    </row>
    <row r="117" spans="7:9" ht="12.75">
      <c r="G117" s="9"/>
      <c r="H117" s="9"/>
      <c r="I117" s="9"/>
    </row>
    <row r="118" spans="7:9" ht="16.5" customHeight="1">
      <c r="G118" s="12"/>
      <c r="H118" s="10"/>
      <c r="I118" s="12"/>
    </row>
    <row r="119" ht="12.75">
      <c r="H119" s="14"/>
    </row>
  </sheetData>
  <mergeCells count="1">
    <mergeCell ref="J30:L3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Zevallos</dc:creator>
  <cp:keywords/>
  <dc:description/>
  <cp:lastModifiedBy>Marco Zevallos</cp:lastModifiedBy>
  <cp:lastPrinted>2007-07-11T20:00:26Z</cp:lastPrinted>
  <dcterms:created xsi:type="dcterms:W3CDTF">2007-04-15T23:26:23Z</dcterms:created>
  <dcterms:modified xsi:type="dcterms:W3CDTF">2007-08-04T17:02:27Z</dcterms:modified>
  <cp:category/>
  <cp:version/>
  <cp:contentType/>
  <cp:contentStatus/>
</cp:coreProperties>
</file>