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7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9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0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21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2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23.xml" ContentType="application/vnd.openxmlformats-officedocument.drawing+xml"/>
  <Override PartName="/xl/worksheets/sheet50.xml" ContentType="application/vnd.openxmlformats-officedocument.spreadsheetml.worksheet+xml"/>
  <Override PartName="/xl/drawings/drawing24.xml" ContentType="application/vnd.openxmlformats-officedocument.drawing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25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26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27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20_0.bin" ContentType="application/vnd.openxmlformats-officedocument.oleObject"/>
  <Override PartName="/xl/embeddings/oleObject_20_1.bin" ContentType="application/vnd.openxmlformats-officedocument.oleObject"/>
  <Override PartName="/xl/embeddings/oleObject_22_0.bin" ContentType="application/vnd.openxmlformats-officedocument.oleObject"/>
  <Override PartName="/xl/embeddings/oleObject_22_1.bin" ContentType="application/vnd.openxmlformats-officedocument.oleObject"/>
  <Override PartName="/xl/embeddings/oleObject_24_0.bin" ContentType="application/vnd.openxmlformats-officedocument.oleObject"/>
  <Override PartName="/xl/embeddings/oleObject_24_1.bin" ContentType="application/vnd.openxmlformats-officedocument.oleObject"/>
  <Override PartName="/xl/embeddings/oleObject_26_0.bin" ContentType="application/vnd.openxmlformats-officedocument.oleObject"/>
  <Override PartName="/xl/embeddings/oleObject_26_1.bin" ContentType="application/vnd.openxmlformats-officedocument.oleObject"/>
  <Override PartName="/xl/embeddings/oleObject_28_0.bin" ContentType="application/vnd.openxmlformats-officedocument.oleObject"/>
  <Override PartName="/xl/embeddings/oleObject_28_1.bin" ContentType="application/vnd.openxmlformats-officedocument.oleObject"/>
  <Override PartName="/xl/embeddings/oleObject_30_0.bin" ContentType="application/vnd.openxmlformats-officedocument.oleObject"/>
  <Override PartName="/xl/embeddings/oleObject_30_1.bin" ContentType="application/vnd.openxmlformats-officedocument.oleObject"/>
  <Override PartName="/xl/embeddings/oleObject_32_0.bin" ContentType="application/vnd.openxmlformats-officedocument.oleObject"/>
  <Override PartName="/xl/embeddings/oleObject_32_1.bin" ContentType="application/vnd.openxmlformats-officedocument.oleObject"/>
  <Override PartName="/xl/embeddings/oleObject_34_0.bin" ContentType="application/vnd.openxmlformats-officedocument.oleObject"/>
  <Override PartName="/xl/embeddings/oleObject_34_1.bin" ContentType="application/vnd.openxmlformats-officedocument.oleObject"/>
  <Override PartName="/xl/embeddings/oleObject_36_0.bin" ContentType="application/vnd.openxmlformats-officedocument.oleObject"/>
  <Override PartName="/xl/embeddings/oleObject_36_1.bin" ContentType="application/vnd.openxmlformats-officedocument.oleObject"/>
  <Override PartName="/xl/embeddings/oleObject_38_0.bin" ContentType="application/vnd.openxmlformats-officedocument.oleObject"/>
  <Override PartName="/xl/embeddings/oleObject_38_1.bin" ContentType="application/vnd.openxmlformats-officedocument.oleObject"/>
  <Override PartName="/xl/embeddings/oleObject_40_0.bin" ContentType="application/vnd.openxmlformats-officedocument.oleObject"/>
  <Override PartName="/xl/embeddings/oleObject_40_1.bin" ContentType="application/vnd.openxmlformats-officedocument.oleObject"/>
  <Override PartName="/xl/embeddings/oleObject_42_0.bin" ContentType="application/vnd.openxmlformats-officedocument.oleObject"/>
  <Override PartName="/xl/embeddings/oleObject_42_1.bin" ContentType="application/vnd.openxmlformats-officedocument.oleObject"/>
  <Override PartName="/xl/embeddings/oleObject_45_0.bin" ContentType="application/vnd.openxmlformats-officedocument.oleObject"/>
  <Override PartName="/xl/embeddings/oleObject_45_1.bin" ContentType="application/vnd.openxmlformats-officedocument.oleObject"/>
  <Override PartName="/xl/embeddings/oleObject_48_0.bin" ContentType="application/vnd.openxmlformats-officedocument.oleObject"/>
  <Override PartName="/xl/embeddings/oleObject_48_1.bin" ContentType="application/vnd.openxmlformats-officedocument.oleObject"/>
  <Override PartName="/xl/embeddings/oleObject_49_0.bin" ContentType="application/vnd.openxmlformats-officedocument.oleObject"/>
  <Override PartName="/xl/embeddings/oleObject_49_1.bin" ContentType="application/vnd.openxmlformats-officedocument.oleObject"/>
  <Override PartName="/xl/embeddings/oleObject_51_0.bin" ContentType="application/vnd.openxmlformats-officedocument.oleObject"/>
  <Override PartName="/xl/embeddings/oleObject_51_1.bin" ContentType="application/vnd.openxmlformats-officedocument.oleObject"/>
  <Override PartName="/xl/embeddings/oleObject_53_0.bin" ContentType="application/vnd.openxmlformats-officedocument.oleObject"/>
  <Override PartName="/xl/embeddings/oleObject_53_1.bin" ContentType="application/vnd.openxmlformats-officedocument.oleObject"/>
  <Override PartName="/xl/embeddings/oleObject_55_0.bin" ContentType="application/vnd.openxmlformats-officedocument.oleObject"/>
  <Override PartName="/xl/embeddings/oleObject_5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d Elementos reg" sheetId="1" r:id="rId1"/>
    <sheet name="Retiro daipas" sheetId="2" r:id="rId2"/>
    <sheet name="T. estandar daipas" sheetId="3" r:id="rId3"/>
    <sheet name="Desmane s" sheetId="4" r:id="rId4"/>
    <sheet name="T. estandar Desmane s" sheetId="5" r:id="rId5"/>
    <sheet name="Desmane i" sheetId="6" r:id="rId6"/>
    <sheet name="T. estandar Desmane i" sheetId="7" r:id="rId7"/>
    <sheet name="Gajeo Clusters p" sheetId="8" r:id="rId8"/>
    <sheet name="T. estandar gajeo p" sheetId="9" r:id="rId9"/>
    <sheet name="Gajeo Clusters m" sheetId="10" r:id="rId10"/>
    <sheet name="T. estandar gajeo m" sheetId="11" r:id="rId11"/>
    <sheet name="Gajeo Clusters g" sheetId="12" r:id="rId12"/>
    <sheet name="T. estandar gajeo g" sheetId="13" r:id="rId13"/>
    <sheet name="Llenado platos p" sheetId="14" r:id="rId14"/>
    <sheet name="T. estandar Llenado Platos p" sheetId="15" r:id="rId15"/>
    <sheet name="Llenado platos m" sheetId="16" r:id="rId16"/>
    <sheet name="T. estandar Llenado Platos m" sheetId="17" r:id="rId17"/>
    <sheet name="Llenado platos g" sheetId="18" r:id="rId18"/>
    <sheet name="T. estandar Llenado Platos g" sheetId="19" r:id="rId19"/>
    <sheet name="Pesado Platos" sheetId="20" r:id="rId20"/>
    <sheet name="T. estandar Pesado Platos" sheetId="21" r:id="rId21"/>
    <sheet name="Fumigado" sheetId="22" r:id="rId22"/>
    <sheet name="T. estandar Fumigado" sheetId="23" r:id="rId23"/>
    <sheet name="Sellar Clusters" sheetId="24" r:id="rId24"/>
    <sheet name="T. estandar Sellar Clusters" sheetId="25" r:id="rId25"/>
    <sheet name="Embalar Cajas" sheetId="26" r:id="rId26"/>
    <sheet name="T. estandar Embalar Cajas" sheetId="27" r:id="rId27"/>
    <sheet name="Re-Pesado cajas" sheetId="28" r:id="rId28"/>
    <sheet name="T. estandar Re-Pesado cajas" sheetId="29" r:id="rId29"/>
    <sheet name="Ligado cajas" sheetId="30" r:id="rId30"/>
    <sheet name="T. estandar Ligado cajas" sheetId="31" r:id="rId31"/>
    <sheet name="Tapado cajas" sheetId="32" r:id="rId32"/>
    <sheet name="T. estandar Tapado cajas" sheetId="33" r:id="rId33"/>
    <sheet name="Paletizar Cajas" sheetId="34" r:id="rId34"/>
    <sheet name="T. estandar Paletizar Cajas" sheetId="35" r:id="rId35"/>
    <sheet name="Pegar fondo" sheetId="36" r:id="rId36"/>
    <sheet name="T. estandar Pegar fondo" sheetId="37" r:id="rId37"/>
    <sheet name="Pegar Tapa" sheetId="38" r:id="rId38"/>
    <sheet name="T. estandar Pegar Tapa" sheetId="39" r:id="rId39"/>
    <sheet name="Arma fondo tapa" sheetId="40" r:id="rId40"/>
    <sheet name="T. estandar Arma fondo tapa" sheetId="41" r:id="rId41"/>
    <sheet name="Llenado platos (2)" sheetId="42" r:id="rId42"/>
    <sheet name="T. estandar Llenado Platos (2)" sheetId="43" r:id="rId43"/>
    <sheet name="Gajeo Clusters (2)" sheetId="44" r:id="rId44"/>
    <sheet name="Enfundar Clusters" sheetId="45" r:id="rId45"/>
    <sheet name="T. estandar Enfundar Clusters" sheetId="46" r:id="rId46"/>
    <sheet name="Pesado Clusters 100%" sheetId="47" r:id="rId47"/>
    <sheet name="Pesado Platos (2)" sheetId="48" r:id="rId48"/>
    <sheet name="T. estandar Pesado Platos (2)" sheetId="49" r:id="rId49"/>
    <sheet name="T. estandar Pesado Clusters 100" sheetId="50" r:id="rId50"/>
    <sheet name="Ligar Clusters" sheetId="51" r:id="rId51"/>
    <sheet name="T. estandar Ligar Clusters" sheetId="52" r:id="rId52"/>
    <sheet name="Embalar Cajas 2" sheetId="53" r:id="rId53"/>
    <sheet name="T. estandar Embalar Cajas 2" sheetId="54" r:id="rId54"/>
    <sheet name="Report elementos" sheetId="55" r:id="rId55"/>
    <sheet name="T. estandar" sheetId="56" r:id="rId56"/>
    <sheet name="Tab Tolerancias" sheetId="57" r:id="rId57"/>
    <sheet name="Normal" sheetId="58" r:id="rId58"/>
    <sheet name="Resultados GTT" sheetId="59" r:id="rId59"/>
    <sheet name="Estandares caja" sheetId="60" r:id="rId60"/>
    <sheet name="Pre-pesadas" sheetId="61" r:id="rId61"/>
    <sheet name="Cuadro intervalo" sheetId="62" r:id="rId62"/>
  </sheets>
  <definedNames/>
  <calcPr fullCalcOnLoad="1"/>
</workbook>
</file>

<file path=xl/sharedStrings.xml><?xml version="1.0" encoding="utf-8"?>
<sst xmlns="http://schemas.openxmlformats.org/spreadsheetml/2006/main" count="4449" uniqueCount="370">
  <si>
    <t xml:space="preserve">Tiempo </t>
  </si>
  <si>
    <t>Promedio</t>
  </si>
  <si>
    <t>seg</t>
  </si>
  <si>
    <t xml:space="preserve">          =</t>
  </si>
  <si>
    <t>Cajas/dia</t>
  </si>
  <si>
    <t>Análisis GTT para determinar tiempos estándares en los procesos de empaque de banano</t>
  </si>
  <si>
    <t>Proceso</t>
  </si>
  <si>
    <r>
      <t xml:space="preserve">Producciόn    </t>
    </r>
    <r>
      <rPr>
        <b/>
        <sz val="10"/>
        <rFont val="Arial"/>
        <family val="2"/>
      </rPr>
      <t>Pa</t>
    </r>
    <r>
      <rPr>
        <b/>
        <i/>
        <sz val="10"/>
        <rFont val="Arial"/>
        <family val="2"/>
      </rPr>
      <t xml:space="preserve"> =</t>
    </r>
  </si>
  <si>
    <t>estándar</t>
  </si>
  <si>
    <t>Desviaciόn</t>
  </si>
  <si>
    <t>Muestreo</t>
  </si>
  <si>
    <r>
      <t xml:space="preserve">  σ  </t>
    </r>
    <r>
      <rPr>
        <sz val="10"/>
        <rFont val="Arial"/>
        <family val="2"/>
      </rPr>
      <t>=</t>
    </r>
  </si>
  <si>
    <t>HABILIDAD</t>
  </si>
  <si>
    <t>ESFUERZO</t>
  </si>
  <si>
    <t>+ 0.15</t>
  </si>
  <si>
    <t>A1</t>
  </si>
  <si>
    <t>A2</t>
  </si>
  <si>
    <t>Super-</t>
  </si>
  <si>
    <t>habilidad</t>
  </si>
  <si>
    <t>+ 0.13</t>
  </si>
  <si>
    <t>+ 0.12</t>
  </si>
  <si>
    <t>Excesivo</t>
  </si>
  <si>
    <t>+ 0.11</t>
  </si>
  <si>
    <t>+ 0.08</t>
  </si>
  <si>
    <t>+ 0.06</t>
  </si>
  <si>
    <t>+ 0.03</t>
  </si>
  <si>
    <t>B1</t>
  </si>
  <si>
    <t>B2</t>
  </si>
  <si>
    <t>C1</t>
  </si>
  <si>
    <t>C2</t>
  </si>
  <si>
    <t>Excelente</t>
  </si>
  <si>
    <t>Buena</t>
  </si>
  <si>
    <t>+ 0.10</t>
  </si>
  <si>
    <t>+ 0.05</t>
  </si>
  <si>
    <t>+ 0.02</t>
  </si>
  <si>
    <t>Bueno</t>
  </si>
  <si>
    <t>D</t>
  </si>
  <si>
    <t>- 0.05</t>
  </si>
  <si>
    <t>- 0.10</t>
  </si>
  <si>
    <t>- 0.16</t>
  </si>
  <si>
    <t>- 0.22</t>
  </si>
  <si>
    <t>E1</t>
  </si>
  <si>
    <t>E2</t>
  </si>
  <si>
    <t>F1</t>
  </si>
  <si>
    <t>F2</t>
  </si>
  <si>
    <t>Regular</t>
  </si>
  <si>
    <t>Pobre</t>
  </si>
  <si>
    <t>- 0.04</t>
  </si>
  <si>
    <t>- 0.08</t>
  </si>
  <si>
    <t>- 0.12</t>
  </si>
  <si>
    <t>- 0.17</t>
  </si>
  <si>
    <t>Tabla de valoración del desempeño para nivelación</t>
  </si>
  <si>
    <t>NPDF</t>
  </si>
  <si>
    <t>= % Demoras Inevitables + % Demoras Evitables + % Demoras Especiales + % Demoras Personales + % Fatiga</t>
  </si>
  <si>
    <t>Demoras</t>
  </si>
  <si>
    <t>Inevitables</t>
  </si>
  <si>
    <t>Evitables</t>
  </si>
  <si>
    <t>Especiales</t>
  </si>
  <si>
    <t>Personales</t>
  </si>
  <si>
    <t>Elementos</t>
  </si>
  <si>
    <t>Trabajando</t>
  </si>
  <si>
    <t>No</t>
  </si>
  <si>
    <t>( seg )</t>
  </si>
  <si>
    <t>TOTAL</t>
  </si>
  <si>
    <t>Desmanar racimo</t>
  </si>
  <si>
    <t>Sanear a cluster</t>
  </si>
  <si>
    <t>Llenar plato</t>
  </si>
  <si>
    <t>Fumigar plato</t>
  </si>
  <si>
    <t>Sellar plato</t>
  </si>
  <si>
    <t>Mover plato</t>
  </si>
  <si>
    <t>Embalar caja</t>
  </si>
  <si>
    <t>Pesar plato</t>
  </si>
  <si>
    <t>Re-pesar caja</t>
  </si>
  <si>
    <t>Tapar caja</t>
  </si>
  <si>
    <t>Paletizar caja</t>
  </si>
  <si>
    <t>% Demoras Inevitables  =</t>
  </si>
  <si>
    <t>% Demoras Evitables     =</t>
  </si>
  <si>
    <t>% Demoras Especiales   =</t>
  </si>
  <si>
    <t>% Demoras Personales   =</t>
  </si>
  <si>
    <t>FN =</t>
  </si>
  <si>
    <t>1 + HAB + ESF</t>
  </si>
  <si>
    <t>(Ver en tabla de valoración de desempeño para nivelación)</t>
  </si>
  <si>
    <t xml:space="preserve">       FN</t>
  </si>
  <si>
    <t xml:space="preserve">Total Tiempos (u observaciones) Demoras Inevitables </t>
  </si>
  <si>
    <t xml:space="preserve">Total Tiempos (u observaciones) Demoras Evitables </t>
  </si>
  <si>
    <t xml:space="preserve">Total Tiempos (u observaciones) Demoras Especiales </t>
  </si>
  <si>
    <t xml:space="preserve">Total Tiempos (u observaciones) Demoras Personales </t>
  </si>
  <si>
    <t xml:space="preserve">   Total Tiempo (u observaciones) Trabajo Efectivo</t>
  </si>
  <si>
    <t>%</t>
  </si>
  <si>
    <t>Horas</t>
  </si>
  <si>
    <t>Total Observaciones Trabajo Efectivo</t>
  </si>
  <si>
    <t xml:space="preserve">    Total Observaciones Muestreo</t>
  </si>
  <si>
    <t>(Tiempo Muestreo)</t>
  </si>
  <si>
    <t>Fraccion %</t>
  </si>
  <si>
    <t>% Fatiga =</t>
  </si>
  <si>
    <t>Tiempo de Trabajo ( O )    =</t>
  </si>
  <si>
    <t>O(FN)</t>
  </si>
  <si>
    <t>Pa(S)</t>
  </si>
  <si>
    <t xml:space="preserve">         Tiempo Nivelado ( S )  =</t>
  </si>
  <si>
    <t>Fracción %</t>
  </si>
  <si>
    <t>Determinación del % de necesidades personales, demoras y fatiga GTT</t>
  </si>
  <si>
    <t>Determinación de Demoras (Retrasos)</t>
  </si>
  <si>
    <t>Determinación del Porcentaje de Fatiga</t>
  </si>
  <si>
    <t>Determinación del Tiempo Estándar</t>
  </si>
  <si>
    <t xml:space="preserve">      Tiempo Estándar ( S' ) =</t>
  </si>
  <si>
    <t>S (NPDF)</t>
  </si>
  <si>
    <t>Determinación del Error del Muestreo GTT</t>
  </si>
  <si>
    <t>Determinación del % de Aprendizaje</t>
  </si>
  <si>
    <t>E</t>
  </si>
  <si>
    <t>80 √ Ka</t>
  </si>
  <si>
    <t>Na</t>
  </si>
  <si>
    <t>( 100 )</t>
  </si>
  <si>
    <t>Na =</t>
  </si>
  <si>
    <t>Observaciones de Trabajo</t>
  </si>
  <si>
    <t xml:space="preserve">         Tiempo Total Muestreo ( T ) =</t>
  </si>
  <si>
    <t>X (8)</t>
  </si>
  <si>
    <t>X (4)</t>
  </si>
  <si>
    <t>X (8) =</t>
  </si>
  <si>
    <t>X (4) =</t>
  </si>
  <si>
    <t>x1 + x2 + x3 + x4 + x5 + x6 + x7 + x8</t>
  </si>
  <si>
    <t>x1 + x2 + x3 + x4</t>
  </si>
  <si>
    <t xml:space="preserve">   Fraccion % Aprendizaje  =</t>
  </si>
  <si>
    <t>Hablar con Jefe de Planta</t>
  </si>
  <si>
    <t>Bajar Cajas de camión (recepción)</t>
  </si>
  <si>
    <t>Ir al Baño</t>
  </si>
  <si>
    <t>Falta de fruta</t>
  </si>
  <si>
    <t>Enfundar cluster</t>
  </si>
  <si>
    <t>Ligar cluster</t>
  </si>
  <si>
    <t>Mover mesa de paletizado</t>
  </si>
  <si>
    <t>Subir cajas a camión (despacho)</t>
  </si>
  <si>
    <t>Falta de Tapa</t>
  </si>
  <si>
    <t>Falta de Fondo</t>
  </si>
  <si>
    <t>Falta de fundas de clusters</t>
  </si>
  <si>
    <t>Falta de fundas de caja</t>
  </si>
  <si>
    <t>Falta de Pack</t>
  </si>
  <si>
    <t>Cambio de plato</t>
  </si>
  <si>
    <t>Arreglo de rodillo</t>
  </si>
  <si>
    <t>Elaboración de Fungicida</t>
  </si>
  <si>
    <t>Falta de ligas</t>
  </si>
  <si>
    <t>Cambio de guantes</t>
  </si>
  <si>
    <t>Falta de personal</t>
  </si>
  <si>
    <t>Cambio de agua de tina</t>
  </si>
  <si>
    <t>Desflore de fruta</t>
  </si>
  <si>
    <t>Limpieza de fruta</t>
  </si>
  <si>
    <t>Saneo de fruta</t>
  </si>
  <si>
    <t>Cambiar peso de plato</t>
  </si>
  <si>
    <t>Calibrar balanza</t>
  </si>
  <si>
    <t>Dar paso entre rodillos</t>
  </si>
  <si>
    <t>Limpieza de empacadora</t>
  </si>
  <si>
    <t>Botar Rechazo (canasta metálica)</t>
  </si>
  <si>
    <t>Botar Rechazo (banda mecánica)</t>
  </si>
  <si>
    <t>Falta de Plato</t>
  </si>
  <si>
    <t>Descanso (Tomar agua, Parar y descansar)</t>
  </si>
  <si>
    <t>Hablar con Administrador</t>
  </si>
  <si>
    <t>Hablar con alguien</t>
  </si>
  <si>
    <t>Observaciones</t>
  </si>
  <si>
    <t>Observador:</t>
  </si>
  <si>
    <t>Fecha:</t>
  </si>
  <si>
    <t>Tamaño de intervalo:</t>
  </si>
  <si>
    <t>Total Tiempo Muestreo:</t>
  </si>
  <si>
    <t>min</t>
  </si>
  <si>
    <t>Elementos Trabajando</t>
  </si>
  <si>
    <t>Demoras Inevitables</t>
  </si>
  <si>
    <t>Demoras Evitables</t>
  </si>
  <si>
    <t>Demoras Especiales</t>
  </si>
  <si>
    <t>Demoras Personales</t>
  </si>
  <si>
    <t>Regresar fruta</t>
  </si>
  <si>
    <t>Inspeccionar (revisar) fruta</t>
  </si>
  <si>
    <t>Elem. No.</t>
  </si>
  <si>
    <t>Descripción de Elelemento</t>
  </si>
  <si>
    <t>Embalar Cajas</t>
  </si>
  <si>
    <t>Paletizar Cajas</t>
  </si>
  <si>
    <t>Ligar Clusters</t>
  </si>
  <si>
    <t>Llenado de Platos</t>
  </si>
  <si>
    <t>Afilar Curvo</t>
  </si>
  <si>
    <t>Falta de Fruta</t>
  </si>
  <si>
    <t>Descanso</t>
  </si>
  <si>
    <t>Arreglar Indumentaria</t>
  </si>
  <si>
    <t>Ausencia Puesto de Trabajo</t>
  </si>
  <si>
    <t>Hablar con Supervisor</t>
  </si>
  <si>
    <t>Hablar con Alguien</t>
  </si>
  <si>
    <t>Arreglar Puesto de Trabajo</t>
  </si>
  <si>
    <t>Re-Trabajo</t>
  </si>
  <si>
    <t>Cajas/Hora:</t>
  </si>
  <si>
    <t>Intervalo:</t>
  </si>
  <si>
    <t>Operarios</t>
  </si>
  <si>
    <t>Total Observaciones</t>
  </si>
  <si>
    <t>Suma</t>
  </si>
  <si>
    <t>Elementos de Trabajo</t>
  </si>
  <si>
    <t>SUMA</t>
  </si>
  <si>
    <t xml:space="preserve">   Total Tiempo (u observaciones) Trabajo</t>
  </si>
  <si>
    <t>Mover Fruta</t>
  </si>
  <si>
    <t>Esperar platos</t>
  </si>
  <si>
    <t>Destapar Hueco de residuos</t>
  </si>
  <si>
    <t>Arreglar Flautas</t>
  </si>
  <si>
    <t>Realizar Otra Labor</t>
  </si>
  <si>
    <t>Destapar Huecos de residuos</t>
  </si>
  <si>
    <t>Hora Fin:</t>
  </si>
  <si>
    <t>Hora Inicio:</t>
  </si>
  <si>
    <t>Pesado clusters 100%</t>
  </si>
  <si>
    <t>Arreglar Equipo Trabajo</t>
  </si>
  <si>
    <t>Mover Platos a mas de 2 metros</t>
  </si>
  <si>
    <t>Colocar Dedos en bandeja</t>
  </si>
  <si>
    <t xml:space="preserve">Esperar Continuidad Linea </t>
  </si>
  <si>
    <t>Esperar Continuidad Linea</t>
  </si>
  <si>
    <t>Pesado Platos</t>
  </si>
  <si>
    <t>Corregir Peso</t>
  </si>
  <si>
    <t>Calibrar Balanza</t>
  </si>
  <si>
    <t>Interrupcion Inesperada</t>
  </si>
  <si>
    <t>Fumigado Platos</t>
  </si>
  <si>
    <t>Arreglar Material Trabajo</t>
  </si>
  <si>
    <t>Enfundar Clusters</t>
  </si>
  <si>
    <t>cajas</t>
  </si>
  <si>
    <t>Falta de Cajas</t>
  </si>
  <si>
    <t>Cambio Mesa Paletizado</t>
  </si>
  <si>
    <t>DOLE KRAFT</t>
  </si>
  <si>
    <t>BAJELLA</t>
  </si>
  <si>
    <t>CABANA</t>
  </si>
  <si>
    <t>SINGLES</t>
  </si>
  <si>
    <t>QP</t>
  </si>
  <si>
    <t>4 LBS</t>
  </si>
  <si>
    <t>Hora</t>
  </si>
  <si>
    <t>Cajas en 0.45 Horas de Trabajo Efectivo</t>
  </si>
  <si>
    <t>Cajas en 0.64 Horas de Trabajo Efectivo</t>
  </si>
  <si>
    <t>Cajas en 0.16 Horas de Trabajo Efectivo</t>
  </si>
  <si>
    <t>Cajas en 0.6 Horas de Trabajo Efectivo</t>
  </si>
  <si>
    <t>Cajas en 0.93 Horas de Trabajo Efectivo</t>
  </si>
  <si>
    <t>Cajas en 0.95 Horas de Trabajo Efectivo</t>
  </si>
  <si>
    <t>Trabajadores</t>
  </si>
  <si>
    <t>Grupo</t>
  </si>
  <si>
    <t>predeterminados</t>
  </si>
  <si>
    <t>3-6</t>
  </si>
  <si>
    <t>7-10</t>
  </si>
  <si>
    <t>11-15</t>
  </si>
  <si>
    <t>Usar dos o mas observadores</t>
  </si>
  <si>
    <r>
      <t>M</t>
    </r>
    <r>
      <rPr>
        <sz val="10"/>
        <rFont val="Tahoma"/>
        <family val="2"/>
      </rPr>
      <t>á</t>
    </r>
    <r>
      <rPr>
        <sz val="10"/>
        <rFont val="Arial"/>
        <family val="0"/>
      </rPr>
      <t>s de 15</t>
    </r>
  </si>
  <si>
    <t>Usar estudio tiempos o</t>
  </si>
  <si>
    <t>sistema de tiempos</t>
  </si>
  <si>
    <t>Relojes de horas decimales</t>
  </si>
  <si>
    <t>Relojes de minutos decimales</t>
  </si>
  <si>
    <t>Número</t>
  </si>
  <si>
    <r>
      <t>Itervalos medidos con cron</t>
    </r>
    <r>
      <rPr>
        <b/>
        <sz val="10"/>
        <rFont val="Tahoma"/>
        <family val="2"/>
      </rPr>
      <t>ó</t>
    </r>
    <r>
      <rPr>
        <b/>
        <sz val="10"/>
        <rFont val="Arial"/>
        <family val="2"/>
      </rPr>
      <t>metro</t>
    </r>
  </si>
  <si>
    <t>Realizar saneo a fruta</t>
  </si>
  <si>
    <t>Formar un gajo</t>
  </si>
  <si>
    <t>Verificar peso de gajo</t>
  </si>
  <si>
    <t>Re-Trabajo (Dedos desperdiciados)</t>
  </si>
  <si>
    <t>x</t>
  </si>
  <si>
    <t>Cortar una mano</t>
  </si>
  <si>
    <t>Llenar Platos</t>
  </si>
  <si>
    <t>Retirar daipas de racimo</t>
  </si>
  <si>
    <t>Duracion:</t>
  </si>
  <si>
    <t xml:space="preserve">   Total Tiempo (u observaciones)</t>
  </si>
  <si>
    <t>Racimos:</t>
  </si>
  <si>
    <t>FN</t>
  </si>
  <si>
    <t>Tareas</t>
  </si>
  <si>
    <t>VALORES</t>
  </si>
  <si>
    <t>CALIFICACIÓN</t>
  </si>
  <si>
    <t>Retiro de daipas</t>
  </si>
  <si>
    <t>Desmane de racimo superior</t>
  </si>
  <si>
    <t>+ 0.16</t>
  </si>
  <si>
    <t>Desmane de racimo inferior</t>
  </si>
  <si>
    <t>Corte de gajos pequeños</t>
  </si>
  <si>
    <t>Corte de gajos medianos</t>
  </si>
  <si>
    <t>Corte de gajos grandes</t>
  </si>
  <si>
    <t>Llenado de plato con fruta pequeña</t>
  </si>
  <si>
    <t>Llenado de plato con fruta mediana</t>
  </si>
  <si>
    <t>Llenado de plato con fruta grande</t>
  </si>
  <si>
    <t>Pesado de fruta</t>
  </si>
  <si>
    <t>Fumigar gajos</t>
  </si>
  <si>
    <t>Sellar gajos</t>
  </si>
  <si>
    <t>Empaque de cajas</t>
  </si>
  <si>
    <t>Re-peso de cajas</t>
  </si>
  <si>
    <t>Ligado de cajas</t>
  </si>
  <si>
    <t>Tapado de cajas</t>
  </si>
  <si>
    <t>Paletizado de cajas</t>
  </si>
  <si>
    <t>+ 0.21</t>
  </si>
  <si>
    <r>
      <t>Pegar fondo en m</t>
    </r>
    <r>
      <rPr>
        <sz val="10"/>
        <rFont val="Arial"/>
        <family val="2"/>
      </rPr>
      <t>á</t>
    </r>
    <r>
      <rPr>
        <sz val="10"/>
        <rFont val="Arial"/>
        <family val="0"/>
      </rPr>
      <t>quina</t>
    </r>
  </si>
  <si>
    <r>
      <t>Pegar tapa en m</t>
    </r>
    <r>
      <rPr>
        <sz val="10"/>
        <rFont val="Arial"/>
        <family val="2"/>
      </rPr>
      <t>á</t>
    </r>
    <r>
      <rPr>
        <sz val="10"/>
        <rFont val="Arial"/>
        <family val="0"/>
      </rPr>
      <t>quina</t>
    </r>
  </si>
  <si>
    <r>
      <t>Armar fondo y cartulina m</t>
    </r>
    <r>
      <rPr>
        <sz val="10"/>
        <rFont val="Arial"/>
        <family val="2"/>
      </rPr>
      <t>á</t>
    </r>
    <r>
      <rPr>
        <sz val="10"/>
        <rFont val="Arial"/>
        <family val="0"/>
      </rPr>
      <t>s tapa</t>
    </r>
  </si>
  <si>
    <t>Pesado de gajo</t>
  </si>
  <si>
    <t>Enfundar gajos</t>
  </si>
  <si>
    <t>Ligar gajos</t>
  </si>
  <si>
    <t>Engomado de fondo</t>
  </si>
  <si>
    <t>Armar fondo y cartulina</t>
  </si>
  <si>
    <t>racimos</t>
  </si>
  <si>
    <t>(ratio 1.45 con 362 cajas en 1.82 Horas)</t>
  </si>
  <si>
    <t>Tolerancia</t>
  </si>
  <si>
    <t>Tiempo</t>
  </si>
  <si>
    <t>Estandar</t>
  </si>
  <si>
    <t>promedio</t>
  </si>
  <si>
    <t>Nivelado</t>
  </si>
  <si>
    <t>segundos</t>
  </si>
  <si>
    <t>Espera por ritmo gajeo</t>
  </si>
  <si>
    <t>manos</t>
  </si>
  <si>
    <t>Segundos</t>
  </si>
  <si>
    <t>Cajas:</t>
  </si>
  <si>
    <t>Pesado Cajas</t>
  </si>
  <si>
    <t>Mover Cajas a mas de 2 metros</t>
  </si>
  <si>
    <t>Ligar y tapar cajas</t>
  </si>
  <si>
    <t>Unidad</t>
  </si>
  <si>
    <t>medida</t>
  </si>
  <si>
    <t>tapar cajas</t>
  </si>
  <si>
    <t>Pegar fondo</t>
  </si>
  <si>
    <t>Falta de cajas</t>
  </si>
  <si>
    <t>Falta de fondo</t>
  </si>
  <si>
    <t>Pegar tapa</t>
  </si>
  <si>
    <t>Falta de tapa</t>
  </si>
  <si>
    <t>Armar fondo y tapa</t>
  </si>
  <si>
    <t>Falta de Fondo o tapa</t>
  </si>
  <si>
    <t>Falta de fondo o tapa</t>
  </si>
  <si>
    <t>seg/racimo</t>
  </si>
  <si>
    <t>seg/mitad-racimo</t>
  </si>
  <si>
    <t>seg/mano</t>
  </si>
  <si>
    <t>seg/fila</t>
  </si>
  <si>
    <t>seg/caja</t>
  </si>
  <si>
    <t>seg/palet</t>
  </si>
  <si>
    <t>seg/3 cajas</t>
  </si>
  <si>
    <t>% Demoras</t>
  </si>
  <si>
    <t xml:space="preserve">% </t>
  </si>
  <si>
    <t>Fatiga</t>
  </si>
  <si>
    <t>Sellar Gajos</t>
  </si>
  <si>
    <t>Tapar cajas</t>
  </si>
  <si>
    <t>TAREA</t>
  </si>
  <si>
    <t>CÓDIGO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</si>
  <si>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</si>
  <si>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</si>
  <si>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</si>
  <si>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</si>
  <si>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</si>
  <si>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</si>
  <si>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</si>
  <si>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</si>
  <si>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</si>
  <si>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</si>
  <si>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</si>
  <si>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</si>
  <si>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</si>
  <si>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</si>
  <si>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</si>
  <si>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1P</t>
  </si>
  <si>
    <t>1Q</t>
  </si>
  <si>
    <t>1R</t>
  </si>
  <si>
    <t>1S</t>
  </si>
  <si>
    <t>1T</t>
  </si>
  <si>
    <t>Llenado de plato</t>
  </si>
  <si>
    <t>Corte de gajos</t>
  </si>
  <si>
    <t>Desmane de racimo</t>
  </si>
  <si>
    <t>Tarea:</t>
  </si>
  <si>
    <t>Desmane inferior</t>
  </si>
  <si>
    <t>Desmane superior</t>
  </si>
  <si>
    <t>Retiro daipas</t>
  </si>
  <si>
    <t>CORTE GAJOS PEQUENOS</t>
  </si>
  <si>
    <t>CORTE GAJOS MEDIANOS</t>
  </si>
  <si>
    <t>CORTE GAJOS GRANDES</t>
  </si>
  <si>
    <t>LLENADO PLATOS PEQUENOS</t>
  </si>
  <si>
    <t>LLENADO PLATOS MEDIANOS</t>
  </si>
  <si>
    <t>LLENADO PLATOS GRANDES</t>
  </si>
  <si>
    <t>PESADO PLATOS</t>
  </si>
  <si>
    <t>FUMIGAR</t>
  </si>
  <si>
    <t>SELLAR</t>
  </si>
  <si>
    <t>EMBALAR</t>
  </si>
  <si>
    <t>RE-PESAR</t>
  </si>
  <si>
    <t>LIGAR CAJAS</t>
  </si>
  <si>
    <t>TAPAR CAJAS</t>
  </si>
  <si>
    <t>PALETIZAR CAJAS</t>
  </si>
  <si>
    <t>PEGAR FONDO</t>
  </si>
  <si>
    <t>PEGAR TAPA</t>
  </si>
  <si>
    <t>ARMAR FONDO Y TAPA</t>
  </si>
  <si>
    <t>ANEXO I</t>
  </si>
  <si>
    <t>FORMATO GTT Y REGISTRO DE CUENTAS EN ELBAS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</si>
</sst>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\ &quot;min&quot;"/>
    <numFmt numFmtId="181" formatCode="0.0000\ &quot;hora&quot;"/>
    <numFmt numFmtId="182" formatCode="0.00\ &quot;minutos&quot;"/>
    <numFmt numFmtId="183" formatCode="0.0\ &quot;minutos&quot;"/>
    <numFmt numFmtId="184" formatCode="0\ &quot;seg&quot;"/>
    <numFmt numFmtId="185" formatCode="0.000000"/>
    <numFmt numFmtId="186" formatCode="0.0000%"/>
    <numFmt numFmtId="187" formatCode="0.000%"/>
    <numFmt numFmtId="188" formatCode="0.0%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 quotePrefix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7" xfId="0" applyFill="1" applyBorder="1" applyAlignment="1" quotePrefix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quotePrefix="1">
      <alignment horizontal="center"/>
    </xf>
    <xf numFmtId="0" fontId="0" fillId="2" borderId="10" xfId="0" applyFill="1" applyBorder="1" applyAlignment="1" quotePrefix="1">
      <alignment horizontal="center"/>
    </xf>
    <xf numFmtId="0" fontId="0" fillId="2" borderId="11" xfId="0" applyFill="1" applyBorder="1" applyAlignment="1" quotePrefix="1">
      <alignment horizontal="center"/>
    </xf>
    <xf numFmtId="2" fontId="0" fillId="2" borderId="12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13" xfId="0" applyFill="1" applyBorder="1" applyAlignment="1">
      <alignment/>
    </xf>
    <xf numFmtId="0" fontId="0" fillId="5" borderId="0" xfId="0" applyFill="1" applyAlignment="1">
      <alignment/>
    </xf>
    <xf numFmtId="0" fontId="0" fillId="5" borderId="13" xfId="0" applyFill="1" applyBorder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 applyAlignment="1">
      <alignment horizontal="center"/>
    </xf>
    <xf numFmtId="177" fontId="0" fillId="0" borderId="1" xfId="0" applyNumberFormat="1" applyBorder="1" applyAlignment="1">
      <alignment horizontal="center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33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0" fontId="8" fillId="0" borderId="3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36" xfId="0" applyBorder="1" applyAlignment="1">
      <alignment/>
    </xf>
    <xf numFmtId="1" fontId="0" fillId="0" borderId="3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181" fontId="0" fillId="2" borderId="12" xfId="0" applyNumberFormat="1" applyFill="1" applyBorder="1" applyAlignment="1">
      <alignment horizontal="center"/>
    </xf>
    <xf numFmtId="183" fontId="0" fillId="2" borderId="12" xfId="0" applyNumberFormat="1" applyFill="1" applyBorder="1" applyAlignment="1">
      <alignment horizontal="center"/>
    </xf>
    <xf numFmtId="16" fontId="0" fillId="2" borderId="12" xfId="0" applyNumberFormat="1" applyFill="1" applyBorder="1" applyAlignment="1" quotePrefix="1">
      <alignment horizontal="center"/>
    </xf>
    <xf numFmtId="181" fontId="0" fillId="2" borderId="9" xfId="0" applyNumberFormat="1" applyFill="1" applyBorder="1" applyAlignment="1">
      <alignment horizontal="center"/>
    </xf>
    <xf numFmtId="183" fontId="0" fillId="2" borderId="9" xfId="0" applyNumberFormat="1" applyFill="1" applyBorder="1" applyAlignment="1">
      <alignment horizontal="center"/>
    </xf>
    <xf numFmtId="181" fontId="0" fillId="2" borderId="10" xfId="0" applyNumberFormat="1" applyFill="1" applyBorder="1" applyAlignment="1">
      <alignment horizontal="center"/>
    </xf>
    <xf numFmtId="183" fontId="0" fillId="2" borderId="10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9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2" fontId="0" fillId="0" borderId="12" xfId="0" applyNumberFormat="1" applyBorder="1" applyAlignment="1" quotePrefix="1">
      <alignment horizontal="center"/>
    </xf>
    <xf numFmtId="0" fontId="0" fillId="2" borderId="8" xfId="0" applyFill="1" applyBorder="1" applyAlignment="1">
      <alignment/>
    </xf>
    <xf numFmtId="2" fontId="0" fillId="2" borderId="21" xfId="0" applyNumberForma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ont="1" applyBorder="1" applyAlignment="1" quotePrefix="1">
      <alignment horizontal="center"/>
    </xf>
    <xf numFmtId="10" fontId="0" fillId="0" borderId="12" xfId="0" applyNumberFormat="1" applyBorder="1" applyAlignment="1">
      <alignment horizontal="center"/>
    </xf>
    <xf numFmtId="0" fontId="6" fillId="9" borderId="12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20" fontId="6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20" fontId="0" fillId="2" borderId="3" xfId="0" applyNumberFormat="1" applyFill="1" applyBorder="1" applyAlignment="1">
      <alignment/>
    </xf>
    <xf numFmtId="0" fontId="6" fillId="2" borderId="0" xfId="0" applyFont="1" applyFill="1" applyAlignment="1">
      <alignment/>
    </xf>
    <xf numFmtId="18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6" fillId="2" borderId="0" xfId="0" applyFont="1" applyFill="1" applyAlignment="1">
      <alignment horizontal="center"/>
    </xf>
    <xf numFmtId="0" fontId="2" fillId="2" borderId="27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28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8" fillId="2" borderId="29" xfId="0" applyFont="1" applyFill="1" applyBorder="1" applyAlignment="1">
      <alignment/>
    </xf>
    <xf numFmtId="0" fontId="0" fillId="2" borderId="8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0" fontId="8" fillId="2" borderId="3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36" xfId="0" applyFill="1" applyBorder="1" applyAlignment="1">
      <alignment/>
    </xf>
    <xf numFmtId="1" fontId="0" fillId="2" borderId="35" xfId="0" applyNumberFormat="1" applyFill="1" applyBorder="1" applyAlignment="1">
      <alignment horizontal="center"/>
    </xf>
    <xf numFmtId="0" fontId="8" fillId="2" borderId="30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32" xfId="0" applyFill="1" applyBorder="1" applyAlignment="1">
      <alignment/>
    </xf>
    <xf numFmtId="1" fontId="0" fillId="2" borderId="30" xfId="0" applyNumberForma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8" fillId="2" borderId="3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33" xfId="0" applyFill="1" applyBorder="1" applyAlignment="1">
      <alignment horizontal="center"/>
    </xf>
    <xf numFmtId="1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39</xdr:row>
      <xdr:rowOff>133350</xdr:rowOff>
    </xdr:from>
    <xdr:to>
      <xdr:col>4</xdr:col>
      <xdr:colOff>142875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431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39</xdr:row>
      <xdr:rowOff>114300</xdr:rowOff>
    </xdr:from>
    <xdr:to>
      <xdr:col>4</xdr:col>
      <xdr:colOff>47625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8125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114300</xdr:rowOff>
    </xdr:from>
    <xdr:to>
      <xdr:col>4</xdr:col>
      <xdr:colOff>114300</xdr:colOff>
      <xdr:row>39</xdr:row>
      <xdr:rowOff>142875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484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39</xdr:row>
      <xdr:rowOff>114300</xdr:rowOff>
    </xdr:from>
    <xdr:to>
      <xdr:col>4</xdr:col>
      <xdr:colOff>47625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8125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104775</xdr:rowOff>
    </xdr:from>
    <xdr:to>
      <xdr:col>4</xdr:col>
      <xdr:colOff>114300</xdr:colOff>
      <xdr:row>39</xdr:row>
      <xdr:rowOff>133350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389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39</xdr:row>
      <xdr:rowOff>114300</xdr:rowOff>
    </xdr:from>
    <xdr:to>
      <xdr:col>4</xdr:col>
      <xdr:colOff>47625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8125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39</xdr:row>
      <xdr:rowOff>133350</xdr:rowOff>
    </xdr:from>
    <xdr:to>
      <xdr:col>4</xdr:col>
      <xdr:colOff>95250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495550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9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7435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734050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753100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753100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40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43"/>
        <xdr:cNvGrpSpPr>
          <a:grpSpLocks/>
        </xdr:cNvGrpSpPr>
      </xdr:nvGrpSpPr>
      <xdr:grpSpPr>
        <a:xfrm>
          <a:off x="7562850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46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9"/>
        <xdr:cNvGrpSpPr>
          <a:grpSpLocks/>
        </xdr:cNvGrpSpPr>
      </xdr:nvGrpSpPr>
      <xdr:grpSpPr>
        <a:xfrm>
          <a:off x="5753100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5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52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5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55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5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58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6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6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65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6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6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6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7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7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7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7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7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7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7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7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8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8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86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83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4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5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8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8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9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9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9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9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76200</xdr:rowOff>
    </xdr:from>
    <xdr:to>
      <xdr:col>4</xdr:col>
      <xdr:colOff>114300</xdr:colOff>
      <xdr:row>39</xdr:row>
      <xdr:rowOff>104775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103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8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6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4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5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7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76200</xdr:rowOff>
    </xdr:from>
    <xdr:to>
      <xdr:col>4</xdr:col>
      <xdr:colOff>114300</xdr:colOff>
      <xdr:row>39</xdr:row>
      <xdr:rowOff>104775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103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76200</xdr:rowOff>
    </xdr:from>
    <xdr:to>
      <xdr:col>4</xdr:col>
      <xdr:colOff>114300</xdr:colOff>
      <xdr:row>39</xdr:row>
      <xdr:rowOff>104775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103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oleObject" Target="../embeddings/oleObject_22_1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oleObject" Target="../embeddings/oleObject_24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oleObject" Target="../embeddings/oleObject_26_1.bin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8_0.bin" /><Relationship Id="rId2" Type="http://schemas.openxmlformats.org/officeDocument/2006/relationships/oleObject" Target="../embeddings/oleObject_28_1.bin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0_0.bin" /><Relationship Id="rId2" Type="http://schemas.openxmlformats.org/officeDocument/2006/relationships/oleObject" Target="../embeddings/oleObject_30_1.bin" /><Relationship Id="rId3" Type="http://schemas.openxmlformats.org/officeDocument/2006/relationships/vmlDrawing" Target="../drawings/vmlDrawing15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2_0.bin" /><Relationship Id="rId2" Type="http://schemas.openxmlformats.org/officeDocument/2006/relationships/oleObject" Target="../embeddings/oleObject_32_1.bin" /><Relationship Id="rId3" Type="http://schemas.openxmlformats.org/officeDocument/2006/relationships/vmlDrawing" Target="../drawings/vmlDrawing16.v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4_0.bin" /><Relationship Id="rId2" Type="http://schemas.openxmlformats.org/officeDocument/2006/relationships/oleObject" Target="../embeddings/oleObject_34_1.bin" /><Relationship Id="rId3" Type="http://schemas.openxmlformats.org/officeDocument/2006/relationships/vmlDrawing" Target="../drawings/vmlDrawing17.v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6_0.bin" /><Relationship Id="rId2" Type="http://schemas.openxmlformats.org/officeDocument/2006/relationships/oleObject" Target="../embeddings/oleObject_36_1.bin" /><Relationship Id="rId3" Type="http://schemas.openxmlformats.org/officeDocument/2006/relationships/vmlDrawing" Target="../drawings/vmlDrawing18.vml" /><Relationship Id="rId4" Type="http://schemas.openxmlformats.org/officeDocument/2006/relationships/drawing" Target="../drawings/drawing18.xml" /><Relationship Id="rId5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8_0.bin" /><Relationship Id="rId2" Type="http://schemas.openxmlformats.org/officeDocument/2006/relationships/oleObject" Target="../embeddings/oleObject_38_1.bin" /><Relationship Id="rId3" Type="http://schemas.openxmlformats.org/officeDocument/2006/relationships/vmlDrawing" Target="../drawings/vmlDrawing19.vml" /><Relationship Id="rId4" Type="http://schemas.openxmlformats.org/officeDocument/2006/relationships/drawing" Target="../drawings/drawing19.xml" /><Relationship Id="rId5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0_0.bin" /><Relationship Id="rId2" Type="http://schemas.openxmlformats.org/officeDocument/2006/relationships/oleObject" Target="../embeddings/oleObject_40_1.bin" /><Relationship Id="rId3" Type="http://schemas.openxmlformats.org/officeDocument/2006/relationships/vmlDrawing" Target="../drawings/vmlDrawing20.vml" /><Relationship Id="rId4" Type="http://schemas.openxmlformats.org/officeDocument/2006/relationships/drawing" Target="../drawings/drawing20.xml" /><Relationship Id="rId5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2_0.bin" /><Relationship Id="rId2" Type="http://schemas.openxmlformats.org/officeDocument/2006/relationships/oleObject" Target="../embeddings/oleObject_42_1.bin" /><Relationship Id="rId3" Type="http://schemas.openxmlformats.org/officeDocument/2006/relationships/vmlDrawing" Target="../drawings/vmlDrawing21.vml" /><Relationship Id="rId4" Type="http://schemas.openxmlformats.org/officeDocument/2006/relationships/drawing" Target="../drawings/drawing21.xml" /><Relationship Id="rId5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5_0.bin" /><Relationship Id="rId2" Type="http://schemas.openxmlformats.org/officeDocument/2006/relationships/oleObject" Target="../embeddings/oleObject_45_1.bin" /><Relationship Id="rId3" Type="http://schemas.openxmlformats.org/officeDocument/2006/relationships/vmlDrawing" Target="../drawings/vmlDrawing22.vml" /><Relationship Id="rId4" Type="http://schemas.openxmlformats.org/officeDocument/2006/relationships/drawing" Target="../drawings/drawing22.xml" /><Relationship Id="rId5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8_0.bin" /><Relationship Id="rId2" Type="http://schemas.openxmlformats.org/officeDocument/2006/relationships/oleObject" Target="../embeddings/oleObject_48_1.bin" /><Relationship Id="rId3" Type="http://schemas.openxmlformats.org/officeDocument/2006/relationships/vmlDrawing" Target="../drawings/vmlDrawing23.vml" /><Relationship Id="rId4" Type="http://schemas.openxmlformats.org/officeDocument/2006/relationships/drawing" Target="../drawings/drawing23.xml" /><Relationship Id="rId5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9_0.bin" /><Relationship Id="rId2" Type="http://schemas.openxmlformats.org/officeDocument/2006/relationships/oleObject" Target="../embeddings/oleObject_49_1.bin" /><Relationship Id="rId3" Type="http://schemas.openxmlformats.org/officeDocument/2006/relationships/vmlDrawing" Target="../drawings/vmlDrawing24.vml" /><Relationship Id="rId4" Type="http://schemas.openxmlformats.org/officeDocument/2006/relationships/drawing" Target="../drawings/drawing24.xml" /><Relationship Id="rId5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1_0.bin" /><Relationship Id="rId2" Type="http://schemas.openxmlformats.org/officeDocument/2006/relationships/oleObject" Target="../embeddings/oleObject_51_1.bin" /><Relationship Id="rId3" Type="http://schemas.openxmlformats.org/officeDocument/2006/relationships/vmlDrawing" Target="../drawings/vmlDrawing25.vml" /><Relationship Id="rId4" Type="http://schemas.openxmlformats.org/officeDocument/2006/relationships/drawing" Target="../drawings/drawing25.xml" /><Relationship Id="rId5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3_0.bin" /><Relationship Id="rId2" Type="http://schemas.openxmlformats.org/officeDocument/2006/relationships/oleObject" Target="../embeddings/oleObject_53_1.bin" /><Relationship Id="rId3" Type="http://schemas.openxmlformats.org/officeDocument/2006/relationships/vmlDrawing" Target="../drawings/vmlDrawing26.vml" /><Relationship Id="rId4" Type="http://schemas.openxmlformats.org/officeDocument/2006/relationships/drawing" Target="../drawings/drawing26.xml" /><Relationship Id="rId5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5_0.bin" /><Relationship Id="rId2" Type="http://schemas.openxmlformats.org/officeDocument/2006/relationships/oleObject" Target="../embeddings/oleObject_55_1.bin" /><Relationship Id="rId3" Type="http://schemas.openxmlformats.org/officeDocument/2006/relationships/vmlDrawing" Target="../drawings/vmlDrawing27.vml" /><Relationship Id="rId4" Type="http://schemas.openxmlformats.org/officeDocument/2006/relationships/drawing" Target="../drawings/drawing27.xml" /><Relationship Id="rId5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86"/>
  <sheetViews>
    <sheetView workbookViewId="0" topLeftCell="A1">
      <selection activeCell="D11" sqref="D11"/>
    </sheetView>
  </sheetViews>
  <sheetFormatPr defaultColWidth="9.140625" defaultRowHeight="12.75"/>
  <cols>
    <col min="3" max="3" width="8.421875" style="0" bestFit="1" customWidth="1"/>
    <col min="4" max="4" width="45.8515625" style="0" bestFit="1" customWidth="1"/>
    <col min="5" max="19" width="2.7109375" style="0" customWidth="1"/>
    <col min="20" max="20" width="7.140625" style="0" bestFit="1" customWidth="1"/>
  </cols>
  <sheetData>
    <row r="1" spans="3:19" ht="12.75">
      <c r="C1" s="2" t="s">
        <v>157</v>
      </c>
      <c r="F1" s="2" t="s">
        <v>158</v>
      </c>
      <c r="O1" s="31"/>
      <c r="P1" s="31" t="s">
        <v>160</v>
      </c>
      <c r="Q1" s="31"/>
      <c r="R1" s="31"/>
      <c r="S1" s="31"/>
    </row>
    <row r="2" spans="3:19" ht="12.75">
      <c r="C2" s="2" t="s">
        <v>156</v>
      </c>
      <c r="F2" s="2" t="s">
        <v>159</v>
      </c>
      <c r="O2" s="77"/>
      <c r="P2" s="31" t="s">
        <v>89</v>
      </c>
      <c r="Q2" s="77"/>
      <c r="R2" s="77"/>
      <c r="S2" s="77"/>
    </row>
    <row r="3" spans="3:20" ht="12.75">
      <c r="C3" s="76" t="s">
        <v>168</v>
      </c>
      <c r="D3" s="85" t="s">
        <v>169</v>
      </c>
      <c r="E3" s="86"/>
      <c r="F3" s="87"/>
      <c r="G3" s="88"/>
      <c r="H3" s="87"/>
      <c r="I3" s="77"/>
      <c r="J3" s="87" t="s">
        <v>61</v>
      </c>
      <c r="K3" s="77"/>
      <c r="L3" s="87" t="s">
        <v>155</v>
      </c>
      <c r="M3" s="87"/>
      <c r="N3" s="87"/>
      <c r="O3" s="87"/>
      <c r="P3" s="87"/>
      <c r="Q3" s="87"/>
      <c r="R3" s="87"/>
      <c r="S3" s="89"/>
      <c r="T3" s="81" t="s">
        <v>63</v>
      </c>
    </row>
    <row r="4" spans="3:20" ht="15">
      <c r="C4" s="81"/>
      <c r="D4" s="84" t="s">
        <v>161</v>
      </c>
      <c r="E4" s="7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9"/>
      <c r="T4" s="30"/>
    </row>
    <row r="5" spans="3:20" ht="15">
      <c r="C5" s="81">
        <v>1</v>
      </c>
      <c r="D5" s="80" t="s">
        <v>64</v>
      </c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9"/>
      <c r="T5" s="30"/>
    </row>
    <row r="6" spans="3:25" ht="15">
      <c r="C6" s="81">
        <f aca="true" t="shared" si="0" ref="C6:C70">C5+1</f>
        <v>2</v>
      </c>
      <c r="D6" s="80" t="s">
        <v>65</v>
      </c>
      <c r="E6" s="78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9"/>
      <c r="T6" s="30"/>
      <c r="Y6" s="83"/>
    </row>
    <row r="7" spans="3:20" ht="15">
      <c r="C7" s="81">
        <f t="shared" si="0"/>
        <v>3</v>
      </c>
      <c r="D7" s="80" t="s">
        <v>66</v>
      </c>
      <c r="E7" s="7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9"/>
      <c r="T7" s="30"/>
    </row>
    <row r="8" spans="3:20" ht="15">
      <c r="C8" s="81">
        <f t="shared" si="0"/>
        <v>4</v>
      </c>
      <c r="D8" s="80" t="s">
        <v>71</v>
      </c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9"/>
      <c r="T8" s="30"/>
    </row>
    <row r="9" spans="3:20" ht="15">
      <c r="C9" s="81">
        <f t="shared" si="0"/>
        <v>5</v>
      </c>
      <c r="D9" s="80" t="s">
        <v>67</v>
      </c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9"/>
      <c r="T9" s="30"/>
    </row>
    <row r="10" spans="3:20" ht="15">
      <c r="C10" s="81">
        <f t="shared" si="0"/>
        <v>6</v>
      </c>
      <c r="D10" s="80" t="s">
        <v>68</v>
      </c>
      <c r="E10" s="7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9"/>
      <c r="T10" s="30"/>
    </row>
    <row r="11" spans="3:20" ht="15">
      <c r="C11" s="81">
        <f t="shared" si="0"/>
        <v>7</v>
      </c>
      <c r="D11" s="80" t="s">
        <v>126</v>
      </c>
      <c r="E11" s="7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9"/>
      <c r="T11" s="30"/>
    </row>
    <row r="12" spans="3:20" ht="15">
      <c r="C12" s="81">
        <f t="shared" si="0"/>
        <v>8</v>
      </c>
      <c r="D12" s="80" t="s">
        <v>127</v>
      </c>
      <c r="E12" s="7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9"/>
      <c r="T12" s="30"/>
    </row>
    <row r="13" spans="3:20" ht="15">
      <c r="C13" s="81">
        <f t="shared" si="0"/>
        <v>9</v>
      </c>
      <c r="D13" s="80" t="s">
        <v>69</v>
      </c>
      <c r="E13" s="78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9"/>
      <c r="T13" s="30"/>
    </row>
    <row r="14" spans="3:20" ht="15">
      <c r="C14" s="81">
        <f t="shared" si="0"/>
        <v>10</v>
      </c>
      <c r="D14" s="80" t="s">
        <v>70</v>
      </c>
      <c r="E14" s="78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9"/>
      <c r="T14" s="30"/>
    </row>
    <row r="15" spans="3:20" ht="15">
      <c r="C15" s="81">
        <f t="shared" si="0"/>
        <v>11</v>
      </c>
      <c r="D15" s="80" t="s">
        <v>72</v>
      </c>
      <c r="E15" s="78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30"/>
    </row>
    <row r="16" spans="3:20" ht="15">
      <c r="C16" s="81">
        <f t="shared" si="0"/>
        <v>12</v>
      </c>
      <c r="D16" s="80" t="s">
        <v>73</v>
      </c>
      <c r="E16" s="78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9"/>
      <c r="T16" s="30"/>
    </row>
    <row r="17" spans="3:20" ht="15">
      <c r="C17" s="81">
        <f t="shared" si="0"/>
        <v>13</v>
      </c>
      <c r="D17" s="80" t="s">
        <v>74</v>
      </c>
      <c r="E17" s="78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9"/>
      <c r="T17" s="30"/>
    </row>
    <row r="18" spans="3:20" ht="12.75">
      <c r="C18" s="81">
        <f>C17+1</f>
        <v>14</v>
      </c>
      <c r="D18" s="30"/>
      <c r="E18" s="7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9"/>
      <c r="T18" s="30"/>
    </row>
    <row r="19" spans="3:20" ht="12.75">
      <c r="C19" s="81">
        <f>C18+1</f>
        <v>15</v>
      </c>
      <c r="D19" s="30"/>
      <c r="E19" s="78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9"/>
      <c r="T19" s="30"/>
    </row>
    <row r="20" spans="3:20" ht="12.75">
      <c r="C20" s="81">
        <f>C19+1</f>
        <v>16</v>
      </c>
      <c r="D20" s="30"/>
      <c r="E20" s="78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9"/>
      <c r="T20" s="30"/>
    </row>
    <row r="21" spans="3:20" ht="12.75">
      <c r="C21" s="81">
        <f t="shared" si="0"/>
        <v>17</v>
      </c>
      <c r="D21" s="30"/>
      <c r="E21" s="78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9"/>
      <c r="T21" s="30"/>
    </row>
    <row r="22" spans="3:20" ht="15">
      <c r="C22" s="81"/>
      <c r="D22" s="90" t="s">
        <v>164</v>
      </c>
      <c r="E22" s="78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9"/>
      <c r="T22" s="30"/>
    </row>
    <row r="23" spans="3:20" ht="15">
      <c r="C23" s="81">
        <v>1</v>
      </c>
      <c r="D23" s="80" t="s">
        <v>123</v>
      </c>
      <c r="E23" s="78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9"/>
      <c r="T23" s="30"/>
    </row>
    <row r="24" spans="3:20" ht="15">
      <c r="C24" s="81">
        <f t="shared" si="0"/>
        <v>2</v>
      </c>
      <c r="D24" s="80" t="s">
        <v>122</v>
      </c>
      <c r="E24" s="78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9"/>
      <c r="T24" s="30"/>
    </row>
    <row r="25" spans="3:20" ht="15">
      <c r="C25" s="81">
        <f t="shared" si="0"/>
        <v>3</v>
      </c>
      <c r="D25" s="80" t="s">
        <v>125</v>
      </c>
      <c r="E25" s="78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9"/>
      <c r="T25" s="30"/>
    </row>
    <row r="26" spans="3:20" ht="15">
      <c r="C26" s="81">
        <f t="shared" si="0"/>
        <v>4</v>
      </c>
      <c r="D26" s="80" t="s">
        <v>128</v>
      </c>
      <c r="E26" s="78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9"/>
      <c r="T26" s="30"/>
    </row>
    <row r="27" spans="3:20" ht="15">
      <c r="C27" s="81">
        <f t="shared" si="0"/>
        <v>5</v>
      </c>
      <c r="D27" s="80" t="s">
        <v>132</v>
      </c>
      <c r="E27" s="78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9"/>
      <c r="T27" s="30"/>
    </row>
    <row r="28" spans="3:20" ht="15">
      <c r="C28" s="81">
        <f t="shared" si="0"/>
        <v>6</v>
      </c>
      <c r="D28" s="80" t="s">
        <v>133</v>
      </c>
      <c r="E28" s="78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9"/>
      <c r="T28" s="30"/>
    </row>
    <row r="29" spans="3:20" ht="15">
      <c r="C29" s="81">
        <f t="shared" si="0"/>
        <v>7</v>
      </c>
      <c r="D29" s="80" t="s">
        <v>134</v>
      </c>
      <c r="E29" s="78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9"/>
      <c r="T29" s="30"/>
    </row>
    <row r="30" spans="3:20" ht="15">
      <c r="C30" s="81">
        <f t="shared" si="0"/>
        <v>8</v>
      </c>
      <c r="D30" s="80" t="s">
        <v>138</v>
      </c>
      <c r="E30" s="78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9"/>
      <c r="T30" s="30"/>
    </row>
    <row r="31" spans="3:20" ht="15">
      <c r="C31" s="81">
        <f t="shared" si="0"/>
        <v>9</v>
      </c>
      <c r="D31" s="80" t="s">
        <v>140</v>
      </c>
      <c r="E31" s="78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9"/>
      <c r="T31" s="30"/>
    </row>
    <row r="32" spans="3:20" ht="15">
      <c r="C32" s="81">
        <f t="shared" si="0"/>
        <v>10</v>
      </c>
      <c r="D32" s="80" t="s">
        <v>142</v>
      </c>
      <c r="E32" s="78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9"/>
      <c r="T32" s="30"/>
    </row>
    <row r="33" spans="3:20" ht="15">
      <c r="C33" s="81">
        <f t="shared" si="0"/>
        <v>11</v>
      </c>
      <c r="D33" s="80" t="s">
        <v>143</v>
      </c>
      <c r="E33" s="78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9"/>
      <c r="T33" s="30"/>
    </row>
    <row r="34" spans="3:20" ht="15">
      <c r="C34" s="81">
        <f t="shared" si="0"/>
        <v>12</v>
      </c>
      <c r="D34" s="80" t="s">
        <v>147</v>
      </c>
      <c r="E34" s="78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9"/>
      <c r="T34" s="30"/>
    </row>
    <row r="35" spans="3:20" ht="15">
      <c r="C35" s="81">
        <f t="shared" si="0"/>
        <v>13</v>
      </c>
      <c r="D35" s="80" t="s">
        <v>148</v>
      </c>
      <c r="E35" s="78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9"/>
      <c r="T35" s="30"/>
    </row>
    <row r="36" spans="3:20" ht="15">
      <c r="C36" s="81">
        <f t="shared" si="0"/>
        <v>14</v>
      </c>
      <c r="D36" s="80" t="s">
        <v>150</v>
      </c>
      <c r="E36" s="78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9"/>
      <c r="T36" s="30"/>
    </row>
    <row r="37" spans="3:20" ht="15">
      <c r="C37" s="81">
        <f t="shared" si="0"/>
        <v>15</v>
      </c>
      <c r="D37" s="80" t="s">
        <v>149</v>
      </c>
      <c r="E37" s="78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9"/>
      <c r="T37" s="30"/>
    </row>
    <row r="38" spans="3:20" ht="15">
      <c r="C38" s="81">
        <f t="shared" si="0"/>
        <v>16</v>
      </c>
      <c r="D38" s="80" t="s">
        <v>153</v>
      </c>
      <c r="E38" s="78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9"/>
      <c r="T38" s="30"/>
    </row>
    <row r="39" spans="3:20" ht="15">
      <c r="C39" s="81">
        <f t="shared" si="0"/>
        <v>17</v>
      </c>
      <c r="D39" s="80" t="s">
        <v>154</v>
      </c>
      <c r="E39" s="78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9"/>
      <c r="T39" s="30"/>
    </row>
    <row r="40" spans="3:20" ht="15">
      <c r="C40" s="81">
        <f t="shared" si="0"/>
        <v>18</v>
      </c>
      <c r="D40" s="82" t="s">
        <v>166</v>
      </c>
      <c r="E40" s="78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9"/>
      <c r="T40" s="30"/>
    </row>
    <row r="41" spans="3:20" ht="15">
      <c r="C41" s="81">
        <f t="shared" si="0"/>
        <v>19</v>
      </c>
      <c r="D41" s="82" t="s">
        <v>167</v>
      </c>
      <c r="E41" s="78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9"/>
      <c r="T41" s="30"/>
    </row>
    <row r="42" spans="3:20" ht="15">
      <c r="C42" s="81"/>
      <c r="D42" s="90" t="s">
        <v>162</v>
      </c>
      <c r="E42" s="78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9"/>
      <c r="T42" s="30"/>
    </row>
    <row r="43" spans="3:20" ht="15">
      <c r="C43" s="81">
        <v>1</v>
      </c>
      <c r="D43" s="80" t="s">
        <v>151</v>
      </c>
      <c r="E43" s="78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9"/>
      <c r="T43" s="30"/>
    </row>
    <row r="44" spans="3:20" ht="15">
      <c r="C44" s="81">
        <f t="shared" si="0"/>
        <v>2</v>
      </c>
      <c r="D44" s="80" t="s">
        <v>144</v>
      </c>
      <c r="E44" s="78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9"/>
      <c r="T44" s="30"/>
    </row>
    <row r="45" spans="3:20" ht="15">
      <c r="C45" s="81">
        <f t="shared" si="0"/>
        <v>3</v>
      </c>
      <c r="D45" s="80" t="s">
        <v>145</v>
      </c>
      <c r="E45" s="78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9"/>
      <c r="T45" s="30"/>
    </row>
    <row r="46" spans="3:20" ht="12.75">
      <c r="C46" s="81">
        <f t="shared" si="0"/>
        <v>4</v>
      </c>
      <c r="D46" s="30"/>
      <c r="E46" s="78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9"/>
      <c r="T46" s="30"/>
    </row>
    <row r="47" spans="3:20" ht="12.75">
      <c r="C47" s="81">
        <f t="shared" si="0"/>
        <v>5</v>
      </c>
      <c r="D47" s="30"/>
      <c r="E47" s="7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9"/>
      <c r="T47" s="30"/>
    </row>
    <row r="48" spans="3:20" ht="12.75">
      <c r="C48" s="81">
        <f t="shared" si="0"/>
        <v>6</v>
      </c>
      <c r="D48" s="30"/>
      <c r="E48" s="78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9"/>
      <c r="T48" s="30"/>
    </row>
    <row r="49" spans="3:20" ht="12.75">
      <c r="C49" s="81">
        <f t="shared" si="0"/>
        <v>7</v>
      </c>
      <c r="D49" s="30"/>
      <c r="E49" s="78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9"/>
      <c r="T49" s="30"/>
    </row>
    <row r="50" spans="3:20" ht="15">
      <c r="C50" s="81"/>
      <c r="D50" s="90" t="s">
        <v>163</v>
      </c>
      <c r="E50" s="78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9"/>
      <c r="T50" s="30"/>
    </row>
    <row r="51" spans="3:20" ht="15">
      <c r="C51" s="81">
        <v>1</v>
      </c>
      <c r="D51" s="80" t="s">
        <v>130</v>
      </c>
      <c r="E51" s="7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9"/>
      <c r="T51" s="30"/>
    </row>
    <row r="52" spans="3:20" ht="15">
      <c r="C52" s="81">
        <f t="shared" si="0"/>
        <v>2</v>
      </c>
      <c r="D52" s="80" t="s">
        <v>131</v>
      </c>
      <c r="E52" s="78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9"/>
      <c r="T52" s="30"/>
    </row>
    <row r="53" spans="3:20" ht="15">
      <c r="C53" s="81">
        <f t="shared" si="0"/>
        <v>3</v>
      </c>
      <c r="D53" s="80" t="s">
        <v>137</v>
      </c>
      <c r="E53" s="78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9"/>
      <c r="T53" s="30"/>
    </row>
    <row r="54" spans="3:20" ht="15">
      <c r="C54" s="81">
        <f t="shared" si="0"/>
        <v>4</v>
      </c>
      <c r="D54" s="80" t="s">
        <v>135</v>
      </c>
      <c r="E54" s="78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9"/>
      <c r="T54" s="30"/>
    </row>
    <row r="55" spans="3:20" ht="15">
      <c r="C55" s="81">
        <f t="shared" si="0"/>
        <v>5</v>
      </c>
      <c r="D55" s="80" t="s">
        <v>136</v>
      </c>
      <c r="E55" s="78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9"/>
      <c r="T55" s="30"/>
    </row>
    <row r="56" spans="3:20" ht="15">
      <c r="C56" s="81">
        <f t="shared" si="0"/>
        <v>6</v>
      </c>
      <c r="D56" s="80" t="s">
        <v>139</v>
      </c>
      <c r="E56" s="78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9"/>
      <c r="T56" s="30"/>
    </row>
    <row r="57" spans="3:20" ht="15">
      <c r="C57" s="81">
        <f t="shared" si="0"/>
        <v>7</v>
      </c>
      <c r="D57" s="80" t="s">
        <v>141</v>
      </c>
      <c r="E57" s="78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9"/>
      <c r="T57" s="30"/>
    </row>
    <row r="58" spans="3:20" ht="15">
      <c r="C58" s="81">
        <f t="shared" si="0"/>
        <v>8</v>
      </c>
      <c r="D58" s="80" t="s">
        <v>146</v>
      </c>
      <c r="E58" s="78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9"/>
      <c r="T58" s="30"/>
    </row>
    <row r="59" spans="3:20" ht="12.75">
      <c r="C59" s="81">
        <f t="shared" si="0"/>
        <v>9</v>
      </c>
      <c r="D59" s="30"/>
      <c r="E59" s="78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9"/>
      <c r="T59" s="30"/>
    </row>
    <row r="60" spans="3:20" ht="12.75">
      <c r="C60" s="81">
        <f t="shared" si="0"/>
        <v>10</v>
      </c>
      <c r="D60" s="30"/>
      <c r="E60" s="78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9"/>
      <c r="T60" s="30"/>
    </row>
    <row r="61" spans="3:20" ht="12.75">
      <c r="C61" s="81">
        <f t="shared" si="0"/>
        <v>11</v>
      </c>
      <c r="D61" s="30"/>
      <c r="E61" s="78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9"/>
      <c r="T61" s="30"/>
    </row>
    <row r="62" spans="3:20" ht="12.75">
      <c r="C62" s="81">
        <f t="shared" si="0"/>
        <v>12</v>
      </c>
      <c r="D62" s="30"/>
      <c r="E62" s="78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9"/>
      <c r="T62" s="30"/>
    </row>
    <row r="63" spans="3:20" ht="12.75">
      <c r="C63" s="81">
        <f t="shared" si="0"/>
        <v>13</v>
      </c>
      <c r="D63" s="30"/>
      <c r="E63" s="78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9"/>
      <c r="T63" s="30"/>
    </row>
    <row r="64" spans="3:20" ht="12.75">
      <c r="C64" s="81">
        <f t="shared" si="0"/>
        <v>14</v>
      </c>
      <c r="D64" s="30"/>
      <c r="E64" s="78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9"/>
      <c r="T64" s="30"/>
    </row>
    <row r="65" spans="3:20" ht="12.75">
      <c r="C65" s="81">
        <f t="shared" si="0"/>
        <v>15</v>
      </c>
      <c r="D65" s="30"/>
      <c r="E65" s="78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9"/>
      <c r="T65" s="30"/>
    </row>
    <row r="66" spans="3:20" ht="15">
      <c r="C66" s="30"/>
      <c r="D66" s="90" t="s">
        <v>165</v>
      </c>
      <c r="E66" s="78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9"/>
      <c r="T66" s="30"/>
    </row>
    <row r="67" spans="3:20" ht="15">
      <c r="C67" s="81">
        <v>1</v>
      </c>
      <c r="D67" s="91" t="s">
        <v>124</v>
      </c>
      <c r="E67" s="7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9"/>
      <c r="T67" s="30"/>
    </row>
    <row r="68" spans="3:20" ht="15">
      <c r="C68" s="81">
        <f t="shared" si="0"/>
        <v>2</v>
      </c>
      <c r="D68" s="92" t="s">
        <v>152</v>
      </c>
      <c r="E68" s="78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9"/>
      <c r="T68" s="30"/>
    </row>
    <row r="69" spans="3:20" ht="15">
      <c r="C69" s="81">
        <f t="shared" si="0"/>
        <v>3</v>
      </c>
      <c r="D69" s="92" t="s">
        <v>129</v>
      </c>
      <c r="E69" s="78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9"/>
      <c r="T69" s="30"/>
    </row>
    <row r="70" spans="3:20" ht="12.75">
      <c r="C70" s="81">
        <f t="shared" si="0"/>
        <v>4</v>
      </c>
      <c r="D70" s="30"/>
      <c r="E70" s="78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9"/>
      <c r="T70" s="30"/>
    </row>
    <row r="71" spans="3:20" ht="12.75">
      <c r="C71" s="81">
        <f aca="true" t="shared" si="1" ref="C71:C85">C70+1</f>
        <v>5</v>
      </c>
      <c r="D71" s="30"/>
      <c r="E71" s="78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9"/>
      <c r="T71" s="30"/>
    </row>
    <row r="72" spans="3:20" ht="12.75">
      <c r="C72" s="81">
        <f t="shared" si="1"/>
        <v>6</v>
      </c>
      <c r="D72" s="30"/>
      <c r="E72" s="78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9"/>
      <c r="T72" s="30"/>
    </row>
    <row r="73" spans="3:20" ht="12.75">
      <c r="C73" s="81">
        <f t="shared" si="1"/>
        <v>7</v>
      </c>
      <c r="D73" s="30"/>
      <c r="E73" s="78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9"/>
      <c r="T73" s="30"/>
    </row>
    <row r="74" spans="3:20" ht="12.75">
      <c r="C74" s="81">
        <f t="shared" si="1"/>
        <v>8</v>
      </c>
      <c r="D74" s="30"/>
      <c r="E74" s="78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9"/>
      <c r="T74" s="30"/>
    </row>
    <row r="75" spans="3:20" ht="12.75">
      <c r="C75" s="81">
        <f t="shared" si="1"/>
        <v>9</v>
      </c>
      <c r="D75" s="30"/>
      <c r="E75" s="78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9"/>
      <c r="T75" s="30"/>
    </row>
    <row r="76" spans="3:20" ht="12.75">
      <c r="C76" s="81">
        <f t="shared" si="1"/>
        <v>10</v>
      </c>
      <c r="D76" s="30"/>
      <c r="E76" s="78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9"/>
      <c r="T76" s="30"/>
    </row>
    <row r="77" spans="3:20" ht="12.75">
      <c r="C77" s="81">
        <f t="shared" si="1"/>
        <v>11</v>
      </c>
      <c r="D77" s="30"/>
      <c r="E77" s="78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9"/>
      <c r="T77" s="30"/>
    </row>
    <row r="78" spans="3:20" ht="12.75">
      <c r="C78" s="81">
        <f t="shared" si="1"/>
        <v>12</v>
      </c>
      <c r="D78" s="30"/>
      <c r="E78" s="78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9"/>
      <c r="T78" s="30"/>
    </row>
    <row r="79" spans="3:20" ht="12.75">
      <c r="C79" s="81">
        <f t="shared" si="1"/>
        <v>13</v>
      </c>
      <c r="D79" s="30"/>
      <c r="E79" s="78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9"/>
      <c r="T79" s="30"/>
    </row>
    <row r="80" spans="3:20" ht="12.75">
      <c r="C80" s="81">
        <f t="shared" si="1"/>
        <v>14</v>
      </c>
      <c r="D80" s="30"/>
      <c r="E80" s="78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9"/>
      <c r="T80" s="30"/>
    </row>
    <row r="81" spans="3:20" ht="12.75">
      <c r="C81" s="81">
        <f t="shared" si="1"/>
        <v>15</v>
      </c>
      <c r="D81" s="30"/>
      <c r="E81" s="78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9"/>
      <c r="T81" s="30"/>
    </row>
    <row r="82" spans="3:20" ht="12.75">
      <c r="C82" s="81">
        <f t="shared" si="1"/>
        <v>16</v>
      </c>
      <c r="D82" s="30"/>
      <c r="E82" s="78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9"/>
      <c r="T82" s="30"/>
    </row>
    <row r="83" spans="3:20" ht="12.75">
      <c r="C83" s="81">
        <f t="shared" si="1"/>
        <v>17</v>
      </c>
      <c r="D83" s="30"/>
      <c r="E83" s="78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9"/>
      <c r="T83" s="30"/>
    </row>
    <row r="84" spans="3:20" ht="12.75">
      <c r="C84" s="81">
        <f t="shared" si="1"/>
        <v>18</v>
      </c>
      <c r="D84" s="30"/>
      <c r="E84" s="78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9"/>
      <c r="T84" s="30"/>
    </row>
    <row r="85" spans="3:20" ht="12.75">
      <c r="C85" s="81">
        <f t="shared" si="1"/>
        <v>19</v>
      </c>
      <c r="D85" s="30"/>
      <c r="E85" s="78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9"/>
      <c r="T85" s="30"/>
    </row>
    <row r="86" spans="5:19" ht="12.75"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</row>
  </sheetData>
  <printOptions/>
  <pageMargins left="0.75" right="0.75" top="0.17" bottom="0.23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14" sqref="A14"/>
    </sheetView>
  </sheetViews>
  <sheetFormatPr defaultColWidth="9.140625" defaultRowHeight="12.75"/>
  <cols>
    <col min="1" max="1" width="27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352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9</v>
      </c>
      <c r="D5" s="9"/>
      <c r="E5" s="9"/>
      <c r="F5" s="9"/>
      <c r="G5" s="10" t="s">
        <v>250</v>
      </c>
      <c r="H5" s="209">
        <v>1921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252</v>
      </c>
      <c r="C7" s="15">
        <v>50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3.5" thickBot="1">
      <c r="A10" s="9"/>
      <c r="B10" s="9"/>
      <c r="C10" s="9"/>
      <c r="D10" s="9"/>
      <c r="E10" s="9"/>
      <c r="F10" s="10" t="s">
        <v>185</v>
      </c>
      <c r="G10" s="9"/>
      <c r="H10" s="9"/>
      <c r="I10" s="9"/>
      <c r="J10" s="9"/>
      <c r="K10" s="9"/>
      <c r="L10" s="9"/>
    </row>
    <row r="11" spans="1:12" ht="13.5" thickBot="1">
      <c r="A11" s="211" t="s">
        <v>59</v>
      </c>
      <c r="B11" s="212">
        <v>1</v>
      </c>
      <c r="C11" s="212">
        <v>2</v>
      </c>
      <c r="D11" s="212">
        <v>3</v>
      </c>
      <c r="E11" s="212">
        <v>4</v>
      </c>
      <c r="F11" s="212">
        <v>5</v>
      </c>
      <c r="G11" s="212">
        <v>6</v>
      </c>
      <c r="H11" s="212">
        <v>7</v>
      </c>
      <c r="I11" s="212">
        <v>8</v>
      </c>
      <c r="J11" s="212">
        <v>9</v>
      </c>
      <c r="K11" s="212">
        <v>10</v>
      </c>
      <c r="L11" s="213" t="s">
        <v>187</v>
      </c>
    </row>
    <row r="12" spans="1:17" ht="12.75">
      <c r="A12" s="214" t="s">
        <v>243</v>
      </c>
      <c r="B12" s="215">
        <v>104</v>
      </c>
      <c r="C12" s="216">
        <v>102</v>
      </c>
      <c r="D12" s="216"/>
      <c r="E12" s="216"/>
      <c r="F12" s="216"/>
      <c r="G12" s="216"/>
      <c r="H12" s="216"/>
      <c r="I12" s="217"/>
      <c r="J12" s="217"/>
      <c r="K12" s="218"/>
      <c r="L12" s="219">
        <f aca="true" t="shared" si="0" ref="L12:L25">SUM(B12:H12)</f>
        <v>206</v>
      </c>
      <c r="M12" s="95"/>
      <c r="N12" s="98"/>
      <c r="O12" s="95"/>
      <c r="P12" s="98"/>
      <c r="Q12" s="95"/>
    </row>
    <row r="13" spans="1:17" ht="12.75" hidden="1">
      <c r="A13" s="245"/>
      <c r="B13" s="246">
        <v>0</v>
      </c>
      <c r="C13" s="22">
        <v>0</v>
      </c>
      <c r="D13" s="22"/>
      <c r="E13" s="22"/>
      <c r="F13" s="22"/>
      <c r="G13" s="22"/>
      <c r="H13" s="22"/>
      <c r="I13" s="154"/>
      <c r="J13" s="154"/>
      <c r="K13" s="247"/>
      <c r="L13" s="227">
        <f t="shared" si="0"/>
        <v>0</v>
      </c>
      <c r="M13" s="95"/>
      <c r="N13" s="98"/>
      <c r="O13" s="95"/>
      <c r="P13" s="98"/>
      <c r="Q13" s="95"/>
    </row>
    <row r="14" spans="1:17" ht="12.75">
      <c r="A14" s="245" t="s">
        <v>242</v>
      </c>
      <c r="B14" s="246">
        <v>1</v>
      </c>
      <c r="C14" s="22">
        <v>2</v>
      </c>
      <c r="D14" s="22"/>
      <c r="E14" s="22"/>
      <c r="F14" s="22"/>
      <c r="G14" s="22"/>
      <c r="H14" s="22"/>
      <c r="I14" s="154"/>
      <c r="J14" s="154"/>
      <c r="K14" s="247"/>
      <c r="L14" s="227">
        <f t="shared" si="0"/>
        <v>3</v>
      </c>
      <c r="M14" s="95"/>
      <c r="N14" s="98"/>
      <c r="O14" s="95"/>
      <c r="P14" s="98"/>
      <c r="Q14" s="95"/>
    </row>
    <row r="15" spans="1:17" ht="12.75">
      <c r="A15" s="220" t="s">
        <v>174</v>
      </c>
      <c r="B15" s="221">
        <v>0</v>
      </c>
      <c r="C15" s="24">
        <v>0</v>
      </c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O15" s="3"/>
      <c r="P15" s="3"/>
      <c r="Q15" s="3"/>
    </row>
    <row r="16" spans="1:17" ht="12.75">
      <c r="A16" s="220" t="s">
        <v>175</v>
      </c>
      <c r="B16" s="221">
        <v>0</v>
      </c>
      <c r="C16" s="24">
        <v>0</v>
      </c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176</v>
      </c>
      <c r="B17" s="221">
        <v>1</v>
      </c>
      <c r="C17" s="24">
        <v>1</v>
      </c>
      <c r="D17" s="24"/>
      <c r="E17" s="24"/>
      <c r="F17" s="24"/>
      <c r="G17" s="24"/>
      <c r="H17" s="24"/>
      <c r="I17" s="162"/>
      <c r="J17" s="162"/>
      <c r="K17" s="169"/>
      <c r="L17" s="228">
        <f t="shared" si="0"/>
        <v>2</v>
      </c>
      <c r="M17" s="3"/>
      <c r="N17" s="3"/>
      <c r="O17" s="3"/>
      <c r="P17" s="3"/>
      <c r="Q17" s="3"/>
    </row>
    <row r="18" spans="1:17" ht="12.75">
      <c r="A18" s="220" t="s">
        <v>177</v>
      </c>
      <c r="B18" s="221">
        <v>0</v>
      </c>
      <c r="C18" s="24">
        <v>0</v>
      </c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0</v>
      </c>
      <c r="M18" s="3"/>
      <c r="N18" s="3"/>
      <c r="O18" s="3"/>
      <c r="P18" s="3"/>
      <c r="Q18" s="3"/>
    </row>
    <row r="19" spans="1:17" ht="12.75">
      <c r="A19" s="220" t="s">
        <v>181</v>
      </c>
      <c r="B19" s="221">
        <v>0</v>
      </c>
      <c r="C19" s="24">
        <v>0</v>
      </c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0</v>
      </c>
      <c r="M19" s="3"/>
      <c r="N19" s="3"/>
      <c r="O19" s="3"/>
      <c r="P19" s="3"/>
      <c r="Q19" s="3"/>
    </row>
    <row r="20" spans="1:17" ht="12.75">
      <c r="A20" s="220" t="s">
        <v>178</v>
      </c>
      <c r="B20" s="221">
        <v>0</v>
      </c>
      <c r="C20" s="24">
        <v>0</v>
      </c>
      <c r="D20" s="24"/>
      <c r="E20" s="24"/>
      <c r="F20" s="24"/>
      <c r="G20" s="24"/>
      <c r="H20" s="24"/>
      <c r="I20" s="162"/>
      <c r="J20" s="162"/>
      <c r="K20" s="169"/>
      <c r="L20" s="227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179</v>
      </c>
      <c r="B21" s="221">
        <v>1</v>
      </c>
      <c r="C21" s="24">
        <v>1</v>
      </c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2</v>
      </c>
      <c r="M21" s="3"/>
      <c r="N21" s="3"/>
      <c r="O21" s="3"/>
      <c r="P21" s="3"/>
      <c r="Q21" s="3"/>
    </row>
    <row r="22" spans="1:17" ht="12.75">
      <c r="A22" s="220" t="s">
        <v>180</v>
      </c>
      <c r="B22" s="221">
        <v>0</v>
      </c>
      <c r="C22" s="24">
        <v>0</v>
      </c>
      <c r="D22" s="24"/>
      <c r="E22" s="24"/>
      <c r="F22" s="24"/>
      <c r="G22" s="24"/>
      <c r="H22" s="24"/>
      <c r="I22" s="162"/>
      <c r="J22" s="162"/>
      <c r="K22" s="169"/>
      <c r="L22" s="228">
        <f t="shared" si="0"/>
        <v>0</v>
      </c>
      <c r="M22" s="3"/>
      <c r="N22" s="3"/>
      <c r="O22" s="3"/>
      <c r="P22" s="3"/>
      <c r="Q22" s="3"/>
    </row>
    <row r="23" spans="1:17" ht="12.75">
      <c r="A23" s="220" t="s">
        <v>195</v>
      </c>
      <c r="B23" s="221">
        <v>0</v>
      </c>
      <c r="C23" s="24">
        <v>0</v>
      </c>
      <c r="D23" s="24"/>
      <c r="E23" s="24"/>
      <c r="F23" s="24"/>
      <c r="G23" s="24"/>
      <c r="H23" s="24"/>
      <c r="I23" s="162"/>
      <c r="J23" s="162"/>
      <c r="K23" s="169"/>
      <c r="L23" s="228">
        <f t="shared" si="0"/>
        <v>0</v>
      </c>
      <c r="M23" s="3"/>
      <c r="N23" s="3"/>
      <c r="O23" s="3"/>
      <c r="P23" s="3"/>
      <c r="Q23" s="3"/>
    </row>
    <row r="24" spans="1:17" ht="12.75">
      <c r="A24" s="248" t="s">
        <v>245</v>
      </c>
      <c r="B24" s="230">
        <v>0</v>
      </c>
      <c r="C24" s="21">
        <v>0</v>
      </c>
      <c r="D24" s="21"/>
      <c r="E24" s="21"/>
      <c r="F24" s="21"/>
      <c r="G24" s="21"/>
      <c r="H24" s="21"/>
      <c r="I24" s="152"/>
      <c r="J24" s="152"/>
      <c r="K24" s="231"/>
      <c r="L24" s="232">
        <f t="shared" si="0"/>
        <v>0</v>
      </c>
      <c r="M24" s="3"/>
      <c r="N24" s="3"/>
      <c r="O24" s="3"/>
      <c r="P24" s="3"/>
      <c r="Q24" s="3"/>
    </row>
    <row r="25" spans="1:17" ht="13.5" thickBot="1">
      <c r="A25" s="233" t="s">
        <v>208</v>
      </c>
      <c r="B25" s="234">
        <v>0</v>
      </c>
      <c r="C25" s="235">
        <v>0</v>
      </c>
      <c r="D25" s="235"/>
      <c r="E25" s="235"/>
      <c r="F25" s="235"/>
      <c r="G25" s="235"/>
      <c r="H25" s="235"/>
      <c r="I25" s="236"/>
      <c r="J25" s="236"/>
      <c r="K25" s="237"/>
      <c r="L25" s="238">
        <f t="shared" si="0"/>
        <v>0</v>
      </c>
      <c r="M25" s="3"/>
      <c r="N25" s="3"/>
      <c r="O25" s="3"/>
      <c r="P25" s="3"/>
      <c r="Q25" s="3"/>
    </row>
    <row r="26" spans="1:17" ht="13.5" thickBot="1">
      <c r="A26" s="239" t="s">
        <v>186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40">
        <f>SUM(L12:L25)</f>
        <v>213</v>
      </c>
      <c r="M26" s="3"/>
      <c r="N26" s="3"/>
      <c r="O26" s="3"/>
      <c r="P26" s="3"/>
      <c r="Q26" s="3"/>
    </row>
    <row r="27" spans="1:17" ht="12.75">
      <c r="A27" s="241"/>
      <c r="B27" s="9"/>
      <c r="C27" s="9"/>
      <c r="D27" s="9"/>
      <c r="E27" s="9"/>
      <c r="F27" s="9"/>
      <c r="G27" s="9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41"/>
      <c r="B29" s="202" t="s">
        <v>189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2" t="s">
        <v>188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 t="s">
        <v>243</v>
      </c>
      <c r="B31" s="14">
        <f>L12</f>
        <v>206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/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41" t="s">
        <v>63</v>
      </c>
      <c r="B33" s="240">
        <f>SUM(B31)</f>
        <v>206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2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175</v>
      </c>
      <c r="B36" s="14">
        <f>L16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1" t="s">
        <v>178</v>
      </c>
      <c r="B37" s="14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208</v>
      </c>
      <c r="B38" s="243">
        <f>L25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41" t="s">
        <v>63</v>
      </c>
      <c r="B39" s="240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2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174</v>
      </c>
      <c r="B42" s="14">
        <f>L15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242</v>
      </c>
      <c r="B43" s="14">
        <v>3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179</v>
      </c>
      <c r="B44" s="14">
        <v>2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180</v>
      </c>
      <c r="B45" s="14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195</v>
      </c>
      <c r="B46" s="14"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41" t="s">
        <v>63</v>
      </c>
      <c r="B47" s="240">
        <f>SUM(B42:B46)</f>
        <v>5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2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 t="s">
        <v>177</v>
      </c>
      <c r="B50" s="243">
        <f>L18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1" t="s">
        <v>181</v>
      </c>
      <c r="B51" s="243">
        <f>L19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49" t="s">
        <v>245</v>
      </c>
      <c r="B52" s="243">
        <f>L24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63</v>
      </c>
      <c r="B53" s="244">
        <f>SUM(B50:B52)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"/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242" t="s">
        <v>165</v>
      </c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176</v>
      </c>
      <c r="B56" s="243">
        <f>L17</f>
        <v>2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41" t="s">
        <v>63</v>
      </c>
      <c r="B57" s="244">
        <f>SUM(B56:B56)</f>
        <v>2</v>
      </c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B1">
      <selection activeCell="A13" sqref="A13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65">
        <v>10.898399999999999</v>
      </c>
      <c r="D7" s="3" t="s">
        <v>2</v>
      </c>
      <c r="F7" s="2" t="s">
        <v>7</v>
      </c>
      <c r="H7" s="47">
        <v>50</v>
      </c>
      <c r="I7" s="37" t="s">
        <v>284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SUM('Gajeo Clusters m'!L12:L14)</f>
        <v>209</v>
      </c>
      <c r="I9" t="s">
        <v>293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1921</v>
      </c>
      <c r="I11" t="s">
        <v>291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'Gajeo Clusters m'!B47</f>
        <v>5</v>
      </c>
      <c r="K17" s="131">
        <f>I17/I18</f>
        <v>0.023474178403755867</v>
      </c>
      <c r="L17" s="37" t="s">
        <v>99</v>
      </c>
    </row>
    <row r="18" spans="4:9" ht="13.5" thickTop="1">
      <c r="D18" s="38" t="s">
        <v>190</v>
      </c>
      <c r="I18" s="122">
        <f>'Gajeo Clusters m'!L26</f>
        <v>213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'Gajeo Clusters m'!B53</f>
        <v>0</v>
      </c>
      <c r="K20" s="131">
        <f>I20/I21</f>
        <v>0</v>
      </c>
      <c r="L20" s="37" t="s">
        <v>99</v>
      </c>
    </row>
    <row r="21" spans="4:9" ht="13.5" thickTop="1">
      <c r="D21" s="38" t="s">
        <v>190</v>
      </c>
      <c r="I21" s="124">
        <f>I18</f>
        <v>213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'Gajeo Clusters m'!B39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213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'Gajeo Clusters m'!B57</f>
        <v>2</v>
      </c>
      <c r="K26" s="131">
        <f>I26/I27</f>
        <v>0.009389671361502348</v>
      </c>
      <c r="L26" s="37" t="s">
        <v>99</v>
      </c>
    </row>
    <row r="27" spans="4:9" ht="13.5" thickTop="1">
      <c r="D27" s="38" t="s">
        <v>190</v>
      </c>
      <c r="I27" s="126">
        <f>I18</f>
        <v>213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SUM('Gajeo Clusters m'!L12:L14)*H11</f>
        <v>401489</v>
      </c>
      <c r="K29" s="47">
        <f>I29/I30</f>
        <v>1884.924882629108</v>
      </c>
      <c r="L29" s="37" t="s">
        <v>2</v>
      </c>
    </row>
    <row r="30" spans="4:9" ht="13.5" thickTop="1">
      <c r="D30" s="38" t="s">
        <v>91</v>
      </c>
      <c r="I30" s="130">
        <f>I18</f>
        <v>213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Normal!E13</f>
        <v>+ 0.08</v>
      </c>
      <c r="L35" s="58" t="str">
        <f>Normal!H13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12.642144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2186.5128638497654</v>
      </c>
      <c r="E40">
        <f>D40/D41-1</f>
        <v>0.1530285073216302</v>
      </c>
      <c r="F40" t="s">
        <v>99</v>
      </c>
    </row>
    <row r="41" spans="3:4" ht="12.75">
      <c r="C41" s="3" t="s">
        <v>97</v>
      </c>
      <c r="D41" s="3">
        <f>(H7*3)*E37</f>
        <v>1896.3216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0.023474178403755867</v>
      </c>
      <c r="C47" s="66">
        <f>K20</f>
        <v>0</v>
      </c>
      <c r="D47" s="3">
        <f>K23</f>
        <v>0</v>
      </c>
      <c r="E47" s="3">
        <f>K26</f>
        <v>0.009389671361502348</v>
      </c>
      <c r="F47">
        <f>E40</f>
        <v>0.1530285073216302</v>
      </c>
    </row>
    <row r="49" spans="1:3" ht="12.75">
      <c r="A49" s="2" t="s">
        <v>52</v>
      </c>
      <c r="B49">
        <f>B47+C47+D47+E47+F47</f>
        <v>0.18589235708688842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12.642144</v>
      </c>
      <c r="F54" s="66">
        <f>B49+1</f>
        <v>1.1858923570868884</v>
      </c>
    </row>
    <row r="56" spans="1:5" ht="12.75">
      <c r="A56" s="2" t="s">
        <v>104</v>
      </c>
      <c r="D56">
        <f>E54*F54</f>
        <v>14.992221946791865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2.706628827508316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1498158" r:id="rId1"/>
    <oleObject progId="Equation.3" shapeId="1498159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7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353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12</v>
      </c>
      <c r="D5" s="9"/>
      <c r="E5" s="9"/>
      <c r="F5" s="9"/>
      <c r="G5" s="10" t="s">
        <v>250</v>
      </c>
      <c r="H5" s="209">
        <v>2561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252</v>
      </c>
      <c r="C7" s="15">
        <v>49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243</v>
      </c>
      <c r="B13" s="215">
        <v>105</v>
      </c>
      <c r="C13" s="216">
        <v>103</v>
      </c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6">SUM(B13:H13)</f>
        <v>208</v>
      </c>
      <c r="M13" s="95"/>
      <c r="N13" s="98"/>
      <c r="O13" s="95"/>
      <c r="P13" s="98"/>
      <c r="Q13" s="95"/>
    </row>
    <row r="14" spans="1:17" ht="12.75" hidden="1">
      <c r="A14" s="245"/>
      <c r="B14" s="246">
        <v>0</v>
      </c>
      <c r="C14" s="22">
        <v>0</v>
      </c>
      <c r="D14" s="22"/>
      <c r="E14" s="22"/>
      <c r="F14" s="22"/>
      <c r="G14" s="22"/>
      <c r="H14" s="22"/>
      <c r="I14" s="154"/>
      <c r="J14" s="154"/>
      <c r="K14" s="247"/>
      <c r="L14" s="227">
        <f t="shared" si="0"/>
        <v>0</v>
      </c>
      <c r="M14" s="95"/>
      <c r="N14" s="98"/>
      <c r="O14" s="95"/>
      <c r="P14" s="98"/>
      <c r="Q14" s="95"/>
    </row>
    <row r="15" spans="1:17" ht="12.75">
      <c r="A15" s="245" t="s">
        <v>242</v>
      </c>
      <c r="B15" s="246">
        <v>1</v>
      </c>
      <c r="C15" s="22">
        <v>0</v>
      </c>
      <c r="D15" s="22"/>
      <c r="E15" s="22"/>
      <c r="F15" s="22"/>
      <c r="G15" s="22"/>
      <c r="H15" s="22"/>
      <c r="I15" s="154"/>
      <c r="J15" s="154"/>
      <c r="K15" s="247"/>
      <c r="L15" s="227">
        <f t="shared" si="0"/>
        <v>1</v>
      </c>
      <c r="M15" s="95"/>
      <c r="N15" s="98"/>
      <c r="O15" s="95"/>
      <c r="P15" s="98"/>
      <c r="Q15" s="95"/>
    </row>
    <row r="16" spans="1:17" ht="12.75">
      <c r="A16" s="220" t="s">
        <v>174</v>
      </c>
      <c r="B16" s="221">
        <v>0</v>
      </c>
      <c r="C16" s="24">
        <v>0</v>
      </c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175</v>
      </c>
      <c r="B17" s="221">
        <v>0</v>
      </c>
      <c r="C17" s="24">
        <v>0</v>
      </c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3"/>
      <c r="O17" s="3"/>
      <c r="P17" s="3"/>
      <c r="Q17" s="3"/>
    </row>
    <row r="18" spans="1:17" ht="12.75">
      <c r="A18" s="220" t="s">
        <v>176</v>
      </c>
      <c r="B18" s="221">
        <v>1</v>
      </c>
      <c r="C18" s="24">
        <v>1</v>
      </c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2</v>
      </c>
      <c r="M18" s="3"/>
      <c r="N18" s="3"/>
      <c r="O18" s="3"/>
      <c r="P18" s="3"/>
      <c r="Q18" s="3"/>
    </row>
    <row r="19" spans="1:17" ht="12.75">
      <c r="A19" s="220" t="s">
        <v>177</v>
      </c>
      <c r="B19" s="221">
        <v>0</v>
      </c>
      <c r="C19" s="24">
        <v>0</v>
      </c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0</v>
      </c>
      <c r="M19" s="3"/>
      <c r="N19" s="3"/>
      <c r="O19" s="3"/>
      <c r="P19" s="3"/>
      <c r="Q19" s="3"/>
    </row>
    <row r="20" spans="1:17" ht="12.75">
      <c r="A20" s="220" t="s">
        <v>181</v>
      </c>
      <c r="B20" s="221">
        <v>0</v>
      </c>
      <c r="C20" s="24">
        <v>0</v>
      </c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178</v>
      </c>
      <c r="B21" s="221">
        <v>0</v>
      </c>
      <c r="C21" s="24">
        <v>0</v>
      </c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179</v>
      </c>
      <c r="B22" s="221">
        <v>1</v>
      </c>
      <c r="C22" s="24">
        <v>1</v>
      </c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2</v>
      </c>
      <c r="M22" s="3"/>
      <c r="N22" s="3"/>
      <c r="O22" s="3"/>
      <c r="P22" s="3"/>
      <c r="Q22" s="3"/>
    </row>
    <row r="23" spans="1:17" ht="12.75">
      <c r="A23" s="220" t="s">
        <v>180</v>
      </c>
      <c r="B23" s="221">
        <v>0</v>
      </c>
      <c r="C23" s="24">
        <v>0</v>
      </c>
      <c r="D23" s="24"/>
      <c r="E23" s="24"/>
      <c r="F23" s="24"/>
      <c r="G23" s="24"/>
      <c r="H23" s="24"/>
      <c r="I23" s="162"/>
      <c r="J23" s="162"/>
      <c r="K23" s="169"/>
      <c r="L23" s="228">
        <f t="shared" si="0"/>
        <v>0</v>
      </c>
      <c r="M23" s="3"/>
      <c r="N23" s="3"/>
      <c r="O23" s="3"/>
      <c r="P23" s="3"/>
      <c r="Q23" s="3"/>
    </row>
    <row r="24" spans="1:17" ht="12.75">
      <c r="A24" s="220" t="s">
        <v>195</v>
      </c>
      <c r="B24" s="221">
        <v>0</v>
      </c>
      <c r="C24" s="24">
        <v>0</v>
      </c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3"/>
      <c r="P24" s="3"/>
      <c r="Q24" s="3"/>
    </row>
    <row r="25" spans="1:17" ht="12.75">
      <c r="A25" s="248" t="s">
        <v>245</v>
      </c>
      <c r="B25" s="230">
        <v>0</v>
      </c>
      <c r="C25" s="21">
        <v>0</v>
      </c>
      <c r="D25" s="21"/>
      <c r="E25" s="21"/>
      <c r="F25" s="21"/>
      <c r="G25" s="21"/>
      <c r="H25" s="21"/>
      <c r="I25" s="152"/>
      <c r="J25" s="152"/>
      <c r="K25" s="231"/>
      <c r="L25" s="232">
        <f t="shared" si="0"/>
        <v>0</v>
      </c>
      <c r="M25" s="3"/>
      <c r="N25" s="3"/>
      <c r="O25" s="3"/>
      <c r="P25" s="3"/>
      <c r="Q25" s="3"/>
    </row>
    <row r="26" spans="1:17" ht="13.5" thickBot="1">
      <c r="A26" s="233" t="s">
        <v>208</v>
      </c>
      <c r="B26" s="234">
        <v>0</v>
      </c>
      <c r="C26" s="235">
        <v>0</v>
      </c>
      <c r="D26" s="235"/>
      <c r="E26" s="235"/>
      <c r="F26" s="235"/>
      <c r="G26" s="235"/>
      <c r="H26" s="235"/>
      <c r="I26" s="236"/>
      <c r="J26" s="236"/>
      <c r="K26" s="237"/>
      <c r="L26" s="238">
        <f t="shared" si="0"/>
        <v>0</v>
      </c>
      <c r="M26" s="3"/>
      <c r="N26" s="3"/>
      <c r="O26" s="3"/>
      <c r="P26" s="3"/>
      <c r="Q26" s="3"/>
    </row>
    <row r="27" spans="1:17" ht="13.5" thickBot="1">
      <c r="A27" s="239" t="s">
        <v>186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40">
        <f>SUM(L13:L26)</f>
        <v>213</v>
      </c>
      <c r="M27" s="3"/>
      <c r="N27" s="3"/>
      <c r="O27" s="3"/>
      <c r="P27" s="3"/>
      <c r="Q27" s="3"/>
    </row>
    <row r="28" spans="1:17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1"/>
      <c r="B30" s="202" t="s">
        <v>189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2" t="s">
        <v>188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1" t="s">
        <v>243</v>
      </c>
      <c r="B32" s="14">
        <f>L13</f>
        <v>208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41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41" t="s">
        <v>63</v>
      </c>
      <c r="B34" s="240">
        <f>SUM(B32)</f>
        <v>208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2" t="s">
        <v>164</v>
      </c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1" t="s">
        <v>175</v>
      </c>
      <c r="B37" s="14">
        <v>1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 t="s">
        <v>178</v>
      </c>
      <c r="B38" s="14"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41" t="s">
        <v>208</v>
      </c>
      <c r="B39" s="243">
        <f>L26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41" t="s">
        <v>63</v>
      </c>
      <c r="B40" s="240">
        <f>SUM(B37:B39)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1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2" t="s">
        <v>162</v>
      </c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174</v>
      </c>
      <c r="B43" s="14">
        <f>L16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242</v>
      </c>
      <c r="B44" s="14">
        <v>1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179</v>
      </c>
      <c r="B45" s="14">
        <v>2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180</v>
      </c>
      <c r="B46" s="14"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41" t="s">
        <v>195</v>
      </c>
      <c r="B47" s="14"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63</v>
      </c>
      <c r="B48" s="240">
        <f>SUM(B43:B47)</f>
        <v>3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2" t="s">
        <v>163</v>
      </c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1" t="s">
        <v>177</v>
      </c>
      <c r="B51" s="243">
        <f>L19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181</v>
      </c>
      <c r="B52" s="243">
        <f>L20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9" t="s">
        <v>245</v>
      </c>
      <c r="B53" s="243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41" t="s">
        <v>63</v>
      </c>
      <c r="B54" s="244">
        <f>SUM(B51:B53)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42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41" t="s">
        <v>176</v>
      </c>
      <c r="B57" s="243">
        <f>L18</f>
        <v>2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41" t="s">
        <v>63</v>
      </c>
      <c r="B58" s="244">
        <f>SUM(B57:B57)</f>
        <v>2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8">
      <selection activeCell="H4" sqref="H4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65">
        <v>14.800959999999996</v>
      </c>
      <c r="D7" s="3" t="s">
        <v>2</v>
      </c>
      <c r="F7" s="2" t="s">
        <v>7</v>
      </c>
      <c r="H7" s="47">
        <v>49</v>
      </c>
      <c r="I7" s="37" t="s">
        <v>284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SUM('Gajeo Clusters g'!L13:L15)</f>
        <v>209</v>
      </c>
      <c r="I9" t="s">
        <v>293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2561</v>
      </c>
      <c r="I11" t="s">
        <v>291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'Gajeo Clusters g'!B48</f>
        <v>3</v>
      </c>
      <c r="K17" s="131">
        <f>I17/I18</f>
        <v>0.014084507042253521</v>
      </c>
      <c r="L17" s="37" t="s">
        <v>99</v>
      </c>
    </row>
    <row r="18" spans="4:9" ht="13.5" thickTop="1">
      <c r="D18" s="38" t="s">
        <v>190</v>
      </c>
      <c r="I18" s="122">
        <f>'Gajeo Clusters g'!L27</f>
        <v>213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'Gajeo Clusters g'!B54</f>
        <v>0</v>
      </c>
      <c r="K20" s="131">
        <f>I20/I21</f>
        <v>0</v>
      </c>
      <c r="L20" s="37" t="s">
        <v>99</v>
      </c>
    </row>
    <row r="21" spans="4:9" ht="13.5" thickTop="1">
      <c r="D21" s="38" t="s">
        <v>190</v>
      </c>
      <c r="I21" s="124">
        <f>I18</f>
        <v>213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'Gajeo Clusters g'!B40</f>
        <v>1</v>
      </c>
      <c r="K23" s="131">
        <f>I23/I24</f>
        <v>0.004694835680751174</v>
      </c>
      <c r="L23" s="37" t="s">
        <v>99</v>
      </c>
    </row>
    <row r="24" spans="4:9" ht="13.5" thickTop="1">
      <c r="D24" s="38" t="s">
        <v>190</v>
      </c>
      <c r="I24" s="125">
        <f>I18</f>
        <v>213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'Gajeo Clusters g'!B58</f>
        <v>2</v>
      </c>
      <c r="K26" s="131">
        <f>I26/I27</f>
        <v>0.009389671361502348</v>
      </c>
      <c r="L26" s="37" t="s">
        <v>99</v>
      </c>
    </row>
    <row r="27" spans="4:9" ht="13.5" thickTop="1">
      <c r="D27" s="38" t="s">
        <v>190</v>
      </c>
      <c r="I27" s="126">
        <f>I18</f>
        <v>213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SUM('Gajeo Clusters g'!L13:L15)*H11</f>
        <v>535249</v>
      </c>
      <c r="K29" s="47">
        <f>I29/I30</f>
        <v>2512.906103286385</v>
      </c>
      <c r="L29" s="37" t="s">
        <v>2</v>
      </c>
    </row>
    <row r="30" spans="4:9" ht="13.5" thickTop="1">
      <c r="D30" s="38" t="s">
        <v>91</v>
      </c>
      <c r="I30" s="130">
        <f>I18</f>
        <v>213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Normal!E14</f>
        <v>+ 0.08</v>
      </c>
      <c r="L35" s="58" t="str">
        <f>Normal!H14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17.1691136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2914.9710798122073</v>
      </c>
      <c r="E40">
        <f>D40/D41-1</f>
        <v>0.15496557940054267</v>
      </c>
      <c r="F40" t="s">
        <v>99</v>
      </c>
    </row>
    <row r="41" spans="3:4" ht="12.75">
      <c r="C41" s="3" t="s">
        <v>97</v>
      </c>
      <c r="D41" s="3">
        <f>(H7*3)*E37</f>
        <v>2523.8596992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0.014084507042253521</v>
      </c>
      <c r="C47" s="66">
        <f>K20</f>
        <v>0</v>
      </c>
      <c r="D47" s="3">
        <f>K23</f>
        <v>0.004694835680751174</v>
      </c>
      <c r="E47" s="3">
        <f>K26</f>
        <v>0.009389671361502348</v>
      </c>
      <c r="F47">
        <f>E40</f>
        <v>0.15496557940054267</v>
      </c>
    </row>
    <row r="49" spans="1:3" ht="12.75">
      <c r="A49" s="2" t="s">
        <v>52</v>
      </c>
      <c r="B49">
        <f>B47+C47+D47+E47+F47</f>
        <v>0.1831345934850497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17.1691136</v>
      </c>
      <c r="F54" s="66">
        <f>B49+1</f>
        <v>1.1831345934850497</v>
      </c>
    </row>
    <row r="56" spans="1:5" ht="12.75">
      <c r="A56" s="2" t="s">
        <v>104</v>
      </c>
      <c r="D56">
        <f>E54*F54</f>
        <v>20.31337223963464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2.6794258373205744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223526" r:id="rId1"/>
    <oleObject progId="Equation.3" shapeId="223527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354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6</v>
      </c>
      <c r="D5" s="9"/>
      <c r="E5" s="9"/>
      <c r="F5" s="9"/>
      <c r="G5" s="10" t="s">
        <v>250</v>
      </c>
      <c r="H5" s="209">
        <v>1496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146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173</v>
      </c>
      <c r="B13" s="216">
        <v>232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6">SUM(B13:D13)</f>
        <v>232</v>
      </c>
      <c r="M13" s="95"/>
      <c r="N13" s="98"/>
      <c r="Q13" s="95"/>
    </row>
    <row r="14" spans="1:17" ht="12.75">
      <c r="A14" s="220" t="s">
        <v>191</v>
      </c>
      <c r="B14" s="24">
        <v>9</v>
      </c>
      <c r="C14" s="24"/>
      <c r="D14" s="24"/>
      <c r="E14" s="24"/>
      <c r="F14" s="24"/>
      <c r="G14" s="24"/>
      <c r="H14" s="24"/>
      <c r="I14" s="162"/>
      <c r="J14" s="162"/>
      <c r="K14" s="169"/>
      <c r="L14" s="227">
        <f t="shared" si="0"/>
        <v>9</v>
      </c>
      <c r="M14" s="3"/>
      <c r="N14" s="3"/>
      <c r="Q14" s="3"/>
    </row>
    <row r="15" spans="1:17" ht="12.75">
      <c r="A15" s="220" t="s">
        <v>175</v>
      </c>
      <c r="B15" s="24">
        <v>0</v>
      </c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Q15" s="3"/>
    </row>
    <row r="16" spans="1:17" ht="12.75">
      <c r="A16" s="220" t="s">
        <v>192</v>
      </c>
      <c r="B16" s="24">
        <v>1</v>
      </c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1</v>
      </c>
      <c r="M16" s="3"/>
      <c r="N16" s="3"/>
      <c r="Q16" s="3"/>
    </row>
    <row r="17" spans="1:17" ht="12.75">
      <c r="A17" s="220" t="s">
        <v>176</v>
      </c>
      <c r="B17" s="24">
        <v>0</v>
      </c>
      <c r="C17" s="24"/>
      <c r="D17" s="24"/>
      <c r="E17" s="24"/>
      <c r="F17" s="24"/>
      <c r="G17" s="24"/>
      <c r="H17" s="24"/>
      <c r="I17" s="162"/>
      <c r="J17" s="162"/>
      <c r="K17" s="169"/>
      <c r="L17" s="228">
        <f t="shared" si="0"/>
        <v>0</v>
      </c>
      <c r="M17" s="3"/>
      <c r="N17" s="3"/>
      <c r="Q17" s="3"/>
    </row>
    <row r="18" spans="1:17" ht="12.75">
      <c r="A18" s="220" t="s">
        <v>177</v>
      </c>
      <c r="B18" s="24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1</v>
      </c>
      <c r="M18" s="3"/>
      <c r="N18" s="3"/>
      <c r="Q18" s="3"/>
    </row>
    <row r="19" spans="1:17" ht="12.75">
      <c r="A19" s="220" t="s">
        <v>193</v>
      </c>
      <c r="B19" s="24">
        <v>2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2</v>
      </c>
      <c r="M19" s="3"/>
      <c r="N19" s="3"/>
      <c r="Q19" s="3"/>
    </row>
    <row r="20" spans="1:17" ht="12.75">
      <c r="A20" s="220" t="s">
        <v>194</v>
      </c>
      <c r="B20" s="24">
        <v>4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4</v>
      </c>
      <c r="M20" s="3"/>
      <c r="N20" s="3"/>
      <c r="Q20" s="3"/>
    </row>
    <row r="21" spans="1:17" ht="12.75">
      <c r="A21" s="220" t="s">
        <v>178</v>
      </c>
      <c r="B21" s="24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0</v>
      </c>
      <c r="M21" s="3"/>
      <c r="N21" s="3"/>
      <c r="Q21" s="3"/>
    </row>
    <row r="22" spans="1:17" ht="12.75">
      <c r="A22" s="220" t="s">
        <v>179</v>
      </c>
      <c r="B22" s="24">
        <v>0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0</v>
      </c>
      <c r="M22" s="3"/>
      <c r="N22" s="3"/>
      <c r="Q22" s="3"/>
    </row>
    <row r="23" spans="1:17" ht="12.75">
      <c r="A23" s="220" t="s">
        <v>180</v>
      </c>
      <c r="B23" s="24">
        <v>0</v>
      </c>
      <c r="C23" s="24"/>
      <c r="D23" s="24"/>
      <c r="E23" s="24"/>
      <c r="F23" s="24"/>
      <c r="G23" s="24"/>
      <c r="H23" s="24"/>
      <c r="I23" s="162"/>
      <c r="J23" s="162"/>
      <c r="K23" s="169"/>
      <c r="L23" s="228">
        <f t="shared" si="0"/>
        <v>0</v>
      </c>
      <c r="M23" s="3"/>
      <c r="N23" s="3"/>
      <c r="Q23" s="3"/>
    </row>
    <row r="24" spans="1:17" ht="12.75">
      <c r="A24" s="220" t="s">
        <v>195</v>
      </c>
      <c r="B24" s="24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Q24" s="3"/>
    </row>
    <row r="25" spans="1:17" ht="12.75">
      <c r="A25" s="229" t="s">
        <v>182</v>
      </c>
      <c r="B25" s="21">
        <v>0</v>
      </c>
      <c r="C25" s="21"/>
      <c r="D25" s="21"/>
      <c r="E25" s="21"/>
      <c r="F25" s="21"/>
      <c r="G25" s="21"/>
      <c r="H25" s="21"/>
      <c r="I25" s="152"/>
      <c r="J25" s="152"/>
      <c r="K25" s="231"/>
      <c r="L25" s="232">
        <f t="shared" si="0"/>
        <v>0</v>
      </c>
      <c r="M25" s="3"/>
      <c r="N25" s="3"/>
      <c r="Q25" s="3"/>
    </row>
    <row r="26" spans="1:17" ht="13.5" thickBot="1">
      <c r="A26" s="233" t="s">
        <v>208</v>
      </c>
      <c r="B26" s="235">
        <v>0</v>
      </c>
      <c r="C26" s="235"/>
      <c r="D26" s="235"/>
      <c r="E26" s="235"/>
      <c r="F26" s="235"/>
      <c r="G26" s="235"/>
      <c r="H26" s="235"/>
      <c r="I26" s="236"/>
      <c r="J26" s="236"/>
      <c r="K26" s="237"/>
      <c r="L26" s="238">
        <f t="shared" si="0"/>
        <v>0</v>
      </c>
      <c r="M26" s="3"/>
      <c r="N26" s="3"/>
      <c r="Q26" s="3"/>
    </row>
    <row r="27" spans="1:17" ht="13.5" thickBot="1">
      <c r="A27" s="239" t="s">
        <v>186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40">
        <f>SUM(L13:L26)</f>
        <v>249</v>
      </c>
      <c r="M27" s="3"/>
      <c r="N27" s="3"/>
      <c r="O27" s="3"/>
      <c r="P27" s="3"/>
      <c r="Q27" s="3"/>
    </row>
    <row r="28" spans="1:17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1"/>
      <c r="B30" s="202" t="s">
        <v>189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2" t="s">
        <v>188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 t="s">
        <v>248</v>
      </c>
      <c r="B32" s="14">
        <f>L13</f>
        <v>232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41" t="s">
        <v>63</v>
      </c>
      <c r="B33" s="240">
        <f>SUM(B32)</f>
        <v>232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2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175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1" t="s">
        <v>178</v>
      </c>
      <c r="B37" s="14">
        <f>L21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208</v>
      </c>
      <c r="B38" s="243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41" t="s">
        <v>63</v>
      </c>
      <c r="B39" s="240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2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191</v>
      </c>
      <c r="B42" s="14">
        <f>L14</f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179</v>
      </c>
      <c r="B43" s="14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180</v>
      </c>
      <c r="B44" s="243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195</v>
      </c>
      <c r="B45" s="243">
        <f>L24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196</v>
      </c>
      <c r="B46" s="243">
        <f>L19</f>
        <v>2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41" t="s">
        <v>63</v>
      </c>
      <c r="B47" s="240">
        <f>SUM(B42:B46)</f>
        <v>11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2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 t="s">
        <v>177</v>
      </c>
      <c r="B50" s="243">
        <f>L18</f>
        <v>1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1" t="s">
        <v>194</v>
      </c>
      <c r="B51" s="243">
        <f>L20</f>
        <v>4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192</v>
      </c>
      <c r="B52" s="243">
        <f>L16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182</v>
      </c>
      <c r="B53" s="243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41" t="s">
        <v>63</v>
      </c>
      <c r="B54" s="244">
        <f>SUM(B50:B53)</f>
        <v>6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42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41" t="s">
        <v>176</v>
      </c>
      <c r="B57" s="243">
        <f>L17</f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41" t="s">
        <v>63</v>
      </c>
      <c r="B58" s="244">
        <f>SUM(B57:B57)</f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Q92"/>
  <sheetViews>
    <sheetView zoomScale="200" zoomScaleNormal="200" workbookViewId="0" topLeftCell="B40">
      <selection activeCell="D13" sqref="D13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8.446799999999998</v>
      </c>
      <c r="D7" s="3" t="s">
        <v>2</v>
      </c>
      <c r="F7" s="2" t="s">
        <v>7</v>
      </c>
      <c r="H7" s="47">
        <v>146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'Llenado platos p'!L13</f>
        <v>232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1496</v>
      </c>
      <c r="I11" t="s">
        <v>294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'Llenado platos p'!B47</f>
        <v>11</v>
      </c>
      <c r="K17" s="131">
        <f>I17/I18</f>
        <v>0.04417670682730924</v>
      </c>
      <c r="L17" s="37" t="s">
        <v>99</v>
      </c>
    </row>
    <row r="18" spans="4:9" ht="13.5" thickTop="1">
      <c r="D18" s="38" t="s">
        <v>190</v>
      </c>
      <c r="I18" s="122">
        <f>'Llenado platos p'!L27</f>
        <v>249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'Llenado platos p'!B54</f>
        <v>6</v>
      </c>
      <c r="K20" s="131">
        <f>I20/I21</f>
        <v>0.024096385542168676</v>
      </c>
      <c r="L20" s="37" t="s">
        <v>99</v>
      </c>
    </row>
    <row r="21" spans="4:9" ht="13.5" thickTop="1">
      <c r="D21" s="38" t="s">
        <v>190</v>
      </c>
      <c r="I21" s="124">
        <f>I18</f>
        <v>249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'Llenado platos p'!B39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249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'Llenado platos p'!B58</f>
        <v>0</v>
      </c>
      <c r="K26" s="131">
        <f>I26/I27</f>
        <v>0</v>
      </c>
      <c r="L26" s="37" t="s">
        <v>99</v>
      </c>
    </row>
    <row r="27" spans="4:9" ht="13.5" thickTop="1">
      <c r="D27" s="38" t="s">
        <v>190</v>
      </c>
      <c r="I27" s="126">
        <f>I18</f>
        <v>249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'Llenado platos p'!L13*H11</f>
        <v>347072</v>
      </c>
      <c r="K29" s="47">
        <f>I29/I30</f>
        <v>1393.863453815261</v>
      </c>
      <c r="L29" s="37" t="s">
        <v>2</v>
      </c>
    </row>
    <row r="30" spans="4:9" ht="13.5" thickTop="1">
      <c r="D30" s="38" t="s">
        <v>91</v>
      </c>
      <c r="I30" s="130">
        <f>I18</f>
        <v>249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Normal!E15</f>
        <v>+ 0.06</v>
      </c>
      <c r="L35" s="58" t="str">
        <f>Normal!H15</f>
        <v>+ 0.05</v>
      </c>
      <c r="N35" s="56">
        <f>J35+K35+L35</f>
        <v>1.11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9.375948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1547.1884337349397</v>
      </c>
      <c r="E40">
        <f>D40/D41-1</f>
        <v>0.1302516879337472</v>
      </c>
      <c r="F40" t="s">
        <v>99</v>
      </c>
    </row>
    <row r="41" spans="3:4" ht="12.75">
      <c r="C41" s="3" t="s">
        <v>97</v>
      </c>
      <c r="D41" s="3">
        <f>H7*E37</f>
        <v>1368.8884079999998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0.04417670682730924</v>
      </c>
      <c r="C47" s="66">
        <f>K20</f>
        <v>0.024096385542168676</v>
      </c>
      <c r="D47" s="3">
        <f>K23</f>
        <v>0</v>
      </c>
      <c r="E47" s="3">
        <f>K26</f>
        <v>0</v>
      </c>
      <c r="F47">
        <f>E40</f>
        <v>0.1302516879337472</v>
      </c>
    </row>
    <row r="49" spans="1:3" ht="12.75">
      <c r="A49" s="2" t="s">
        <v>52</v>
      </c>
      <c r="B49">
        <f>B47+C47+D47+E47+F47</f>
        <v>0.19852478030322512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9.375948</v>
      </c>
      <c r="F54" s="66">
        <f>B49+1</f>
        <v>1.198524780303225</v>
      </c>
    </row>
    <row r="56" spans="1:5" ht="12.75">
      <c r="A56" s="2" t="s">
        <v>104</v>
      </c>
      <c r="D56">
        <f>E54*F54</f>
        <v>11.237306016834461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4.166567577101577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  <row r="78" spans="1:12" ht="12.75">
      <c r="A78" t="s">
        <v>215</v>
      </c>
      <c r="B78">
        <v>212</v>
      </c>
      <c r="C78">
        <v>62</v>
      </c>
      <c r="D78">
        <v>57</v>
      </c>
      <c r="E78">
        <v>22</v>
      </c>
      <c r="F78">
        <v>27</v>
      </c>
      <c r="G78">
        <v>38</v>
      </c>
      <c r="H78">
        <v>58</v>
      </c>
      <c r="I78">
        <v>20</v>
      </c>
      <c r="J78">
        <v>26</v>
      </c>
      <c r="K78">
        <v>102</v>
      </c>
      <c r="L78">
        <f aca="true" t="shared" si="0" ref="L78:L83">SUM(B78:K78)</f>
        <v>624</v>
      </c>
    </row>
    <row r="79" spans="1:12" ht="12.75">
      <c r="A79" t="s">
        <v>216</v>
      </c>
      <c r="B79">
        <v>114</v>
      </c>
      <c r="C79">
        <v>33</v>
      </c>
      <c r="D79">
        <v>31</v>
      </c>
      <c r="E79">
        <v>12</v>
      </c>
      <c r="F79">
        <v>15</v>
      </c>
      <c r="G79">
        <v>20</v>
      </c>
      <c r="H79">
        <v>31</v>
      </c>
      <c r="I79">
        <v>11</v>
      </c>
      <c r="J79">
        <v>14</v>
      </c>
      <c r="K79">
        <v>55</v>
      </c>
      <c r="L79">
        <f t="shared" si="0"/>
        <v>336</v>
      </c>
    </row>
    <row r="80" spans="1:12" ht="12.75">
      <c r="A80" t="s">
        <v>217</v>
      </c>
      <c r="B80">
        <v>65</v>
      </c>
      <c r="C80">
        <v>19</v>
      </c>
      <c r="D80">
        <v>18</v>
      </c>
      <c r="E80">
        <v>7</v>
      </c>
      <c r="F80">
        <v>8</v>
      </c>
      <c r="G80">
        <v>12</v>
      </c>
      <c r="H80">
        <v>18</v>
      </c>
      <c r="I80">
        <v>6</v>
      </c>
      <c r="J80">
        <v>8</v>
      </c>
      <c r="K80">
        <v>31</v>
      </c>
      <c r="L80">
        <f t="shared" si="0"/>
        <v>192</v>
      </c>
    </row>
    <row r="81" spans="1:12" ht="12.75">
      <c r="A81" t="s">
        <v>218</v>
      </c>
      <c r="B81">
        <v>10</v>
      </c>
      <c r="C81">
        <v>3</v>
      </c>
      <c r="D81">
        <v>3</v>
      </c>
      <c r="E81">
        <v>1</v>
      </c>
      <c r="F81">
        <v>1</v>
      </c>
      <c r="G81">
        <v>2</v>
      </c>
      <c r="H81">
        <v>3</v>
      </c>
      <c r="I81">
        <v>1</v>
      </c>
      <c r="J81">
        <v>1</v>
      </c>
      <c r="K81">
        <v>5</v>
      </c>
      <c r="L81">
        <f t="shared" si="0"/>
        <v>30</v>
      </c>
    </row>
    <row r="82" spans="1:12" ht="12.75">
      <c r="A82" t="s">
        <v>219</v>
      </c>
      <c r="B82">
        <v>6</v>
      </c>
      <c r="C82">
        <v>2</v>
      </c>
      <c r="D82">
        <v>2</v>
      </c>
      <c r="E82">
        <v>1</v>
      </c>
      <c r="F82">
        <v>1</v>
      </c>
      <c r="G82">
        <v>1</v>
      </c>
      <c r="H82">
        <v>2</v>
      </c>
      <c r="I82">
        <v>1</v>
      </c>
      <c r="J82">
        <v>1</v>
      </c>
      <c r="K82">
        <v>3</v>
      </c>
      <c r="L82">
        <f t="shared" si="0"/>
        <v>20</v>
      </c>
    </row>
    <row r="83" spans="1:14" ht="12.75">
      <c r="A83" t="s">
        <v>220</v>
      </c>
      <c r="B83">
        <v>326</v>
      </c>
      <c r="C83">
        <v>95</v>
      </c>
      <c r="D83">
        <v>88</v>
      </c>
      <c r="E83">
        <v>34</v>
      </c>
      <c r="F83">
        <v>42</v>
      </c>
      <c r="G83">
        <v>58</v>
      </c>
      <c r="H83">
        <v>90</v>
      </c>
      <c r="I83">
        <v>30</v>
      </c>
      <c r="J83">
        <v>40</v>
      </c>
      <c r="K83">
        <v>157</v>
      </c>
      <c r="L83">
        <f t="shared" si="0"/>
        <v>960</v>
      </c>
      <c r="N83">
        <f>L78+L79+L80+L83</f>
        <v>2112</v>
      </c>
    </row>
    <row r="85" spans="15:16" ht="12.75">
      <c r="O85" s="132">
        <v>0.3055555555555555</v>
      </c>
      <c r="P85" s="132">
        <v>0.75</v>
      </c>
    </row>
    <row r="87" ht="12.75">
      <c r="P87" s="132">
        <f>P85-O85</f>
        <v>0.4444444444444445</v>
      </c>
    </row>
    <row r="89" spans="15:17" ht="12.75">
      <c r="O89">
        <f>N83/P89</f>
        <v>198</v>
      </c>
      <c r="P89">
        <f>40/60+10</f>
        <v>10.666666666666666</v>
      </c>
      <c r="Q89">
        <v>2112</v>
      </c>
    </row>
    <row r="90" ht="12.75">
      <c r="P90">
        <v>0.45</v>
      </c>
    </row>
    <row r="92" ht="12.75">
      <c r="P92">
        <f>P90*Q89/P89</f>
        <v>89.10000000000001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46668" r:id="rId1"/>
    <oleObject progId="Equation.3" shapeId="646670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B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355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6</v>
      </c>
      <c r="D5" s="9"/>
      <c r="E5" s="9"/>
      <c r="F5" s="9"/>
      <c r="G5" s="10" t="s">
        <v>250</v>
      </c>
      <c r="H5" s="209">
        <v>1496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170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173</v>
      </c>
      <c r="B13" s="215">
        <v>241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6">SUM(B13:D13)</f>
        <v>241</v>
      </c>
      <c r="M13" s="95"/>
      <c r="N13" s="98"/>
      <c r="O13" s="106">
        <v>45</v>
      </c>
      <c r="P13" s="102">
        <v>45</v>
      </c>
      <c r="Q13" s="95"/>
    </row>
    <row r="14" spans="1:17" ht="12.75">
      <c r="A14" s="220" t="s">
        <v>191</v>
      </c>
      <c r="B14" s="221">
        <v>6</v>
      </c>
      <c r="C14" s="24"/>
      <c r="D14" s="24"/>
      <c r="E14" s="24"/>
      <c r="F14" s="24"/>
      <c r="G14" s="24"/>
      <c r="H14" s="24"/>
      <c r="I14" s="162"/>
      <c r="J14" s="162"/>
      <c r="K14" s="169"/>
      <c r="L14" s="227">
        <f t="shared" si="0"/>
        <v>6</v>
      </c>
      <c r="M14" s="3"/>
      <c r="N14" s="3"/>
      <c r="O14" s="107">
        <v>6</v>
      </c>
      <c r="P14" s="96">
        <v>0</v>
      </c>
      <c r="Q14" s="3"/>
    </row>
    <row r="15" spans="1:17" ht="12.75">
      <c r="A15" s="220" t="s">
        <v>175</v>
      </c>
      <c r="B15" s="221">
        <v>0</v>
      </c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O15" s="107">
        <v>0</v>
      </c>
      <c r="P15" s="96">
        <v>0</v>
      </c>
      <c r="Q15" s="3"/>
    </row>
    <row r="16" spans="1:17" ht="12.75">
      <c r="A16" s="220" t="s">
        <v>192</v>
      </c>
      <c r="B16" s="221">
        <v>1</v>
      </c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1</v>
      </c>
      <c r="M16" s="3"/>
      <c r="N16" s="3"/>
      <c r="O16" s="107">
        <v>1</v>
      </c>
      <c r="P16" s="96">
        <v>2</v>
      </c>
      <c r="Q16" s="3"/>
    </row>
    <row r="17" spans="1:17" ht="12.75">
      <c r="A17" s="220" t="s">
        <v>176</v>
      </c>
      <c r="B17" s="221">
        <v>0</v>
      </c>
      <c r="C17" s="24"/>
      <c r="D17" s="24"/>
      <c r="E17" s="24"/>
      <c r="F17" s="24"/>
      <c r="G17" s="24"/>
      <c r="H17" s="24"/>
      <c r="I17" s="162"/>
      <c r="J17" s="162"/>
      <c r="K17" s="169"/>
      <c r="L17" s="228">
        <f t="shared" si="0"/>
        <v>0</v>
      </c>
      <c r="M17" s="3"/>
      <c r="N17" s="3"/>
      <c r="O17" s="107">
        <v>0</v>
      </c>
      <c r="P17" s="96">
        <v>0</v>
      </c>
      <c r="Q17" s="3"/>
    </row>
    <row r="18" spans="1:17" ht="12.75">
      <c r="A18" s="220" t="s">
        <v>177</v>
      </c>
      <c r="B18" s="221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1</v>
      </c>
      <c r="M18" s="3"/>
      <c r="N18" s="3"/>
      <c r="O18" s="107">
        <v>2</v>
      </c>
      <c r="P18" s="96">
        <v>1</v>
      </c>
      <c r="Q18" s="3"/>
    </row>
    <row r="19" spans="1:17" ht="12.75">
      <c r="A19" s="220" t="s">
        <v>193</v>
      </c>
      <c r="B19" s="221">
        <v>0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0</v>
      </c>
      <c r="M19" s="3"/>
      <c r="N19" s="3"/>
      <c r="O19" s="107">
        <v>0</v>
      </c>
      <c r="P19" s="96">
        <v>0</v>
      </c>
      <c r="Q19" s="3"/>
    </row>
    <row r="20" spans="1:17" ht="12.75">
      <c r="A20" s="220" t="s">
        <v>194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107">
        <v>0</v>
      </c>
      <c r="P20" s="96">
        <v>0</v>
      </c>
      <c r="Q20" s="3"/>
    </row>
    <row r="21" spans="1:17" ht="12.75">
      <c r="A21" s="220" t="s">
        <v>178</v>
      </c>
      <c r="B21" s="221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0</v>
      </c>
      <c r="M21" s="3"/>
      <c r="N21" s="3"/>
      <c r="O21" s="107">
        <v>3</v>
      </c>
      <c r="P21" s="96">
        <v>0</v>
      </c>
      <c r="Q21" s="3"/>
    </row>
    <row r="22" spans="1:17" ht="12.75">
      <c r="A22" s="220" t="s">
        <v>179</v>
      </c>
      <c r="B22" s="221">
        <v>0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0</v>
      </c>
      <c r="M22" s="3"/>
      <c r="N22" s="3"/>
      <c r="O22" s="107">
        <v>0</v>
      </c>
      <c r="P22" s="96">
        <v>0</v>
      </c>
      <c r="Q22" s="3"/>
    </row>
    <row r="23" spans="1:17" ht="12.75">
      <c r="A23" s="220" t="s">
        <v>180</v>
      </c>
      <c r="B23" s="221">
        <v>0</v>
      </c>
      <c r="C23" s="24"/>
      <c r="D23" s="24"/>
      <c r="E23" s="24"/>
      <c r="F23" s="24"/>
      <c r="G23" s="24"/>
      <c r="H23" s="24"/>
      <c r="I23" s="162"/>
      <c r="J23" s="162"/>
      <c r="K23" s="169"/>
      <c r="L23" s="228">
        <f t="shared" si="0"/>
        <v>0</v>
      </c>
      <c r="M23" s="3"/>
      <c r="N23" s="3"/>
      <c r="O23" s="107">
        <v>0</v>
      </c>
      <c r="P23" s="96">
        <v>0</v>
      </c>
      <c r="Q23" s="3"/>
    </row>
    <row r="24" spans="1:17" ht="12.75">
      <c r="A24" s="220" t="s">
        <v>195</v>
      </c>
      <c r="B24" s="221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107">
        <v>0</v>
      </c>
      <c r="P24" s="96">
        <v>0</v>
      </c>
      <c r="Q24" s="3"/>
    </row>
    <row r="25" spans="1:17" ht="12.75">
      <c r="A25" s="229" t="s">
        <v>182</v>
      </c>
      <c r="B25" s="230">
        <v>0</v>
      </c>
      <c r="C25" s="21"/>
      <c r="D25" s="21"/>
      <c r="E25" s="21"/>
      <c r="F25" s="21"/>
      <c r="G25" s="21"/>
      <c r="H25" s="21"/>
      <c r="I25" s="152"/>
      <c r="J25" s="152"/>
      <c r="K25" s="231"/>
      <c r="L25" s="232">
        <f t="shared" si="0"/>
        <v>0</v>
      </c>
      <c r="M25" s="3"/>
      <c r="N25" s="3"/>
      <c r="O25" s="141">
        <v>0</v>
      </c>
      <c r="P25" s="142">
        <v>0</v>
      </c>
      <c r="Q25" s="3"/>
    </row>
    <row r="26" spans="1:17" ht="13.5" thickBot="1">
      <c r="A26" s="233" t="s">
        <v>208</v>
      </c>
      <c r="B26" s="234">
        <v>0</v>
      </c>
      <c r="C26" s="235"/>
      <c r="D26" s="235"/>
      <c r="E26" s="235"/>
      <c r="F26" s="235"/>
      <c r="G26" s="235"/>
      <c r="H26" s="235"/>
      <c r="I26" s="236"/>
      <c r="J26" s="236"/>
      <c r="K26" s="237"/>
      <c r="L26" s="238">
        <f t="shared" si="0"/>
        <v>0</v>
      </c>
      <c r="M26" s="3"/>
      <c r="N26" s="3"/>
      <c r="O26" s="108">
        <v>0</v>
      </c>
      <c r="P26" s="104">
        <v>0</v>
      </c>
      <c r="Q26" s="3"/>
    </row>
    <row r="27" spans="1:17" ht="13.5" thickBot="1">
      <c r="A27" s="239" t="s">
        <v>186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40">
        <f>SUM(L13:L26)</f>
        <v>249</v>
      </c>
      <c r="M27" s="3"/>
      <c r="N27" s="3"/>
      <c r="O27" s="3"/>
      <c r="P27" s="3"/>
      <c r="Q27" s="3"/>
    </row>
    <row r="28" spans="1:17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1"/>
      <c r="B30" s="202" t="s">
        <v>189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2" t="s">
        <v>188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 t="s">
        <v>248</v>
      </c>
      <c r="B32" s="14">
        <f>L13</f>
        <v>241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41" t="s">
        <v>63</v>
      </c>
      <c r="B33" s="240">
        <f>SUM(B32)</f>
        <v>241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2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175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1" t="s">
        <v>178</v>
      </c>
      <c r="B37" s="14">
        <f>L21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208</v>
      </c>
      <c r="B38" s="243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41" t="s">
        <v>63</v>
      </c>
      <c r="B39" s="240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2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191</v>
      </c>
      <c r="B42" s="14">
        <f>L14</f>
        <v>6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179</v>
      </c>
      <c r="B43" s="14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180</v>
      </c>
      <c r="B44" s="243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195</v>
      </c>
      <c r="B45" s="243">
        <f>L24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196</v>
      </c>
      <c r="B46" s="243">
        <f>L19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41" t="s">
        <v>63</v>
      </c>
      <c r="B47" s="240">
        <f>SUM(B42:B46)</f>
        <v>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2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 t="s">
        <v>177</v>
      </c>
      <c r="B50" s="243">
        <f>L18</f>
        <v>1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1" t="s">
        <v>194</v>
      </c>
      <c r="B51" s="243">
        <f>L20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192</v>
      </c>
      <c r="B52" s="243">
        <f>L16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182</v>
      </c>
      <c r="B53" s="243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41" t="s">
        <v>63</v>
      </c>
      <c r="B54" s="244">
        <f>SUM(B50:B53)</f>
        <v>2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42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41" t="s">
        <v>176</v>
      </c>
      <c r="B57" s="243">
        <f>L17</f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41" t="s">
        <v>63</v>
      </c>
      <c r="B58" s="244">
        <f>SUM(B57:B57)</f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92"/>
  <sheetViews>
    <sheetView zoomScale="200" zoomScaleNormal="200" workbookViewId="0" topLeftCell="A36">
      <selection activeCell="A7" sqref="A7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7.3132</v>
      </c>
      <c r="D7" s="3" t="s">
        <v>2</v>
      </c>
      <c r="F7" s="2" t="s">
        <v>7</v>
      </c>
      <c r="H7" s="47">
        <v>170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'Llenado platos m'!L13</f>
        <v>241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1496</v>
      </c>
      <c r="I11" t="s">
        <v>294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'Llenado platos m'!B47</f>
        <v>6</v>
      </c>
      <c r="K17" s="131">
        <f>I17/I18</f>
        <v>0.024096385542168676</v>
      </c>
      <c r="L17" s="37" t="s">
        <v>99</v>
      </c>
    </row>
    <row r="18" spans="4:9" ht="13.5" thickTop="1">
      <c r="D18" s="38" t="s">
        <v>190</v>
      </c>
      <c r="I18" s="122">
        <f>'Llenado platos m'!L27</f>
        <v>249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'Llenado platos m'!B54</f>
        <v>2</v>
      </c>
      <c r="K20" s="131">
        <f>I20/I21</f>
        <v>0.008032128514056224</v>
      </c>
      <c r="L20" s="37" t="s">
        <v>99</v>
      </c>
    </row>
    <row r="21" spans="4:9" ht="13.5" thickTop="1">
      <c r="D21" s="38" t="s">
        <v>190</v>
      </c>
      <c r="I21" s="124">
        <f>I18</f>
        <v>249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'Llenado platos m'!B39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249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'Llenado platos m'!B58</f>
        <v>0</v>
      </c>
      <c r="K26" s="131">
        <f>I26/I27</f>
        <v>0</v>
      </c>
      <c r="L26" s="37" t="s">
        <v>99</v>
      </c>
    </row>
    <row r="27" spans="4:9" ht="13.5" thickTop="1">
      <c r="D27" s="38" t="s">
        <v>190</v>
      </c>
      <c r="I27" s="126">
        <f>I18</f>
        <v>249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'Llenado platos m'!L13*H11</f>
        <v>360536</v>
      </c>
      <c r="K29" s="47">
        <f>I29/I30</f>
        <v>1447.9357429718875</v>
      </c>
      <c r="L29" s="37" t="s">
        <v>2</v>
      </c>
    </row>
    <row r="30" spans="4:9" ht="13.5" thickTop="1">
      <c r="D30" s="38" t="s">
        <v>91</v>
      </c>
      <c r="I30" s="130">
        <f>I18</f>
        <v>249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Normal!E16</f>
        <v>+ 0.06</v>
      </c>
      <c r="L35" s="58" t="str">
        <f>Normal!H16</f>
        <v>+ 0.05</v>
      </c>
      <c r="N35" s="56">
        <f>J35+K35+L35</f>
        <v>1.11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8.117652000000001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1607.2086746987952</v>
      </c>
      <c r="E40">
        <f>D40/D41-1</f>
        <v>0.16464325825975235</v>
      </c>
      <c r="F40" t="s">
        <v>99</v>
      </c>
    </row>
    <row r="41" spans="3:4" ht="12.75">
      <c r="C41" s="3" t="s">
        <v>97</v>
      </c>
      <c r="D41" s="3">
        <f>H7*E37</f>
        <v>1380.0008400000002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0.024096385542168676</v>
      </c>
      <c r="C47" s="66">
        <f>K20</f>
        <v>0.008032128514056224</v>
      </c>
      <c r="D47" s="3">
        <f>K23</f>
        <v>0</v>
      </c>
      <c r="E47" s="3">
        <f>K26</f>
        <v>0</v>
      </c>
      <c r="F47">
        <f>E40</f>
        <v>0.16464325825975235</v>
      </c>
    </row>
    <row r="49" spans="1:3" ht="12.75">
      <c r="A49" s="2" t="s">
        <v>52</v>
      </c>
      <c r="B49">
        <f>B47+C47+D47+E47+F47</f>
        <v>0.19677177231597726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8.117652000000001</v>
      </c>
      <c r="F54" s="66">
        <f>B49+1</f>
        <v>1.1967717723159772</v>
      </c>
    </row>
    <row r="56" spans="1:5" ht="12.75">
      <c r="A56" s="2" t="s">
        <v>104</v>
      </c>
      <c r="D56">
        <f>E54*F54</f>
        <v>9.714976771084338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4.328101181877278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  <row r="78" spans="1:12" ht="12.75">
      <c r="A78" t="s">
        <v>215</v>
      </c>
      <c r="B78">
        <v>212</v>
      </c>
      <c r="C78">
        <v>62</v>
      </c>
      <c r="D78">
        <v>57</v>
      </c>
      <c r="E78">
        <v>22</v>
      </c>
      <c r="F78">
        <v>27</v>
      </c>
      <c r="G78">
        <v>38</v>
      </c>
      <c r="H78">
        <v>58</v>
      </c>
      <c r="I78">
        <v>20</v>
      </c>
      <c r="J78">
        <v>26</v>
      </c>
      <c r="K78">
        <v>102</v>
      </c>
      <c r="L78">
        <f aca="true" t="shared" si="0" ref="L78:L83">SUM(B78:K78)</f>
        <v>624</v>
      </c>
    </row>
    <row r="79" spans="1:12" ht="12.75">
      <c r="A79" t="s">
        <v>216</v>
      </c>
      <c r="B79">
        <v>114</v>
      </c>
      <c r="C79">
        <v>33</v>
      </c>
      <c r="D79">
        <v>31</v>
      </c>
      <c r="E79">
        <v>12</v>
      </c>
      <c r="F79">
        <v>15</v>
      </c>
      <c r="G79">
        <v>20</v>
      </c>
      <c r="H79">
        <v>31</v>
      </c>
      <c r="I79">
        <v>11</v>
      </c>
      <c r="J79">
        <v>14</v>
      </c>
      <c r="K79">
        <v>55</v>
      </c>
      <c r="L79">
        <f t="shared" si="0"/>
        <v>336</v>
      </c>
    </row>
    <row r="80" spans="1:12" ht="12.75">
      <c r="A80" t="s">
        <v>217</v>
      </c>
      <c r="B80">
        <v>65</v>
      </c>
      <c r="C80">
        <v>19</v>
      </c>
      <c r="D80">
        <v>18</v>
      </c>
      <c r="E80">
        <v>7</v>
      </c>
      <c r="F80">
        <v>8</v>
      </c>
      <c r="G80">
        <v>12</v>
      </c>
      <c r="H80">
        <v>18</v>
      </c>
      <c r="I80">
        <v>6</v>
      </c>
      <c r="J80">
        <v>8</v>
      </c>
      <c r="K80">
        <v>31</v>
      </c>
      <c r="L80">
        <f t="shared" si="0"/>
        <v>192</v>
      </c>
    </row>
    <row r="81" spans="1:12" ht="12.75">
      <c r="A81" t="s">
        <v>218</v>
      </c>
      <c r="B81">
        <v>10</v>
      </c>
      <c r="C81">
        <v>3</v>
      </c>
      <c r="D81">
        <v>3</v>
      </c>
      <c r="E81">
        <v>1</v>
      </c>
      <c r="F81">
        <v>1</v>
      </c>
      <c r="G81">
        <v>2</v>
      </c>
      <c r="H81">
        <v>3</v>
      </c>
      <c r="I81">
        <v>1</v>
      </c>
      <c r="J81">
        <v>1</v>
      </c>
      <c r="K81">
        <v>5</v>
      </c>
      <c r="L81">
        <f t="shared" si="0"/>
        <v>30</v>
      </c>
    </row>
    <row r="82" spans="1:12" ht="12.75">
      <c r="A82" t="s">
        <v>219</v>
      </c>
      <c r="B82">
        <v>6</v>
      </c>
      <c r="C82">
        <v>2</v>
      </c>
      <c r="D82">
        <v>2</v>
      </c>
      <c r="E82">
        <v>1</v>
      </c>
      <c r="F82">
        <v>1</v>
      </c>
      <c r="G82">
        <v>1</v>
      </c>
      <c r="H82">
        <v>2</v>
      </c>
      <c r="I82">
        <v>1</v>
      </c>
      <c r="J82">
        <v>1</v>
      </c>
      <c r="K82">
        <v>3</v>
      </c>
      <c r="L82">
        <f t="shared" si="0"/>
        <v>20</v>
      </c>
    </row>
    <row r="83" spans="1:14" ht="12.75">
      <c r="A83" t="s">
        <v>220</v>
      </c>
      <c r="B83">
        <v>326</v>
      </c>
      <c r="C83">
        <v>95</v>
      </c>
      <c r="D83">
        <v>88</v>
      </c>
      <c r="E83">
        <v>34</v>
      </c>
      <c r="F83">
        <v>42</v>
      </c>
      <c r="G83">
        <v>58</v>
      </c>
      <c r="H83">
        <v>90</v>
      </c>
      <c r="I83">
        <v>30</v>
      </c>
      <c r="J83">
        <v>40</v>
      </c>
      <c r="K83">
        <v>157</v>
      </c>
      <c r="L83">
        <f t="shared" si="0"/>
        <v>960</v>
      </c>
      <c r="N83">
        <f>L78+L79+L80+L83</f>
        <v>2112</v>
      </c>
    </row>
    <row r="85" spans="15:16" ht="12.75">
      <c r="O85" s="132">
        <v>0.3055555555555555</v>
      </c>
      <c r="P85" s="132">
        <v>0.75</v>
      </c>
    </row>
    <row r="87" ht="12.75">
      <c r="P87" s="132">
        <f>P85-O85</f>
        <v>0.4444444444444445</v>
      </c>
    </row>
    <row r="89" spans="15:17" ht="12.75">
      <c r="O89">
        <f>N83/P89</f>
        <v>198</v>
      </c>
      <c r="P89">
        <f>40/60+10</f>
        <v>10.666666666666666</v>
      </c>
      <c r="Q89">
        <v>2112</v>
      </c>
    </row>
    <row r="90" ht="12.75">
      <c r="P90">
        <v>0.45</v>
      </c>
    </row>
    <row r="92" ht="12.75">
      <c r="P92">
        <f>P90*Q89/P89</f>
        <v>89.10000000000001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744244" r:id="rId1"/>
    <oleObject progId="Equation.3" shapeId="744245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356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6</v>
      </c>
      <c r="D5" s="9"/>
      <c r="E5" s="9"/>
      <c r="F5" s="9"/>
      <c r="G5" s="10" t="s">
        <v>250</v>
      </c>
      <c r="H5" s="209">
        <v>1496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180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173</v>
      </c>
      <c r="B13" s="216">
        <v>246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6">SUM(B13:D13)</f>
        <v>246</v>
      </c>
      <c r="M13" s="95"/>
      <c r="N13" s="98"/>
      <c r="O13" s="106">
        <v>45</v>
      </c>
      <c r="P13" s="102">
        <v>45</v>
      </c>
      <c r="Q13" s="95"/>
    </row>
    <row r="14" spans="1:17" ht="12.75">
      <c r="A14" s="220" t="s">
        <v>191</v>
      </c>
      <c r="B14" s="24">
        <v>0</v>
      </c>
      <c r="C14" s="24"/>
      <c r="D14" s="24"/>
      <c r="E14" s="24"/>
      <c r="F14" s="24"/>
      <c r="G14" s="24"/>
      <c r="H14" s="24"/>
      <c r="I14" s="162"/>
      <c r="J14" s="162"/>
      <c r="K14" s="169"/>
      <c r="L14" s="227">
        <f t="shared" si="0"/>
        <v>0</v>
      </c>
      <c r="M14" s="3"/>
      <c r="N14" s="3"/>
      <c r="O14" s="107">
        <v>6</v>
      </c>
      <c r="P14" s="96">
        <v>0</v>
      </c>
      <c r="Q14" s="3"/>
    </row>
    <row r="15" spans="1:17" ht="12.75">
      <c r="A15" s="220" t="s">
        <v>175</v>
      </c>
      <c r="B15" s="24">
        <v>0</v>
      </c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O15" s="107">
        <v>0</v>
      </c>
      <c r="P15" s="96">
        <v>0</v>
      </c>
      <c r="Q15" s="3"/>
    </row>
    <row r="16" spans="1:17" ht="12.75">
      <c r="A16" s="220" t="s">
        <v>192</v>
      </c>
      <c r="B16" s="24">
        <v>2</v>
      </c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2</v>
      </c>
      <c r="M16" s="3"/>
      <c r="N16" s="3"/>
      <c r="O16" s="107">
        <v>1</v>
      </c>
      <c r="P16" s="96">
        <v>2</v>
      </c>
      <c r="Q16" s="3"/>
    </row>
    <row r="17" spans="1:17" ht="12.75">
      <c r="A17" s="220" t="s">
        <v>176</v>
      </c>
      <c r="B17" s="24">
        <v>0</v>
      </c>
      <c r="C17" s="24"/>
      <c r="D17" s="24"/>
      <c r="E17" s="24"/>
      <c r="F17" s="24"/>
      <c r="G17" s="24"/>
      <c r="H17" s="24"/>
      <c r="I17" s="162"/>
      <c r="J17" s="162"/>
      <c r="K17" s="169"/>
      <c r="L17" s="228">
        <f t="shared" si="0"/>
        <v>0</v>
      </c>
      <c r="M17" s="3"/>
      <c r="N17" s="3"/>
      <c r="O17" s="107">
        <v>0</v>
      </c>
      <c r="P17" s="96">
        <v>0</v>
      </c>
      <c r="Q17" s="3"/>
    </row>
    <row r="18" spans="1:17" ht="12.75">
      <c r="A18" s="220" t="s">
        <v>177</v>
      </c>
      <c r="B18" s="24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1</v>
      </c>
      <c r="M18" s="3"/>
      <c r="N18" s="3"/>
      <c r="O18" s="107">
        <v>2</v>
      </c>
      <c r="P18" s="96">
        <v>1</v>
      </c>
      <c r="Q18" s="3"/>
    </row>
    <row r="19" spans="1:17" ht="12.75">
      <c r="A19" s="220" t="s">
        <v>193</v>
      </c>
      <c r="B19" s="24">
        <v>0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0</v>
      </c>
      <c r="M19" s="3"/>
      <c r="N19" s="3"/>
      <c r="O19" s="107">
        <v>0</v>
      </c>
      <c r="P19" s="96">
        <v>0</v>
      </c>
      <c r="Q19" s="3"/>
    </row>
    <row r="20" spans="1:17" ht="12.75">
      <c r="A20" s="220" t="s">
        <v>194</v>
      </c>
      <c r="B20" s="24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107">
        <v>0</v>
      </c>
      <c r="P20" s="96">
        <v>0</v>
      </c>
      <c r="Q20" s="3"/>
    </row>
    <row r="21" spans="1:17" ht="12.75">
      <c r="A21" s="220" t="s">
        <v>178</v>
      </c>
      <c r="B21" s="24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0</v>
      </c>
      <c r="M21" s="3"/>
      <c r="N21" s="3"/>
      <c r="O21" s="107">
        <v>3</v>
      </c>
      <c r="P21" s="96">
        <v>0</v>
      </c>
      <c r="Q21" s="3"/>
    </row>
    <row r="22" spans="1:17" ht="12.75">
      <c r="A22" s="220" t="s">
        <v>179</v>
      </c>
      <c r="B22" s="24">
        <v>0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0</v>
      </c>
      <c r="M22" s="3"/>
      <c r="N22" s="3"/>
      <c r="O22" s="107">
        <v>0</v>
      </c>
      <c r="P22" s="96">
        <v>0</v>
      </c>
      <c r="Q22" s="3"/>
    </row>
    <row r="23" spans="1:17" ht="12.75">
      <c r="A23" s="220" t="s">
        <v>180</v>
      </c>
      <c r="B23" s="24">
        <v>0</v>
      </c>
      <c r="C23" s="24"/>
      <c r="D23" s="24"/>
      <c r="E23" s="24"/>
      <c r="F23" s="24"/>
      <c r="G23" s="24"/>
      <c r="H23" s="24"/>
      <c r="I23" s="162"/>
      <c r="J23" s="162"/>
      <c r="K23" s="169"/>
      <c r="L23" s="228">
        <f t="shared" si="0"/>
        <v>0</v>
      </c>
      <c r="M23" s="3"/>
      <c r="N23" s="3"/>
      <c r="O23" s="107">
        <v>0</v>
      </c>
      <c r="P23" s="96">
        <v>0</v>
      </c>
      <c r="Q23" s="3"/>
    </row>
    <row r="24" spans="1:17" ht="12.75">
      <c r="A24" s="220" t="s">
        <v>195</v>
      </c>
      <c r="B24" s="24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107">
        <v>0</v>
      </c>
      <c r="P24" s="96">
        <v>0</v>
      </c>
      <c r="Q24" s="3"/>
    </row>
    <row r="25" spans="1:17" ht="12.75">
      <c r="A25" s="229" t="s">
        <v>182</v>
      </c>
      <c r="B25" s="21">
        <v>0</v>
      </c>
      <c r="C25" s="21"/>
      <c r="D25" s="21"/>
      <c r="E25" s="21"/>
      <c r="F25" s="21"/>
      <c r="G25" s="21"/>
      <c r="H25" s="21"/>
      <c r="I25" s="152"/>
      <c r="J25" s="152"/>
      <c r="K25" s="231"/>
      <c r="L25" s="232">
        <f t="shared" si="0"/>
        <v>0</v>
      </c>
      <c r="M25" s="3"/>
      <c r="N25" s="3"/>
      <c r="O25" s="141">
        <v>0</v>
      </c>
      <c r="P25" s="142">
        <v>0</v>
      </c>
      <c r="Q25" s="3"/>
    </row>
    <row r="26" spans="1:17" ht="13.5" thickBot="1">
      <c r="A26" s="233" t="s">
        <v>208</v>
      </c>
      <c r="B26" s="235">
        <v>0</v>
      </c>
      <c r="C26" s="235"/>
      <c r="D26" s="235"/>
      <c r="E26" s="235"/>
      <c r="F26" s="235"/>
      <c r="G26" s="235"/>
      <c r="H26" s="235"/>
      <c r="I26" s="236"/>
      <c r="J26" s="236"/>
      <c r="K26" s="237"/>
      <c r="L26" s="238">
        <f t="shared" si="0"/>
        <v>0</v>
      </c>
      <c r="M26" s="3"/>
      <c r="N26" s="3"/>
      <c r="O26" s="108">
        <v>0</v>
      </c>
      <c r="P26" s="104">
        <v>0</v>
      </c>
      <c r="Q26" s="3"/>
    </row>
    <row r="27" spans="1:17" ht="13.5" thickBot="1">
      <c r="A27" s="239" t="s">
        <v>186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40">
        <f>SUM(L13:L26)</f>
        <v>249</v>
      </c>
      <c r="M27" s="3"/>
      <c r="N27" s="3"/>
      <c r="O27" s="3"/>
      <c r="P27" s="3"/>
      <c r="Q27" s="3"/>
    </row>
    <row r="28" spans="1:17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1"/>
      <c r="B30" s="202" t="s">
        <v>189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2" t="s">
        <v>188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 t="s">
        <v>248</v>
      </c>
      <c r="B32" s="14">
        <f>L13</f>
        <v>246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41" t="s">
        <v>63</v>
      </c>
      <c r="B33" s="240">
        <f>SUM(B32)</f>
        <v>246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2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175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1" t="s">
        <v>178</v>
      </c>
      <c r="B37" s="14">
        <f>L21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208</v>
      </c>
      <c r="B38" s="243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41" t="s">
        <v>63</v>
      </c>
      <c r="B39" s="240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2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191</v>
      </c>
      <c r="B42" s="14">
        <f>L14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179</v>
      </c>
      <c r="B43" s="14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180</v>
      </c>
      <c r="B44" s="243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195</v>
      </c>
      <c r="B45" s="243">
        <f>L24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196</v>
      </c>
      <c r="B46" s="243">
        <f>L19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41" t="s">
        <v>63</v>
      </c>
      <c r="B47" s="240">
        <f>SUM(B42:B46)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2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 t="s">
        <v>177</v>
      </c>
      <c r="B50" s="243">
        <f>L18</f>
        <v>1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1" t="s">
        <v>194</v>
      </c>
      <c r="B51" s="243">
        <f>L20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192</v>
      </c>
      <c r="B52" s="243">
        <f>L16</f>
        <v>2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182</v>
      </c>
      <c r="B53" s="243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41" t="s">
        <v>63</v>
      </c>
      <c r="B54" s="244">
        <f>SUM(B50:B53)</f>
        <v>3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42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41" t="s">
        <v>176</v>
      </c>
      <c r="B57" s="243">
        <f>L17</f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41" t="s">
        <v>63</v>
      </c>
      <c r="B58" s="244">
        <f>SUM(B57:B57)</f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92"/>
  <sheetViews>
    <sheetView zoomScale="200" zoomScaleNormal="200" workbookViewId="0" topLeftCell="A37">
      <selection activeCell="D10" sqref="D10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7.221199999999998</v>
      </c>
      <c r="D7" s="3" t="s">
        <v>2</v>
      </c>
      <c r="F7" s="2" t="s">
        <v>7</v>
      </c>
      <c r="H7" s="47">
        <v>180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'Llenado platos g'!L13</f>
        <v>246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1496</v>
      </c>
      <c r="I11" t="s">
        <v>294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'Llenado platos g'!B47</f>
        <v>0</v>
      </c>
      <c r="K17" s="131">
        <f>I17/I18</f>
        <v>0</v>
      </c>
      <c r="L17" s="37" t="s">
        <v>99</v>
      </c>
    </row>
    <row r="18" spans="4:9" ht="13.5" thickTop="1">
      <c r="D18" s="38" t="s">
        <v>190</v>
      </c>
      <c r="I18" s="122">
        <f>'Llenado platos g'!L27</f>
        <v>249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'Llenado platos g'!B54</f>
        <v>3</v>
      </c>
      <c r="K20" s="131">
        <f>I20/I21</f>
        <v>0.012048192771084338</v>
      </c>
      <c r="L20" s="37" t="s">
        <v>99</v>
      </c>
    </row>
    <row r="21" spans="4:9" ht="13.5" thickTop="1">
      <c r="D21" s="38" t="s">
        <v>190</v>
      </c>
      <c r="I21" s="124">
        <f>I18</f>
        <v>249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'Llenado platos g'!B39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249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'Llenado platos g'!B58</f>
        <v>0</v>
      </c>
      <c r="K26" s="131">
        <f>I26/I27</f>
        <v>0</v>
      </c>
      <c r="L26" s="37" t="s">
        <v>99</v>
      </c>
    </row>
    <row r="27" spans="4:9" ht="13.5" thickTop="1">
      <c r="D27" s="38" t="s">
        <v>190</v>
      </c>
      <c r="I27" s="126">
        <f>I18</f>
        <v>249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'Llenado platos g'!L13*H11</f>
        <v>368016</v>
      </c>
      <c r="K29" s="47">
        <f>I29/I30</f>
        <v>1477.9759036144578</v>
      </c>
      <c r="L29" s="37" t="s">
        <v>2</v>
      </c>
    </row>
    <row r="30" spans="4:9" ht="13.5" thickTop="1">
      <c r="D30" s="38" t="s">
        <v>91</v>
      </c>
      <c r="I30" s="130">
        <f>I18</f>
        <v>249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Normal!E17</f>
        <v>+ 0.06</v>
      </c>
      <c r="L35" s="58" t="str">
        <f>Normal!H17</f>
        <v>+ 0.05</v>
      </c>
      <c r="N35" s="56">
        <f>J35+K35+L35</f>
        <v>1.11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8.015531999999999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1640.5532530120483</v>
      </c>
      <c r="E40">
        <f>D40/D41-1</f>
        <v>0.13706547974056194</v>
      </c>
      <c r="F40" t="s">
        <v>99</v>
      </c>
    </row>
    <row r="41" spans="3:4" ht="12.75">
      <c r="C41" s="3" t="s">
        <v>97</v>
      </c>
      <c r="D41" s="3">
        <f>H7*E37</f>
        <v>1442.7957599999997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</v>
      </c>
      <c r="C47" s="66">
        <f>K20</f>
        <v>0.012048192771084338</v>
      </c>
      <c r="D47" s="3">
        <f>K23</f>
        <v>0</v>
      </c>
      <c r="E47" s="3">
        <f>K26</f>
        <v>0</v>
      </c>
      <c r="F47">
        <f>E40</f>
        <v>0.13706547974056194</v>
      </c>
    </row>
    <row r="49" spans="1:3" ht="12.75">
      <c r="A49" s="2" t="s">
        <v>52</v>
      </c>
      <c r="B49">
        <f>B47+C47+D47+E47+F47</f>
        <v>0.14911367251164628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8.015531999999999</v>
      </c>
      <c r="F54" s="66">
        <f>B49+1</f>
        <v>1.1491136725116462</v>
      </c>
    </row>
    <row r="56" spans="1:5" ht="12.75">
      <c r="A56" s="2" t="s">
        <v>104</v>
      </c>
      <c r="D56">
        <f>E54*F54</f>
        <v>9.210757413654619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4.363059468292273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  <row r="78" spans="1:12" ht="12.75">
      <c r="A78" t="s">
        <v>215</v>
      </c>
      <c r="B78">
        <v>212</v>
      </c>
      <c r="C78">
        <v>62</v>
      </c>
      <c r="D78">
        <v>57</v>
      </c>
      <c r="E78">
        <v>22</v>
      </c>
      <c r="F78">
        <v>27</v>
      </c>
      <c r="G78">
        <v>38</v>
      </c>
      <c r="H78">
        <v>58</v>
      </c>
      <c r="I78">
        <v>20</v>
      </c>
      <c r="J78">
        <v>26</v>
      </c>
      <c r="K78">
        <v>102</v>
      </c>
      <c r="L78">
        <f aca="true" t="shared" si="0" ref="L78:L83">SUM(B78:K78)</f>
        <v>624</v>
      </c>
    </row>
    <row r="79" spans="1:12" ht="12.75">
      <c r="A79" t="s">
        <v>216</v>
      </c>
      <c r="B79">
        <v>114</v>
      </c>
      <c r="C79">
        <v>33</v>
      </c>
      <c r="D79">
        <v>31</v>
      </c>
      <c r="E79">
        <v>12</v>
      </c>
      <c r="F79">
        <v>15</v>
      </c>
      <c r="G79">
        <v>20</v>
      </c>
      <c r="H79">
        <v>31</v>
      </c>
      <c r="I79">
        <v>11</v>
      </c>
      <c r="J79">
        <v>14</v>
      </c>
      <c r="K79">
        <v>55</v>
      </c>
      <c r="L79">
        <f t="shared" si="0"/>
        <v>336</v>
      </c>
    </row>
    <row r="80" spans="1:12" ht="12.75">
      <c r="A80" t="s">
        <v>217</v>
      </c>
      <c r="B80">
        <v>65</v>
      </c>
      <c r="C80">
        <v>19</v>
      </c>
      <c r="D80">
        <v>18</v>
      </c>
      <c r="E80">
        <v>7</v>
      </c>
      <c r="F80">
        <v>8</v>
      </c>
      <c r="G80">
        <v>12</v>
      </c>
      <c r="H80">
        <v>18</v>
      </c>
      <c r="I80">
        <v>6</v>
      </c>
      <c r="J80">
        <v>8</v>
      </c>
      <c r="K80">
        <v>31</v>
      </c>
      <c r="L80">
        <f t="shared" si="0"/>
        <v>192</v>
      </c>
    </row>
    <row r="81" spans="1:12" ht="12.75">
      <c r="A81" t="s">
        <v>218</v>
      </c>
      <c r="B81">
        <v>10</v>
      </c>
      <c r="C81">
        <v>3</v>
      </c>
      <c r="D81">
        <v>3</v>
      </c>
      <c r="E81">
        <v>1</v>
      </c>
      <c r="F81">
        <v>1</v>
      </c>
      <c r="G81">
        <v>2</v>
      </c>
      <c r="H81">
        <v>3</v>
      </c>
      <c r="I81">
        <v>1</v>
      </c>
      <c r="J81">
        <v>1</v>
      </c>
      <c r="K81">
        <v>5</v>
      </c>
      <c r="L81">
        <f t="shared" si="0"/>
        <v>30</v>
      </c>
    </row>
    <row r="82" spans="1:12" ht="12.75">
      <c r="A82" t="s">
        <v>219</v>
      </c>
      <c r="B82">
        <v>6</v>
      </c>
      <c r="C82">
        <v>2</v>
      </c>
      <c r="D82">
        <v>2</v>
      </c>
      <c r="E82">
        <v>1</v>
      </c>
      <c r="F82">
        <v>1</v>
      </c>
      <c r="G82">
        <v>1</v>
      </c>
      <c r="H82">
        <v>2</v>
      </c>
      <c r="I82">
        <v>1</v>
      </c>
      <c r="J82">
        <v>1</v>
      </c>
      <c r="K82">
        <v>3</v>
      </c>
      <c r="L82">
        <f t="shared" si="0"/>
        <v>20</v>
      </c>
    </row>
    <row r="83" spans="1:14" ht="12.75">
      <c r="A83" t="s">
        <v>220</v>
      </c>
      <c r="B83">
        <v>326</v>
      </c>
      <c r="C83">
        <v>95</v>
      </c>
      <c r="D83">
        <v>88</v>
      </c>
      <c r="E83">
        <v>34</v>
      </c>
      <c r="F83">
        <v>42</v>
      </c>
      <c r="G83">
        <v>58</v>
      </c>
      <c r="H83">
        <v>90</v>
      </c>
      <c r="I83">
        <v>30</v>
      </c>
      <c r="J83">
        <v>40</v>
      </c>
      <c r="K83">
        <v>157</v>
      </c>
      <c r="L83">
        <f t="shared" si="0"/>
        <v>960</v>
      </c>
      <c r="N83">
        <f>L78+L79+L80+L83</f>
        <v>2112</v>
      </c>
    </row>
    <row r="85" spans="15:16" ht="12.75">
      <c r="O85" s="132">
        <v>0.3055555555555555</v>
      </c>
      <c r="P85" s="132">
        <v>0.75</v>
      </c>
    </row>
    <row r="87" ht="12.75">
      <c r="P87" s="132">
        <f>P85-O85</f>
        <v>0.4444444444444445</v>
      </c>
    </row>
    <row r="89" spans="15:17" ht="12.75">
      <c r="O89">
        <f>N83/P89</f>
        <v>198</v>
      </c>
      <c r="P89">
        <f>40/60+10</f>
        <v>10.666666666666666</v>
      </c>
      <c r="Q89">
        <v>2112</v>
      </c>
    </row>
    <row r="90" ht="12.75">
      <c r="P90">
        <v>0.45</v>
      </c>
    </row>
    <row r="92" ht="12.75">
      <c r="P92">
        <f>P90*Q89/P89</f>
        <v>89.10000000000001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804028" r:id="rId1"/>
    <oleObject progId="Equation.3" shapeId="8040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D4" sqref="D4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9"/>
      <c r="C1" s="9"/>
      <c r="D1" s="10"/>
      <c r="E1" s="9"/>
      <c r="F1" s="10" t="s">
        <v>368</v>
      </c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9"/>
      <c r="D3" s="10" t="s">
        <v>369</v>
      </c>
      <c r="E3" s="9"/>
      <c r="F3" s="9"/>
      <c r="G3" s="9"/>
      <c r="H3" s="9"/>
      <c r="I3" s="9"/>
      <c r="J3" s="9"/>
      <c r="K3" s="9"/>
      <c r="L3" s="9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/>
      <c r="B5" s="10" t="s">
        <v>347</v>
      </c>
      <c r="C5" s="12" t="s">
        <v>350</v>
      </c>
      <c r="D5" s="205"/>
      <c r="E5" s="206"/>
      <c r="F5" s="12"/>
      <c r="G5" s="9"/>
      <c r="H5" s="9"/>
      <c r="I5" s="9"/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03"/>
      <c r="B7" s="204" t="s">
        <v>156</v>
      </c>
      <c r="C7" s="12"/>
      <c r="D7" s="205"/>
      <c r="E7" s="206"/>
      <c r="F7" s="12"/>
      <c r="G7" s="9"/>
      <c r="H7" s="9"/>
      <c r="I7" s="207" t="s">
        <v>157</v>
      </c>
      <c r="J7" s="12"/>
      <c r="K7" s="12"/>
      <c r="L7" s="12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10" t="s">
        <v>184</v>
      </c>
      <c r="C9" s="208">
        <v>20</v>
      </c>
      <c r="D9" s="9"/>
      <c r="E9" s="9"/>
      <c r="F9" s="9"/>
      <c r="G9" s="10" t="s">
        <v>250</v>
      </c>
      <c r="H9" s="209">
        <f>'T. estandar daipas'!H11</f>
        <v>6521</v>
      </c>
      <c r="I9" s="9" t="s">
        <v>291</v>
      </c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9"/>
      <c r="B11" s="210" t="s">
        <v>252</v>
      </c>
      <c r="C11" s="15">
        <v>250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3.5" thickBot="1">
      <c r="A13" s="9"/>
      <c r="B13" s="9"/>
      <c r="C13" s="9"/>
      <c r="D13" s="9"/>
      <c r="E13" s="9"/>
      <c r="F13" s="10" t="s">
        <v>185</v>
      </c>
      <c r="G13" s="9"/>
      <c r="H13" s="9"/>
      <c r="I13" s="9"/>
      <c r="J13" s="9"/>
      <c r="K13" s="9"/>
      <c r="L13" s="9"/>
    </row>
    <row r="14" spans="1:12" ht="13.5" thickBot="1">
      <c r="A14" s="211" t="s">
        <v>59</v>
      </c>
      <c r="B14" s="212">
        <v>1</v>
      </c>
      <c r="C14" s="212">
        <v>2</v>
      </c>
      <c r="D14" s="212">
        <v>3</v>
      </c>
      <c r="E14" s="212">
        <v>4</v>
      </c>
      <c r="F14" s="212">
        <v>5</v>
      </c>
      <c r="G14" s="212">
        <v>6</v>
      </c>
      <c r="H14" s="212">
        <v>7</v>
      </c>
      <c r="I14" s="212">
        <v>8</v>
      </c>
      <c r="J14" s="212">
        <v>9</v>
      </c>
      <c r="K14" s="212">
        <v>10</v>
      </c>
      <c r="L14" s="213" t="s">
        <v>187</v>
      </c>
    </row>
    <row r="15" spans="1:18" ht="12.75">
      <c r="A15" s="214" t="s">
        <v>249</v>
      </c>
      <c r="B15" s="215">
        <v>156</v>
      </c>
      <c r="C15" s="216">
        <v>155</v>
      </c>
      <c r="D15" s="216"/>
      <c r="E15" s="216"/>
      <c r="F15" s="216"/>
      <c r="G15" s="216"/>
      <c r="H15" s="216"/>
      <c r="I15" s="217"/>
      <c r="J15" s="217"/>
      <c r="K15" s="218"/>
      <c r="L15" s="219">
        <f aca="true" t="shared" si="0" ref="L15:L26">SUM(B15:H15)</f>
        <v>311</v>
      </c>
      <c r="M15" s="95"/>
      <c r="N15" s="98"/>
      <c r="O15" s="166">
        <f>'T. estandar daipas'!H11</f>
        <v>6521</v>
      </c>
      <c r="P15" s="98"/>
      <c r="Q15" s="95">
        <f>O15*100</f>
        <v>652100</v>
      </c>
      <c r="R15">
        <f>Q15*2</f>
        <v>1304200</v>
      </c>
    </row>
    <row r="16" spans="1:17" ht="12.75" hidden="1">
      <c r="A16" s="220"/>
      <c r="B16" s="221"/>
      <c r="C16" s="24"/>
      <c r="D16" s="24"/>
      <c r="E16" s="24"/>
      <c r="F16" s="24"/>
      <c r="G16" s="24"/>
      <c r="H16" s="24"/>
      <c r="I16" s="162"/>
      <c r="J16" s="162"/>
      <c r="K16" s="169"/>
      <c r="L16" s="227"/>
      <c r="M16" s="3"/>
      <c r="N16" s="98"/>
      <c r="O16" s="3">
        <v>1</v>
      </c>
      <c r="P16" s="3">
        <f>L15/O15</f>
        <v>0.04769207176813372</v>
      </c>
      <c r="Q16" s="3">
        <f>P16/2</f>
        <v>0.02384603588406686</v>
      </c>
    </row>
    <row r="17" spans="1:17" ht="12.75">
      <c r="A17" s="220" t="s">
        <v>175</v>
      </c>
      <c r="B17" s="221">
        <v>0</v>
      </c>
      <c r="C17" s="24">
        <v>0</v>
      </c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98"/>
      <c r="O17" s="3"/>
      <c r="P17" s="3"/>
      <c r="Q17" s="3"/>
    </row>
    <row r="18" spans="1:17" ht="12.75">
      <c r="A18" s="220" t="s">
        <v>176</v>
      </c>
      <c r="B18" s="221">
        <v>3</v>
      </c>
      <c r="C18" s="24">
        <v>3</v>
      </c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6</v>
      </c>
      <c r="M18" s="3"/>
      <c r="N18" s="98"/>
      <c r="O18" s="3"/>
      <c r="P18" s="3"/>
      <c r="Q18" s="3"/>
    </row>
    <row r="19" spans="1:17" ht="12.75">
      <c r="A19" s="220" t="s">
        <v>177</v>
      </c>
      <c r="B19" s="221">
        <v>2</v>
      </c>
      <c r="C19" s="24">
        <v>3</v>
      </c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5</v>
      </c>
      <c r="M19" s="3"/>
      <c r="N19" s="98"/>
      <c r="O19" s="3"/>
      <c r="P19" s="3"/>
      <c r="Q19" s="3"/>
    </row>
    <row r="20" spans="1:17" ht="12.75">
      <c r="A20" s="220" t="s">
        <v>181</v>
      </c>
      <c r="B20" s="221">
        <v>0</v>
      </c>
      <c r="C20" s="24">
        <v>0</v>
      </c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98"/>
      <c r="O20" s="3">
        <f>B15/1.82</f>
        <v>85.71428571428571</v>
      </c>
      <c r="P20" s="3"/>
      <c r="Q20" s="3"/>
    </row>
    <row r="21" spans="1:17" ht="12.75">
      <c r="A21" s="220" t="s">
        <v>178</v>
      </c>
      <c r="B21" s="221">
        <v>0</v>
      </c>
      <c r="C21" s="24">
        <v>0</v>
      </c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0</v>
      </c>
      <c r="M21" s="3"/>
      <c r="N21" s="98"/>
      <c r="O21" s="3">
        <f>C15/1.82</f>
        <v>85.16483516483517</v>
      </c>
      <c r="P21" s="3"/>
      <c r="Q21" s="3"/>
    </row>
    <row r="22" spans="1:17" ht="12.75">
      <c r="A22" s="220" t="s">
        <v>179</v>
      </c>
      <c r="B22" s="221">
        <v>0</v>
      </c>
      <c r="C22" s="24">
        <v>0</v>
      </c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0</v>
      </c>
      <c r="M22" s="3"/>
      <c r="N22" s="98"/>
      <c r="O22" s="3"/>
      <c r="P22" s="3"/>
      <c r="Q22" s="3"/>
    </row>
    <row r="23" spans="1:17" ht="12.75">
      <c r="A23" s="220" t="s">
        <v>180</v>
      </c>
      <c r="B23" s="221">
        <v>2</v>
      </c>
      <c r="C23" s="24">
        <v>2</v>
      </c>
      <c r="D23" s="24"/>
      <c r="E23" s="24"/>
      <c r="F23" s="24"/>
      <c r="G23" s="24"/>
      <c r="H23" s="24"/>
      <c r="I23" s="162"/>
      <c r="J23" s="162"/>
      <c r="K23" s="169"/>
      <c r="L23" s="228">
        <f t="shared" si="0"/>
        <v>4</v>
      </c>
      <c r="M23" s="3"/>
      <c r="N23" s="98"/>
      <c r="O23" s="3"/>
      <c r="P23" s="3"/>
      <c r="Q23" s="3"/>
    </row>
    <row r="24" spans="1:17" ht="12.75">
      <c r="A24" s="220" t="s">
        <v>195</v>
      </c>
      <c r="B24" s="221">
        <v>0</v>
      </c>
      <c r="C24" s="24">
        <v>0</v>
      </c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98"/>
      <c r="O24" s="3"/>
      <c r="P24" s="3"/>
      <c r="Q24" s="3"/>
    </row>
    <row r="25" spans="1:17" ht="12.75">
      <c r="A25" s="229" t="s">
        <v>182</v>
      </c>
      <c r="B25" s="230">
        <v>0</v>
      </c>
      <c r="C25" s="21">
        <v>0</v>
      </c>
      <c r="D25" s="21"/>
      <c r="E25" s="21"/>
      <c r="F25" s="21"/>
      <c r="G25" s="21"/>
      <c r="H25" s="21"/>
      <c r="I25" s="152"/>
      <c r="J25" s="152"/>
      <c r="K25" s="231"/>
      <c r="L25" s="232">
        <f t="shared" si="0"/>
        <v>0</v>
      </c>
      <c r="M25" s="3"/>
      <c r="N25" s="98"/>
      <c r="O25" s="3"/>
      <c r="P25" s="3"/>
      <c r="Q25" s="3"/>
    </row>
    <row r="26" spans="1:17" ht="13.5" thickBot="1">
      <c r="A26" s="233" t="s">
        <v>208</v>
      </c>
      <c r="B26" s="234">
        <v>0</v>
      </c>
      <c r="C26" s="235">
        <v>0</v>
      </c>
      <c r="D26" s="235"/>
      <c r="E26" s="235"/>
      <c r="F26" s="235"/>
      <c r="G26" s="235"/>
      <c r="H26" s="235"/>
      <c r="I26" s="236"/>
      <c r="J26" s="236"/>
      <c r="K26" s="237"/>
      <c r="L26" s="238">
        <f t="shared" si="0"/>
        <v>0</v>
      </c>
      <c r="M26" s="3"/>
      <c r="N26" s="98"/>
      <c r="O26" s="3"/>
      <c r="P26" s="3"/>
      <c r="Q26" s="3"/>
    </row>
    <row r="27" spans="1:17" ht="13.5" thickBot="1">
      <c r="A27" s="239" t="s">
        <v>186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40">
        <f>SUM(L15:L26)</f>
        <v>326</v>
      </c>
      <c r="M27" s="3"/>
      <c r="N27" s="3"/>
      <c r="O27" s="3"/>
      <c r="P27" s="3"/>
      <c r="Q27" s="3"/>
    </row>
    <row r="28" spans="1:17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1"/>
      <c r="B30" s="202" t="s">
        <v>189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2" t="s">
        <v>188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 t="s">
        <v>249</v>
      </c>
      <c r="B32" s="14">
        <f>L15</f>
        <v>311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41" t="s">
        <v>63</v>
      </c>
      <c r="B33" s="240">
        <f>SUM(B32)</f>
        <v>311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2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175</v>
      </c>
      <c r="B36" s="14">
        <f>L17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1" t="s">
        <v>178</v>
      </c>
      <c r="B37" s="14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208</v>
      </c>
      <c r="B38" s="243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41" t="s">
        <v>63</v>
      </c>
      <c r="B39" s="240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 hidden="1">
      <c r="A41" s="9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2" t="s">
        <v>162</v>
      </c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179</v>
      </c>
      <c r="B43" s="14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180</v>
      </c>
      <c r="B44" s="14">
        <v>4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thickBot="1">
      <c r="A45" s="241" t="s">
        <v>195</v>
      </c>
      <c r="B45" s="14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63</v>
      </c>
      <c r="B46" s="240">
        <f>SUM(B42:B45)</f>
        <v>4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42" t="s">
        <v>163</v>
      </c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1" t="s">
        <v>177</v>
      </c>
      <c r="B49" s="243">
        <f>L19</f>
        <v>5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 t="s">
        <v>181</v>
      </c>
      <c r="B50" s="243">
        <f>L20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thickBot="1">
      <c r="A51" s="241" t="s">
        <v>182</v>
      </c>
      <c r="B51" s="243">
        <f>L25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41" t="s">
        <v>63</v>
      </c>
      <c r="B52" s="244">
        <f>SUM(B49:B51)</f>
        <v>5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2" t="s">
        <v>165</v>
      </c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 t="s">
        <v>176</v>
      </c>
      <c r="B55" s="243">
        <v>8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SUM(B55:B55)</f>
        <v>8</v>
      </c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357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4</v>
      </c>
      <c r="D5" s="9"/>
      <c r="E5" s="9"/>
      <c r="F5" s="9"/>
      <c r="G5" s="10" t="s">
        <v>250</v>
      </c>
      <c r="H5" s="209">
        <v>997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140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205</v>
      </c>
      <c r="B13" s="215">
        <v>122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>SUM(B13)</f>
        <v>122</v>
      </c>
      <c r="M13" s="95"/>
      <c r="N13" s="98"/>
      <c r="O13" s="95"/>
      <c r="P13" s="98"/>
      <c r="Q13" s="95"/>
    </row>
    <row r="14" spans="1:17" ht="12.75">
      <c r="A14" s="245" t="s">
        <v>206</v>
      </c>
      <c r="B14" s="246">
        <v>120</v>
      </c>
      <c r="C14" s="22"/>
      <c r="D14" s="22"/>
      <c r="E14" s="22"/>
      <c r="F14" s="22"/>
      <c r="G14" s="22"/>
      <c r="H14" s="22"/>
      <c r="I14" s="154"/>
      <c r="J14" s="154"/>
      <c r="K14" s="247"/>
      <c r="L14" s="250">
        <f>SUM(B14)</f>
        <v>120</v>
      </c>
      <c r="M14" s="95"/>
      <c r="N14" s="98"/>
      <c r="O14" s="95"/>
      <c r="P14" s="98"/>
      <c r="Q14" s="95"/>
    </row>
    <row r="15" spans="1:17" ht="12.75">
      <c r="A15" s="220" t="s">
        <v>201</v>
      </c>
      <c r="B15" s="221">
        <v>3</v>
      </c>
      <c r="C15" s="24"/>
      <c r="D15" s="24"/>
      <c r="E15" s="24"/>
      <c r="F15" s="24"/>
      <c r="G15" s="24"/>
      <c r="H15" s="24"/>
      <c r="I15" s="162"/>
      <c r="J15" s="162"/>
      <c r="K15" s="169"/>
      <c r="L15" s="227">
        <f>SUM(B15)</f>
        <v>3</v>
      </c>
      <c r="M15" s="3"/>
      <c r="N15" s="3"/>
      <c r="O15" s="3"/>
      <c r="P15" s="3"/>
      <c r="Q15" s="3"/>
    </row>
    <row r="16" spans="1:17" ht="12.75">
      <c r="A16" s="220" t="s">
        <v>175</v>
      </c>
      <c r="B16" s="221">
        <v>0</v>
      </c>
      <c r="C16" s="24"/>
      <c r="D16" s="24"/>
      <c r="E16" s="24"/>
      <c r="F16" s="24"/>
      <c r="G16" s="24"/>
      <c r="H16" s="24"/>
      <c r="I16" s="162"/>
      <c r="J16" s="162"/>
      <c r="K16" s="169"/>
      <c r="L16" s="227">
        <f>SUM(B16)</f>
        <v>0</v>
      </c>
      <c r="M16" s="3"/>
      <c r="N16" s="3"/>
      <c r="O16" s="3"/>
      <c r="P16" s="3"/>
      <c r="Q16" s="3"/>
    </row>
    <row r="17" spans="1:17" ht="12.75">
      <c r="A17" s="220" t="s">
        <v>207</v>
      </c>
      <c r="B17" s="221">
        <v>0</v>
      </c>
      <c r="C17" s="24"/>
      <c r="D17" s="24"/>
      <c r="E17" s="24"/>
      <c r="F17" s="24"/>
      <c r="G17" s="24"/>
      <c r="H17" s="24"/>
      <c r="I17" s="162"/>
      <c r="J17" s="162"/>
      <c r="K17" s="169"/>
      <c r="L17" s="227">
        <f>SUM(B17)</f>
        <v>0</v>
      </c>
      <c r="M17" s="3"/>
      <c r="N17" s="3"/>
      <c r="O17" s="3"/>
      <c r="P17" s="3"/>
      <c r="Q17" s="3"/>
    </row>
    <row r="18" spans="1:17" ht="12.75">
      <c r="A18" s="220" t="s">
        <v>176</v>
      </c>
      <c r="B18" s="221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aca="true" t="shared" si="0" ref="L18:L26">SUM(B18)</f>
        <v>1</v>
      </c>
      <c r="M18" s="3"/>
      <c r="N18" s="3"/>
      <c r="O18" s="3"/>
      <c r="P18" s="3"/>
      <c r="Q18" s="3"/>
    </row>
    <row r="19" spans="1:17" ht="12.75">
      <c r="A19" s="220" t="s">
        <v>177</v>
      </c>
      <c r="B19" s="221">
        <v>1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1</v>
      </c>
      <c r="M19" s="3"/>
      <c r="N19" s="3"/>
      <c r="O19" s="3"/>
      <c r="P19" s="3"/>
      <c r="Q19" s="3"/>
    </row>
    <row r="20" spans="1:17" ht="12.75">
      <c r="A20" s="220" t="s">
        <v>200</v>
      </c>
      <c r="B20" s="221">
        <v>1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1</v>
      </c>
      <c r="M20" s="3"/>
      <c r="N20" s="3"/>
      <c r="O20" s="3"/>
      <c r="P20" s="3"/>
      <c r="Q20" s="3"/>
    </row>
    <row r="21" spans="1:17" ht="12.75">
      <c r="A21" s="220" t="s">
        <v>203</v>
      </c>
      <c r="B21" s="221">
        <v>1</v>
      </c>
      <c r="C21" s="24"/>
      <c r="D21" s="24"/>
      <c r="E21" s="24"/>
      <c r="F21" s="24"/>
      <c r="G21" s="24"/>
      <c r="H21" s="24"/>
      <c r="I21" s="162"/>
      <c r="J21" s="162"/>
      <c r="K21" s="169"/>
      <c r="L21" s="228">
        <f t="shared" si="0"/>
        <v>1</v>
      </c>
      <c r="M21" s="3"/>
      <c r="N21" s="3"/>
      <c r="O21" s="3"/>
      <c r="P21" s="3"/>
      <c r="Q21" s="3"/>
    </row>
    <row r="22" spans="1:17" ht="12.75">
      <c r="A22" s="220" t="s">
        <v>178</v>
      </c>
      <c r="B22" s="221">
        <v>0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0</v>
      </c>
      <c r="M22" s="3"/>
      <c r="N22" s="3"/>
      <c r="O22" s="3"/>
      <c r="P22" s="3"/>
      <c r="Q22" s="3"/>
    </row>
    <row r="23" spans="1:17" ht="12.75">
      <c r="A23" s="220" t="s">
        <v>179</v>
      </c>
      <c r="B23" s="221">
        <v>0</v>
      </c>
      <c r="C23" s="24"/>
      <c r="D23" s="24"/>
      <c r="E23" s="24"/>
      <c r="F23" s="24"/>
      <c r="G23" s="24"/>
      <c r="H23" s="24"/>
      <c r="I23" s="162"/>
      <c r="J23" s="162"/>
      <c r="K23" s="169"/>
      <c r="L23" s="227">
        <f t="shared" si="0"/>
        <v>0</v>
      </c>
      <c r="M23" s="3"/>
      <c r="N23" s="3"/>
      <c r="O23" s="3"/>
      <c r="P23" s="3"/>
      <c r="Q23" s="3"/>
    </row>
    <row r="24" spans="1:17" ht="12.75">
      <c r="A24" s="220" t="s">
        <v>180</v>
      </c>
      <c r="B24" s="221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3"/>
      <c r="P24" s="3"/>
      <c r="Q24" s="3"/>
    </row>
    <row r="25" spans="1:17" ht="12.75">
      <c r="A25" s="220" t="s">
        <v>195</v>
      </c>
      <c r="B25" s="221">
        <v>0</v>
      </c>
      <c r="C25" s="24"/>
      <c r="D25" s="24"/>
      <c r="E25" s="24"/>
      <c r="F25" s="24"/>
      <c r="G25" s="24"/>
      <c r="H25" s="24"/>
      <c r="I25" s="162"/>
      <c r="J25" s="162"/>
      <c r="K25" s="169"/>
      <c r="L25" s="228">
        <f t="shared" si="0"/>
        <v>0</v>
      </c>
      <c r="M25" s="3"/>
      <c r="N25" s="3"/>
      <c r="O25" s="3"/>
      <c r="P25" s="3"/>
      <c r="Q25" s="3"/>
    </row>
    <row r="26" spans="1:17" ht="12.75">
      <c r="A26" s="229" t="s">
        <v>182</v>
      </c>
      <c r="B26" s="230">
        <v>0</v>
      </c>
      <c r="C26" s="21"/>
      <c r="D26" s="21"/>
      <c r="E26" s="21"/>
      <c r="F26" s="21"/>
      <c r="G26" s="21"/>
      <c r="H26" s="21"/>
      <c r="I26" s="152"/>
      <c r="J26" s="152"/>
      <c r="K26" s="231"/>
      <c r="L26" s="232">
        <f t="shared" si="0"/>
        <v>0</v>
      </c>
      <c r="M26" s="3"/>
      <c r="N26" s="3"/>
      <c r="O26" s="3"/>
      <c r="P26" s="3"/>
      <c r="Q26" s="3"/>
    </row>
    <row r="27" spans="1:17" ht="13.5" thickBot="1">
      <c r="A27" s="233" t="s">
        <v>208</v>
      </c>
      <c r="B27" s="234">
        <v>0</v>
      </c>
      <c r="C27" s="235"/>
      <c r="D27" s="235"/>
      <c r="E27" s="235"/>
      <c r="F27" s="235"/>
      <c r="G27" s="235"/>
      <c r="H27" s="235"/>
      <c r="I27" s="236"/>
      <c r="J27" s="236"/>
      <c r="K27" s="237"/>
      <c r="L27" s="238">
        <f>SUM(B27)</f>
        <v>0</v>
      </c>
      <c r="M27" s="3"/>
      <c r="N27" s="3"/>
      <c r="O27" s="3"/>
      <c r="P27" s="3"/>
      <c r="Q27" s="3"/>
    </row>
    <row r="28" spans="1:17" ht="13.5" thickBot="1">
      <c r="A28" s="239" t="s">
        <v>186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40">
        <f>SUM(L13:L27)</f>
        <v>249</v>
      </c>
      <c r="M28" s="3"/>
      <c r="N28" s="3"/>
      <c r="O28" s="3"/>
      <c r="P28" s="3"/>
      <c r="Q28" s="3"/>
    </row>
    <row r="29" spans="1:17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4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/>
      <c r="B31" s="202" t="s">
        <v>189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188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205</v>
      </c>
      <c r="B33" s="14">
        <f>L13</f>
        <v>122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41" t="s">
        <v>206</v>
      </c>
      <c r="B34" s="14">
        <f>L14</f>
        <v>120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41" t="s">
        <v>63</v>
      </c>
      <c r="B35" s="240">
        <f>SUM(B33:B34)</f>
        <v>242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2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 t="s">
        <v>175</v>
      </c>
      <c r="B38" s="14">
        <f>L16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 t="s">
        <v>208</v>
      </c>
      <c r="B39" s="243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41" t="s">
        <v>178</v>
      </c>
      <c r="B40" s="14">
        <f>L22</f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41" t="s">
        <v>63</v>
      </c>
      <c r="B41" s="240">
        <f>SUM(B38:B40)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2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201</v>
      </c>
      <c r="B44" s="14">
        <f>L15</f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179</v>
      </c>
      <c r="B45" s="14">
        <f>L23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180</v>
      </c>
      <c r="B46" s="243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195</v>
      </c>
      <c r="B47" s="243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200</v>
      </c>
      <c r="B48" s="243">
        <f>L20</f>
        <v>1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63</v>
      </c>
      <c r="B49" s="240">
        <f>SUM(B44:B48)</f>
        <v>4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2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177</v>
      </c>
      <c r="B52" s="243">
        <f>L19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41" t="s">
        <v>204</v>
      </c>
      <c r="B53" s="243">
        <f>L21</f>
        <v>1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1" t="s">
        <v>182</v>
      </c>
      <c r="B54" s="243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 t="s">
        <v>207</v>
      </c>
      <c r="B55" s="243">
        <f>L17</f>
        <v>0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SUM(B52:B55)</f>
        <v>2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42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41" t="s">
        <v>176</v>
      </c>
      <c r="B59" s="243">
        <f>L18</f>
        <v>1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41" t="s">
        <v>63</v>
      </c>
      <c r="B60" s="244">
        <f>SUM(B59:B59)</f>
        <v>1</v>
      </c>
      <c r="C60" s="9"/>
      <c r="D60" s="9"/>
      <c r="E60" s="251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11">
      <selection activeCell="B22" sqref="B22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5.5636</v>
      </c>
      <c r="D7" s="3" t="s">
        <v>2</v>
      </c>
      <c r="F7" s="2" t="s">
        <v>7</v>
      </c>
      <c r="H7" s="47">
        <v>140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SUM('Pesado Platos'!L13:L14)</f>
        <v>242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997</v>
      </c>
      <c r="I11" t="s">
        <v>294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'Pesado Platos'!B49</f>
        <v>4</v>
      </c>
      <c r="K17" s="131">
        <f>I17/I18</f>
        <v>0.01606425702811245</v>
      </c>
      <c r="L17" s="37" t="s">
        <v>99</v>
      </c>
    </row>
    <row r="18" spans="4:9" ht="13.5" thickTop="1">
      <c r="D18" s="38" t="s">
        <v>190</v>
      </c>
      <c r="I18" s="122">
        <f>'Pesado Platos'!L28</f>
        <v>249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'Pesado Platos'!B56</f>
        <v>2</v>
      </c>
      <c r="K20" s="131">
        <f>I20/I21</f>
        <v>0.008032128514056224</v>
      </c>
      <c r="L20" s="37" t="s">
        <v>99</v>
      </c>
    </row>
    <row r="21" spans="4:9" ht="13.5" thickTop="1">
      <c r="D21" s="38" t="s">
        <v>190</v>
      </c>
      <c r="I21" s="124">
        <f>I18</f>
        <v>249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'Pesado Platos'!B41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249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'Pesado Platos'!B60</f>
        <v>1</v>
      </c>
      <c r="K26" s="131">
        <f>I26/I27</f>
        <v>0.004016064257028112</v>
      </c>
      <c r="L26" s="37" t="s">
        <v>99</v>
      </c>
    </row>
    <row r="27" spans="4:9" ht="13.5" thickTop="1">
      <c r="D27" s="38" t="s">
        <v>190</v>
      </c>
      <c r="I27" s="126">
        <f>I18</f>
        <v>249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SUM('Pesado Platos'!L13:L14)*H11</f>
        <v>241274</v>
      </c>
      <c r="K29" s="47">
        <f>I29/I30</f>
        <v>968.9718875502008</v>
      </c>
      <c r="L29" s="37" t="s">
        <v>2</v>
      </c>
    </row>
    <row r="30" spans="4:9" ht="13.5" thickTop="1">
      <c r="D30" s="38" t="s">
        <v>91</v>
      </c>
      <c r="I30" s="130">
        <f>I18</f>
        <v>249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Normal!E18</f>
        <v>+ 0.08</v>
      </c>
      <c r="L35" s="58" t="str">
        <f>Normal!H18</f>
        <v>+ 0.05</v>
      </c>
      <c r="N35" s="56">
        <f>J35+K35+L35</f>
        <v>1.1300000000000001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6.286868000000001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1094.938232931727</v>
      </c>
      <c r="E40">
        <f>D40/D41-1</f>
        <v>0.24401965781431456</v>
      </c>
      <c r="F40" t="s">
        <v>99</v>
      </c>
    </row>
    <row r="41" spans="3:4" ht="12.75">
      <c r="C41" s="3" t="s">
        <v>97</v>
      </c>
      <c r="D41" s="3">
        <f>H7*E37</f>
        <v>880.1615200000001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0.01606425702811245</v>
      </c>
      <c r="C47" s="66">
        <f>K20</f>
        <v>0.008032128514056224</v>
      </c>
      <c r="D47" s="3">
        <f>K23</f>
        <v>0</v>
      </c>
      <c r="E47" s="3">
        <f>K26</f>
        <v>0.004016064257028112</v>
      </c>
      <c r="F47">
        <f>E40</f>
        <v>0.24401965781431456</v>
      </c>
    </row>
    <row r="49" spans="1:3" ht="12.75">
      <c r="A49" s="2" t="s">
        <v>52</v>
      </c>
      <c r="B49">
        <f>B47+C47+D47+E47+F47</f>
        <v>0.27213210761351136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6.286868000000001</v>
      </c>
      <c r="F54" s="66">
        <f>B49+1</f>
        <v>1.2721321076135115</v>
      </c>
    </row>
    <row r="56" spans="1:5" ht="12.75">
      <c r="A56" s="2" t="s">
        <v>104</v>
      </c>
      <c r="D56">
        <f>E54*F54</f>
        <v>7.997726639127943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3.911457707834457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50775" r:id="rId1"/>
    <oleObject progId="Equation.3" shapeId="650776" r:id="rId2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358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9</v>
      </c>
      <c r="D5" s="9"/>
      <c r="E5" s="9"/>
      <c r="F5" s="9"/>
      <c r="G5" s="10" t="s">
        <v>250</v>
      </c>
      <c r="H5" s="209">
        <v>2243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175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209</v>
      </c>
      <c r="B13" s="215">
        <v>243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5">SUM(B13)</f>
        <v>243</v>
      </c>
      <c r="M13" s="95"/>
      <c r="N13" s="98"/>
      <c r="O13" s="95"/>
      <c r="P13" s="98"/>
      <c r="Q13" s="95"/>
    </row>
    <row r="14" spans="1:17" ht="12.75">
      <c r="A14" s="220" t="s">
        <v>201</v>
      </c>
      <c r="B14" s="221">
        <v>0</v>
      </c>
      <c r="C14" s="24"/>
      <c r="D14" s="24"/>
      <c r="E14" s="24"/>
      <c r="F14" s="24"/>
      <c r="G14" s="24"/>
      <c r="H14" s="24"/>
      <c r="I14" s="162"/>
      <c r="J14" s="162"/>
      <c r="K14" s="169"/>
      <c r="L14" s="227">
        <f t="shared" si="0"/>
        <v>0</v>
      </c>
      <c r="M14" s="3"/>
      <c r="N14" s="3"/>
      <c r="O14" s="3"/>
      <c r="P14" s="3"/>
      <c r="Q14" s="3"/>
    </row>
    <row r="15" spans="1:17" ht="12.75">
      <c r="A15" s="220" t="s">
        <v>175</v>
      </c>
      <c r="B15" s="221">
        <v>0</v>
      </c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O15" s="3"/>
      <c r="P15" s="3"/>
      <c r="Q15" s="3"/>
    </row>
    <row r="16" spans="1:17" ht="12.75">
      <c r="A16" s="220" t="s">
        <v>176</v>
      </c>
      <c r="B16" s="221">
        <v>1</v>
      </c>
      <c r="C16" s="24"/>
      <c r="D16" s="24"/>
      <c r="E16" s="24"/>
      <c r="F16" s="24"/>
      <c r="G16" s="24"/>
      <c r="H16" s="24"/>
      <c r="I16" s="162"/>
      <c r="J16" s="162"/>
      <c r="K16" s="169"/>
      <c r="L16" s="228">
        <f t="shared" si="0"/>
        <v>1</v>
      </c>
      <c r="M16" s="3"/>
      <c r="N16" s="3"/>
      <c r="O16" s="3"/>
      <c r="P16" s="3"/>
      <c r="Q16" s="3"/>
    </row>
    <row r="17" spans="1:17" ht="12.75">
      <c r="A17" s="220" t="s">
        <v>177</v>
      </c>
      <c r="B17" s="221">
        <v>2</v>
      </c>
      <c r="C17" s="24"/>
      <c r="D17" s="24"/>
      <c r="E17" s="24"/>
      <c r="F17" s="24"/>
      <c r="G17" s="24"/>
      <c r="H17" s="24"/>
      <c r="I17" s="162"/>
      <c r="J17" s="162"/>
      <c r="K17" s="169"/>
      <c r="L17" s="228">
        <f t="shared" si="0"/>
        <v>2</v>
      </c>
      <c r="M17" s="3"/>
      <c r="N17" s="3"/>
      <c r="O17" s="3"/>
      <c r="P17" s="3"/>
      <c r="Q17" s="3"/>
    </row>
    <row r="18" spans="1:17" ht="12.75">
      <c r="A18" s="220" t="s">
        <v>200</v>
      </c>
      <c r="B18" s="221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1</v>
      </c>
      <c r="M18" s="3"/>
      <c r="N18" s="3"/>
      <c r="O18" s="3"/>
      <c r="P18" s="3"/>
      <c r="Q18" s="3"/>
    </row>
    <row r="19" spans="1:17" ht="12.75">
      <c r="A19" s="220" t="s">
        <v>203</v>
      </c>
      <c r="B19" s="221">
        <v>1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1</v>
      </c>
      <c r="M19" s="3"/>
      <c r="N19" s="3"/>
      <c r="O19" s="3"/>
      <c r="P19" s="3"/>
      <c r="Q19" s="3"/>
    </row>
    <row r="20" spans="1:17" ht="12.75">
      <c r="A20" s="220" t="s">
        <v>178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7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179</v>
      </c>
      <c r="B21" s="221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180</v>
      </c>
      <c r="B22" s="221">
        <v>0</v>
      </c>
      <c r="C22" s="24"/>
      <c r="D22" s="24"/>
      <c r="E22" s="24"/>
      <c r="F22" s="24"/>
      <c r="G22" s="24"/>
      <c r="H22" s="24"/>
      <c r="I22" s="162"/>
      <c r="J22" s="162"/>
      <c r="K22" s="169"/>
      <c r="L22" s="228">
        <f t="shared" si="0"/>
        <v>0</v>
      </c>
      <c r="M22" s="3"/>
      <c r="N22" s="3"/>
      <c r="O22" s="3"/>
      <c r="P22" s="3"/>
      <c r="Q22" s="3"/>
    </row>
    <row r="23" spans="1:17" ht="12.75">
      <c r="A23" s="220" t="s">
        <v>195</v>
      </c>
      <c r="B23" s="221">
        <v>0</v>
      </c>
      <c r="C23" s="24"/>
      <c r="D23" s="24"/>
      <c r="E23" s="24"/>
      <c r="F23" s="24"/>
      <c r="G23" s="24"/>
      <c r="H23" s="24"/>
      <c r="I23" s="162"/>
      <c r="J23" s="162"/>
      <c r="K23" s="169"/>
      <c r="L23" s="228">
        <f t="shared" si="0"/>
        <v>0</v>
      </c>
      <c r="M23" s="3"/>
      <c r="N23" s="3"/>
      <c r="O23" s="3"/>
      <c r="P23" s="3"/>
      <c r="Q23" s="3"/>
    </row>
    <row r="24" spans="1:17" ht="12.75">
      <c r="A24" s="229" t="s">
        <v>182</v>
      </c>
      <c r="B24" s="230">
        <v>0</v>
      </c>
      <c r="C24" s="21"/>
      <c r="D24" s="21"/>
      <c r="E24" s="21"/>
      <c r="F24" s="21"/>
      <c r="G24" s="21"/>
      <c r="H24" s="21"/>
      <c r="I24" s="152"/>
      <c r="J24" s="152"/>
      <c r="K24" s="231"/>
      <c r="L24" s="232">
        <f t="shared" si="0"/>
        <v>0</v>
      </c>
      <c r="M24" s="3"/>
      <c r="N24" s="3"/>
      <c r="O24" s="3"/>
      <c r="P24" s="3"/>
      <c r="Q24" s="3"/>
    </row>
    <row r="25" spans="1:17" ht="13.5" thickBot="1">
      <c r="A25" s="233" t="s">
        <v>208</v>
      </c>
      <c r="B25" s="234">
        <v>1</v>
      </c>
      <c r="C25" s="235"/>
      <c r="D25" s="235"/>
      <c r="E25" s="235"/>
      <c r="F25" s="235"/>
      <c r="G25" s="235"/>
      <c r="H25" s="235"/>
      <c r="I25" s="236"/>
      <c r="J25" s="236"/>
      <c r="K25" s="237"/>
      <c r="L25" s="238">
        <f t="shared" si="0"/>
        <v>1</v>
      </c>
      <c r="M25" s="3"/>
      <c r="N25" s="3"/>
      <c r="O25" s="3"/>
      <c r="P25" s="3"/>
      <c r="Q25" s="3"/>
    </row>
    <row r="26" spans="1:17" ht="13.5" thickBot="1">
      <c r="A26" s="239" t="s">
        <v>186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40">
        <f>SUM(L13:L25)</f>
        <v>249</v>
      </c>
      <c r="M26" s="3"/>
      <c r="N26" s="3"/>
      <c r="O26" s="3"/>
      <c r="P26" s="3"/>
      <c r="Q26" s="3"/>
    </row>
    <row r="27" spans="1:17" ht="12.75">
      <c r="A27" s="241"/>
      <c r="B27" s="9"/>
      <c r="C27" s="9"/>
      <c r="D27" s="9"/>
      <c r="E27" s="9"/>
      <c r="F27" s="9"/>
      <c r="G27" s="9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41"/>
      <c r="B29" s="202" t="s">
        <v>189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2" t="s">
        <v>188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3.5" thickBot="1">
      <c r="A31" s="241" t="s">
        <v>209</v>
      </c>
      <c r="B31" s="14">
        <f>L13</f>
        <v>243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 t="s">
        <v>63</v>
      </c>
      <c r="B32" s="240">
        <f>SUM(B31:B31)</f>
        <v>243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42" t="s">
        <v>164</v>
      </c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1" t="s">
        <v>175</v>
      </c>
      <c r="B35" s="14">
        <f>L15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208</v>
      </c>
      <c r="B36" s="243">
        <f>L25</f>
        <v>1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41" t="s">
        <v>178</v>
      </c>
      <c r="B37" s="14">
        <f>L20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63</v>
      </c>
      <c r="B38" s="240">
        <f>SUM(B35:B37)</f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2" t="s">
        <v>162</v>
      </c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1" t="s">
        <v>201</v>
      </c>
      <c r="B41" s="14">
        <f>L14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179</v>
      </c>
      <c r="B42" s="14">
        <f>L21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180</v>
      </c>
      <c r="B43" s="243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195</v>
      </c>
      <c r="B44" s="243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thickBot="1">
      <c r="A45" s="241" t="s">
        <v>200</v>
      </c>
      <c r="B45" s="243">
        <f>L18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63</v>
      </c>
      <c r="B46" s="240">
        <f>SUM(B41:B45)</f>
        <v>1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42" t="s">
        <v>163</v>
      </c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1" t="s">
        <v>177</v>
      </c>
      <c r="B49" s="243">
        <f>L17</f>
        <v>2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 t="s">
        <v>204</v>
      </c>
      <c r="B50" s="243">
        <f>L19</f>
        <v>1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thickBot="1">
      <c r="A51" s="241" t="s">
        <v>182</v>
      </c>
      <c r="B51" s="243">
        <f>L24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41" t="s">
        <v>63</v>
      </c>
      <c r="B52" s="244">
        <f>SUM(B49:B51)</f>
        <v>3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2" t="s">
        <v>165</v>
      </c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 t="s">
        <v>176</v>
      </c>
      <c r="B55" s="243">
        <f>L16</f>
        <v>1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SUM(B55:B55)</f>
        <v>1</v>
      </c>
      <c r="C56" s="9"/>
      <c r="D56" s="9"/>
      <c r="E56" s="251"/>
      <c r="F56" s="9"/>
      <c r="G56" s="9"/>
      <c r="H56" s="9"/>
      <c r="I56" s="9"/>
      <c r="J56" s="9"/>
      <c r="K56" s="9"/>
      <c r="L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7">
      <selection activeCell="A2" sqref="A2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11.431199999999999</v>
      </c>
      <c r="D7" s="3" t="s">
        <v>2</v>
      </c>
      <c r="F7" s="2" t="s">
        <v>7</v>
      </c>
      <c r="H7" s="47">
        <v>175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Fumigado!L13</f>
        <v>243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2243</v>
      </c>
      <c r="I11" t="s">
        <v>294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Fumigado!B46</f>
        <v>1</v>
      </c>
      <c r="K17" s="131">
        <f>I17/I18</f>
        <v>0.004016064257028112</v>
      </c>
      <c r="L17" s="37" t="s">
        <v>99</v>
      </c>
    </row>
    <row r="18" spans="4:9" ht="13.5" thickTop="1">
      <c r="D18" s="38" t="s">
        <v>190</v>
      </c>
      <c r="I18" s="122">
        <f>Fumigado!L26</f>
        <v>249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Fumigado!B52</f>
        <v>3</v>
      </c>
      <c r="K20" s="131">
        <f>I20/I21</f>
        <v>0.012048192771084338</v>
      </c>
      <c r="L20" s="37" t="s">
        <v>99</v>
      </c>
    </row>
    <row r="21" spans="4:9" ht="13.5" thickTop="1">
      <c r="D21" s="38" t="s">
        <v>190</v>
      </c>
      <c r="I21" s="124">
        <f>I18</f>
        <v>249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Fumigado!B38</f>
        <v>1</v>
      </c>
      <c r="K23" s="131">
        <f>I23/I24</f>
        <v>0.004016064257028112</v>
      </c>
      <c r="L23" s="37" t="s">
        <v>99</v>
      </c>
    </row>
    <row r="24" spans="4:9" ht="13.5" thickTop="1">
      <c r="D24" s="38" t="s">
        <v>190</v>
      </c>
      <c r="I24" s="125">
        <f>I18</f>
        <v>249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Fumigado!B56</f>
        <v>1</v>
      </c>
      <c r="K26" s="131">
        <f>I26/I27</f>
        <v>0.004016064257028112</v>
      </c>
      <c r="L26" s="37" t="s">
        <v>99</v>
      </c>
    </row>
    <row r="27" spans="4:9" ht="13.5" thickTop="1">
      <c r="D27" s="38" t="s">
        <v>190</v>
      </c>
      <c r="I27" s="126">
        <f>I18</f>
        <v>249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Fumigado!L13*H11</f>
        <v>545049</v>
      </c>
      <c r="K29" s="47">
        <f>I29/I30</f>
        <v>2188.9518072289156</v>
      </c>
      <c r="L29" s="37" t="s">
        <v>2</v>
      </c>
    </row>
    <row r="30" spans="4:9" ht="13.5" thickTop="1">
      <c r="D30" s="38" t="s">
        <v>91</v>
      </c>
      <c r="I30" s="130">
        <f>I18</f>
        <v>249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Normal!E19</f>
        <v>+ 0.03</v>
      </c>
      <c r="L35" s="58" t="str">
        <f>Normal!H19</f>
        <v>+ 0.02</v>
      </c>
      <c r="N35" s="56">
        <f>J35+K35+L35</f>
        <v>1.05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12.002759999999999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2298.3993975903613</v>
      </c>
      <c r="E40">
        <f>D40/D41-1</f>
        <v>0.09422423204108843</v>
      </c>
      <c r="F40" t="s">
        <v>99</v>
      </c>
    </row>
    <row r="41" spans="3:4" ht="12.75">
      <c r="C41" s="3" t="s">
        <v>97</v>
      </c>
      <c r="D41" s="3">
        <f>H7*E37</f>
        <v>2100.4829999999997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0.004016064257028112</v>
      </c>
      <c r="C47" s="66">
        <f>K20</f>
        <v>0.012048192771084338</v>
      </c>
      <c r="D47" s="3">
        <f>K23</f>
        <v>0.004016064257028112</v>
      </c>
      <c r="E47" s="3">
        <f>K26</f>
        <v>0.004016064257028112</v>
      </c>
      <c r="F47">
        <f>E40</f>
        <v>0.09422423204108843</v>
      </c>
    </row>
    <row r="49" spans="1:3" ht="12.75">
      <c r="A49" s="2" t="s">
        <v>52</v>
      </c>
      <c r="B49">
        <f>B47+C47+D47+E47+F47</f>
        <v>0.1183206175832571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12.002759999999999</v>
      </c>
      <c r="F54" s="66">
        <f>B49+1</f>
        <v>1.1183206175832572</v>
      </c>
    </row>
    <row r="56" spans="1:5" ht="12.75">
      <c r="A56" s="2" t="s">
        <v>104</v>
      </c>
      <c r="D56">
        <f>E54*F54</f>
        <v>13.422933975903614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4.355146191052824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52875" r:id="rId1"/>
    <oleObject progId="Equation.3" shapeId="652876" r:id="rId2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359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20</v>
      </c>
      <c r="D5" s="9"/>
      <c r="E5" s="9"/>
      <c r="F5" s="9"/>
      <c r="G5" s="10" t="s">
        <v>250</v>
      </c>
      <c r="H5" s="209">
        <v>4003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 hidden="1">
      <c r="A7" s="9"/>
      <c r="B7" s="210"/>
      <c r="C7" s="52"/>
      <c r="D7" s="9"/>
      <c r="E7" s="9"/>
      <c r="F7" s="9"/>
      <c r="G7" s="9"/>
      <c r="H7" s="9"/>
      <c r="I7" s="9"/>
      <c r="J7" s="9"/>
      <c r="K7" s="9"/>
      <c r="L7" s="9"/>
    </row>
    <row r="8" spans="1:12" ht="12.75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 t="s">
        <v>183</v>
      </c>
      <c r="C9" s="15">
        <v>115</v>
      </c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320</v>
      </c>
      <c r="B13" s="215">
        <v>59</v>
      </c>
      <c r="C13" s="216">
        <v>59</v>
      </c>
      <c r="D13" s="216">
        <v>58</v>
      </c>
      <c r="E13" s="216"/>
      <c r="F13" s="216"/>
      <c r="G13" s="216"/>
      <c r="H13" s="216"/>
      <c r="I13" s="217"/>
      <c r="J13" s="217"/>
      <c r="K13" s="218"/>
      <c r="L13" s="219">
        <f aca="true" t="shared" si="0" ref="L13:L25">SUM(B13:D13)</f>
        <v>176</v>
      </c>
      <c r="M13" s="95"/>
      <c r="N13" s="98"/>
      <c r="O13" s="95"/>
      <c r="P13" s="98"/>
      <c r="Q13" s="95"/>
    </row>
    <row r="14" spans="1:17" ht="12.75">
      <c r="A14" s="220" t="s">
        <v>201</v>
      </c>
      <c r="B14" s="221">
        <v>0</v>
      </c>
      <c r="C14" s="24">
        <v>0</v>
      </c>
      <c r="D14" s="24">
        <v>0</v>
      </c>
      <c r="E14" s="24"/>
      <c r="F14" s="24"/>
      <c r="G14" s="24"/>
      <c r="H14" s="24"/>
      <c r="I14" s="162"/>
      <c r="J14" s="162"/>
      <c r="K14" s="169"/>
      <c r="L14" s="227">
        <f t="shared" si="0"/>
        <v>0</v>
      </c>
      <c r="M14" s="3"/>
      <c r="N14" s="3"/>
      <c r="O14" s="3"/>
      <c r="P14" s="3"/>
      <c r="Q14" s="3"/>
    </row>
    <row r="15" spans="1:17" ht="12.75">
      <c r="A15" s="220" t="s">
        <v>175</v>
      </c>
      <c r="B15" s="221">
        <v>0</v>
      </c>
      <c r="C15" s="24">
        <v>0</v>
      </c>
      <c r="D15" s="24">
        <v>0</v>
      </c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O15" s="3"/>
      <c r="P15" s="3"/>
      <c r="Q15" s="3"/>
    </row>
    <row r="16" spans="1:17" ht="12.75">
      <c r="A16" s="220" t="s">
        <v>176</v>
      </c>
      <c r="B16" s="221">
        <v>2</v>
      </c>
      <c r="C16" s="24">
        <v>2</v>
      </c>
      <c r="D16" s="24">
        <v>2</v>
      </c>
      <c r="E16" s="24"/>
      <c r="F16" s="24"/>
      <c r="G16" s="24"/>
      <c r="H16" s="24"/>
      <c r="I16" s="162"/>
      <c r="J16" s="162"/>
      <c r="K16" s="169"/>
      <c r="L16" s="227">
        <f t="shared" si="0"/>
        <v>6</v>
      </c>
      <c r="M16" s="3"/>
      <c r="N16" s="3"/>
      <c r="O16" s="3"/>
      <c r="P16" s="3"/>
      <c r="Q16" s="3"/>
    </row>
    <row r="17" spans="1:17" ht="12.75">
      <c r="A17" s="220" t="s">
        <v>177</v>
      </c>
      <c r="B17" s="221">
        <v>4</v>
      </c>
      <c r="C17" s="24">
        <v>4</v>
      </c>
      <c r="D17" s="24">
        <v>4</v>
      </c>
      <c r="E17" s="24"/>
      <c r="F17" s="24"/>
      <c r="G17" s="24"/>
      <c r="H17" s="24"/>
      <c r="I17" s="162"/>
      <c r="J17" s="162"/>
      <c r="K17" s="169"/>
      <c r="L17" s="227">
        <f t="shared" si="0"/>
        <v>12</v>
      </c>
      <c r="M17" s="3"/>
      <c r="N17" s="3"/>
      <c r="O17" s="3"/>
      <c r="P17" s="3"/>
      <c r="Q17" s="3"/>
    </row>
    <row r="18" spans="1:17" ht="12.75">
      <c r="A18" s="220" t="s">
        <v>210</v>
      </c>
      <c r="B18" s="221">
        <v>0</v>
      </c>
      <c r="C18" s="24">
        <v>0</v>
      </c>
      <c r="D18" s="24">
        <v>0</v>
      </c>
      <c r="E18" s="24"/>
      <c r="F18" s="24"/>
      <c r="G18" s="24"/>
      <c r="H18" s="24"/>
      <c r="I18" s="162"/>
      <c r="J18" s="162"/>
      <c r="K18" s="169"/>
      <c r="L18" s="227">
        <f t="shared" si="0"/>
        <v>0</v>
      </c>
      <c r="M18" s="3"/>
      <c r="N18" s="3"/>
      <c r="O18" s="3"/>
      <c r="P18" s="3"/>
      <c r="Q18" s="3"/>
    </row>
    <row r="19" spans="1:17" ht="12.75">
      <c r="A19" s="220" t="s">
        <v>203</v>
      </c>
      <c r="B19" s="221">
        <v>1</v>
      </c>
      <c r="C19" s="24">
        <v>1</v>
      </c>
      <c r="D19" s="24">
        <v>1</v>
      </c>
      <c r="E19" s="24"/>
      <c r="F19" s="24"/>
      <c r="G19" s="24"/>
      <c r="H19" s="24"/>
      <c r="I19" s="162"/>
      <c r="J19" s="162"/>
      <c r="K19" s="169"/>
      <c r="L19" s="227">
        <f t="shared" si="0"/>
        <v>3</v>
      </c>
      <c r="M19" s="3"/>
      <c r="N19" s="3"/>
      <c r="O19" s="3"/>
      <c r="P19" s="3"/>
      <c r="Q19" s="3"/>
    </row>
    <row r="20" spans="1:17" ht="12.75">
      <c r="A20" s="220" t="s">
        <v>178</v>
      </c>
      <c r="B20" s="221">
        <v>1</v>
      </c>
      <c r="C20" s="24">
        <v>1</v>
      </c>
      <c r="D20" s="24">
        <v>1</v>
      </c>
      <c r="E20" s="24"/>
      <c r="F20" s="24"/>
      <c r="G20" s="24"/>
      <c r="H20" s="24"/>
      <c r="I20" s="162"/>
      <c r="J20" s="162"/>
      <c r="K20" s="169"/>
      <c r="L20" s="227">
        <f t="shared" si="0"/>
        <v>3</v>
      </c>
      <c r="M20" s="3"/>
      <c r="N20" s="3"/>
      <c r="O20" s="3"/>
      <c r="P20" s="3"/>
      <c r="Q20" s="3"/>
    </row>
    <row r="21" spans="1:17" ht="12.75">
      <c r="A21" s="220" t="s">
        <v>179</v>
      </c>
      <c r="B21" s="221">
        <v>0</v>
      </c>
      <c r="C21" s="24">
        <v>0</v>
      </c>
      <c r="D21" s="24">
        <v>0</v>
      </c>
      <c r="E21" s="24"/>
      <c r="F21" s="24"/>
      <c r="G21" s="24"/>
      <c r="H21" s="24"/>
      <c r="I21" s="162"/>
      <c r="J21" s="162"/>
      <c r="K21" s="169"/>
      <c r="L21" s="227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180</v>
      </c>
      <c r="B22" s="221">
        <v>0</v>
      </c>
      <c r="C22" s="24">
        <v>0</v>
      </c>
      <c r="D22" s="24">
        <v>0</v>
      </c>
      <c r="E22" s="24"/>
      <c r="F22" s="24"/>
      <c r="G22" s="24"/>
      <c r="H22" s="24"/>
      <c r="I22" s="162"/>
      <c r="J22" s="162"/>
      <c r="K22" s="169"/>
      <c r="L22" s="227">
        <f t="shared" si="0"/>
        <v>0</v>
      </c>
      <c r="M22" s="3"/>
      <c r="N22" s="3"/>
      <c r="O22" s="3"/>
      <c r="P22" s="3"/>
      <c r="Q22" s="3"/>
    </row>
    <row r="23" spans="1:17" ht="12.75">
      <c r="A23" s="220" t="s">
        <v>195</v>
      </c>
      <c r="B23" s="221">
        <v>0</v>
      </c>
      <c r="C23" s="24">
        <v>0</v>
      </c>
      <c r="D23" s="24">
        <v>0</v>
      </c>
      <c r="E23" s="24"/>
      <c r="F23" s="24"/>
      <c r="G23" s="24"/>
      <c r="H23" s="24"/>
      <c r="I23" s="162"/>
      <c r="J23" s="162"/>
      <c r="K23" s="169"/>
      <c r="L23" s="227">
        <f t="shared" si="0"/>
        <v>0</v>
      </c>
      <c r="M23" s="3"/>
      <c r="N23" s="3"/>
      <c r="O23" s="3"/>
      <c r="P23" s="3"/>
      <c r="Q23" s="3"/>
    </row>
    <row r="24" spans="1:17" ht="12.75">
      <c r="A24" s="229" t="s">
        <v>182</v>
      </c>
      <c r="B24" s="230">
        <v>0</v>
      </c>
      <c r="C24" s="21">
        <v>0</v>
      </c>
      <c r="D24" s="21">
        <v>0</v>
      </c>
      <c r="E24" s="21"/>
      <c r="F24" s="21"/>
      <c r="G24" s="21"/>
      <c r="H24" s="21"/>
      <c r="I24" s="152"/>
      <c r="J24" s="152"/>
      <c r="K24" s="231"/>
      <c r="L24" s="227">
        <f t="shared" si="0"/>
        <v>0</v>
      </c>
      <c r="M24" s="3"/>
      <c r="N24" s="3"/>
      <c r="O24" s="3"/>
      <c r="P24" s="3"/>
      <c r="Q24" s="3"/>
    </row>
    <row r="25" spans="1:17" ht="13.5" thickBot="1">
      <c r="A25" s="233" t="s">
        <v>208</v>
      </c>
      <c r="B25" s="234">
        <v>0</v>
      </c>
      <c r="C25" s="235">
        <v>0</v>
      </c>
      <c r="D25" s="235">
        <v>0</v>
      </c>
      <c r="E25" s="235"/>
      <c r="F25" s="235"/>
      <c r="G25" s="235"/>
      <c r="H25" s="235"/>
      <c r="I25" s="236"/>
      <c r="J25" s="236"/>
      <c r="K25" s="237"/>
      <c r="L25" s="238">
        <f t="shared" si="0"/>
        <v>0</v>
      </c>
      <c r="M25" s="3"/>
      <c r="N25" s="3"/>
      <c r="O25" s="3"/>
      <c r="P25" s="3"/>
      <c r="Q25" s="3"/>
    </row>
    <row r="26" spans="1:17" ht="13.5" thickBot="1">
      <c r="A26" s="239" t="s">
        <v>186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40">
        <f>SUM(L13:L25)</f>
        <v>200</v>
      </c>
      <c r="M26" s="3"/>
      <c r="N26" s="3"/>
      <c r="O26" s="3"/>
      <c r="P26" s="3"/>
      <c r="Q26" s="3"/>
    </row>
    <row r="27" spans="1:17" ht="12.75">
      <c r="A27" s="241"/>
      <c r="B27" s="9"/>
      <c r="C27" s="9"/>
      <c r="D27" s="9"/>
      <c r="E27" s="9"/>
      <c r="F27" s="9"/>
      <c r="G27" s="9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41"/>
      <c r="B29" s="202" t="s">
        <v>189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2" t="s">
        <v>188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3.5" thickBot="1">
      <c r="A31" s="241" t="s">
        <v>320</v>
      </c>
      <c r="B31" s="14">
        <f>L13</f>
        <v>176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 t="s">
        <v>63</v>
      </c>
      <c r="B32" s="240">
        <f>SUM(B31:B31)</f>
        <v>176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42" t="s">
        <v>164</v>
      </c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1" t="s">
        <v>175</v>
      </c>
      <c r="B35" s="14">
        <f>L15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208</v>
      </c>
      <c r="B36" s="243">
        <f>L25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41" t="s">
        <v>178</v>
      </c>
      <c r="B37" s="14">
        <f>L20</f>
        <v>3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63</v>
      </c>
      <c r="B38" s="240">
        <f>SUM(B35:B37)</f>
        <v>3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2" t="s">
        <v>162</v>
      </c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1" t="s">
        <v>201</v>
      </c>
      <c r="B41" s="14">
        <f>L14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179</v>
      </c>
      <c r="B42" s="14">
        <f>L21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180</v>
      </c>
      <c r="B43" s="243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195</v>
      </c>
      <c r="B44" s="243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210</v>
      </c>
      <c r="B45" s="243">
        <f>L18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177</v>
      </c>
      <c r="B46" s="243">
        <f>L17</f>
        <v>12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41" t="s">
        <v>63</v>
      </c>
      <c r="B47" s="240">
        <f>SUM(B41:B46)</f>
        <v>12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2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/>
      <c r="B50" s="243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1" t="s">
        <v>204</v>
      </c>
      <c r="B51" s="243">
        <f>L19</f>
        <v>3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41" t="s">
        <v>182</v>
      </c>
      <c r="B52" s="243">
        <f>L24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63</v>
      </c>
      <c r="B53" s="244">
        <f>SUM(B50:B52)</f>
        <v>3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"/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242" t="s">
        <v>165</v>
      </c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176</v>
      </c>
      <c r="B56" s="243">
        <f>L16</f>
        <v>6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41" t="s">
        <v>63</v>
      </c>
      <c r="B57" s="244">
        <f>SUM(B56:B56)</f>
        <v>6</v>
      </c>
      <c r="C57" s="9"/>
      <c r="D57" s="9"/>
      <c r="E57" s="251"/>
      <c r="F57" s="9"/>
      <c r="G57" s="9"/>
      <c r="H57" s="9"/>
      <c r="I57" s="9"/>
      <c r="J57" s="9"/>
      <c r="K57" s="9"/>
      <c r="L57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8">
      <selection activeCell="A52" sqref="A52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f>1.83*16</f>
        <v>29.28</v>
      </c>
      <c r="D7" s="3" t="s">
        <v>2</v>
      </c>
      <c r="F7" s="2" t="s">
        <v>7</v>
      </c>
      <c r="H7" s="47">
        <v>115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'Sellar Clusters'!L13</f>
        <v>176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4003</v>
      </c>
      <c r="I11" t="s">
        <v>294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'Sellar Clusters'!B47</f>
        <v>12</v>
      </c>
      <c r="K17" s="131">
        <f>I17/I18</f>
        <v>0.06</v>
      </c>
      <c r="L17" s="37" t="s">
        <v>99</v>
      </c>
    </row>
    <row r="18" spans="4:9" ht="13.5" thickTop="1">
      <c r="D18" s="38" t="s">
        <v>190</v>
      </c>
      <c r="I18" s="122">
        <f>'Sellar Clusters'!L26</f>
        <v>200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'Sellar Clusters'!B53</f>
        <v>3</v>
      </c>
      <c r="K20" s="131">
        <f>I20/I21</f>
        <v>0.015</v>
      </c>
      <c r="L20" s="37" t="s">
        <v>99</v>
      </c>
    </row>
    <row r="21" spans="4:9" ht="13.5" thickTop="1">
      <c r="D21" s="38" t="s">
        <v>190</v>
      </c>
      <c r="I21" s="124">
        <f>I18</f>
        <v>200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'Sellar Clusters'!B38</f>
        <v>3</v>
      </c>
      <c r="K23" s="131">
        <f>I23/I24</f>
        <v>0.015</v>
      </c>
      <c r="L23" s="37" t="s">
        <v>99</v>
      </c>
    </row>
    <row r="24" spans="4:9" ht="13.5" thickTop="1">
      <c r="D24" s="38" t="s">
        <v>190</v>
      </c>
      <c r="I24" s="125">
        <f>I18</f>
        <v>200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'Sellar Clusters'!B57</f>
        <v>6</v>
      </c>
      <c r="K26" s="131">
        <f>I26/I27</f>
        <v>0.03</v>
      </c>
      <c r="L26" s="37" t="s">
        <v>99</v>
      </c>
    </row>
    <row r="27" spans="4:9" ht="13.5" thickTop="1">
      <c r="D27" s="38" t="s">
        <v>190</v>
      </c>
      <c r="I27" s="126">
        <f>I18</f>
        <v>200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'Sellar Clusters'!L13*H11</f>
        <v>704528</v>
      </c>
      <c r="K29" s="47">
        <f>I29/I30</f>
        <v>3522.64</v>
      </c>
      <c r="L29" s="37" t="s">
        <v>2</v>
      </c>
    </row>
    <row r="30" spans="4:9" ht="13.5" thickTop="1">
      <c r="D30" s="38" t="s">
        <v>91</v>
      </c>
      <c r="I30" s="130">
        <f>I18</f>
        <v>200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Normal!E20</f>
        <v>+ 0.06</v>
      </c>
      <c r="L35" s="58" t="str">
        <f>Normal!H20</f>
        <v>+ 0.05</v>
      </c>
      <c r="N35" s="56">
        <f>J35+K35+L35</f>
        <v>1.11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32.500800000000005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3910.1304</v>
      </c>
      <c r="E40">
        <f>D40/D41-1</f>
        <v>0.046162984081729475</v>
      </c>
      <c r="F40" t="s">
        <v>99</v>
      </c>
    </row>
    <row r="41" spans="3:4" ht="12.75">
      <c r="C41" s="3" t="s">
        <v>97</v>
      </c>
      <c r="D41" s="3">
        <f>H7*E37</f>
        <v>3737.5920000000006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0.06</v>
      </c>
      <c r="C47" s="66">
        <f>K20</f>
        <v>0.015</v>
      </c>
      <c r="D47" s="3">
        <f>K23</f>
        <v>0.015</v>
      </c>
      <c r="E47" s="3">
        <f>K26</f>
        <v>0.03</v>
      </c>
      <c r="F47">
        <f>E40</f>
        <v>0.046162984081729475</v>
      </c>
    </row>
    <row r="49" spans="1:3" ht="12.75">
      <c r="A49" s="2" t="s">
        <v>52</v>
      </c>
      <c r="B49">
        <f>B47+C47+D47+E47+F47</f>
        <v>0.16616298408172947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32.500800000000005</v>
      </c>
      <c r="F54" s="66">
        <f>B49+1</f>
        <v>1.1661629840817294</v>
      </c>
    </row>
    <row r="56" spans="1:5" ht="12.75">
      <c r="A56" s="2" t="s">
        <v>104</v>
      </c>
      <c r="D56">
        <f>E54*F54</f>
        <v>37.90122991304347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4.874456952165276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55046" r:id="rId1"/>
    <oleObject progId="Equation.3" shapeId="655047" r:id="rId2"/>
  </oleObjects>
</worksheet>
</file>

<file path=xl/worksheets/sheet26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360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50</v>
      </c>
      <c r="D5" s="9"/>
      <c r="E5" s="9"/>
      <c r="F5" s="9"/>
      <c r="G5" s="10" t="s">
        <v>250</v>
      </c>
      <c r="H5" s="209">
        <v>12463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 hidden="1">
      <c r="A7" s="9"/>
      <c r="B7" s="210"/>
      <c r="C7" s="52"/>
      <c r="D7" s="9"/>
      <c r="E7" s="9"/>
      <c r="F7" s="9"/>
      <c r="G7" s="9"/>
      <c r="H7" s="9"/>
      <c r="I7" s="9"/>
      <c r="J7" s="9"/>
      <c r="K7" s="9"/>
      <c r="L7" s="9"/>
    </row>
    <row r="8" spans="1:12" ht="12.75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 t="s">
        <v>183</v>
      </c>
      <c r="C9" s="15">
        <v>193</v>
      </c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170</v>
      </c>
      <c r="B13" s="215">
        <v>39</v>
      </c>
      <c r="C13" s="216">
        <v>37</v>
      </c>
      <c r="D13" s="216">
        <v>36</v>
      </c>
      <c r="E13" s="216">
        <v>39</v>
      </c>
      <c r="F13" s="216">
        <v>42</v>
      </c>
      <c r="G13" s="216">
        <v>41</v>
      </c>
      <c r="H13" s="216"/>
      <c r="I13" s="217"/>
      <c r="J13" s="217"/>
      <c r="K13" s="218"/>
      <c r="L13" s="219">
        <f aca="true" t="shared" si="0" ref="L13:L25">SUM(B13:G13)</f>
        <v>234</v>
      </c>
      <c r="M13" s="95"/>
      <c r="N13" s="98"/>
      <c r="O13" s="95"/>
      <c r="P13" s="98"/>
      <c r="Q13" s="95"/>
    </row>
    <row r="14" spans="1:17" ht="12.75">
      <c r="A14" s="220" t="s">
        <v>201</v>
      </c>
      <c r="B14" s="221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/>
      <c r="I14" s="162"/>
      <c r="J14" s="162"/>
      <c r="K14" s="169"/>
      <c r="L14" s="227">
        <f t="shared" si="0"/>
        <v>0</v>
      </c>
      <c r="M14" s="3"/>
      <c r="N14" s="3"/>
      <c r="O14" s="3"/>
      <c r="P14" s="3"/>
      <c r="Q14" s="3"/>
    </row>
    <row r="15" spans="1:17" ht="12.75">
      <c r="A15" s="220" t="s">
        <v>175</v>
      </c>
      <c r="B15" s="221">
        <v>2</v>
      </c>
      <c r="C15" s="24">
        <v>2</v>
      </c>
      <c r="D15" s="24">
        <v>1</v>
      </c>
      <c r="E15" s="24">
        <v>1</v>
      </c>
      <c r="F15" s="24">
        <v>0</v>
      </c>
      <c r="G15" s="24">
        <v>0</v>
      </c>
      <c r="H15" s="24"/>
      <c r="I15" s="162"/>
      <c r="J15" s="162"/>
      <c r="K15" s="169"/>
      <c r="L15" s="227">
        <f t="shared" si="0"/>
        <v>6</v>
      </c>
      <c r="M15" s="3"/>
      <c r="N15" s="3"/>
      <c r="O15" s="3"/>
      <c r="P15" s="3"/>
      <c r="Q15" s="3"/>
    </row>
    <row r="16" spans="1:17" ht="12.75">
      <c r="A16" s="220" t="s">
        <v>176</v>
      </c>
      <c r="B16" s="221">
        <v>0</v>
      </c>
      <c r="C16" s="24">
        <v>0</v>
      </c>
      <c r="D16" s="24">
        <v>0</v>
      </c>
      <c r="E16" s="24">
        <v>1</v>
      </c>
      <c r="F16" s="24">
        <v>0</v>
      </c>
      <c r="G16" s="24">
        <v>0</v>
      </c>
      <c r="H16" s="24"/>
      <c r="I16" s="162"/>
      <c r="J16" s="162"/>
      <c r="K16" s="169"/>
      <c r="L16" s="227">
        <f t="shared" si="0"/>
        <v>1</v>
      </c>
      <c r="M16" s="3"/>
      <c r="N16" s="3"/>
      <c r="O16" s="3"/>
      <c r="P16" s="3"/>
      <c r="Q16" s="3"/>
    </row>
    <row r="17" spans="1:17" ht="12.75">
      <c r="A17" s="220" t="s">
        <v>177</v>
      </c>
      <c r="B17" s="221">
        <v>1</v>
      </c>
      <c r="C17" s="24">
        <v>1</v>
      </c>
      <c r="D17" s="24">
        <v>1</v>
      </c>
      <c r="E17" s="24">
        <v>1</v>
      </c>
      <c r="F17" s="24">
        <v>0</v>
      </c>
      <c r="G17" s="24">
        <v>0</v>
      </c>
      <c r="H17" s="24"/>
      <c r="I17" s="162"/>
      <c r="J17" s="162"/>
      <c r="K17" s="169"/>
      <c r="L17" s="227">
        <f t="shared" si="0"/>
        <v>4</v>
      </c>
      <c r="M17" s="3"/>
      <c r="N17" s="3"/>
      <c r="O17" s="3"/>
      <c r="P17" s="3"/>
      <c r="Q17" s="3"/>
    </row>
    <row r="18" spans="1:17" ht="12.75">
      <c r="A18" s="220" t="s">
        <v>210</v>
      </c>
      <c r="B18" s="221">
        <v>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/>
      <c r="I18" s="162"/>
      <c r="J18" s="162"/>
      <c r="K18" s="169"/>
      <c r="L18" s="227">
        <f t="shared" si="0"/>
        <v>1</v>
      </c>
      <c r="M18" s="3"/>
      <c r="N18" s="3"/>
      <c r="O18" s="3"/>
      <c r="P18" s="3"/>
      <c r="Q18" s="3"/>
    </row>
    <row r="19" spans="1:17" ht="12.75">
      <c r="A19" s="220" t="s">
        <v>203</v>
      </c>
      <c r="B19" s="221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/>
      <c r="I19" s="162"/>
      <c r="J19" s="162"/>
      <c r="K19" s="169"/>
      <c r="L19" s="227">
        <f t="shared" si="0"/>
        <v>0</v>
      </c>
      <c r="M19" s="3"/>
      <c r="N19" s="3"/>
      <c r="O19" s="3"/>
      <c r="P19" s="3"/>
      <c r="Q19" s="3"/>
    </row>
    <row r="20" spans="1:17" ht="12.75">
      <c r="A20" s="220" t="s">
        <v>178</v>
      </c>
      <c r="B20" s="221">
        <v>1</v>
      </c>
      <c r="C20" s="24">
        <v>0</v>
      </c>
      <c r="D20" s="24">
        <v>1</v>
      </c>
      <c r="E20" s="24">
        <v>1</v>
      </c>
      <c r="F20" s="24">
        <v>0</v>
      </c>
      <c r="G20" s="24">
        <v>0</v>
      </c>
      <c r="H20" s="24"/>
      <c r="I20" s="162"/>
      <c r="J20" s="162"/>
      <c r="K20" s="169"/>
      <c r="L20" s="227">
        <f t="shared" si="0"/>
        <v>3</v>
      </c>
      <c r="M20" s="3"/>
      <c r="N20" s="3"/>
      <c r="O20" s="3"/>
      <c r="P20" s="3"/>
      <c r="Q20" s="3"/>
    </row>
    <row r="21" spans="1:17" ht="12.75">
      <c r="A21" s="220" t="s">
        <v>179</v>
      </c>
      <c r="B21" s="221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/>
      <c r="I21" s="162"/>
      <c r="J21" s="162"/>
      <c r="K21" s="169"/>
      <c r="L21" s="227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180</v>
      </c>
      <c r="B22" s="221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/>
      <c r="I22" s="162"/>
      <c r="J22" s="162"/>
      <c r="K22" s="169"/>
      <c r="L22" s="227">
        <f t="shared" si="0"/>
        <v>0</v>
      </c>
      <c r="M22" s="3"/>
      <c r="N22" s="3"/>
      <c r="O22" s="3"/>
      <c r="P22" s="3"/>
      <c r="Q22" s="3"/>
    </row>
    <row r="23" spans="1:17" ht="12.75">
      <c r="A23" s="220" t="s">
        <v>195</v>
      </c>
      <c r="B23" s="221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/>
      <c r="I23" s="162"/>
      <c r="J23" s="162"/>
      <c r="K23" s="169"/>
      <c r="L23" s="227">
        <f t="shared" si="0"/>
        <v>0</v>
      </c>
      <c r="M23" s="3"/>
      <c r="N23" s="3"/>
      <c r="O23" s="3"/>
      <c r="P23" s="3"/>
      <c r="Q23" s="3"/>
    </row>
    <row r="24" spans="1:17" ht="12.75">
      <c r="A24" s="229" t="s">
        <v>182</v>
      </c>
      <c r="B24" s="230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/>
      <c r="I24" s="152"/>
      <c r="J24" s="152"/>
      <c r="K24" s="231"/>
      <c r="L24" s="227">
        <f t="shared" si="0"/>
        <v>0</v>
      </c>
      <c r="M24" s="3"/>
      <c r="N24" s="3"/>
      <c r="O24" s="3"/>
      <c r="P24" s="3"/>
      <c r="Q24" s="3"/>
    </row>
    <row r="25" spans="1:17" ht="13.5" thickBot="1">
      <c r="A25" s="233" t="s">
        <v>208</v>
      </c>
      <c r="B25" s="234">
        <v>0</v>
      </c>
      <c r="C25" s="235">
        <v>0</v>
      </c>
      <c r="D25" s="235">
        <v>0</v>
      </c>
      <c r="E25" s="235">
        <v>0</v>
      </c>
      <c r="F25" s="235">
        <v>0</v>
      </c>
      <c r="G25" s="235">
        <v>0</v>
      </c>
      <c r="H25" s="235"/>
      <c r="I25" s="236"/>
      <c r="J25" s="236"/>
      <c r="K25" s="237"/>
      <c r="L25" s="238">
        <f t="shared" si="0"/>
        <v>0</v>
      </c>
      <c r="M25" s="3"/>
      <c r="N25" s="3"/>
      <c r="O25" s="3"/>
      <c r="P25" s="3"/>
      <c r="Q25" s="3"/>
    </row>
    <row r="26" spans="1:17" ht="13.5" thickBot="1">
      <c r="A26" s="239" t="s">
        <v>186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40">
        <f>SUM(L13:L25)</f>
        <v>249</v>
      </c>
      <c r="M26" s="3"/>
      <c r="N26" s="3"/>
      <c r="O26" s="3"/>
      <c r="P26" s="3"/>
      <c r="Q26" s="3"/>
    </row>
    <row r="27" spans="1:17" ht="12.75">
      <c r="A27" s="241"/>
      <c r="B27" s="52"/>
      <c r="C27" s="52"/>
      <c r="D27" s="52"/>
      <c r="E27" s="52"/>
      <c r="F27" s="52"/>
      <c r="G27" s="52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41"/>
      <c r="B29" s="202" t="s">
        <v>189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2" t="s">
        <v>188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3.5" thickBot="1">
      <c r="A31" s="241" t="s">
        <v>170</v>
      </c>
      <c r="B31" s="14">
        <f>L13</f>
        <v>234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 t="s">
        <v>63</v>
      </c>
      <c r="B32" s="240">
        <f>SUM(B31:B31)</f>
        <v>234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42" t="s">
        <v>164</v>
      </c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1" t="s">
        <v>175</v>
      </c>
      <c r="B35" s="14">
        <f>L15</f>
        <v>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208</v>
      </c>
      <c r="B36" s="243">
        <f>L25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41" t="s">
        <v>178</v>
      </c>
      <c r="B37" s="14">
        <f>L20</f>
        <v>3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63</v>
      </c>
      <c r="B38" s="240">
        <f>SUM(B35:B37)</f>
        <v>9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2" t="s">
        <v>162</v>
      </c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1" t="s">
        <v>201</v>
      </c>
      <c r="B41" s="14">
        <f>L14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179</v>
      </c>
      <c r="B42" s="14">
        <f>L21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180</v>
      </c>
      <c r="B43" s="243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195</v>
      </c>
      <c r="B44" s="243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thickBot="1">
      <c r="A45" s="241" t="s">
        <v>210</v>
      </c>
      <c r="B45" s="243">
        <f>L18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63</v>
      </c>
      <c r="B46" s="240">
        <f>SUM(B41:B45)</f>
        <v>1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42" t="s">
        <v>163</v>
      </c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1" t="s">
        <v>177</v>
      </c>
      <c r="B49" s="243">
        <f>L17</f>
        <v>4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 t="s">
        <v>204</v>
      </c>
      <c r="B50" s="243">
        <f>L19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thickBot="1">
      <c r="A51" s="241" t="s">
        <v>182</v>
      </c>
      <c r="B51" s="243">
        <f>L24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41" t="s">
        <v>63</v>
      </c>
      <c r="B52" s="244">
        <f>SUM(B49:B51)</f>
        <v>4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2" t="s">
        <v>165</v>
      </c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 t="s">
        <v>176</v>
      </c>
      <c r="B55" s="243">
        <f>L16</f>
        <v>1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SUM(B55:B55)</f>
        <v>1</v>
      </c>
      <c r="C56" s="9"/>
      <c r="D56" s="9"/>
      <c r="E56" s="251"/>
      <c r="F56" s="9"/>
      <c r="G56" s="9"/>
      <c r="H56" s="9"/>
      <c r="I56" s="9"/>
      <c r="J56" s="9"/>
      <c r="K56" s="9"/>
      <c r="L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8">
      <selection activeCell="N14" sqref="N14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58.01</v>
      </c>
      <c r="D7" s="3" t="s">
        <v>2</v>
      </c>
      <c r="F7" s="2" t="s">
        <v>7</v>
      </c>
      <c r="H7" s="47">
        <v>193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'Embalar Cajas'!L13</f>
        <v>234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12463</v>
      </c>
      <c r="I11" t="s">
        <v>294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'Embalar Cajas'!B46</f>
        <v>1</v>
      </c>
      <c r="K17" s="131">
        <f>I17/I18</f>
        <v>0.004016064257028112</v>
      </c>
      <c r="L17" s="37" t="s">
        <v>99</v>
      </c>
    </row>
    <row r="18" spans="4:9" ht="13.5" thickTop="1">
      <c r="D18" s="38" t="s">
        <v>190</v>
      </c>
      <c r="I18" s="122">
        <f>'Embalar Cajas'!L26</f>
        <v>249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'Embalar Cajas'!B52</f>
        <v>4</v>
      </c>
      <c r="K20" s="131">
        <f>I20/I21</f>
        <v>0.01606425702811245</v>
      </c>
      <c r="L20" s="37" t="s">
        <v>99</v>
      </c>
    </row>
    <row r="21" spans="4:9" ht="13.5" thickTop="1">
      <c r="D21" s="38" t="s">
        <v>190</v>
      </c>
      <c r="I21" s="124">
        <f>I18</f>
        <v>249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'Embalar Cajas'!B38</f>
        <v>9</v>
      </c>
      <c r="K23" s="131">
        <f>I23/I24</f>
        <v>0.03614457831325301</v>
      </c>
      <c r="L23" s="37" t="s">
        <v>99</v>
      </c>
    </row>
    <row r="24" spans="4:9" ht="13.5" thickTop="1">
      <c r="D24" s="38" t="s">
        <v>190</v>
      </c>
      <c r="I24" s="125">
        <f>I18</f>
        <v>249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'Embalar Cajas'!B56</f>
        <v>1</v>
      </c>
      <c r="K26" s="131">
        <f>I26/I27</f>
        <v>0.004016064257028112</v>
      </c>
      <c r="L26" s="37" t="s">
        <v>99</v>
      </c>
    </row>
    <row r="27" spans="4:9" ht="13.5" thickTop="1">
      <c r="D27" s="38" t="s">
        <v>190</v>
      </c>
      <c r="I27" s="126">
        <f>I18</f>
        <v>249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'Embalar Cajas'!L13*H11</f>
        <v>2916342</v>
      </c>
      <c r="K29" s="47">
        <f>I29/I30</f>
        <v>11712.216867469879</v>
      </c>
      <c r="L29" s="37" t="s">
        <v>2</v>
      </c>
    </row>
    <row r="30" spans="4:9" ht="13.5" thickTop="1">
      <c r="D30" s="38" t="s">
        <v>91</v>
      </c>
      <c r="I30" s="130">
        <f>I18</f>
        <v>249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Normal!E21</f>
        <v>+ 0.08</v>
      </c>
      <c r="L35" s="58" t="str">
        <f>Normal!H21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67.2916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13586.17156626506</v>
      </c>
      <c r="E40">
        <f>D40/D41-1</f>
        <v>0.0461137991636138</v>
      </c>
      <c r="F40" t="s">
        <v>99</v>
      </c>
    </row>
    <row r="41" spans="3:4" ht="12.75">
      <c r="C41" s="3" t="s">
        <v>97</v>
      </c>
      <c r="D41" s="3">
        <f>H7*E37</f>
        <v>12987.2788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0.004016064257028112</v>
      </c>
      <c r="C47" s="66">
        <f>K20</f>
        <v>0.01606425702811245</v>
      </c>
      <c r="D47" s="3">
        <f>K23</f>
        <v>0.03614457831325301</v>
      </c>
      <c r="E47" s="3">
        <f>K26</f>
        <v>0.004016064257028112</v>
      </c>
      <c r="F47">
        <f>E40</f>
        <v>0.0461137991636138</v>
      </c>
    </row>
    <row r="49" spans="1:3" ht="12.75">
      <c r="A49" s="2" t="s">
        <v>52</v>
      </c>
      <c r="B49">
        <f>B47+C47+D47+E47+F47</f>
        <v>0.10635476301903549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67.2916</v>
      </c>
      <c r="F54" s="66">
        <f>B49+1</f>
        <v>1.1063547630190356</v>
      </c>
    </row>
    <row r="56" spans="1:5" ht="12.75">
      <c r="A56" s="2" t="s">
        <v>104</v>
      </c>
      <c r="D56">
        <f>E54*F54</f>
        <v>74.44838217117173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4.7495535006666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1681917" r:id="rId1"/>
    <oleObject progId="Equation.3" shapeId="1681918" r:id="rId2"/>
  </oleObjects>
</worksheet>
</file>

<file path=xl/worksheets/sheet2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361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3</v>
      </c>
      <c r="D5" s="9"/>
      <c r="E5" s="9"/>
      <c r="F5" s="9"/>
      <c r="G5" s="10" t="s">
        <v>250</v>
      </c>
      <c r="H5" s="209">
        <v>1105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185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296</v>
      </c>
      <c r="B13" s="215">
        <v>217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7">SUM(B13)</f>
        <v>217</v>
      </c>
      <c r="M13" s="95"/>
      <c r="N13" s="98"/>
      <c r="O13" s="95"/>
      <c r="P13" s="98"/>
      <c r="Q13" s="95"/>
    </row>
    <row r="14" spans="1:17" ht="12.75">
      <c r="A14" s="245" t="s">
        <v>206</v>
      </c>
      <c r="B14" s="246">
        <v>96</v>
      </c>
      <c r="C14" s="22"/>
      <c r="D14" s="22"/>
      <c r="E14" s="22"/>
      <c r="F14" s="22"/>
      <c r="G14" s="22"/>
      <c r="H14" s="22"/>
      <c r="I14" s="154"/>
      <c r="J14" s="154"/>
      <c r="K14" s="247"/>
      <c r="L14" s="250">
        <f t="shared" si="0"/>
        <v>96</v>
      </c>
      <c r="M14" s="95"/>
      <c r="N14" s="98"/>
      <c r="O14" s="95"/>
      <c r="P14" s="98"/>
      <c r="Q14" s="95"/>
    </row>
    <row r="15" spans="1:17" ht="12.75">
      <c r="A15" s="220" t="s">
        <v>297</v>
      </c>
      <c r="B15" s="221">
        <v>50</v>
      </c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50</v>
      </c>
      <c r="M15" s="3"/>
      <c r="N15" s="3"/>
      <c r="O15" s="3"/>
      <c r="P15" s="3"/>
      <c r="Q15" s="3"/>
    </row>
    <row r="16" spans="1:17" ht="12.75">
      <c r="A16" s="220" t="s">
        <v>175</v>
      </c>
      <c r="B16" s="221">
        <v>0</v>
      </c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207</v>
      </c>
      <c r="B17" s="221">
        <v>3</v>
      </c>
      <c r="C17" s="24"/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3</v>
      </c>
      <c r="M17" s="3"/>
      <c r="N17" s="3"/>
      <c r="O17" s="3"/>
      <c r="P17" s="3"/>
      <c r="Q17" s="3"/>
    </row>
    <row r="18" spans="1:17" ht="12.75">
      <c r="A18" s="220" t="s">
        <v>176</v>
      </c>
      <c r="B18" s="221">
        <v>0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0</v>
      </c>
      <c r="M18" s="3"/>
      <c r="N18" s="3"/>
      <c r="O18" s="3"/>
      <c r="P18" s="3"/>
      <c r="Q18" s="3"/>
    </row>
    <row r="19" spans="1:17" ht="12.75">
      <c r="A19" s="220" t="s">
        <v>177</v>
      </c>
      <c r="B19" s="221">
        <v>1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1</v>
      </c>
      <c r="M19" s="3"/>
      <c r="N19" s="3"/>
      <c r="O19" s="3"/>
      <c r="P19" s="3"/>
      <c r="Q19" s="3"/>
    </row>
    <row r="20" spans="1:17" ht="12.75">
      <c r="A20" s="220" t="s">
        <v>200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203</v>
      </c>
      <c r="B21" s="221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8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178</v>
      </c>
      <c r="B22" s="221">
        <v>1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1</v>
      </c>
      <c r="M22" s="3"/>
      <c r="N22" s="3"/>
      <c r="O22" s="3"/>
      <c r="P22" s="3"/>
      <c r="Q22" s="3"/>
    </row>
    <row r="23" spans="1:17" ht="12.75">
      <c r="A23" s="220" t="s">
        <v>179</v>
      </c>
      <c r="B23" s="221">
        <v>0</v>
      </c>
      <c r="C23" s="24"/>
      <c r="D23" s="24"/>
      <c r="E23" s="24"/>
      <c r="F23" s="24"/>
      <c r="G23" s="24"/>
      <c r="H23" s="24"/>
      <c r="I23" s="162"/>
      <c r="J23" s="162"/>
      <c r="K23" s="169"/>
      <c r="L23" s="227">
        <f t="shared" si="0"/>
        <v>0</v>
      </c>
      <c r="M23" s="3"/>
      <c r="N23" s="3"/>
      <c r="O23" s="3"/>
      <c r="P23" s="3"/>
      <c r="Q23" s="3"/>
    </row>
    <row r="24" spans="1:17" ht="12.75">
      <c r="A24" s="220" t="s">
        <v>180</v>
      </c>
      <c r="B24" s="221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3"/>
      <c r="P24" s="3"/>
      <c r="Q24" s="3"/>
    </row>
    <row r="25" spans="1:17" ht="12.75">
      <c r="A25" s="220" t="s">
        <v>195</v>
      </c>
      <c r="B25" s="221">
        <v>0</v>
      </c>
      <c r="C25" s="24"/>
      <c r="D25" s="24"/>
      <c r="E25" s="24"/>
      <c r="F25" s="24"/>
      <c r="G25" s="24"/>
      <c r="H25" s="24"/>
      <c r="I25" s="162"/>
      <c r="J25" s="162"/>
      <c r="K25" s="169"/>
      <c r="L25" s="228">
        <f t="shared" si="0"/>
        <v>0</v>
      </c>
      <c r="M25" s="3"/>
      <c r="N25" s="3"/>
      <c r="O25" s="3"/>
      <c r="P25" s="3"/>
      <c r="Q25" s="3"/>
    </row>
    <row r="26" spans="1:17" ht="12.75">
      <c r="A26" s="229" t="s">
        <v>182</v>
      </c>
      <c r="B26" s="230">
        <v>0</v>
      </c>
      <c r="C26" s="21"/>
      <c r="D26" s="21"/>
      <c r="E26" s="21"/>
      <c r="F26" s="21"/>
      <c r="G26" s="21"/>
      <c r="H26" s="21"/>
      <c r="I26" s="152"/>
      <c r="J26" s="152"/>
      <c r="K26" s="231"/>
      <c r="L26" s="232">
        <f t="shared" si="0"/>
        <v>0</v>
      </c>
      <c r="M26" s="3"/>
      <c r="N26" s="3"/>
      <c r="O26" s="3"/>
      <c r="P26" s="3"/>
      <c r="Q26" s="3"/>
    </row>
    <row r="27" spans="1:17" ht="13.5" thickBot="1">
      <c r="A27" s="233" t="s">
        <v>208</v>
      </c>
      <c r="B27" s="234">
        <v>0</v>
      </c>
      <c r="C27" s="235"/>
      <c r="D27" s="235"/>
      <c r="E27" s="235"/>
      <c r="F27" s="235"/>
      <c r="G27" s="235"/>
      <c r="H27" s="235"/>
      <c r="I27" s="236"/>
      <c r="J27" s="236"/>
      <c r="K27" s="237"/>
      <c r="L27" s="238">
        <f t="shared" si="0"/>
        <v>0</v>
      </c>
      <c r="M27" s="3"/>
      <c r="N27" s="3"/>
      <c r="O27" s="3"/>
      <c r="P27" s="3"/>
      <c r="Q27" s="3"/>
    </row>
    <row r="28" spans="1:17" ht="13.5" thickBot="1">
      <c r="A28" s="239" t="s">
        <v>186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40">
        <f>SUM(L13:L27)</f>
        <v>368</v>
      </c>
      <c r="M28" s="3"/>
      <c r="N28" s="3"/>
      <c r="O28" s="3"/>
      <c r="P28" s="3"/>
      <c r="Q28" s="3"/>
    </row>
    <row r="29" spans="1:17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4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/>
      <c r="B31" s="202" t="s">
        <v>189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188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296</v>
      </c>
      <c r="B33" s="14">
        <f>L13</f>
        <v>217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41" t="s">
        <v>206</v>
      </c>
      <c r="B34" s="14">
        <f>L14</f>
        <v>96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41" t="s">
        <v>63</v>
      </c>
      <c r="B35" s="240">
        <f>SUM(B33:B34)</f>
        <v>313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2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 t="s">
        <v>175</v>
      </c>
      <c r="B38" s="14">
        <f>L16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 t="s">
        <v>208</v>
      </c>
      <c r="B39" s="243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41" t="s">
        <v>178</v>
      </c>
      <c r="B40" s="14">
        <f>L22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41" t="s">
        <v>63</v>
      </c>
      <c r="B41" s="240">
        <f>SUM(B38:B40)</f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2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297</v>
      </c>
      <c r="B44" s="14">
        <f>+L15</f>
        <v>50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179</v>
      </c>
      <c r="B45" s="14">
        <f>L23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180</v>
      </c>
      <c r="B46" s="243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195</v>
      </c>
      <c r="B47" s="243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200</v>
      </c>
      <c r="B48" s="243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63</v>
      </c>
      <c r="B49" s="240">
        <f>SUM(B44:B48)</f>
        <v>50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2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177</v>
      </c>
      <c r="B52" s="243">
        <f>L19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41" t="s">
        <v>204</v>
      </c>
      <c r="B53" s="243">
        <f>L21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1" t="s">
        <v>182</v>
      </c>
      <c r="B54" s="243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 t="s">
        <v>207</v>
      </c>
      <c r="B55" s="243">
        <f>L17</f>
        <v>3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SUM(B52:B55)</f>
        <v>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42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41" t="s">
        <v>176</v>
      </c>
      <c r="B59" s="243">
        <f>L18</f>
        <v>0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41" t="s">
        <v>63</v>
      </c>
      <c r="B60" s="244">
        <f>SUM(B59:B59)</f>
        <v>0</v>
      </c>
      <c r="C60" s="9"/>
      <c r="D60" s="9"/>
      <c r="E60" s="251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A37">
      <selection activeCell="A17" sqref="A17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78"/>
    </row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4.2578</v>
      </c>
      <c r="D7" s="3" t="s">
        <v>2</v>
      </c>
      <c r="F7" s="2" t="s">
        <v>7</v>
      </c>
      <c r="H7" s="47">
        <v>185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+'Re-Pesado cajas'!L13+'Re-Pesado cajas'!L14</f>
        <v>313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1105</v>
      </c>
      <c r="I11" t="s">
        <v>294</v>
      </c>
    </row>
    <row r="12" ht="12.75">
      <c r="A12" s="2" t="s">
        <v>10</v>
      </c>
    </row>
    <row r="13" ht="12.75">
      <c r="D13" s="177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+'Re-Pesado cajas'!B49</f>
        <v>50</v>
      </c>
      <c r="K17" s="131">
        <f>I17/I18</f>
        <v>0.1358695652173913</v>
      </c>
      <c r="L17" s="37" t="s">
        <v>99</v>
      </c>
    </row>
    <row r="18" spans="4:9" ht="13.5" thickTop="1">
      <c r="D18" s="38" t="s">
        <v>190</v>
      </c>
      <c r="I18" s="122">
        <f>+'Re-Pesado cajas'!L28</f>
        <v>368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+'Re-Pesado cajas'!B56</f>
        <v>4</v>
      </c>
      <c r="K20" s="131">
        <f>I20/I21</f>
        <v>0.010869565217391304</v>
      </c>
      <c r="L20" s="37" t="s">
        <v>99</v>
      </c>
    </row>
    <row r="21" spans="4:9" ht="13.5" thickTop="1">
      <c r="D21" s="38" t="s">
        <v>190</v>
      </c>
      <c r="I21" s="124">
        <f>I18</f>
        <v>368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+'Re-Pesado cajas'!B41</f>
        <v>1</v>
      </c>
      <c r="K23" s="131">
        <f>I23/I24</f>
        <v>0.002717391304347826</v>
      </c>
      <c r="L23" s="37" t="s">
        <v>99</v>
      </c>
    </row>
    <row r="24" spans="4:9" ht="13.5" thickTop="1">
      <c r="D24" s="38" t="s">
        <v>190</v>
      </c>
      <c r="I24" s="125">
        <f>I18</f>
        <v>368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+'Re-Pesado cajas'!B60</f>
        <v>0</v>
      </c>
      <c r="K26" s="131">
        <f>I26/I27</f>
        <v>0</v>
      </c>
      <c r="L26" s="37" t="s">
        <v>99</v>
      </c>
    </row>
    <row r="27" spans="4:9" ht="13.5" thickTop="1">
      <c r="D27" s="38" t="s">
        <v>190</v>
      </c>
      <c r="I27" s="126">
        <f>I18</f>
        <v>368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SUM('Re-Pesado cajas'!L13,'Re-Pesado cajas'!L14)*H11</f>
        <v>345865</v>
      </c>
      <c r="K29" s="47">
        <f>I29/I30</f>
        <v>939.8505434782609</v>
      </c>
      <c r="L29" s="37" t="s">
        <v>2</v>
      </c>
    </row>
    <row r="30" spans="4:9" ht="13.5" thickTop="1">
      <c r="D30" s="38" t="s">
        <v>91</v>
      </c>
      <c r="I30" s="130">
        <f>I18</f>
        <v>368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+Normal!E22</f>
        <v>+ 0.08</v>
      </c>
      <c r="L35" s="58" t="str">
        <f>Normal!H18</f>
        <v>+ 0.05</v>
      </c>
      <c r="N35" s="56">
        <f>J35+K35+L35</f>
        <v>1.1300000000000001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4.811314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1062.0311141304348</v>
      </c>
      <c r="E40">
        <f>D40/D41-1</f>
        <v>0.1931685865918078</v>
      </c>
      <c r="F40" t="s">
        <v>99</v>
      </c>
    </row>
    <row r="41" spans="3:4" ht="12.75">
      <c r="C41" s="3" t="s">
        <v>97</v>
      </c>
      <c r="D41" s="3">
        <f>H7*E37</f>
        <v>890.0930900000001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0.1358695652173913</v>
      </c>
      <c r="C47" s="66">
        <f>K20</f>
        <v>0.010869565217391304</v>
      </c>
      <c r="D47" s="3">
        <f>K23</f>
        <v>0.002717391304347826</v>
      </c>
      <c r="E47" s="3">
        <f>K26</f>
        <v>0</v>
      </c>
      <c r="F47">
        <f>E40</f>
        <v>0.1931685865918078</v>
      </c>
    </row>
    <row r="49" spans="1:3" ht="12.75">
      <c r="A49" s="2" t="s">
        <v>52</v>
      </c>
      <c r="B49">
        <f>B47+C47+D47+E47+F47</f>
        <v>0.34262510833093823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4.811314</v>
      </c>
      <c r="F54" s="66">
        <f>B49+1</f>
        <v>1.3426251083309382</v>
      </c>
    </row>
    <row r="56" spans="1:5" ht="12.75">
      <c r="A56" s="2" t="s">
        <v>104</v>
      </c>
      <c r="D56">
        <f>E54*F54</f>
        <v>6.45979098046416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3.4764141875362156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1872518" r:id="rId1"/>
    <oleObject progId="Equation.3" shapeId="187251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1">
      <selection activeCell="A5" sqref="A5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10" ht="13.5" thickBot="1">
      <c r="A7" s="2" t="s">
        <v>1</v>
      </c>
      <c r="B7" t="s">
        <v>3</v>
      </c>
      <c r="C7" s="165">
        <v>23.758133333333337</v>
      </c>
      <c r="D7" s="3" t="s">
        <v>2</v>
      </c>
      <c r="F7" s="2" t="s">
        <v>7</v>
      </c>
      <c r="H7" s="47">
        <v>250</v>
      </c>
      <c r="I7" s="37" t="s">
        <v>284</v>
      </c>
      <c r="J7" t="s">
        <v>285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'Retiro daipas'!L15</f>
        <v>311</v>
      </c>
      <c r="I9" t="s">
        <v>284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165">
        <v>6521</v>
      </c>
      <c r="I11" t="s">
        <v>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'Retiro daipas'!B46</f>
        <v>4</v>
      </c>
      <c r="K17" s="131">
        <f>I17/I18</f>
        <v>0.012269938650306749</v>
      </c>
      <c r="L17" s="37" t="s">
        <v>99</v>
      </c>
    </row>
    <row r="18" spans="4:9" ht="13.5" thickTop="1">
      <c r="D18" s="38" t="s">
        <v>251</v>
      </c>
      <c r="I18" s="122">
        <f>'Retiro daipas'!L27</f>
        <v>326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'Retiro daipas'!B52</f>
        <v>5</v>
      </c>
      <c r="K20" s="131">
        <f>I20/I21</f>
        <v>0.015337423312883436</v>
      </c>
      <c r="L20" s="37" t="s">
        <v>99</v>
      </c>
    </row>
    <row r="21" spans="4:9" ht="13.5" thickTop="1">
      <c r="D21" s="38" t="s">
        <v>251</v>
      </c>
      <c r="I21" s="124">
        <f>I18</f>
        <v>326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'Retiro daipas'!B39</f>
        <v>0</v>
      </c>
      <c r="K23" s="131">
        <f>I23/I24</f>
        <v>0</v>
      </c>
      <c r="L23" s="37" t="s">
        <v>99</v>
      </c>
    </row>
    <row r="24" spans="4:9" ht="13.5" thickTop="1">
      <c r="D24" s="38" t="s">
        <v>251</v>
      </c>
      <c r="I24" s="125">
        <f>I18</f>
        <v>326</v>
      </c>
    </row>
    <row r="25" ht="13.5" thickBot="1"/>
    <row r="26" spans="1:14" ht="13.5" thickBot="1">
      <c r="A26" s="2" t="s">
        <v>78</v>
      </c>
      <c r="D26" s="32" t="s">
        <v>86</v>
      </c>
      <c r="E26" s="31"/>
      <c r="F26" s="31"/>
      <c r="G26" s="31"/>
      <c r="I26" s="128">
        <f>'Retiro daipas'!B56</f>
        <v>8</v>
      </c>
      <c r="K26" s="131">
        <f>I26/I27</f>
        <v>0.024539877300613498</v>
      </c>
      <c r="L26" s="37" t="s">
        <v>99</v>
      </c>
      <c r="N26" s="163">
        <f>K17+K20+K23+K26</f>
        <v>0.052147239263803685</v>
      </c>
    </row>
    <row r="27" spans="4:9" ht="13.5" thickTop="1">
      <c r="D27" s="38" t="s">
        <v>251</v>
      </c>
      <c r="I27" s="126">
        <f>I18</f>
        <v>326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'Retiro daipas'!L15*H11</f>
        <v>2028031</v>
      </c>
      <c r="K29" s="165">
        <f>I29/I30</f>
        <v>6220.953987730061</v>
      </c>
      <c r="L29" s="37" t="s">
        <v>2</v>
      </c>
    </row>
    <row r="30" spans="4:9" ht="13.5" thickTop="1">
      <c r="D30" s="38" t="s">
        <v>251</v>
      </c>
      <c r="I30" s="130">
        <f>I18</f>
        <v>326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Normal!E9</f>
        <v>+ 0.03</v>
      </c>
      <c r="L35" s="58" t="str">
        <f>Normal!H9</f>
        <v>+ 0.02</v>
      </c>
      <c r="N35" s="56">
        <f>J35+K35+L35</f>
        <v>1.05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24.946040000000004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6532.001687116564</v>
      </c>
      <c r="E40">
        <f>D40/D41-1</f>
        <v>0.04738093695296941</v>
      </c>
      <c r="F40" t="s">
        <v>99</v>
      </c>
    </row>
    <row r="41" spans="3:4" ht="12.75">
      <c r="C41" s="3" t="s">
        <v>97</v>
      </c>
      <c r="D41" s="3">
        <f>H7*E37</f>
        <v>6236.510000000001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0.012269938650306749</v>
      </c>
      <c r="C47" s="66">
        <f>K20</f>
        <v>0.015337423312883436</v>
      </c>
      <c r="D47" s="3">
        <f>K23</f>
        <v>0</v>
      </c>
      <c r="E47" s="3">
        <f>K26</f>
        <v>0.024539877300613498</v>
      </c>
      <c r="F47">
        <f>E40</f>
        <v>0.04738093695296941</v>
      </c>
    </row>
    <row r="49" spans="1:3" ht="12.75">
      <c r="A49" s="2" t="s">
        <v>52</v>
      </c>
      <c r="B49">
        <f>B47+C47+D47+E47+F47</f>
        <v>0.0995281762167731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24.946040000000004</v>
      </c>
      <c r="F54" s="66">
        <f>B49+1</f>
        <v>1.099528176216773</v>
      </c>
    </row>
    <row r="56" spans="1:5" ht="12.75">
      <c r="A56" s="2" t="s">
        <v>104</v>
      </c>
      <c r="D56">
        <f>E54*F54</f>
        <v>27.42887386503067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4.067238148126533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09754" r:id="rId1"/>
    <oleObject progId="Equation.3" shapeId="609755" r:id="rId2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362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5</v>
      </c>
      <c r="D5" s="9"/>
      <c r="E5" s="9"/>
      <c r="F5" s="9"/>
      <c r="G5" s="10" t="s">
        <v>250</v>
      </c>
      <c r="H5" s="209">
        <v>1545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160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298</v>
      </c>
      <c r="B13" s="215">
        <v>237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7">SUM(B13)</f>
        <v>237</v>
      </c>
      <c r="M13" s="95"/>
      <c r="N13" s="98"/>
      <c r="O13" s="95"/>
      <c r="P13" s="98"/>
      <c r="Q13" s="95"/>
    </row>
    <row r="14" spans="1:17" ht="12.75" hidden="1">
      <c r="A14" s="245"/>
      <c r="B14" s="246"/>
      <c r="C14" s="22"/>
      <c r="D14" s="22"/>
      <c r="E14" s="22"/>
      <c r="F14" s="22"/>
      <c r="G14" s="22"/>
      <c r="H14" s="22"/>
      <c r="I14" s="154"/>
      <c r="J14" s="154"/>
      <c r="K14" s="247"/>
      <c r="L14" s="250">
        <f t="shared" si="0"/>
        <v>0</v>
      </c>
      <c r="M14" s="95"/>
      <c r="N14" s="98"/>
      <c r="O14" s="95"/>
      <c r="P14" s="98"/>
      <c r="Q14" s="95"/>
    </row>
    <row r="15" spans="1:17" ht="12.75">
      <c r="A15" s="220" t="s">
        <v>297</v>
      </c>
      <c r="B15" s="221">
        <v>65</v>
      </c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65</v>
      </c>
      <c r="M15" s="3"/>
      <c r="N15" s="3"/>
      <c r="O15" s="3"/>
      <c r="P15" s="3"/>
      <c r="Q15" s="3"/>
    </row>
    <row r="16" spans="1:17" ht="12.75">
      <c r="A16" s="220" t="s">
        <v>175</v>
      </c>
      <c r="B16" s="221">
        <v>0</v>
      </c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 hidden="1">
      <c r="A17" s="220"/>
      <c r="B17" s="221"/>
      <c r="C17" s="24"/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3"/>
      <c r="O17" s="3"/>
      <c r="P17" s="3"/>
      <c r="Q17" s="3"/>
    </row>
    <row r="18" spans="1:17" ht="12.75">
      <c r="A18" s="220" t="s">
        <v>176</v>
      </c>
      <c r="B18" s="221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1</v>
      </c>
      <c r="M18" s="3"/>
      <c r="N18" s="3"/>
      <c r="O18" s="3"/>
      <c r="P18" s="3"/>
      <c r="Q18" s="3"/>
    </row>
    <row r="19" spans="1:17" ht="12.75">
      <c r="A19" s="220" t="s">
        <v>177</v>
      </c>
      <c r="B19" s="221">
        <v>2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2</v>
      </c>
      <c r="M19" s="3"/>
      <c r="N19" s="3"/>
      <c r="O19" s="3"/>
      <c r="P19" s="3"/>
      <c r="Q19" s="3"/>
    </row>
    <row r="20" spans="1:17" ht="12.75">
      <c r="A20" s="220" t="s">
        <v>200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203</v>
      </c>
      <c r="B21" s="221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8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178</v>
      </c>
      <c r="B22" s="221">
        <v>2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2</v>
      </c>
      <c r="M22" s="3"/>
      <c r="N22" s="3"/>
      <c r="O22" s="3"/>
      <c r="P22" s="3"/>
      <c r="Q22" s="3"/>
    </row>
    <row r="23" spans="1:17" ht="12.75">
      <c r="A23" s="220" t="s">
        <v>179</v>
      </c>
      <c r="B23" s="221">
        <v>2</v>
      </c>
      <c r="C23" s="24"/>
      <c r="D23" s="24"/>
      <c r="E23" s="24"/>
      <c r="F23" s="24"/>
      <c r="G23" s="24"/>
      <c r="H23" s="24"/>
      <c r="I23" s="162"/>
      <c r="J23" s="162"/>
      <c r="K23" s="169"/>
      <c r="L23" s="227">
        <f t="shared" si="0"/>
        <v>2</v>
      </c>
      <c r="M23" s="3"/>
      <c r="N23" s="3"/>
      <c r="O23" s="3"/>
      <c r="P23" s="3"/>
      <c r="Q23" s="3"/>
    </row>
    <row r="24" spans="1:17" ht="12.75">
      <c r="A24" s="220" t="s">
        <v>180</v>
      </c>
      <c r="B24" s="221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3"/>
      <c r="P24" s="3"/>
      <c r="Q24" s="3"/>
    </row>
    <row r="25" spans="1:17" ht="12.75">
      <c r="A25" s="220" t="s">
        <v>195</v>
      </c>
      <c r="B25" s="221">
        <v>0</v>
      </c>
      <c r="C25" s="24"/>
      <c r="D25" s="24"/>
      <c r="E25" s="24"/>
      <c r="F25" s="24"/>
      <c r="G25" s="24"/>
      <c r="H25" s="24"/>
      <c r="I25" s="162"/>
      <c r="J25" s="162"/>
      <c r="K25" s="169"/>
      <c r="L25" s="228">
        <f t="shared" si="0"/>
        <v>0</v>
      </c>
      <c r="M25" s="3"/>
      <c r="N25" s="3"/>
      <c r="O25" s="3"/>
      <c r="P25" s="3"/>
      <c r="Q25" s="3"/>
    </row>
    <row r="26" spans="1:17" ht="12.75">
      <c r="A26" s="229" t="s">
        <v>182</v>
      </c>
      <c r="B26" s="230">
        <v>0</v>
      </c>
      <c r="C26" s="21"/>
      <c r="D26" s="21"/>
      <c r="E26" s="21"/>
      <c r="F26" s="21"/>
      <c r="G26" s="21"/>
      <c r="H26" s="21"/>
      <c r="I26" s="152"/>
      <c r="J26" s="152"/>
      <c r="K26" s="231"/>
      <c r="L26" s="232">
        <f t="shared" si="0"/>
        <v>0</v>
      </c>
      <c r="M26" s="3"/>
      <c r="N26" s="3"/>
      <c r="O26" s="3"/>
      <c r="P26" s="3"/>
      <c r="Q26" s="3"/>
    </row>
    <row r="27" spans="1:17" ht="13.5" thickBot="1">
      <c r="A27" s="233" t="s">
        <v>208</v>
      </c>
      <c r="B27" s="234">
        <v>0</v>
      </c>
      <c r="C27" s="235"/>
      <c r="D27" s="235"/>
      <c r="E27" s="235"/>
      <c r="F27" s="235"/>
      <c r="G27" s="235"/>
      <c r="H27" s="235"/>
      <c r="I27" s="236"/>
      <c r="J27" s="236"/>
      <c r="K27" s="237"/>
      <c r="L27" s="238">
        <f t="shared" si="0"/>
        <v>0</v>
      </c>
      <c r="M27" s="3"/>
      <c r="N27" s="3"/>
      <c r="O27" s="3"/>
      <c r="P27" s="3"/>
      <c r="Q27" s="3"/>
    </row>
    <row r="28" spans="1:17" ht="13.5" thickBot="1">
      <c r="A28" s="239" t="s">
        <v>186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40">
        <f>SUM(L13:L27)</f>
        <v>309</v>
      </c>
      <c r="M28" s="3"/>
      <c r="N28" s="3"/>
      <c r="O28" s="3"/>
      <c r="P28" s="3"/>
      <c r="Q28" s="3"/>
    </row>
    <row r="29" spans="1:17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4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/>
      <c r="B31" s="202" t="s">
        <v>189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188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298</v>
      </c>
      <c r="B33" s="14">
        <f>L13</f>
        <v>237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41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41" t="s">
        <v>63</v>
      </c>
      <c r="B35" s="240">
        <f>SUM(B33:B34)</f>
        <v>237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2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 t="s">
        <v>175</v>
      </c>
      <c r="B38" s="14">
        <f>L16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 t="s">
        <v>208</v>
      </c>
      <c r="B39" s="243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41" t="s">
        <v>178</v>
      </c>
      <c r="B40" s="14">
        <f>L22</f>
        <v>2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41" t="s">
        <v>63</v>
      </c>
      <c r="B41" s="240">
        <f>SUM(B38:B40)</f>
        <v>2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2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297</v>
      </c>
      <c r="B44" s="14">
        <f>+L15</f>
        <v>65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179</v>
      </c>
      <c r="B45" s="14">
        <f>L23</f>
        <v>2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180</v>
      </c>
      <c r="B46" s="243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195</v>
      </c>
      <c r="B47" s="243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200</v>
      </c>
      <c r="B48" s="243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63</v>
      </c>
      <c r="B49" s="240">
        <f>SUM(B44:B48)</f>
        <v>67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2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177</v>
      </c>
      <c r="B52" s="243">
        <f>L19</f>
        <v>2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41" t="s">
        <v>204</v>
      </c>
      <c r="B53" s="243">
        <f>L21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1" t="s">
        <v>182</v>
      </c>
      <c r="B54" s="243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/>
      <c r="B55" s="243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SUM(B52:B55)</f>
        <v>2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42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41" t="s">
        <v>176</v>
      </c>
      <c r="B59" s="243">
        <f>L18</f>
        <v>1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41" t="s">
        <v>63</v>
      </c>
      <c r="B60" s="244">
        <f>SUM(B59:B59)</f>
        <v>1</v>
      </c>
      <c r="C60" s="9"/>
      <c r="D60" s="9"/>
      <c r="E60" s="251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A40">
      <selection activeCell="A15" sqref="A15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78"/>
    </row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6.037999999999999</v>
      </c>
      <c r="D7" s="3" t="s">
        <v>2</v>
      </c>
      <c r="F7" s="2" t="s">
        <v>7</v>
      </c>
      <c r="H7" s="47">
        <v>160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+'Ligado cajas'!L13</f>
        <v>237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1545</v>
      </c>
      <c r="I11" t="s">
        <v>294</v>
      </c>
    </row>
    <row r="12" ht="12.75">
      <c r="A12" s="2" t="s">
        <v>10</v>
      </c>
    </row>
    <row r="13" ht="12.75">
      <c r="D13" s="177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+'Ligado cajas'!B49</f>
        <v>67</v>
      </c>
      <c r="K17" s="131">
        <f>I17/I18</f>
        <v>0.2168284789644013</v>
      </c>
      <c r="L17" s="37" t="s">
        <v>99</v>
      </c>
    </row>
    <row r="18" spans="4:9" ht="13.5" thickTop="1">
      <c r="D18" s="38" t="s">
        <v>190</v>
      </c>
      <c r="I18" s="122">
        <f>+'Ligado cajas'!L28</f>
        <v>309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+'Ligado cajas'!B56</f>
        <v>2</v>
      </c>
      <c r="K20" s="131">
        <f>I20/I21</f>
        <v>0.006472491909385114</v>
      </c>
      <c r="L20" s="37" t="s">
        <v>99</v>
      </c>
    </row>
    <row r="21" spans="4:9" ht="13.5" thickTop="1">
      <c r="D21" s="38" t="s">
        <v>190</v>
      </c>
      <c r="I21" s="124">
        <f>I18</f>
        <v>309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+'Ligado cajas'!B41</f>
        <v>2</v>
      </c>
      <c r="K23" s="131">
        <f>I23/I24</f>
        <v>0.006472491909385114</v>
      </c>
      <c r="L23" s="37" t="s">
        <v>99</v>
      </c>
    </row>
    <row r="24" spans="4:9" ht="13.5" thickTop="1">
      <c r="D24" s="38" t="s">
        <v>190</v>
      </c>
      <c r="I24" s="125">
        <f>I18</f>
        <v>309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+'Ligado cajas'!B60</f>
        <v>1</v>
      </c>
      <c r="K26" s="131">
        <f>I26/I27</f>
        <v>0.003236245954692557</v>
      </c>
      <c r="L26" s="37" t="s">
        <v>99</v>
      </c>
    </row>
    <row r="27" spans="4:9" ht="13.5" thickTop="1">
      <c r="D27" s="38" t="s">
        <v>190</v>
      </c>
      <c r="I27" s="126">
        <f>I18</f>
        <v>309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'Ligado cajas'!L13*H11</f>
        <v>366165</v>
      </c>
      <c r="K29" s="47">
        <f>I29/I30</f>
        <v>1185</v>
      </c>
      <c r="L29" s="37" t="s">
        <v>2</v>
      </c>
    </row>
    <row r="30" spans="4:9" ht="13.5" thickTop="1">
      <c r="D30" s="38" t="s">
        <v>91</v>
      </c>
      <c r="I30" s="130">
        <f>I18</f>
        <v>309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+Normal!E23</f>
        <v>+ 0.06</v>
      </c>
      <c r="L35" s="58" t="str">
        <f>+Normal!H23</f>
        <v>+ 0.02</v>
      </c>
      <c r="N35" s="56">
        <f>J35+K35+L35</f>
        <v>1.08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6.52104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1279.8000000000002</v>
      </c>
      <c r="E40">
        <f>D40/D41-1</f>
        <v>0.22660649221596563</v>
      </c>
      <c r="F40" t="s">
        <v>99</v>
      </c>
    </row>
    <row r="41" spans="3:4" ht="12.75">
      <c r="C41" s="3" t="s">
        <v>97</v>
      </c>
      <c r="D41" s="3">
        <f>H7*E37</f>
        <v>1043.3664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0.2168284789644013</v>
      </c>
      <c r="C47" s="66">
        <f>K20</f>
        <v>0.006472491909385114</v>
      </c>
      <c r="D47" s="3">
        <f>K23</f>
        <v>0.006472491909385114</v>
      </c>
      <c r="E47" s="3">
        <f>K26</f>
        <v>0.003236245954692557</v>
      </c>
      <c r="F47">
        <f>E40</f>
        <v>0.22660649221596563</v>
      </c>
    </row>
    <row r="49" spans="1:3" ht="12.75">
      <c r="A49" s="2" t="s">
        <v>52</v>
      </c>
      <c r="B49">
        <f>B47+C47+D47+E47+F47</f>
        <v>0.4596162009538297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6.52104</v>
      </c>
      <c r="F54" s="66">
        <f>B49+1</f>
        <v>1.4596162009538296</v>
      </c>
    </row>
    <row r="56" spans="1:5" ht="12.75">
      <c r="A56" s="2" t="s">
        <v>104</v>
      </c>
      <c r="D56">
        <f>E54*F54</f>
        <v>9.518215631067962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4.269741988413002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2082580" r:id="rId1"/>
    <oleObject progId="Equation.3" shapeId="2082581" r:id="rId2"/>
  </oleObjects>
</worksheet>
</file>

<file path=xl/worksheets/sheet3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363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3</v>
      </c>
      <c r="D5" s="9"/>
      <c r="E5" s="9"/>
      <c r="F5" s="9"/>
      <c r="G5" s="10" t="s">
        <v>250</v>
      </c>
      <c r="H5" s="209">
        <v>927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160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301</v>
      </c>
      <c r="B13" s="215">
        <v>225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7">SUM(B13)</f>
        <v>225</v>
      </c>
      <c r="M13" s="95"/>
      <c r="N13" s="98"/>
      <c r="O13" s="95"/>
      <c r="P13" s="98"/>
      <c r="Q13" s="95"/>
    </row>
    <row r="14" spans="1:17" ht="12.75" hidden="1">
      <c r="A14" s="245"/>
      <c r="B14" s="246"/>
      <c r="C14" s="22"/>
      <c r="D14" s="22"/>
      <c r="E14" s="22"/>
      <c r="F14" s="22"/>
      <c r="G14" s="22"/>
      <c r="H14" s="22"/>
      <c r="I14" s="154"/>
      <c r="J14" s="154"/>
      <c r="K14" s="247"/>
      <c r="L14" s="250">
        <f t="shared" si="0"/>
        <v>0</v>
      </c>
      <c r="M14" s="95"/>
      <c r="N14" s="98"/>
      <c r="O14" s="95"/>
      <c r="P14" s="98"/>
      <c r="Q14" s="95"/>
    </row>
    <row r="15" spans="1:17" ht="12.75">
      <c r="A15" s="220" t="s">
        <v>297</v>
      </c>
      <c r="B15" s="221">
        <v>80</v>
      </c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80</v>
      </c>
      <c r="M15" s="3"/>
      <c r="N15" s="3"/>
      <c r="O15" s="3"/>
      <c r="P15" s="3"/>
      <c r="Q15" s="3"/>
    </row>
    <row r="16" spans="1:17" ht="12.75">
      <c r="A16" s="220" t="s">
        <v>213</v>
      </c>
      <c r="B16" s="221">
        <v>0</v>
      </c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 hidden="1">
      <c r="A17" s="220"/>
      <c r="B17" s="221"/>
      <c r="C17" s="24"/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3"/>
      <c r="O17" s="3"/>
      <c r="P17" s="3"/>
      <c r="Q17" s="3"/>
    </row>
    <row r="18" spans="1:17" ht="12.75">
      <c r="A18" s="220" t="s">
        <v>176</v>
      </c>
      <c r="B18" s="221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1</v>
      </c>
      <c r="M18" s="3"/>
      <c r="N18" s="3"/>
      <c r="O18" s="3"/>
      <c r="P18" s="3"/>
      <c r="Q18" s="3"/>
    </row>
    <row r="19" spans="1:17" ht="12.75">
      <c r="A19" s="220" t="s">
        <v>177</v>
      </c>
      <c r="B19" s="221">
        <v>1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1</v>
      </c>
      <c r="M19" s="3"/>
      <c r="N19" s="3"/>
      <c r="O19" s="3"/>
      <c r="P19" s="3"/>
      <c r="Q19" s="3"/>
    </row>
    <row r="20" spans="1:17" ht="12.75">
      <c r="A20" s="220" t="s">
        <v>200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203</v>
      </c>
      <c r="B21" s="221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8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178</v>
      </c>
      <c r="B22" s="221">
        <v>1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1</v>
      </c>
      <c r="M22" s="3"/>
      <c r="N22" s="3"/>
      <c r="O22" s="3"/>
      <c r="P22" s="3"/>
      <c r="Q22" s="3"/>
    </row>
    <row r="23" spans="1:17" ht="12.75">
      <c r="A23" s="220" t="s">
        <v>179</v>
      </c>
      <c r="B23" s="221">
        <v>1</v>
      </c>
      <c r="C23" s="24"/>
      <c r="D23" s="24"/>
      <c r="E23" s="24"/>
      <c r="F23" s="24"/>
      <c r="G23" s="24"/>
      <c r="H23" s="24"/>
      <c r="I23" s="162"/>
      <c r="J23" s="162"/>
      <c r="K23" s="169"/>
      <c r="L23" s="227">
        <f t="shared" si="0"/>
        <v>1</v>
      </c>
      <c r="M23" s="3"/>
      <c r="N23" s="3"/>
      <c r="O23" s="3"/>
      <c r="P23" s="3"/>
      <c r="Q23" s="3"/>
    </row>
    <row r="24" spans="1:17" ht="12.75">
      <c r="A24" s="220" t="s">
        <v>180</v>
      </c>
      <c r="B24" s="221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3"/>
      <c r="P24" s="3"/>
      <c r="Q24" s="3"/>
    </row>
    <row r="25" spans="1:17" ht="12.75">
      <c r="A25" s="220" t="s">
        <v>195</v>
      </c>
      <c r="B25" s="221">
        <v>0</v>
      </c>
      <c r="C25" s="24"/>
      <c r="D25" s="24"/>
      <c r="E25" s="24"/>
      <c r="F25" s="24"/>
      <c r="G25" s="24"/>
      <c r="H25" s="24"/>
      <c r="I25" s="162"/>
      <c r="J25" s="162"/>
      <c r="K25" s="169"/>
      <c r="L25" s="228">
        <f t="shared" si="0"/>
        <v>0</v>
      </c>
      <c r="M25" s="3"/>
      <c r="N25" s="3"/>
      <c r="O25" s="3"/>
      <c r="P25" s="3"/>
      <c r="Q25" s="3"/>
    </row>
    <row r="26" spans="1:17" ht="12.75">
      <c r="A26" s="229" t="s">
        <v>182</v>
      </c>
      <c r="B26" s="230">
        <v>0</v>
      </c>
      <c r="C26" s="21"/>
      <c r="D26" s="21"/>
      <c r="E26" s="21"/>
      <c r="F26" s="21"/>
      <c r="G26" s="21"/>
      <c r="H26" s="21"/>
      <c r="I26" s="152"/>
      <c r="J26" s="152"/>
      <c r="K26" s="231"/>
      <c r="L26" s="232">
        <f t="shared" si="0"/>
        <v>0</v>
      </c>
      <c r="M26" s="3"/>
      <c r="N26" s="3"/>
      <c r="O26" s="3"/>
      <c r="P26" s="3"/>
      <c r="Q26" s="3"/>
    </row>
    <row r="27" spans="1:17" ht="13.5" thickBot="1">
      <c r="A27" s="233" t="s">
        <v>208</v>
      </c>
      <c r="B27" s="234">
        <v>0</v>
      </c>
      <c r="C27" s="235"/>
      <c r="D27" s="235"/>
      <c r="E27" s="235"/>
      <c r="F27" s="235"/>
      <c r="G27" s="235"/>
      <c r="H27" s="235"/>
      <c r="I27" s="236"/>
      <c r="J27" s="236"/>
      <c r="K27" s="237"/>
      <c r="L27" s="238">
        <f t="shared" si="0"/>
        <v>0</v>
      </c>
      <c r="M27" s="3"/>
      <c r="N27" s="3"/>
      <c r="O27" s="3"/>
      <c r="P27" s="3"/>
      <c r="Q27" s="3"/>
    </row>
    <row r="28" spans="1:17" ht="13.5" thickBot="1">
      <c r="A28" s="239" t="s">
        <v>186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40">
        <f>SUM(L13:L27)</f>
        <v>309</v>
      </c>
      <c r="M28" s="3"/>
      <c r="N28" s="3"/>
      <c r="O28" s="3"/>
      <c r="P28" s="3"/>
      <c r="Q28" s="3"/>
    </row>
    <row r="29" spans="1:17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4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/>
      <c r="B31" s="202" t="s">
        <v>189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188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321</v>
      </c>
      <c r="B33" s="14">
        <f>L13</f>
        <v>225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41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41" t="s">
        <v>63</v>
      </c>
      <c r="B35" s="240">
        <f>SUM(B33:B34)</f>
        <v>225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2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 t="s">
        <v>213</v>
      </c>
      <c r="B38" s="14">
        <f>L16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 t="s">
        <v>208</v>
      </c>
      <c r="B39" s="243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41" t="s">
        <v>178</v>
      </c>
      <c r="B40" s="14">
        <f>L22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41" t="s">
        <v>63</v>
      </c>
      <c r="B41" s="240">
        <f>SUM(B38:B40)</f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2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297</v>
      </c>
      <c r="B44" s="14">
        <f>+L15</f>
        <v>80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179</v>
      </c>
      <c r="B45" s="14">
        <f>L23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180</v>
      </c>
      <c r="B46" s="243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195</v>
      </c>
      <c r="B47" s="243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200</v>
      </c>
      <c r="B48" s="243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63</v>
      </c>
      <c r="B49" s="240">
        <f>SUM(B44:B48)</f>
        <v>81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2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177</v>
      </c>
      <c r="B52" s="243">
        <f>L19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41" t="s">
        <v>204</v>
      </c>
      <c r="B53" s="243">
        <f>L21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1" t="s">
        <v>182</v>
      </c>
      <c r="B54" s="243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/>
      <c r="B55" s="243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SUM(B52:B55)</f>
        <v>1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42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41" t="s">
        <v>176</v>
      </c>
      <c r="B59" s="243">
        <f>L18</f>
        <v>1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41" t="s">
        <v>63</v>
      </c>
      <c r="B60" s="244">
        <f>SUM(B59:B59)</f>
        <v>1</v>
      </c>
      <c r="C60" s="9"/>
      <c r="D60" s="9"/>
      <c r="E60" s="251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A10">
      <selection activeCell="A22" sqref="A22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78"/>
    </row>
    <row r="3" ht="12.75">
      <c r="A3" s="4" t="s">
        <v>5</v>
      </c>
    </row>
    <row r="5" ht="12.75">
      <c r="A5" s="177"/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3.545333333333334</v>
      </c>
      <c r="D7" s="3" t="s">
        <v>2</v>
      </c>
      <c r="F7" s="2" t="s">
        <v>7</v>
      </c>
      <c r="H7" s="47">
        <v>160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+'Tapado cajas'!L13</f>
        <v>225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927</v>
      </c>
      <c r="I11" t="s">
        <v>294</v>
      </c>
    </row>
    <row r="12" ht="12.75">
      <c r="A12" s="2" t="s">
        <v>10</v>
      </c>
    </row>
    <row r="13" ht="12.75">
      <c r="D13" s="177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+'Tapado cajas'!B49</f>
        <v>81</v>
      </c>
      <c r="K17" s="131">
        <f>I17/I18</f>
        <v>0.2621359223300971</v>
      </c>
      <c r="L17" s="37" t="s">
        <v>99</v>
      </c>
    </row>
    <row r="18" spans="4:9" ht="13.5" thickTop="1">
      <c r="D18" s="38" t="s">
        <v>190</v>
      </c>
      <c r="I18" s="122">
        <f>+'Tapado cajas'!L28</f>
        <v>309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+'Tapado cajas'!B56</f>
        <v>1</v>
      </c>
      <c r="K20" s="131">
        <f>I20/I21</f>
        <v>0.003236245954692557</v>
      </c>
      <c r="L20" s="37" t="s">
        <v>99</v>
      </c>
    </row>
    <row r="21" spans="4:9" ht="13.5" thickTop="1">
      <c r="D21" s="38" t="s">
        <v>190</v>
      </c>
      <c r="I21" s="124">
        <f>I18</f>
        <v>309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+'Tapado cajas'!B41</f>
        <v>1</v>
      </c>
      <c r="K23" s="131">
        <f>I23/I24</f>
        <v>0.003236245954692557</v>
      </c>
      <c r="L23" s="37" t="s">
        <v>99</v>
      </c>
    </row>
    <row r="24" spans="4:9" ht="13.5" thickTop="1">
      <c r="D24" s="38" t="s">
        <v>190</v>
      </c>
      <c r="I24" s="125">
        <f>I18</f>
        <v>309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+'Tapado cajas'!B60</f>
        <v>1</v>
      </c>
      <c r="K26" s="131">
        <f>I26/I27</f>
        <v>0.003236245954692557</v>
      </c>
      <c r="L26" s="37" t="s">
        <v>99</v>
      </c>
    </row>
    <row r="27" spans="4:9" ht="13.5" thickTop="1">
      <c r="D27" s="38" t="s">
        <v>190</v>
      </c>
      <c r="I27" s="126">
        <f>I18</f>
        <v>309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'Tapado cajas'!L13*H11</f>
        <v>208575</v>
      </c>
      <c r="K29" s="47">
        <f>I29/I30</f>
        <v>675</v>
      </c>
      <c r="L29" s="37" t="s">
        <v>2</v>
      </c>
    </row>
    <row r="30" spans="4:9" ht="13.5" thickTop="1">
      <c r="D30" s="38" t="s">
        <v>91</v>
      </c>
      <c r="I30" s="130">
        <f>I18</f>
        <v>309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+Normal!E24</f>
        <v>+ 0.06</v>
      </c>
      <c r="L35" s="58" t="str">
        <f>+Normal!H24</f>
        <v>+ 0.02</v>
      </c>
      <c r="N35" s="56">
        <f>J35+K35+L35</f>
        <v>1.08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3.8289600000000013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729</v>
      </c>
      <c r="E40">
        <f>D40/D41-1</f>
        <v>0.1899445280180514</v>
      </c>
      <c r="F40" t="s">
        <v>99</v>
      </c>
    </row>
    <row r="41" spans="3:4" ht="12.75">
      <c r="C41" s="3" t="s">
        <v>97</v>
      </c>
      <c r="D41" s="3">
        <f>H7*E37</f>
        <v>612.6336000000002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0.2621359223300971</v>
      </c>
      <c r="C47" s="66">
        <f>K20</f>
        <v>0.003236245954692557</v>
      </c>
      <c r="D47" s="3">
        <f>K23</f>
        <v>0.003236245954692557</v>
      </c>
      <c r="E47" s="3">
        <f>K26</f>
        <v>0.003236245954692557</v>
      </c>
      <c r="F47">
        <f>E40</f>
        <v>0.1899445280180514</v>
      </c>
    </row>
    <row r="49" spans="1:3" ht="12.75">
      <c r="A49" s="2" t="s">
        <v>52</v>
      </c>
      <c r="B49">
        <f>B47+C47+D47+E47+F47</f>
        <v>0.4617891882122262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3.8289600000000013</v>
      </c>
      <c r="F54" s="66">
        <f>B49+1</f>
        <v>1.4617891882122263</v>
      </c>
    </row>
    <row r="56" spans="1:5" ht="12.75">
      <c r="A56" s="2" t="s">
        <v>104</v>
      </c>
      <c r="D56">
        <f>E54*F54</f>
        <v>5.597132330097088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4.497461561128362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2363905" r:id="rId1"/>
    <oleObject progId="Equation.3" shapeId="2363906" r:id="rId2"/>
  </oleObjects>
</worksheet>
</file>

<file path=xl/worksheets/sheet3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364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12</v>
      </c>
      <c r="D5" s="9"/>
      <c r="E5" s="9"/>
      <c r="F5" s="9"/>
      <c r="G5" s="10" t="s">
        <v>250</v>
      </c>
      <c r="H5" s="209">
        <v>1821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 hidden="1">
      <c r="A7" s="9"/>
      <c r="B7" s="210"/>
      <c r="C7" s="52"/>
      <c r="D7" s="9"/>
      <c r="E7" s="9"/>
      <c r="F7" s="9"/>
      <c r="G7" s="9"/>
      <c r="H7" s="9"/>
      <c r="I7" s="9"/>
      <c r="J7" s="9"/>
      <c r="K7" s="9"/>
      <c r="L7" s="9"/>
    </row>
    <row r="8" spans="1:12" ht="12.75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210" t="s">
        <v>183</v>
      </c>
      <c r="C9" s="15">
        <v>149</v>
      </c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171</v>
      </c>
      <c r="B13" s="215">
        <v>74</v>
      </c>
      <c r="C13" s="216">
        <v>75</v>
      </c>
      <c r="D13" s="216"/>
      <c r="E13" s="216"/>
      <c r="F13" s="216"/>
      <c r="G13" s="216"/>
      <c r="H13" s="216"/>
      <c r="I13" s="217"/>
      <c r="J13" s="217"/>
      <c r="K13" s="218"/>
      <c r="L13" s="219">
        <f>SUM(B13:C13)</f>
        <v>149</v>
      </c>
      <c r="M13" s="95"/>
      <c r="N13" s="98"/>
      <c r="O13" s="95"/>
      <c r="P13" s="98"/>
      <c r="Q13" s="95"/>
    </row>
    <row r="14" spans="1:17" ht="12.75" hidden="1">
      <c r="A14" s="220"/>
      <c r="B14" s="221"/>
      <c r="C14" s="24"/>
      <c r="D14" s="24"/>
      <c r="E14" s="24"/>
      <c r="F14" s="24"/>
      <c r="G14" s="24"/>
      <c r="H14" s="24"/>
      <c r="I14" s="162"/>
      <c r="J14" s="162"/>
      <c r="K14" s="169"/>
      <c r="L14" s="227">
        <f>SUM(B14:C14)</f>
        <v>0</v>
      </c>
      <c r="M14" s="3"/>
      <c r="N14" s="3"/>
      <c r="O14" s="3"/>
      <c r="P14" s="3"/>
      <c r="Q14" s="3"/>
    </row>
    <row r="15" spans="1:17" ht="12.75">
      <c r="A15" s="220" t="s">
        <v>213</v>
      </c>
      <c r="B15" s="221">
        <v>0</v>
      </c>
      <c r="C15" s="24">
        <v>0</v>
      </c>
      <c r="D15" s="24"/>
      <c r="E15" s="24"/>
      <c r="F15" s="24"/>
      <c r="G15" s="24"/>
      <c r="H15" s="24"/>
      <c r="I15" s="162"/>
      <c r="J15" s="162"/>
      <c r="K15" s="169"/>
      <c r="L15" s="227">
        <f aca="true" t="shared" si="0" ref="L15:L25">SUM(B15:C15)</f>
        <v>0</v>
      </c>
      <c r="M15" s="3"/>
      <c r="N15" s="3"/>
      <c r="O15" s="3"/>
      <c r="P15" s="3"/>
      <c r="Q15" s="3"/>
    </row>
    <row r="16" spans="1:17" ht="12.75">
      <c r="A16" s="220" t="s">
        <v>176</v>
      </c>
      <c r="B16" s="221">
        <v>1</v>
      </c>
      <c r="C16" s="24">
        <v>0</v>
      </c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1</v>
      </c>
      <c r="M16" s="3"/>
      <c r="N16" s="3"/>
      <c r="O16" s="3"/>
      <c r="P16" s="3"/>
      <c r="Q16" s="3"/>
    </row>
    <row r="17" spans="1:17" ht="12.75">
      <c r="A17" s="220" t="s">
        <v>177</v>
      </c>
      <c r="B17" s="221">
        <v>0</v>
      </c>
      <c r="C17" s="24">
        <v>0</v>
      </c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3"/>
      <c r="O17" s="3"/>
      <c r="P17" s="3"/>
      <c r="Q17" s="3"/>
    </row>
    <row r="18" spans="1:17" ht="12.75">
      <c r="A18" s="220" t="s">
        <v>210</v>
      </c>
      <c r="B18" s="221">
        <v>0</v>
      </c>
      <c r="C18" s="24">
        <v>0</v>
      </c>
      <c r="D18" s="24"/>
      <c r="E18" s="24"/>
      <c r="F18" s="24"/>
      <c r="G18" s="24"/>
      <c r="H18" s="24"/>
      <c r="I18" s="162"/>
      <c r="J18" s="162"/>
      <c r="K18" s="169"/>
      <c r="L18" s="227">
        <f t="shared" si="0"/>
        <v>0</v>
      </c>
      <c r="M18" s="3"/>
      <c r="N18" s="3"/>
      <c r="O18" s="3"/>
      <c r="P18" s="3"/>
      <c r="Q18" s="3"/>
    </row>
    <row r="19" spans="1:17" ht="12.75">
      <c r="A19" s="220" t="s">
        <v>203</v>
      </c>
      <c r="B19" s="221">
        <v>0</v>
      </c>
      <c r="C19" s="24">
        <v>0</v>
      </c>
      <c r="D19" s="24"/>
      <c r="E19" s="24"/>
      <c r="F19" s="24"/>
      <c r="G19" s="24"/>
      <c r="H19" s="24"/>
      <c r="I19" s="162"/>
      <c r="J19" s="162"/>
      <c r="K19" s="169"/>
      <c r="L19" s="227">
        <f t="shared" si="0"/>
        <v>0</v>
      </c>
      <c r="M19" s="3"/>
      <c r="N19" s="3"/>
      <c r="O19" s="3"/>
      <c r="P19" s="3"/>
      <c r="Q19" s="3"/>
    </row>
    <row r="20" spans="1:17" ht="12.75">
      <c r="A20" s="220" t="s">
        <v>178</v>
      </c>
      <c r="B20" s="221">
        <v>0</v>
      </c>
      <c r="C20" s="24">
        <v>0</v>
      </c>
      <c r="D20" s="24"/>
      <c r="E20" s="24"/>
      <c r="F20" s="24"/>
      <c r="G20" s="24"/>
      <c r="H20" s="24"/>
      <c r="I20" s="162"/>
      <c r="J20" s="162"/>
      <c r="K20" s="169"/>
      <c r="L20" s="227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214</v>
      </c>
      <c r="B21" s="221">
        <v>1</v>
      </c>
      <c r="C21" s="24">
        <v>1</v>
      </c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2</v>
      </c>
      <c r="M21" s="3"/>
      <c r="N21" s="3"/>
      <c r="O21" s="3"/>
      <c r="P21" s="3"/>
      <c r="Q21" s="3"/>
    </row>
    <row r="22" spans="1:17" ht="12.75">
      <c r="A22" s="220" t="s">
        <v>179</v>
      </c>
      <c r="B22" s="221">
        <v>0</v>
      </c>
      <c r="C22" s="24">
        <v>0</v>
      </c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0</v>
      </c>
      <c r="M22" s="3"/>
      <c r="N22" s="3"/>
      <c r="O22" s="3"/>
      <c r="P22" s="3"/>
      <c r="Q22" s="3"/>
    </row>
    <row r="23" spans="1:17" ht="12.75">
      <c r="A23" s="220" t="s">
        <v>180</v>
      </c>
      <c r="B23" s="221">
        <v>0</v>
      </c>
      <c r="C23" s="24">
        <v>0</v>
      </c>
      <c r="D23" s="24"/>
      <c r="E23" s="24"/>
      <c r="F23" s="24"/>
      <c r="G23" s="24"/>
      <c r="H23" s="24"/>
      <c r="I23" s="162"/>
      <c r="J23" s="162"/>
      <c r="K23" s="169"/>
      <c r="L23" s="227">
        <f t="shared" si="0"/>
        <v>0</v>
      </c>
      <c r="M23" s="3"/>
      <c r="N23" s="3"/>
      <c r="O23" s="3"/>
      <c r="P23" s="3"/>
      <c r="Q23" s="3"/>
    </row>
    <row r="24" spans="1:17" ht="12.75">
      <c r="A24" s="220" t="s">
        <v>195</v>
      </c>
      <c r="B24" s="221">
        <v>0</v>
      </c>
      <c r="C24" s="24">
        <v>0</v>
      </c>
      <c r="D24" s="24"/>
      <c r="E24" s="24"/>
      <c r="F24" s="24"/>
      <c r="G24" s="24"/>
      <c r="H24" s="24"/>
      <c r="I24" s="162"/>
      <c r="J24" s="162"/>
      <c r="K24" s="169"/>
      <c r="L24" s="227">
        <f t="shared" si="0"/>
        <v>0</v>
      </c>
      <c r="M24" s="3"/>
      <c r="N24" s="3"/>
      <c r="O24" s="3"/>
      <c r="P24" s="3"/>
      <c r="Q24" s="3"/>
    </row>
    <row r="25" spans="1:17" ht="12.75">
      <c r="A25" s="229" t="s">
        <v>182</v>
      </c>
      <c r="B25" s="230">
        <v>0</v>
      </c>
      <c r="C25" s="21">
        <v>0</v>
      </c>
      <c r="D25" s="21"/>
      <c r="E25" s="21"/>
      <c r="F25" s="21"/>
      <c r="G25" s="21"/>
      <c r="H25" s="21"/>
      <c r="I25" s="152"/>
      <c r="J25" s="152"/>
      <c r="K25" s="231"/>
      <c r="L25" s="227">
        <f t="shared" si="0"/>
        <v>0</v>
      </c>
      <c r="M25" s="3"/>
      <c r="N25" s="3"/>
      <c r="O25" s="3"/>
      <c r="P25" s="3"/>
      <c r="Q25" s="3"/>
    </row>
    <row r="26" spans="1:17" ht="13.5" thickBot="1">
      <c r="A26" s="233" t="s">
        <v>208</v>
      </c>
      <c r="B26" s="234">
        <v>0</v>
      </c>
      <c r="C26" s="235">
        <v>0</v>
      </c>
      <c r="D26" s="235"/>
      <c r="E26" s="235"/>
      <c r="F26" s="235"/>
      <c r="G26" s="235"/>
      <c r="H26" s="235"/>
      <c r="I26" s="236"/>
      <c r="J26" s="236"/>
      <c r="K26" s="237"/>
      <c r="L26" s="238">
        <f>SUM(B26:C26)</f>
        <v>0</v>
      </c>
      <c r="M26" s="3"/>
      <c r="N26" s="3"/>
      <c r="O26" s="3"/>
      <c r="P26" s="3"/>
      <c r="Q26" s="3"/>
    </row>
    <row r="27" spans="1:17" ht="13.5" thickBot="1">
      <c r="A27" s="239" t="s">
        <v>186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40">
        <f>SUM(L13:L26)</f>
        <v>152</v>
      </c>
      <c r="M27" s="3"/>
      <c r="N27" s="3"/>
      <c r="O27" s="3"/>
      <c r="P27" s="3"/>
      <c r="Q27" s="3"/>
    </row>
    <row r="28" spans="1:17" ht="12.75">
      <c r="A28" s="241"/>
      <c r="B28" s="52"/>
      <c r="C28" s="52"/>
      <c r="D28" s="52"/>
      <c r="E28" s="52"/>
      <c r="F28" s="52"/>
      <c r="G28" s="52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1"/>
      <c r="B30" s="202" t="s">
        <v>189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2" t="s">
        <v>188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 t="s">
        <v>170</v>
      </c>
      <c r="B32" s="14">
        <f>L13</f>
        <v>149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41" t="s">
        <v>63</v>
      </c>
      <c r="B33" s="240">
        <f>SUM(B32:B32)</f>
        <v>149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2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303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1" t="s">
        <v>208</v>
      </c>
      <c r="B37" s="243">
        <f>L26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178</v>
      </c>
      <c r="B38" s="14">
        <f>L20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41" t="s">
        <v>63</v>
      </c>
      <c r="B39" s="240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2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179</v>
      </c>
      <c r="B43" s="14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180</v>
      </c>
      <c r="B44" s="243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195</v>
      </c>
      <c r="B45" s="243">
        <f>L24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210</v>
      </c>
      <c r="B46" s="243">
        <f>L18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41" t="s">
        <v>214</v>
      </c>
      <c r="B47" s="243">
        <f>L21</f>
        <v>2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63</v>
      </c>
      <c r="B48" s="240">
        <f>SUM(B42:B47)</f>
        <v>2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2" t="s">
        <v>163</v>
      </c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1" t="s">
        <v>177</v>
      </c>
      <c r="B51" s="243">
        <f>L17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204</v>
      </c>
      <c r="B52" s="243">
        <f>L19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182</v>
      </c>
      <c r="B53" s="243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41" t="s">
        <v>63</v>
      </c>
      <c r="B54" s="244">
        <f>SUM(B51:B53)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42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41" t="s">
        <v>176</v>
      </c>
      <c r="B57" s="243">
        <f>L16</f>
        <v>1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41" t="s">
        <v>63</v>
      </c>
      <c r="B58" s="244">
        <f>SUM(B57:B57)</f>
        <v>1</v>
      </c>
      <c r="C58" s="9"/>
      <c r="D58" s="9"/>
      <c r="E58" s="251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46">
      <selection activeCell="A56" sqref="A56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480.34</v>
      </c>
      <c r="D7" s="3" t="s">
        <v>2</v>
      </c>
      <c r="F7" s="2" t="s">
        <v>7</v>
      </c>
      <c r="H7" s="47">
        <v>3.5</v>
      </c>
      <c r="I7" s="3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'Paletizar Cajas'!L13</f>
        <v>149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1821</v>
      </c>
      <c r="I11" t="s">
        <v>294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'Paletizar Cajas'!B48</f>
        <v>2</v>
      </c>
      <c r="K17" s="131">
        <f>I17/I18</f>
        <v>0.013157894736842105</v>
      </c>
      <c r="L17" s="37" t="s">
        <v>99</v>
      </c>
    </row>
    <row r="18" spans="4:9" ht="13.5" thickTop="1">
      <c r="D18" s="38" t="s">
        <v>190</v>
      </c>
      <c r="I18" s="122">
        <f>'Paletizar Cajas'!L27</f>
        <v>152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'Paletizar Cajas'!B54</f>
        <v>0</v>
      </c>
      <c r="K20" s="131">
        <f>I20/I21</f>
        <v>0</v>
      </c>
      <c r="L20" s="37" t="s">
        <v>99</v>
      </c>
    </row>
    <row r="21" spans="4:9" ht="13.5" thickTop="1">
      <c r="D21" s="38" t="s">
        <v>190</v>
      </c>
      <c r="I21" s="124">
        <f>I18</f>
        <v>152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'Paletizar Cajas'!B39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152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'Paletizar Cajas'!B58</f>
        <v>1</v>
      </c>
      <c r="K26" s="131">
        <f>I26/I27</f>
        <v>0.006578947368421052</v>
      </c>
      <c r="L26" s="37" t="s">
        <v>99</v>
      </c>
    </row>
    <row r="27" spans="4:9" ht="13.5" thickTop="1">
      <c r="D27" s="38" t="s">
        <v>190</v>
      </c>
      <c r="I27" s="126">
        <f>I18</f>
        <v>152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'Paletizar Cajas'!L13*H11</f>
        <v>271329</v>
      </c>
      <c r="K29" s="47">
        <f>I29/I30</f>
        <v>1785.0592105263158</v>
      </c>
      <c r="L29" s="37" t="s">
        <v>2</v>
      </c>
    </row>
    <row r="30" spans="4:9" ht="13.5" thickTop="1">
      <c r="D30" s="38" t="s">
        <v>91</v>
      </c>
      <c r="I30" s="130">
        <f>I18</f>
        <v>152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Normal!E25</f>
        <v>+ 0.11</v>
      </c>
      <c r="L35" s="176" t="str">
        <f>Normal!H25</f>
        <v>+ 0.10</v>
      </c>
      <c r="N35" s="56">
        <f>J35+K35+L35</f>
        <v>1.2100000000000002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581.2114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2159.9216447368426</v>
      </c>
      <c r="E40">
        <f>D40/D41-1</f>
        <v>0.06178314796442774</v>
      </c>
      <c r="F40" t="s">
        <v>99</v>
      </c>
    </row>
    <row r="41" spans="3:4" ht="12.75">
      <c r="C41" s="3" t="s">
        <v>97</v>
      </c>
      <c r="D41" s="3">
        <f>H7*E37</f>
        <v>2034.2399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0.013157894736842105</v>
      </c>
      <c r="C47" s="66">
        <f>K20</f>
        <v>0</v>
      </c>
      <c r="D47" s="3">
        <f>K23</f>
        <v>0</v>
      </c>
      <c r="E47" s="3">
        <f>K26</f>
        <v>0.006578947368421052</v>
      </c>
      <c r="F47">
        <f>E40</f>
        <v>0.06178314796442774</v>
      </c>
    </row>
    <row r="49" spans="1:3" ht="12.75">
      <c r="A49" s="2" t="s">
        <v>52</v>
      </c>
      <c r="B49">
        <f>B47+C47+D47+E47+F47</f>
        <v>0.0815199900696909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581.2114</v>
      </c>
      <c r="F54" s="66">
        <f>B49+1</f>
        <v>1.0815199900696908</v>
      </c>
    </row>
    <row r="56" spans="1:5" ht="12.75">
      <c r="A56" s="2" t="s">
        <v>104</v>
      </c>
      <c r="D56">
        <f>E54*F54</f>
        <v>628.5917475563912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80*SQRT(H7)/H9*100</f>
        <v>100.44717816842797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62969" r:id="rId1"/>
    <oleObject progId="Equation.3" shapeId="662970" r:id="rId2"/>
  </oleObjects>
</worksheet>
</file>

<file path=xl/worksheets/sheet36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365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25</v>
      </c>
      <c r="D5" s="9"/>
      <c r="E5" s="9"/>
      <c r="F5" s="9"/>
      <c r="G5" s="10" t="s">
        <v>250</v>
      </c>
      <c r="H5" s="209">
        <v>9205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250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302</v>
      </c>
      <c r="B13" s="215">
        <v>361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7">SUM(B13)</f>
        <v>361</v>
      </c>
      <c r="M13" s="95"/>
      <c r="N13" s="98"/>
      <c r="O13" s="95"/>
      <c r="P13" s="98"/>
      <c r="Q13" s="95"/>
    </row>
    <row r="14" spans="1:17" ht="12.75" hidden="1">
      <c r="A14" s="245"/>
      <c r="B14" s="246"/>
      <c r="C14" s="22"/>
      <c r="D14" s="22"/>
      <c r="E14" s="22"/>
      <c r="F14" s="22"/>
      <c r="G14" s="22"/>
      <c r="H14" s="22"/>
      <c r="I14" s="154"/>
      <c r="J14" s="154"/>
      <c r="K14" s="247"/>
      <c r="L14" s="250">
        <f t="shared" si="0"/>
        <v>0</v>
      </c>
      <c r="M14" s="95"/>
      <c r="N14" s="98"/>
      <c r="O14" s="95"/>
      <c r="P14" s="98"/>
      <c r="Q14" s="95"/>
    </row>
    <row r="15" spans="1:17" ht="12.75" hidden="1">
      <c r="A15" s="220"/>
      <c r="B15" s="221"/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O15" s="3"/>
      <c r="P15" s="3"/>
      <c r="Q15" s="3"/>
    </row>
    <row r="16" spans="1:17" ht="12.75" hidden="1">
      <c r="A16" s="220"/>
      <c r="B16" s="221"/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304</v>
      </c>
      <c r="B17" s="221">
        <v>0</v>
      </c>
      <c r="C17" s="24"/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3"/>
      <c r="O17" s="3"/>
      <c r="P17" s="3"/>
      <c r="Q17" s="3"/>
    </row>
    <row r="18" spans="1:17" ht="12.75">
      <c r="A18" s="220" t="s">
        <v>176</v>
      </c>
      <c r="B18" s="221">
        <v>4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4</v>
      </c>
      <c r="M18" s="3"/>
      <c r="N18" s="3"/>
      <c r="O18" s="3"/>
      <c r="P18" s="3"/>
      <c r="Q18" s="3"/>
    </row>
    <row r="19" spans="1:17" ht="12.75">
      <c r="A19" s="220" t="s">
        <v>177</v>
      </c>
      <c r="B19" s="221">
        <v>1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1</v>
      </c>
      <c r="M19" s="3"/>
      <c r="N19" s="3"/>
      <c r="O19" s="3"/>
      <c r="P19" s="3"/>
      <c r="Q19" s="3"/>
    </row>
    <row r="20" spans="1:17" ht="12.75">
      <c r="A20" s="220" t="s">
        <v>200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203</v>
      </c>
      <c r="B21" s="221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8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178</v>
      </c>
      <c r="B22" s="221">
        <v>1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1</v>
      </c>
      <c r="M22" s="3"/>
      <c r="N22" s="3"/>
      <c r="O22" s="3"/>
      <c r="P22" s="3"/>
      <c r="Q22" s="3"/>
    </row>
    <row r="23" spans="1:17" ht="12.75">
      <c r="A23" s="220" t="s">
        <v>179</v>
      </c>
      <c r="B23" s="221">
        <v>1</v>
      </c>
      <c r="C23" s="24"/>
      <c r="D23" s="24"/>
      <c r="E23" s="24"/>
      <c r="F23" s="24"/>
      <c r="G23" s="24"/>
      <c r="H23" s="24"/>
      <c r="I23" s="162"/>
      <c r="J23" s="162"/>
      <c r="K23" s="169"/>
      <c r="L23" s="227">
        <f t="shared" si="0"/>
        <v>1</v>
      </c>
      <c r="M23" s="3"/>
      <c r="N23" s="3"/>
      <c r="O23" s="3"/>
      <c r="P23" s="3"/>
      <c r="Q23" s="3"/>
    </row>
    <row r="24" spans="1:17" ht="12.75">
      <c r="A24" s="220" t="s">
        <v>180</v>
      </c>
      <c r="B24" s="221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3"/>
      <c r="P24" s="3"/>
      <c r="Q24" s="3"/>
    </row>
    <row r="25" spans="1:17" ht="12.75">
      <c r="A25" s="220" t="s">
        <v>195</v>
      </c>
      <c r="B25" s="221">
        <v>0</v>
      </c>
      <c r="C25" s="24"/>
      <c r="D25" s="24"/>
      <c r="E25" s="24"/>
      <c r="F25" s="24"/>
      <c r="G25" s="24"/>
      <c r="H25" s="24"/>
      <c r="I25" s="162"/>
      <c r="J25" s="162"/>
      <c r="K25" s="169"/>
      <c r="L25" s="228">
        <f t="shared" si="0"/>
        <v>0</v>
      </c>
      <c r="M25" s="3"/>
      <c r="N25" s="3"/>
      <c r="O25" s="3"/>
      <c r="P25" s="3"/>
      <c r="Q25" s="3"/>
    </row>
    <row r="26" spans="1:17" ht="12.75">
      <c r="A26" s="229" t="s">
        <v>182</v>
      </c>
      <c r="B26" s="230">
        <v>0</v>
      </c>
      <c r="C26" s="21"/>
      <c r="D26" s="21"/>
      <c r="E26" s="21"/>
      <c r="F26" s="21"/>
      <c r="G26" s="21"/>
      <c r="H26" s="21"/>
      <c r="I26" s="152"/>
      <c r="J26" s="152"/>
      <c r="K26" s="231"/>
      <c r="L26" s="232">
        <f t="shared" si="0"/>
        <v>0</v>
      </c>
      <c r="M26" s="3"/>
      <c r="N26" s="3"/>
      <c r="O26" s="3"/>
      <c r="P26" s="3"/>
      <c r="Q26" s="3"/>
    </row>
    <row r="27" spans="1:17" ht="13.5" thickBot="1">
      <c r="A27" s="233" t="s">
        <v>208</v>
      </c>
      <c r="B27" s="234">
        <v>0</v>
      </c>
      <c r="C27" s="235"/>
      <c r="D27" s="235"/>
      <c r="E27" s="235"/>
      <c r="F27" s="235"/>
      <c r="G27" s="235"/>
      <c r="H27" s="235"/>
      <c r="I27" s="236"/>
      <c r="J27" s="236"/>
      <c r="K27" s="237"/>
      <c r="L27" s="238">
        <f t="shared" si="0"/>
        <v>0</v>
      </c>
      <c r="M27" s="3"/>
      <c r="N27" s="3"/>
      <c r="O27" s="3"/>
      <c r="P27" s="3"/>
      <c r="Q27" s="3"/>
    </row>
    <row r="28" spans="1:17" ht="13.5" thickBot="1">
      <c r="A28" s="239" t="s">
        <v>186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40">
        <f>SUM(L13:L27)</f>
        <v>368</v>
      </c>
      <c r="M28" s="3"/>
      <c r="N28" s="3"/>
      <c r="O28" s="3"/>
      <c r="P28" s="3"/>
      <c r="Q28" s="3"/>
    </row>
    <row r="29" spans="1:17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4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/>
      <c r="B31" s="202" t="s">
        <v>189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188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302</v>
      </c>
      <c r="B33" s="14">
        <f>L13</f>
        <v>361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41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41" t="s">
        <v>63</v>
      </c>
      <c r="B35" s="240">
        <f>SUM(B33:B34)</f>
        <v>361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2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 t="s">
        <v>131</v>
      </c>
      <c r="B38" s="14">
        <f>L17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 t="s">
        <v>208</v>
      </c>
      <c r="B39" s="243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41" t="s">
        <v>178</v>
      </c>
      <c r="B40" s="14">
        <f>L22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41" t="s">
        <v>63</v>
      </c>
      <c r="B41" s="240">
        <f>SUM(B38:B40)</f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2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179</v>
      </c>
      <c r="B45" s="14">
        <f>L23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180</v>
      </c>
      <c r="B46" s="243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195</v>
      </c>
      <c r="B47" s="243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200</v>
      </c>
      <c r="B48" s="243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63</v>
      </c>
      <c r="B49" s="240">
        <f>SUM(B44:B48)</f>
        <v>1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2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177</v>
      </c>
      <c r="B52" s="243">
        <f>L19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41" t="s">
        <v>204</v>
      </c>
      <c r="B53" s="243">
        <f>L21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1" t="s">
        <v>182</v>
      </c>
      <c r="B54" s="243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/>
      <c r="B55" s="243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SUM(B52:B55)</f>
        <v>1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42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41" t="s">
        <v>176</v>
      </c>
      <c r="B59" s="243">
        <f>L18</f>
        <v>4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41" t="s">
        <v>63</v>
      </c>
      <c r="B60" s="244">
        <f>SUM(B59:B59)</f>
        <v>4</v>
      </c>
      <c r="C60" s="9"/>
      <c r="D60" s="9"/>
      <c r="E60" s="251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D39">
      <selection activeCell="E49" sqref="E49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78"/>
    </row>
    <row r="3" ht="12.75">
      <c r="A3" s="4" t="s">
        <v>5</v>
      </c>
    </row>
    <row r="5" ht="12.75">
      <c r="A5" s="177"/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33.48700000000001</v>
      </c>
      <c r="D7" s="3" t="s">
        <v>2</v>
      </c>
      <c r="F7" s="2" t="s">
        <v>7</v>
      </c>
      <c r="H7" s="47">
        <v>250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+'Pegar fondo'!L13</f>
        <v>361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9205</v>
      </c>
      <c r="I11" t="s">
        <v>294</v>
      </c>
    </row>
    <row r="12" ht="12.75">
      <c r="A12" s="2" t="s">
        <v>10</v>
      </c>
    </row>
    <row r="13" ht="12.75">
      <c r="D13" s="177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+'Pegar fondo'!B49</f>
        <v>1</v>
      </c>
      <c r="K17" s="131">
        <f>I17/I18</f>
        <v>0.002717391304347826</v>
      </c>
      <c r="L17" s="37" t="s">
        <v>99</v>
      </c>
    </row>
    <row r="18" spans="4:9" ht="13.5" thickTop="1">
      <c r="D18" s="38" t="s">
        <v>190</v>
      </c>
      <c r="I18" s="122">
        <f>+'Pegar fondo'!L28</f>
        <v>368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+'Pegar fondo'!B56</f>
        <v>1</v>
      </c>
      <c r="K20" s="131">
        <f>I20/I21</f>
        <v>0.002717391304347826</v>
      </c>
      <c r="L20" s="37" t="s">
        <v>99</v>
      </c>
    </row>
    <row r="21" spans="4:9" ht="13.5" thickTop="1">
      <c r="D21" s="38" t="s">
        <v>190</v>
      </c>
      <c r="I21" s="124">
        <f>I18</f>
        <v>368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+'Pegar fondo'!B41</f>
        <v>1</v>
      </c>
      <c r="K23" s="131">
        <f>I23/I24</f>
        <v>0.002717391304347826</v>
      </c>
      <c r="L23" s="37" t="s">
        <v>99</v>
      </c>
    </row>
    <row r="24" spans="4:9" ht="13.5" thickTop="1">
      <c r="D24" s="38" t="s">
        <v>190</v>
      </c>
      <c r="I24" s="125">
        <f>I18</f>
        <v>368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+'Pegar fondo'!B60</f>
        <v>4</v>
      </c>
      <c r="K26" s="131">
        <f>I26/I27</f>
        <v>0.010869565217391304</v>
      </c>
      <c r="L26" s="37" t="s">
        <v>99</v>
      </c>
    </row>
    <row r="27" spans="4:9" ht="13.5" thickTop="1">
      <c r="D27" s="38" t="s">
        <v>190</v>
      </c>
      <c r="I27" s="126">
        <f>I18</f>
        <v>368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'Pegar fondo'!L13*H11</f>
        <v>3323005</v>
      </c>
      <c r="K29" s="47">
        <f>I29/I30</f>
        <v>9029.904891304348</v>
      </c>
      <c r="L29" s="37" t="s">
        <v>2</v>
      </c>
    </row>
    <row r="30" spans="4:9" ht="13.5" thickTop="1">
      <c r="D30" s="38" t="s">
        <v>91</v>
      </c>
      <c r="I30" s="130">
        <f>I18</f>
        <v>368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+Normal!E26</f>
        <v>+ 0.06</v>
      </c>
      <c r="L35" s="58" t="str">
        <f>+Normal!H26</f>
        <v>+ 0.02</v>
      </c>
      <c r="N35" s="56">
        <f>J35+K35+L35</f>
        <v>1.08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36.16596000000001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9752.297282608697</v>
      </c>
      <c r="E40">
        <f>D40/D41-1</f>
        <v>0.0786161664292826</v>
      </c>
      <c r="F40" t="s">
        <v>99</v>
      </c>
    </row>
    <row r="41" spans="3:4" ht="12.75">
      <c r="C41" s="3" t="s">
        <v>97</v>
      </c>
      <c r="D41" s="3">
        <f>H7*E37</f>
        <v>9041.490000000003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0.002717391304347826</v>
      </c>
      <c r="C47" s="66">
        <f>K20</f>
        <v>0.002717391304347826</v>
      </c>
      <c r="D47" s="3">
        <f>K23</f>
        <v>0.002717391304347826</v>
      </c>
      <c r="E47" s="3">
        <f>K26</f>
        <v>0.010869565217391304</v>
      </c>
      <c r="F47">
        <f>E40</f>
        <v>0.0786161664292826</v>
      </c>
    </row>
    <row r="49" spans="1:3" ht="12.75">
      <c r="A49" s="2" t="s">
        <v>52</v>
      </c>
      <c r="B49">
        <f>B47+C47+D47+E47+F47</f>
        <v>0.09763790555971738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36.16596000000001</v>
      </c>
      <c r="F54" s="66">
        <f>B49+1</f>
        <v>1.0976379055597174</v>
      </c>
    </row>
    <row r="56" spans="1:5" ht="12.75">
      <c r="A56" s="2" t="s">
        <v>104</v>
      </c>
      <c r="D56">
        <f>E54*F54</f>
        <v>39.69712858695653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3.503908764729506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2440295" r:id="rId1"/>
    <oleObject progId="Equation.3" shapeId="2440296" r:id="rId2"/>
  </oleObjects>
</worksheet>
</file>

<file path=xl/worksheets/sheet3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366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25</v>
      </c>
      <c r="D5" s="9"/>
      <c r="E5" s="9"/>
      <c r="F5" s="9"/>
      <c r="G5" s="10" t="s">
        <v>250</v>
      </c>
      <c r="H5" s="209">
        <v>9205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250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305</v>
      </c>
      <c r="B13" s="215">
        <v>361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7">SUM(B13)</f>
        <v>361</v>
      </c>
      <c r="M13" s="95"/>
      <c r="N13" s="98"/>
      <c r="O13" s="95"/>
      <c r="P13" s="98"/>
      <c r="Q13" s="95"/>
    </row>
    <row r="14" spans="1:17" ht="12.75" hidden="1">
      <c r="A14" s="245"/>
      <c r="B14" s="246"/>
      <c r="C14" s="22"/>
      <c r="D14" s="22"/>
      <c r="E14" s="22"/>
      <c r="F14" s="22"/>
      <c r="G14" s="22"/>
      <c r="H14" s="22"/>
      <c r="I14" s="154"/>
      <c r="J14" s="154"/>
      <c r="K14" s="247"/>
      <c r="L14" s="250">
        <f t="shared" si="0"/>
        <v>0</v>
      </c>
      <c r="M14" s="95"/>
      <c r="N14" s="98"/>
      <c r="O14" s="95"/>
      <c r="P14" s="98"/>
      <c r="Q14" s="95"/>
    </row>
    <row r="15" spans="1:17" ht="12.75" hidden="1">
      <c r="A15" s="220"/>
      <c r="B15" s="221"/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O15" s="3"/>
      <c r="P15" s="3"/>
      <c r="Q15" s="3"/>
    </row>
    <row r="16" spans="1:17" ht="12.75" hidden="1">
      <c r="A16" s="220"/>
      <c r="B16" s="221"/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306</v>
      </c>
      <c r="B17" s="221">
        <v>0</v>
      </c>
      <c r="C17" s="24"/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3"/>
      <c r="O17" s="3"/>
      <c r="P17" s="3"/>
      <c r="Q17" s="3"/>
    </row>
    <row r="18" spans="1:17" ht="12.75">
      <c r="A18" s="220" t="s">
        <v>176</v>
      </c>
      <c r="B18" s="221">
        <v>4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4</v>
      </c>
      <c r="M18" s="3"/>
      <c r="N18" s="3"/>
      <c r="O18" s="3"/>
      <c r="P18" s="3"/>
      <c r="Q18" s="3"/>
    </row>
    <row r="19" spans="1:17" ht="12.75">
      <c r="A19" s="220" t="s">
        <v>177</v>
      </c>
      <c r="B19" s="221">
        <v>1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1</v>
      </c>
      <c r="M19" s="3"/>
      <c r="N19" s="3"/>
      <c r="O19" s="3"/>
      <c r="P19" s="3"/>
      <c r="Q19" s="3"/>
    </row>
    <row r="20" spans="1:17" ht="12.75">
      <c r="A20" s="220" t="s">
        <v>200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203</v>
      </c>
      <c r="B21" s="221">
        <v>0</v>
      </c>
      <c r="C21" s="24"/>
      <c r="D21" s="24"/>
      <c r="E21" s="24"/>
      <c r="F21" s="24"/>
      <c r="G21" s="24"/>
      <c r="H21" s="24"/>
      <c r="I21" s="162"/>
      <c r="J21" s="162"/>
      <c r="K21" s="169"/>
      <c r="L21" s="228">
        <f t="shared" si="0"/>
        <v>0</v>
      </c>
      <c r="M21" s="3"/>
      <c r="N21" s="3"/>
      <c r="O21" s="3"/>
      <c r="P21" s="3"/>
      <c r="Q21" s="3"/>
    </row>
    <row r="22" spans="1:17" ht="12.75">
      <c r="A22" s="220" t="s">
        <v>178</v>
      </c>
      <c r="B22" s="221">
        <v>1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1</v>
      </c>
      <c r="M22" s="3"/>
      <c r="N22" s="3"/>
      <c r="O22" s="3"/>
      <c r="P22" s="3"/>
      <c r="Q22" s="3"/>
    </row>
    <row r="23" spans="1:17" ht="12.75">
      <c r="A23" s="220" t="s">
        <v>179</v>
      </c>
      <c r="B23" s="221">
        <v>1</v>
      </c>
      <c r="C23" s="24"/>
      <c r="D23" s="24"/>
      <c r="E23" s="24"/>
      <c r="F23" s="24"/>
      <c r="G23" s="24"/>
      <c r="H23" s="24"/>
      <c r="I23" s="162"/>
      <c r="J23" s="162"/>
      <c r="K23" s="169"/>
      <c r="L23" s="227">
        <f t="shared" si="0"/>
        <v>1</v>
      </c>
      <c r="M23" s="3"/>
      <c r="N23" s="3"/>
      <c r="O23" s="3"/>
      <c r="P23" s="3"/>
      <c r="Q23" s="3"/>
    </row>
    <row r="24" spans="1:17" ht="12.75">
      <c r="A24" s="220" t="s">
        <v>180</v>
      </c>
      <c r="B24" s="221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3"/>
      <c r="P24" s="3"/>
      <c r="Q24" s="3"/>
    </row>
    <row r="25" spans="1:17" ht="12.75">
      <c r="A25" s="220" t="s">
        <v>195</v>
      </c>
      <c r="B25" s="221">
        <v>0</v>
      </c>
      <c r="C25" s="24"/>
      <c r="D25" s="24"/>
      <c r="E25" s="24"/>
      <c r="F25" s="24"/>
      <c r="G25" s="24"/>
      <c r="H25" s="24"/>
      <c r="I25" s="162"/>
      <c r="J25" s="162"/>
      <c r="K25" s="169"/>
      <c r="L25" s="228">
        <f t="shared" si="0"/>
        <v>0</v>
      </c>
      <c r="M25" s="3"/>
      <c r="N25" s="3"/>
      <c r="O25" s="3"/>
      <c r="P25" s="3"/>
      <c r="Q25" s="3"/>
    </row>
    <row r="26" spans="1:17" ht="12.75">
      <c r="A26" s="229" t="s">
        <v>182</v>
      </c>
      <c r="B26" s="230">
        <v>0</v>
      </c>
      <c r="C26" s="21"/>
      <c r="D26" s="21"/>
      <c r="E26" s="21"/>
      <c r="F26" s="21"/>
      <c r="G26" s="21"/>
      <c r="H26" s="21"/>
      <c r="I26" s="152"/>
      <c r="J26" s="152"/>
      <c r="K26" s="231"/>
      <c r="L26" s="232">
        <f t="shared" si="0"/>
        <v>0</v>
      </c>
      <c r="M26" s="3"/>
      <c r="N26" s="3"/>
      <c r="O26" s="3"/>
      <c r="P26" s="3"/>
      <c r="Q26" s="3"/>
    </row>
    <row r="27" spans="1:17" ht="13.5" thickBot="1">
      <c r="A27" s="233" t="s">
        <v>208</v>
      </c>
      <c r="B27" s="234">
        <v>0</v>
      </c>
      <c r="C27" s="235"/>
      <c r="D27" s="235"/>
      <c r="E27" s="235"/>
      <c r="F27" s="235"/>
      <c r="G27" s="235"/>
      <c r="H27" s="235"/>
      <c r="I27" s="236"/>
      <c r="J27" s="236"/>
      <c r="K27" s="237"/>
      <c r="L27" s="238">
        <f t="shared" si="0"/>
        <v>0</v>
      </c>
      <c r="M27" s="3"/>
      <c r="N27" s="3"/>
      <c r="O27" s="3"/>
      <c r="P27" s="3"/>
      <c r="Q27" s="3"/>
    </row>
    <row r="28" spans="1:17" ht="13.5" thickBot="1">
      <c r="A28" s="239" t="s">
        <v>186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40">
        <f>SUM(L13:L27)</f>
        <v>368</v>
      </c>
      <c r="M28" s="3"/>
      <c r="N28" s="3"/>
      <c r="O28" s="3"/>
      <c r="P28" s="3"/>
      <c r="Q28" s="3"/>
    </row>
    <row r="29" spans="1:17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4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/>
      <c r="B31" s="202" t="s">
        <v>189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188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305</v>
      </c>
      <c r="B33" s="14">
        <f>L13</f>
        <v>361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41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41" t="s">
        <v>63</v>
      </c>
      <c r="B35" s="240">
        <f>SUM(B33:B34)</f>
        <v>361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2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 t="s">
        <v>306</v>
      </c>
      <c r="B38" s="14">
        <f>L17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 t="s">
        <v>208</v>
      </c>
      <c r="B39" s="243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41" t="s">
        <v>178</v>
      </c>
      <c r="B40" s="14">
        <f>L22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41" t="s">
        <v>63</v>
      </c>
      <c r="B41" s="240">
        <f>SUM(B38:B40)</f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2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179</v>
      </c>
      <c r="B45" s="14">
        <f>L23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180</v>
      </c>
      <c r="B46" s="243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195</v>
      </c>
      <c r="B47" s="243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200</v>
      </c>
      <c r="B48" s="243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63</v>
      </c>
      <c r="B49" s="240">
        <f>SUM(B44:B48)</f>
        <v>1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2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177</v>
      </c>
      <c r="B52" s="243">
        <f>L19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41" t="s">
        <v>204</v>
      </c>
      <c r="B53" s="243">
        <f>L21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1" t="s">
        <v>182</v>
      </c>
      <c r="B54" s="243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/>
      <c r="B55" s="243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SUM(B52:B55)</f>
        <v>1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42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41" t="s">
        <v>176</v>
      </c>
      <c r="B59" s="243">
        <f>L18</f>
        <v>4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41" t="s">
        <v>63</v>
      </c>
      <c r="B60" s="244">
        <f>SUM(B59:B59)</f>
        <v>4</v>
      </c>
      <c r="C60" s="9"/>
      <c r="D60" s="9"/>
      <c r="E60" s="251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A36">
      <selection activeCell="A3" sqref="A3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78"/>
    </row>
    <row r="3" ht="12.75">
      <c r="A3" s="4" t="s">
        <v>5</v>
      </c>
    </row>
    <row r="5" ht="12.75">
      <c r="A5" s="177"/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33.117000000000004</v>
      </c>
      <c r="D7" s="3" t="s">
        <v>2</v>
      </c>
      <c r="F7" s="2" t="s">
        <v>7</v>
      </c>
      <c r="H7" s="47">
        <v>250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+'Pegar Tapa'!L13</f>
        <v>361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9205</v>
      </c>
      <c r="I11" t="s">
        <v>294</v>
      </c>
    </row>
    <row r="12" ht="12.75">
      <c r="A12" s="2" t="s">
        <v>10</v>
      </c>
    </row>
    <row r="13" ht="12.75">
      <c r="D13" s="177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+'Pegar Tapa'!B49</f>
        <v>1</v>
      </c>
      <c r="K17" s="131">
        <f>I17/I18</f>
        <v>0.002717391304347826</v>
      </c>
      <c r="L17" s="37" t="s">
        <v>99</v>
      </c>
    </row>
    <row r="18" spans="4:9" ht="13.5" thickTop="1">
      <c r="D18" s="38" t="s">
        <v>190</v>
      </c>
      <c r="I18" s="122">
        <f>+'Pegar Tapa'!L28</f>
        <v>368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+'Pegar Tapa'!B56</f>
        <v>1</v>
      </c>
      <c r="K20" s="131">
        <f>I20/I21</f>
        <v>0.002717391304347826</v>
      </c>
      <c r="L20" s="37" t="s">
        <v>99</v>
      </c>
    </row>
    <row r="21" spans="4:9" ht="13.5" thickTop="1">
      <c r="D21" s="38" t="s">
        <v>190</v>
      </c>
      <c r="I21" s="124">
        <f>I18</f>
        <v>368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+'Pegar Tapa'!B41</f>
        <v>1</v>
      </c>
      <c r="K23" s="131">
        <f>I23/I24</f>
        <v>0.002717391304347826</v>
      </c>
      <c r="L23" s="37" t="s">
        <v>99</v>
      </c>
    </row>
    <row r="24" spans="4:9" ht="13.5" thickTop="1">
      <c r="D24" s="38" t="s">
        <v>190</v>
      </c>
      <c r="I24" s="125">
        <f>I18</f>
        <v>368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+'Pegar Tapa'!B60</f>
        <v>4</v>
      </c>
      <c r="K26" s="131">
        <f>I26/I27</f>
        <v>0.010869565217391304</v>
      </c>
      <c r="L26" s="37" t="s">
        <v>99</v>
      </c>
    </row>
    <row r="27" spans="4:9" ht="13.5" thickTop="1">
      <c r="D27" s="38" t="s">
        <v>190</v>
      </c>
      <c r="I27" s="126">
        <f>I18</f>
        <v>368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'Pegar Tapa'!L13*H11</f>
        <v>3323005</v>
      </c>
      <c r="K29" s="47">
        <f>I29/I30</f>
        <v>9029.904891304348</v>
      </c>
      <c r="L29" s="37" t="s">
        <v>2</v>
      </c>
    </row>
    <row r="30" spans="4:9" ht="13.5" thickTop="1">
      <c r="D30" s="38" t="s">
        <v>91</v>
      </c>
      <c r="I30" s="130">
        <f>I18</f>
        <v>368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+Normal!E26</f>
        <v>+ 0.06</v>
      </c>
      <c r="L35" s="58" t="str">
        <f>+Normal!H26</f>
        <v>+ 0.02</v>
      </c>
      <c r="N35" s="56">
        <f>J35+K35+L35</f>
        <v>1.08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35.766360000000006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9752.297282608697</v>
      </c>
      <c r="E40">
        <f>D40/D41-1</f>
        <v>0.09066701588964543</v>
      </c>
      <c r="F40" t="s">
        <v>99</v>
      </c>
    </row>
    <row r="41" spans="3:4" ht="12.75">
      <c r="C41" s="3" t="s">
        <v>97</v>
      </c>
      <c r="D41" s="3">
        <f>H7*E37</f>
        <v>8941.590000000002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0.002717391304347826</v>
      </c>
      <c r="C47" s="66">
        <f>K20</f>
        <v>0.002717391304347826</v>
      </c>
      <c r="D47" s="3">
        <f>K23</f>
        <v>0.002717391304347826</v>
      </c>
      <c r="E47" s="3">
        <f>K26</f>
        <v>0.010869565217391304</v>
      </c>
      <c r="F47">
        <f>E40</f>
        <v>0.09066701588964543</v>
      </c>
    </row>
    <row r="49" spans="1:3" ht="12.75">
      <c r="A49" s="2" t="s">
        <v>52</v>
      </c>
      <c r="B49">
        <f>B47+C47+D47+E47+F47</f>
        <v>0.10968875502008021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35.766360000000006</v>
      </c>
      <c r="F54" s="66">
        <f>B49+1</f>
        <v>1.1096887550200802</v>
      </c>
    </row>
    <row r="56" spans="1:5" ht="12.75">
      <c r="A56" s="2" t="s">
        <v>104</v>
      </c>
      <c r="D56">
        <f>E54*F54</f>
        <v>39.689527500000004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3.503908764729506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23037" r:id="rId1"/>
    <oleObject progId="Equation.3" shapeId="2303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B1" sqref="B1:F1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349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203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/>
      <c r="B5" s="10" t="s">
        <v>184</v>
      </c>
      <c r="C5" s="208">
        <v>10</v>
      </c>
      <c r="D5" s="9"/>
      <c r="E5" s="9"/>
      <c r="F5" s="9"/>
      <c r="G5" s="10" t="s">
        <v>250</v>
      </c>
      <c r="H5" s="209">
        <v>3794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252</v>
      </c>
      <c r="C7" s="15">
        <v>130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.5" thickBot="1">
      <c r="A9" s="9"/>
      <c r="B9" s="9"/>
      <c r="C9" s="9"/>
      <c r="D9" s="9"/>
      <c r="E9" s="9"/>
      <c r="F9" s="10" t="s">
        <v>185</v>
      </c>
      <c r="G9" s="9"/>
      <c r="H9" s="9"/>
      <c r="I9" s="9"/>
      <c r="J9" s="9"/>
      <c r="K9" s="9"/>
      <c r="L9" s="9"/>
    </row>
    <row r="10" spans="1:12" ht="13.5" thickBot="1">
      <c r="A10" s="211" t="s">
        <v>59</v>
      </c>
      <c r="B10" s="212">
        <v>1</v>
      </c>
      <c r="C10" s="212">
        <v>2</v>
      </c>
      <c r="D10" s="212">
        <v>3</v>
      </c>
      <c r="E10" s="212">
        <v>4</v>
      </c>
      <c r="F10" s="212">
        <v>5</v>
      </c>
      <c r="G10" s="212">
        <v>6</v>
      </c>
      <c r="H10" s="212">
        <v>7</v>
      </c>
      <c r="I10" s="212">
        <v>8</v>
      </c>
      <c r="J10" s="212">
        <v>9</v>
      </c>
      <c r="K10" s="212">
        <v>10</v>
      </c>
      <c r="L10" s="213" t="s">
        <v>187</v>
      </c>
    </row>
    <row r="11" spans="1:17" ht="12.75">
      <c r="A11" s="214" t="s">
        <v>247</v>
      </c>
      <c r="B11" s="215">
        <v>373</v>
      </c>
      <c r="C11" s="216"/>
      <c r="D11" s="216"/>
      <c r="E11" s="216"/>
      <c r="F11" s="216"/>
      <c r="G11" s="216"/>
      <c r="H11" s="216"/>
      <c r="I11" s="217"/>
      <c r="J11" s="217"/>
      <c r="K11" s="218"/>
      <c r="L11" s="219">
        <f aca="true" t="shared" si="0" ref="L11:L23">SUM(B11:H11)</f>
        <v>373</v>
      </c>
      <c r="M11" s="95"/>
      <c r="N11" s="98"/>
      <c r="O11" s="95"/>
      <c r="P11" s="98"/>
      <c r="Q11" s="95"/>
    </row>
    <row r="12" spans="1:17" ht="12.75">
      <c r="A12" s="220" t="s">
        <v>174</v>
      </c>
      <c r="B12" s="221">
        <v>1</v>
      </c>
      <c r="C12" s="24"/>
      <c r="D12" s="24"/>
      <c r="E12" s="24"/>
      <c r="F12" s="24"/>
      <c r="G12" s="24"/>
      <c r="H12" s="24"/>
      <c r="I12" s="162"/>
      <c r="J12" s="162"/>
      <c r="K12" s="169"/>
      <c r="L12" s="227">
        <f t="shared" si="0"/>
        <v>1</v>
      </c>
      <c r="M12" s="3"/>
      <c r="N12" s="3"/>
      <c r="O12" s="3"/>
      <c r="P12" s="3"/>
      <c r="Q12" s="3"/>
    </row>
    <row r="13" spans="1:17" ht="12.75">
      <c r="A13" s="220" t="s">
        <v>175</v>
      </c>
      <c r="B13" s="221">
        <v>0</v>
      </c>
      <c r="C13" s="24"/>
      <c r="D13" s="24"/>
      <c r="E13" s="24"/>
      <c r="F13" s="24"/>
      <c r="G13" s="24"/>
      <c r="H13" s="24"/>
      <c r="I13" s="162"/>
      <c r="J13" s="162"/>
      <c r="K13" s="169"/>
      <c r="L13" s="227">
        <f t="shared" si="0"/>
        <v>0</v>
      </c>
      <c r="M13" s="3"/>
      <c r="N13" s="3"/>
      <c r="O13" s="3"/>
      <c r="P13" s="3"/>
      <c r="Q13" s="3"/>
    </row>
    <row r="14" spans="1:17" ht="12.75">
      <c r="A14" s="220" t="s">
        <v>176</v>
      </c>
      <c r="B14" s="221">
        <v>2</v>
      </c>
      <c r="C14" s="24"/>
      <c r="D14" s="24"/>
      <c r="E14" s="24"/>
      <c r="F14" s="24"/>
      <c r="G14" s="24"/>
      <c r="H14" s="24"/>
      <c r="I14" s="162"/>
      <c r="J14" s="162"/>
      <c r="K14" s="169"/>
      <c r="L14" s="228">
        <f t="shared" si="0"/>
        <v>2</v>
      </c>
      <c r="M14" s="3"/>
      <c r="N14" s="3"/>
      <c r="O14" s="3"/>
      <c r="P14" s="3"/>
      <c r="Q14" s="3"/>
    </row>
    <row r="15" spans="1:17" ht="12.75">
      <c r="A15" s="220" t="s">
        <v>177</v>
      </c>
      <c r="B15" s="221">
        <v>0</v>
      </c>
      <c r="C15" s="24"/>
      <c r="D15" s="24"/>
      <c r="E15" s="24"/>
      <c r="F15" s="24"/>
      <c r="G15" s="24"/>
      <c r="H15" s="24"/>
      <c r="I15" s="162"/>
      <c r="J15" s="162"/>
      <c r="K15" s="169"/>
      <c r="L15" s="228">
        <f t="shared" si="0"/>
        <v>0</v>
      </c>
      <c r="M15" s="3"/>
      <c r="N15" s="3"/>
      <c r="O15" s="3"/>
      <c r="P15" s="3"/>
      <c r="Q15" s="3"/>
    </row>
    <row r="16" spans="1:17" ht="12.75">
      <c r="A16" s="220" t="s">
        <v>181</v>
      </c>
      <c r="B16" s="221">
        <v>0</v>
      </c>
      <c r="C16" s="24"/>
      <c r="D16" s="24"/>
      <c r="E16" s="24"/>
      <c r="F16" s="24"/>
      <c r="G16" s="24"/>
      <c r="H16" s="24"/>
      <c r="I16" s="162"/>
      <c r="J16" s="162"/>
      <c r="K16" s="169"/>
      <c r="L16" s="228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178</v>
      </c>
      <c r="B17" s="221">
        <v>0</v>
      </c>
      <c r="C17" s="24"/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3"/>
      <c r="O17" s="3"/>
      <c r="P17" s="3"/>
      <c r="Q17" s="3"/>
    </row>
    <row r="18" spans="1:17" ht="12.75">
      <c r="A18" s="220" t="s">
        <v>179</v>
      </c>
      <c r="B18" s="221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7">
        <f t="shared" si="0"/>
        <v>1</v>
      </c>
      <c r="M18" s="3"/>
      <c r="N18" s="3"/>
      <c r="O18" s="3"/>
      <c r="P18" s="3"/>
      <c r="Q18" s="3"/>
    </row>
    <row r="19" spans="1:17" ht="12.75">
      <c r="A19" s="220" t="s">
        <v>180</v>
      </c>
      <c r="B19" s="221">
        <v>1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1</v>
      </c>
      <c r="M19" s="3"/>
      <c r="N19" s="3"/>
      <c r="O19" s="3"/>
      <c r="P19" s="3"/>
      <c r="Q19" s="3"/>
    </row>
    <row r="20" spans="1:17" ht="12.75">
      <c r="A20" s="220" t="s">
        <v>195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9" t="s">
        <v>182</v>
      </c>
      <c r="B21" s="230">
        <v>0</v>
      </c>
      <c r="C21" s="21"/>
      <c r="D21" s="21"/>
      <c r="E21" s="21"/>
      <c r="F21" s="21"/>
      <c r="G21" s="21"/>
      <c r="H21" s="21"/>
      <c r="I21" s="152"/>
      <c r="J21" s="152"/>
      <c r="K21" s="231"/>
      <c r="L21" s="232">
        <f t="shared" si="0"/>
        <v>0</v>
      </c>
      <c r="M21" s="3"/>
      <c r="N21" s="3"/>
      <c r="O21" s="3"/>
      <c r="P21" s="3"/>
      <c r="Q21" s="3"/>
    </row>
    <row r="22" spans="1:17" ht="12.75">
      <c r="A22" s="229" t="s">
        <v>292</v>
      </c>
      <c r="B22" s="230">
        <v>1</v>
      </c>
      <c r="C22" s="21"/>
      <c r="D22" s="21"/>
      <c r="E22" s="21"/>
      <c r="F22" s="21"/>
      <c r="G22" s="21"/>
      <c r="H22" s="21"/>
      <c r="I22" s="152"/>
      <c r="J22" s="152"/>
      <c r="K22" s="231"/>
      <c r="L22" s="232">
        <f t="shared" si="0"/>
        <v>1</v>
      </c>
      <c r="M22" s="3"/>
      <c r="N22" s="3"/>
      <c r="O22" s="3"/>
      <c r="P22" s="3"/>
      <c r="Q22" s="3"/>
    </row>
    <row r="23" spans="1:17" ht="13.5" thickBot="1">
      <c r="A23" s="233" t="s">
        <v>208</v>
      </c>
      <c r="B23" s="234">
        <v>0</v>
      </c>
      <c r="C23" s="235"/>
      <c r="D23" s="235"/>
      <c r="E23" s="235"/>
      <c r="F23" s="235"/>
      <c r="G23" s="235"/>
      <c r="H23" s="235"/>
      <c r="I23" s="236"/>
      <c r="J23" s="236"/>
      <c r="K23" s="237"/>
      <c r="L23" s="238">
        <f t="shared" si="0"/>
        <v>0</v>
      </c>
      <c r="M23" s="3"/>
      <c r="N23" s="3"/>
      <c r="O23" s="3"/>
      <c r="P23" s="3"/>
      <c r="Q23" s="3"/>
    </row>
    <row r="24" spans="1:17" ht="13.5" thickBot="1">
      <c r="A24" s="239" t="s">
        <v>186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40">
        <f>SUM(L11:L23)</f>
        <v>379</v>
      </c>
      <c r="M24" s="3"/>
      <c r="N24" s="3"/>
      <c r="O24" s="3"/>
      <c r="P24" s="3"/>
      <c r="Q24" s="3"/>
    </row>
    <row r="25" spans="1:17" ht="12.75">
      <c r="A25" s="241"/>
      <c r="B25" s="9"/>
      <c r="C25" s="9"/>
      <c r="D25" s="9"/>
      <c r="E25" s="9"/>
      <c r="F25" s="9"/>
      <c r="G25" s="9"/>
      <c r="H25" s="9"/>
      <c r="I25" s="9"/>
      <c r="J25" s="9"/>
      <c r="K25" s="9"/>
      <c r="L25" s="14"/>
      <c r="M25" s="3"/>
      <c r="N25" s="3"/>
      <c r="O25" s="3"/>
      <c r="P25" s="3"/>
      <c r="Q25" s="3"/>
    </row>
    <row r="26" spans="1:12" ht="12.75" hidden="1">
      <c r="A26" s="24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41"/>
      <c r="B27" s="202" t="s">
        <v>189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42" t="s">
        <v>188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 thickBot="1">
      <c r="A29" s="241" t="s">
        <v>247</v>
      </c>
      <c r="B29" s="14">
        <f>L11</f>
        <v>373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3.5" thickBot="1">
      <c r="A30" s="241" t="s">
        <v>63</v>
      </c>
      <c r="B30" s="240">
        <f>SUM(B29)</f>
        <v>373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164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175</v>
      </c>
      <c r="B33" s="14">
        <f>L13</f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41" t="s">
        <v>178</v>
      </c>
      <c r="B34" s="14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1" t="s">
        <v>208</v>
      </c>
      <c r="B35" s="243">
        <f>L23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3.5" thickBot="1">
      <c r="A36" s="241" t="s">
        <v>292</v>
      </c>
      <c r="B36" s="243">
        <v>2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41" t="s">
        <v>63</v>
      </c>
      <c r="B37" s="240">
        <f>SUM(B33:B36)</f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2" t="s">
        <v>162</v>
      </c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 t="s">
        <v>174</v>
      </c>
      <c r="B40" s="14">
        <f>L12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1" t="s">
        <v>179</v>
      </c>
      <c r="B41" s="14"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180</v>
      </c>
      <c r="B42" s="14"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3.5" thickBot="1">
      <c r="A43" s="241" t="s">
        <v>195</v>
      </c>
      <c r="B43" s="14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3.5" thickBot="1">
      <c r="A44" s="241" t="s">
        <v>63</v>
      </c>
      <c r="B44" s="240">
        <f>SUM(B40:B43)</f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2" t="s">
        <v>163</v>
      </c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177</v>
      </c>
      <c r="B47" s="243">
        <f>L15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41" t="s">
        <v>181</v>
      </c>
      <c r="B48" s="243">
        <f>L16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182</v>
      </c>
      <c r="B49" s="243">
        <f>L21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3.5" thickBot="1">
      <c r="A50" s="241" t="s">
        <v>63</v>
      </c>
      <c r="B50" s="244">
        <f>SUM(B47:B49)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2" t="s">
        <v>165</v>
      </c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176</v>
      </c>
      <c r="B53" s="243">
        <v>2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41" t="s">
        <v>63</v>
      </c>
      <c r="B54" s="244">
        <f>SUM(B53:B53)</f>
        <v>2</v>
      </c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367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6</v>
      </c>
      <c r="D5" s="9"/>
      <c r="E5" s="9"/>
      <c r="F5" s="9"/>
      <c r="G5" s="10" t="s">
        <v>250</v>
      </c>
      <c r="H5" s="209">
        <v>1853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295</v>
      </c>
      <c r="C7" s="15">
        <v>225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210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185</v>
      </c>
      <c r="G11" s="9"/>
      <c r="H11" s="9"/>
      <c r="I11" s="9"/>
      <c r="J11" s="9"/>
      <c r="K11" s="9"/>
      <c r="L11" s="9"/>
    </row>
    <row r="12" spans="1:12" ht="13.5" thickBot="1">
      <c r="A12" s="211" t="s">
        <v>59</v>
      </c>
      <c r="B12" s="212">
        <v>1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  <c r="H12" s="212">
        <v>7</v>
      </c>
      <c r="I12" s="212">
        <v>8</v>
      </c>
      <c r="J12" s="212">
        <v>9</v>
      </c>
      <c r="K12" s="212">
        <v>10</v>
      </c>
      <c r="L12" s="213" t="s">
        <v>187</v>
      </c>
    </row>
    <row r="13" spans="1:17" ht="12.75">
      <c r="A13" s="214" t="s">
        <v>307</v>
      </c>
      <c r="B13" s="215">
        <v>303</v>
      </c>
      <c r="C13" s="216"/>
      <c r="D13" s="216"/>
      <c r="E13" s="216"/>
      <c r="F13" s="216"/>
      <c r="G13" s="216"/>
      <c r="H13" s="216"/>
      <c r="I13" s="217"/>
      <c r="J13" s="217"/>
      <c r="K13" s="218"/>
      <c r="L13" s="219">
        <f aca="true" t="shared" si="0" ref="L13:L27">SUM(B13)</f>
        <v>303</v>
      </c>
      <c r="M13" s="95"/>
      <c r="N13" s="98"/>
      <c r="O13" s="95"/>
      <c r="P13" s="98"/>
      <c r="Q13" s="95"/>
    </row>
    <row r="14" spans="1:17" ht="12.75" hidden="1">
      <c r="A14" s="245"/>
      <c r="B14" s="246"/>
      <c r="C14" s="22"/>
      <c r="D14" s="22"/>
      <c r="E14" s="22"/>
      <c r="F14" s="22"/>
      <c r="G14" s="22"/>
      <c r="H14" s="22"/>
      <c r="I14" s="154"/>
      <c r="J14" s="154"/>
      <c r="K14" s="247"/>
      <c r="L14" s="250">
        <f t="shared" si="0"/>
        <v>0</v>
      </c>
      <c r="M14" s="95"/>
      <c r="N14" s="98"/>
      <c r="O14" s="95"/>
      <c r="P14" s="98"/>
      <c r="Q14" s="95"/>
    </row>
    <row r="15" spans="1:17" ht="12.75" hidden="1">
      <c r="A15" s="220"/>
      <c r="B15" s="221"/>
      <c r="C15" s="24"/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0</v>
      </c>
      <c r="M15" s="3"/>
      <c r="N15" s="3"/>
      <c r="O15" s="3"/>
      <c r="P15" s="3"/>
      <c r="Q15" s="3"/>
    </row>
    <row r="16" spans="1:17" ht="12.75" hidden="1">
      <c r="A16" s="220"/>
      <c r="B16" s="221"/>
      <c r="C16" s="24"/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309</v>
      </c>
      <c r="B17" s="221">
        <v>1</v>
      </c>
      <c r="C17" s="24"/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1</v>
      </c>
      <c r="M17" s="3"/>
      <c r="N17" s="3"/>
      <c r="O17" s="3"/>
      <c r="P17" s="3"/>
      <c r="Q17" s="3"/>
    </row>
    <row r="18" spans="1:17" ht="12.75">
      <c r="A18" s="220" t="s">
        <v>176</v>
      </c>
      <c r="B18" s="221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1</v>
      </c>
      <c r="M18" s="3"/>
      <c r="N18" s="3"/>
      <c r="O18" s="3"/>
      <c r="P18" s="3"/>
      <c r="Q18" s="3"/>
    </row>
    <row r="19" spans="1:17" ht="12.75">
      <c r="A19" s="220" t="s">
        <v>177</v>
      </c>
      <c r="B19" s="221">
        <v>0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0</v>
      </c>
      <c r="M19" s="3"/>
      <c r="N19" s="3"/>
      <c r="O19" s="3"/>
      <c r="P19" s="3"/>
      <c r="Q19" s="3"/>
    </row>
    <row r="20" spans="1:17" ht="12.75">
      <c r="A20" s="220" t="s">
        <v>200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203</v>
      </c>
      <c r="B21" s="221">
        <v>4</v>
      </c>
      <c r="C21" s="24"/>
      <c r="D21" s="24"/>
      <c r="E21" s="24"/>
      <c r="F21" s="24"/>
      <c r="G21" s="24"/>
      <c r="H21" s="24"/>
      <c r="I21" s="162"/>
      <c r="J21" s="162"/>
      <c r="K21" s="169"/>
      <c r="L21" s="228">
        <f t="shared" si="0"/>
        <v>4</v>
      </c>
      <c r="M21" s="3"/>
      <c r="N21" s="3"/>
      <c r="O21" s="3"/>
      <c r="P21" s="3"/>
      <c r="Q21" s="3"/>
    </row>
    <row r="22" spans="1:17" ht="12.75">
      <c r="A22" s="220" t="s">
        <v>178</v>
      </c>
      <c r="B22" s="221">
        <v>0</v>
      </c>
      <c r="C22" s="24"/>
      <c r="D22" s="24"/>
      <c r="E22" s="24"/>
      <c r="F22" s="24"/>
      <c r="G22" s="24"/>
      <c r="H22" s="24"/>
      <c r="I22" s="162"/>
      <c r="J22" s="162"/>
      <c r="K22" s="169"/>
      <c r="L22" s="227">
        <f t="shared" si="0"/>
        <v>0</v>
      </c>
      <c r="M22" s="3"/>
      <c r="N22" s="3"/>
      <c r="O22" s="3"/>
      <c r="P22" s="3"/>
      <c r="Q22" s="3"/>
    </row>
    <row r="23" spans="1:17" ht="12.75">
      <c r="A23" s="220" t="s">
        <v>179</v>
      </c>
      <c r="B23" s="221">
        <v>0</v>
      </c>
      <c r="C23" s="24"/>
      <c r="D23" s="24"/>
      <c r="E23" s="24"/>
      <c r="F23" s="24"/>
      <c r="G23" s="24"/>
      <c r="H23" s="24"/>
      <c r="I23" s="162"/>
      <c r="J23" s="162"/>
      <c r="K23" s="169"/>
      <c r="L23" s="227">
        <f t="shared" si="0"/>
        <v>0</v>
      </c>
      <c r="M23" s="3"/>
      <c r="N23" s="3"/>
      <c r="O23" s="3"/>
      <c r="P23" s="3"/>
      <c r="Q23" s="3"/>
    </row>
    <row r="24" spans="1:17" ht="12.75">
      <c r="A24" s="220" t="s">
        <v>180</v>
      </c>
      <c r="B24" s="221">
        <v>0</v>
      </c>
      <c r="C24" s="24"/>
      <c r="D24" s="24"/>
      <c r="E24" s="24"/>
      <c r="F24" s="24"/>
      <c r="G24" s="24"/>
      <c r="H24" s="24"/>
      <c r="I24" s="162"/>
      <c r="J24" s="162"/>
      <c r="K24" s="169"/>
      <c r="L24" s="228">
        <f t="shared" si="0"/>
        <v>0</v>
      </c>
      <c r="M24" s="3"/>
      <c r="N24" s="3"/>
      <c r="O24" s="3"/>
      <c r="P24" s="3"/>
      <c r="Q24" s="3"/>
    </row>
    <row r="25" spans="1:17" ht="12.75">
      <c r="A25" s="220" t="s">
        <v>195</v>
      </c>
      <c r="B25" s="221">
        <v>0</v>
      </c>
      <c r="C25" s="24"/>
      <c r="D25" s="24"/>
      <c r="E25" s="24"/>
      <c r="F25" s="24"/>
      <c r="G25" s="24"/>
      <c r="H25" s="24"/>
      <c r="I25" s="162"/>
      <c r="J25" s="162"/>
      <c r="K25" s="169"/>
      <c r="L25" s="228">
        <f t="shared" si="0"/>
        <v>0</v>
      </c>
      <c r="M25" s="3"/>
      <c r="N25" s="3"/>
      <c r="O25" s="3"/>
      <c r="P25" s="3"/>
      <c r="Q25" s="3"/>
    </row>
    <row r="26" spans="1:17" ht="12.75">
      <c r="A26" s="229" t="s">
        <v>182</v>
      </c>
      <c r="B26" s="230">
        <v>0</v>
      </c>
      <c r="C26" s="21"/>
      <c r="D26" s="21"/>
      <c r="E26" s="21"/>
      <c r="F26" s="21"/>
      <c r="G26" s="21"/>
      <c r="H26" s="21"/>
      <c r="I26" s="152"/>
      <c r="J26" s="152"/>
      <c r="K26" s="231"/>
      <c r="L26" s="232">
        <f t="shared" si="0"/>
        <v>0</v>
      </c>
      <c r="M26" s="3"/>
      <c r="N26" s="3"/>
      <c r="O26" s="3"/>
      <c r="P26" s="3"/>
      <c r="Q26" s="3"/>
    </row>
    <row r="27" spans="1:17" ht="13.5" thickBot="1">
      <c r="A27" s="233" t="s">
        <v>208</v>
      </c>
      <c r="B27" s="234">
        <v>0</v>
      </c>
      <c r="C27" s="235"/>
      <c r="D27" s="235"/>
      <c r="E27" s="235"/>
      <c r="F27" s="235"/>
      <c r="G27" s="235"/>
      <c r="H27" s="235"/>
      <c r="I27" s="236"/>
      <c r="J27" s="236"/>
      <c r="K27" s="237"/>
      <c r="L27" s="238">
        <f t="shared" si="0"/>
        <v>0</v>
      </c>
      <c r="M27" s="3"/>
      <c r="N27" s="3"/>
      <c r="O27" s="3"/>
      <c r="P27" s="3"/>
      <c r="Q27" s="3"/>
    </row>
    <row r="28" spans="1:17" ht="13.5" thickBot="1">
      <c r="A28" s="239" t="s">
        <v>186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40">
        <f>SUM(L13:L27)</f>
        <v>309</v>
      </c>
      <c r="M28" s="3"/>
      <c r="N28" s="3"/>
      <c r="O28" s="3"/>
      <c r="P28" s="3"/>
      <c r="Q28" s="3"/>
    </row>
    <row r="29" spans="1:17" ht="12.75">
      <c r="A29" s="241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4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/>
      <c r="B31" s="202" t="s">
        <v>189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188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307</v>
      </c>
      <c r="B33" s="14">
        <f>L13</f>
        <v>303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41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41" t="s">
        <v>63</v>
      </c>
      <c r="B35" s="240">
        <f>SUM(B33:B34)</f>
        <v>303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2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 t="s">
        <v>308</v>
      </c>
      <c r="B38" s="14">
        <f>L17</f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1" t="s">
        <v>208</v>
      </c>
      <c r="B39" s="243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41" t="s">
        <v>178</v>
      </c>
      <c r="B40" s="14">
        <f>L22</f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41" t="s">
        <v>63</v>
      </c>
      <c r="B41" s="240">
        <f>SUM(B38:B40)</f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2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179</v>
      </c>
      <c r="B45" s="14">
        <f>L23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1" t="s">
        <v>180</v>
      </c>
      <c r="B46" s="243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195</v>
      </c>
      <c r="B47" s="243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41" t="s">
        <v>200</v>
      </c>
      <c r="B48" s="243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63</v>
      </c>
      <c r="B49" s="240">
        <f>SUM(B44:B48)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2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1" t="s">
        <v>177</v>
      </c>
      <c r="B52" s="243">
        <f>L19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41" t="s">
        <v>204</v>
      </c>
      <c r="B53" s="243">
        <f>L21</f>
        <v>4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41" t="s">
        <v>182</v>
      </c>
      <c r="B54" s="243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41"/>
      <c r="B55" s="243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63</v>
      </c>
      <c r="B56" s="244">
        <f>SUM(B52:B55)</f>
        <v>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42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41" t="s">
        <v>176</v>
      </c>
      <c r="B59" s="243">
        <f>L18</f>
        <v>1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41" t="s">
        <v>63</v>
      </c>
      <c r="B60" s="244">
        <f>SUM(B59:B59)</f>
        <v>1</v>
      </c>
      <c r="C60" s="9"/>
      <c r="D60" s="9"/>
      <c r="E60" s="251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A39">
      <selection activeCell="A14" sqref="A14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78"/>
    </row>
    <row r="3" ht="12.75">
      <c r="A3" s="4" t="s">
        <v>5</v>
      </c>
    </row>
    <row r="5" ht="12.75">
      <c r="A5" s="177"/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7.7945714285714285</v>
      </c>
      <c r="D7" s="3" t="s">
        <v>2</v>
      </c>
      <c r="F7" s="2" t="s">
        <v>7</v>
      </c>
      <c r="H7" s="47">
        <v>225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+'Arma fondo tapa'!L13</f>
        <v>303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1853</v>
      </c>
      <c r="I11" t="s">
        <v>294</v>
      </c>
    </row>
    <row r="12" ht="12.75">
      <c r="A12" s="2" t="s">
        <v>10</v>
      </c>
    </row>
    <row r="13" ht="12.75">
      <c r="D13" s="177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+'Arma fondo tapa'!B49</f>
        <v>0</v>
      </c>
      <c r="K17" s="131">
        <f>I17/I18</f>
        <v>0</v>
      </c>
      <c r="L17" s="37" t="s">
        <v>99</v>
      </c>
    </row>
    <row r="18" spans="4:9" ht="13.5" thickTop="1">
      <c r="D18" s="38" t="s">
        <v>190</v>
      </c>
      <c r="I18" s="122">
        <f>+'Arma fondo tapa'!L28</f>
        <v>309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+'Arma fondo tapa'!B56</f>
        <v>4</v>
      </c>
      <c r="K20" s="131">
        <f>I20/I21</f>
        <v>0.012944983818770227</v>
      </c>
      <c r="L20" s="37" t="s">
        <v>99</v>
      </c>
    </row>
    <row r="21" spans="4:9" ht="13.5" thickTop="1">
      <c r="D21" s="38" t="s">
        <v>190</v>
      </c>
      <c r="I21" s="124">
        <f>I18</f>
        <v>309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+'Arma fondo tapa'!B41</f>
        <v>1</v>
      </c>
      <c r="K23" s="131">
        <f>I23/I24</f>
        <v>0.003236245954692557</v>
      </c>
      <c r="L23" s="37" t="s">
        <v>99</v>
      </c>
    </row>
    <row r="24" spans="4:9" ht="13.5" thickTop="1">
      <c r="D24" s="38" t="s">
        <v>190</v>
      </c>
      <c r="I24" s="125">
        <f>I18</f>
        <v>309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+'Arma fondo tapa'!B60</f>
        <v>1</v>
      </c>
      <c r="K26" s="131">
        <f>I26/I27</f>
        <v>0.003236245954692557</v>
      </c>
      <c r="L26" s="37" t="s">
        <v>99</v>
      </c>
    </row>
    <row r="27" spans="4:9" ht="13.5" thickTop="1">
      <c r="D27" s="38" t="s">
        <v>190</v>
      </c>
      <c r="I27" s="126">
        <f>I18</f>
        <v>309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'Arma fondo tapa'!L13*H11</f>
        <v>561459</v>
      </c>
      <c r="K29" s="47">
        <f>I29/I30</f>
        <v>1817.0194174757282</v>
      </c>
      <c r="L29" s="37" t="s">
        <v>2</v>
      </c>
    </row>
    <row r="30" spans="4:9" ht="13.5" thickTop="1">
      <c r="D30" s="38" t="s">
        <v>91</v>
      </c>
      <c r="I30" s="130">
        <f>I18</f>
        <v>309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+Normal!E28</f>
        <v>+ 0.03</v>
      </c>
      <c r="L35" s="58" t="str">
        <f>+Normal!H28</f>
        <v>+ 0.02</v>
      </c>
      <c r="N35" s="56">
        <f>J35+K35+L35</f>
        <v>1.05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8.1843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1907.8703883495148</v>
      </c>
      <c r="E40">
        <f>D40/D41-1</f>
        <v>0.03605976665323429</v>
      </c>
      <c r="F40" t="s">
        <v>99</v>
      </c>
    </row>
    <row r="41" spans="3:4" ht="12.75">
      <c r="C41" s="3" t="s">
        <v>97</v>
      </c>
      <c r="D41" s="3">
        <f>H7*E37</f>
        <v>1841.4675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</v>
      </c>
      <c r="C47" s="66">
        <f>K20</f>
        <v>0.012944983818770227</v>
      </c>
      <c r="D47" s="3">
        <f>K23</f>
        <v>0.003236245954692557</v>
      </c>
      <c r="E47" s="3">
        <f>K26</f>
        <v>0.003236245954692557</v>
      </c>
      <c r="F47">
        <f>E40</f>
        <v>0.03605976665323429</v>
      </c>
    </row>
    <row r="49" spans="1:3" ht="12.75">
      <c r="A49" s="2" t="s">
        <v>52</v>
      </c>
      <c r="B49">
        <f>B47+C47+D47+E47+F47</f>
        <v>0.05547724238138964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8.1843</v>
      </c>
      <c r="F54" s="66">
        <f>B49+1</f>
        <v>1.0554772423813896</v>
      </c>
    </row>
    <row r="56" spans="1:5" ht="12.75">
      <c r="A56" s="2" t="s">
        <v>104</v>
      </c>
      <c r="D56">
        <f>E54*F54</f>
        <v>8.638342394822008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3.9603960396039604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0120" r:id="rId1"/>
    <oleObject progId="Equation.3" shapeId="60121" r:id="rId2"/>
  </oleObjects>
</worksheet>
</file>

<file path=xl/worksheets/sheet42.xml><?xml version="1.0" encoding="utf-8"?>
<worksheet xmlns="http://schemas.openxmlformats.org/spreadsheetml/2006/main" xmlns:r="http://schemas.openxmlformats.org/officeDocument/2006/relationships">
  <dimension ref="A3:Q56"/>
  <sheetViews>
    <sheetView workbookViewId="0" topLeftCell="A1">
      <selection activeCell="D2" sqref="D2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3" spans="1:5" ht="12.75">
      <c r="A3" s="71" t="s">
        <v>198</v>
      </c>
      <c r="B3" s="132">
        <v>0.36944444444444446</v>
      </c>
      <c r="D3" s="94" t="s">
        <v>197</v>
      </c>
      <c r="E3" s="132">
        <v>0.41111111111111115</v>
      </c>
    </row>
    <row r="5" spans="2:3" ht="12.75">
      <c r="B5" s="94" t="s">
        <v>184</v>
      </c>
      <c r="C5" s="99">
        <v>1</v>
      </c>
    </row>
    <row r="7" spans="2:3" ht="12.75">
      <c r="B7" s="29" t="s">
        <v>183</v>
      </c>
      <c r="C7" s="74">
        <v>250</v>
      </c>
    </row>
    <row r="9" ht="13.5" thickBot="1">
      <c r="F9" s="94" t="s">
        <v>185</v>
      </c>
    </row>
    <row r="10" spans="1:12" ht="13.5" thickBot="1">
      <c r="A10" s="109" t="s">
        <v>59</v>
      </c>
      <c r="B10" s="100">
        <v>1</v>
      </c>
      <c r="C10" s="100">
        <v>2</v>
      </c>
      <c r="D10" s="100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100">
        <v>9</v>
      </c>
      <c r="K10" s="100">
        <v>10</v>
      </c>
      <c r="L10" s="101" t="s">
        <v>187</v>
      </c>
    </row>
    <row r="11" spans="1:17" ht="12.75">
      <c r="A11" s="110" t="s">
        <v>173</v>
      </c>
      <c r="B11" s="106">
        <v>31</v>
      </c>
      <c r="C11" s="102">
        <v>30</v>
      </c>
      <c r="D11" s="102">
        <v>20</v>
      </c>
      <c r="E11" s="102"/>
      <c r="F11" s="102"/>
      <c r="G11" s="102"/>
      <c r="H11" s="102"/>
      <c r="I11" s="103"/>
      <c r="J11" s="103"/>
      <c r="K11" s="114"/>
      <c r="L11" s="116">
        <f aca="true" t="shared" si="0" ref="L11:L24">SUM(B11:D11)</f>
        <v>81</v>
      </c>
      <c r="M11" s="95"/>
      <c r="N11" s="98"/>
      <c r="O11" s="95"/>
      <c r="P11" s="98"/>
      <c r="Q11" s="95"/>
    </row>
    <row r="12" spans="1:17" ht="12.75">
      <c r="A12" s="111" t="s">
        <v>191</v>
      </c>
      <c r="B12" s="107">
        <v>6</v>
      </c>
      <c r="C12" s="96">
        <v>0</v>
      </c>
      <c r="D12" s="96">
        <v>9</v>
      </c>
      <c r="E12" s="96"/>
      <c r="F12" s="96"/>
      <c r="G12" s="96"/>
      <c r="H12" s="96"/>
      <c r="I12" s="30"/>
      <c r="J12" s="30"/>
      <c r="K12" s="78"/>
      <c r="L12" s="117">
        <f t="shared" si="0"/>
        <v>15</v>
      </c>
      <c r="M12" s="3"/>
      <c r="N12" s="3"/>
      <c r="O12" s="3"/>
      <c r="P12" s="3"/>
      <c r="Q12" s="3"/>
    </row>
    <row r="13" spans="1:17" ht="12.75">
      <c r="A13" s="111" t="s">
        <v>175</v>
      </c>
      <c r="B13" s="107">
        <v>17</v>
      </c>
      <c r="C13" s="96">
        <v>17</v>
      </c>
      <c r="D13" s="96">
        <v>17</v>
      </c>
      <c r="E13" s="96"/>
      <c r="F13" s="96"/>
      <c r="G13" s="96"/>
      <c r="H13" s="96"/>
      <c r="I13" s="30"/>
      <c r="J13" s="30"/>
      <c r="K13" s="78"/>
      <c r="L13" s="117">
        <f t="shared" si="0"/>
        <v>51</v>
      </c>
      <c r="M13" s="3"/>
      <c r="N13" s="3"/>
      <c r="O13" s="3"/>
      <c r="P13" s="3"/>
      <c r="Q13" s="3"/>
    </row>
    <row r="14" spans="1:17" ht="12.75">
      <c r="A14" s="111" t="s">
        <v>192</v>
      </c>
      <c r="B14" s="107">
        <v>1</v>
      </c>
      <c r="C14" s="96">
        <v>2</v>
      </c>
      <c r="D14" s="96">
        <v>1</v>
      </c>
      <c r="E14" s="96"/>
      <c r="F14" s="96"/>
      <c r="G14" s="96"/>
      <c r="H14" s="96"/>
      <c r="I14" s="30"/>
      <c r="J14" s="30"/>
      <c r="K14" s="78"/>
      <c r="L14" s="117">
        <f t="shared" si="0"/>
        <v>4</v>
      </c>
      <c r="M14" s="3"/>
      <c r="N14" s="3"/>
      <c r="O14" s="3"/>
      <c r="P14" s="3"/>
      <c r="Q14" s="3"/>
    </row>
    <row r="15" spans="1:17" ht="12.75">
      <c r="A15" s="111" t="s">
        <v>176</v>
      </c>
      <c r="B15" s="107">
        <v>0</v>
      </c>
      <c r="C15" s="96">
        <v>0</v>
      </c>
      <c r="D15" s="96">
        <v>0</v>
      </c>
      <c r="E15" s="96"/>
      <c r="F15" s="96"/>
      <c r="G15" s="96"/>
      <c r="H15" s="96"/>
      <c r="I15" s="30"/>
      <c r="J15" s="30"/>
      <c r="K15" s="78"/>
      <c r="L15" s="118">
        <f t="shared" si="0"/>
        <v>0</v>
      </c>
      <c r="M15" s="3"/>
      <c r="N15" s="3"/>
      <c r="O15" s="3"/>
      <c r="P15" s="3"/>
      <c r="Q15" s="3"/>
    </row>
    <row r="16" spans="1:17" ht="12.75">
      <c r="A16" s="111" t="s">
        <v>177</v>
      </c>
      <c r="B16" s="107">
        <v>2</v>
      </c>
      <c r="C16" s="96">
        <v>1</v>
      </c>
      <c r="D16" s="96">
        <v>1</v>
      </c>
      <c r="E16" s="96"/>
      <c r="F16" s="96"/>
      <c r="G16" s="96"/>
      <c r="H16" s="96"/>
      <c r="I16" s="30"/>
      <c r="J16" s="30"/>
      <c r="K16" s="78"/>
      <c r="L16" s="118">
        <f t="shared" si="0"/>
        <v>4</v>
      </c>
      <c r="M16" s="3"/>
      <c r="N16" s="3"/>
      <c r="O16" s="3"/>
      <c r="P16" s="3"/>
      <c r="Q16" s="3"/>
    </row>
    <row r="17" spans="1:17" ht="12.75">
      <c r="A17" s="111" t="s">
        <v>193</v>
      </c>
      <c r="B17" s="107">
        <v>0</v>
      </c>
      <c r="C17" s="96">
        <v>0</v>
      </c>
      <c r="D17" s="96">
        <v>5</v>
      </c>
      <c r="E17" s="96"/>
      <c r="F17" s="96"/>
      <c r="G17" s="96"/>
      <c r="H17" s="96"/>
      <c r="I17" s="30"/>
      <c r="J17" s="30"/>
      <c r="K17" s="78"/>
      <c r="L17" s="118">
        <f t="shared" si="0"/>
        <v>5</v>
      </c>
      <c r="M17" s="3"/>
      <c r="N17" s="3"/>
      <c r="O17" s="3"/>
      <c r="P17" s="3"/>
      <c r="Q17" s="3"/>
    </row>
    <row r="18" spans="1:17" ht="12.75">
      <c r="A18" s="111" t="s">
        <v>194</v>
      </c>
      <c r="B18" s="107">
        <v>0</v>
      </c>
      <c r="C18" s="96">
        <v>0</v>
      </c>
      <c r="D18" s="96">
        <v>7</v>
      </c>
      <c r="E18" s="96"/>
      <c r="F18" s="96"/>
      <c r="G18" s="96"/>
      <c r="H18" s="96"/>
      <c r="I18" s="30"/>
      <c r="J18" s="30"/>
      <c r="K18" s="78"/>
      <c r="L18" s="118">
        <f t="shared" si="0"/>
        <v>7</v>
      </c>
      <c r="M18" s="3"/>
      <c r="N18" s="3"/>
      <c r="O18" s="3"/>
      <c r="P18" s="3"/>
      <c r="Q18" s="3"/>
    </row>
    <row r="19" spans="1:17" ht="12.75">
      <c r="A19" s="111" t="s">
        <v>178</v>
      </c>
      <c r="B19" s="107">
        <v>3</v>
      </c>
      <c r="C19" s="96">
        <v>0</v>
      </c>
      <c r="D19" s="96">
        <v>0</v>
      </c>
      <c r="E19" s="96"/>
      <c r="F19" s="96"/>
      <c r="G19" s="96"/>
      <c r="H19" s="96"/>
      <c r="I19" s="30"/>
      <c r="J19" s="30"/>
      <c r="K19" s="78"/>
      <c r="L19" s="117">
        <f t="shared" si="0"/>
        <v>3</v>
      </c>
      <c r="M19" s="3"/>
      <c r="N19" s="3"/>
      <c r="O19" s="3"/>
      <c r="P19" s="3"/>
      <c r="Q19" s="3"/>
    </row>
    <row r="20" spans="1:17" ht="12.75">
      <c r="A20" s="111" t="s">
        <v>179</v>
      </c>
      <c r="B20" s="107">
        <v>0</v>
      </c>
      <c r="C20" s="96">
        <v>0</v>
      </c>
      <c r="D20" s="96">
        <v>0</v>
      </c>
      <c r="E20" s="96"/>
      <c r="F20" s="96"/>
      <c r="G20" s="96"/>
      <c r="H20" s="96"/>
      <c r="I20" s="30"/>
      <c r="J20" s="30"/>
      <c r="K20" s="78"/>
      <c r="L20" s="117">
        <f t="shared" si="0"/>
        <v>0</v>
      </c>
      <c r="M20" s="3"/>
      <c r="N20" s="3"/>
      <c r="O20" s="3"/>
      <c r="P20" s="3"/>
      <c r="Q20" s="3"/>
    </row>
    <row r="21" spans="1:17" ht="12.75">
      <c r="A21" s="111" t="s">
        <v>180</v>
      </c>
      <c r="B21" s="107">
        <v>0</v>
      </c>
      <c r="C21" s="96">
        <v>0</v>
      </c>
      <c r="D21" s="96">
        <v>0</v>
      </c>
      <c r="E21" s="96"/>
      <c r="F21" s="96"/>
      <c r="G21" s="96"/>
      <c r="H21" s="96"/>
      <c r="I21" s="30"/>
      <c r="J21" s="30"/>
      <c r="K21" s="78"/>
      <c r="L21" s="118">
        <f t="shared" si="0"/>
        <v>0</v>
      </c>
      <c r="M21" s="3"/>
      <c r="N21" s="3"/>
      <c r="O21" s="3"/>
      <c r="P21" s="3"/>
      <c r="Q21" s="3"/>
    </row>
    <row r="22" spans="1:17" ht="12.75">
      <c r="A22" s="111" t="s">
        <v>195</v>
      </c>
      <c r="B22" s="107">
        <v>0</v>
      </c>
      <c r="C22" s="96">
        <v>10</v>
      </c>
      <c r="D22" s="96">
        <v>0</v>
      </c>
      <c r="E22" s="96"/>
      <c r="F22" s="96"/>
      <c r="G22" s="96"/>
      <c r="H22" s="96"/>
      <c r="I22" s="30"/>
      <c r="J22" s="30"/>
      <c r="K22" s="78"/>
      <c r="L22" s="118">
        <f t="shared" si="0"/>
        <v>10</v>
      </c>
      <c r="M22" s="3"/>
      <c r="N22" s="3"/>
      <c r="O22" s="3"/>
      <c r="P22" s="3"/>
      <c r="Q22" s="3"/>
    </row>
    <row r="23" spans="1:17" ht="12.75">
      <c r="A23" s="140" t="s">
        <v>182</v>
      </c>
      <c r="B23" s="141">
        <v>0</v>
      </c>
      <c r="C23" s="142">
        <v>0</v>
      </c>
      <c r="D23" s="142">
        <v>0</v>
      </c>
      <c r="E23" s="142"/>
      <c r="F23" s="142"/>
      <c r="G23" s="142"/>
      <c r="H23" s="142"/>
      <c r="I23" s="143"/>
      <c r="J23" s="143"/>
      <c r="K23" s="144"/>
      <c r="L23" s="145">
        <f t="shared" si="0"/>
        <v>0</v>
      </c>
      <c r="M23" s="3"/>
      <c r="N23" s="3"/>
      <c r="O23" s="3"/>
      <c r="P23" s="3"/>
      <c r="Q23" s="3"/>
    </row>
    <row r="24" spans="1:17" ht="13.5" thickBot="1">
      <c r="A24" s="112" t="s">
        <v>208</v>
      </c>
      <c r="B24" s="108">
        <v>0</v>
      </c>
      <c r="C24" s="104">
        <v>0</v>
      </c>
      <c r="D24" s="104">
        <v>0</v>
      </c>
      <c r="E24" s="104"/>
      <c r="F24" s="104"/>
      <c r="G24" s="104"/>
      <c r="H24" s="104"/>
      <c r="I24" s="105"/>
      <c r="J24" s="105"/>
      <c r="K24" s="115"/>
      <c r="L24" s="119">
        <f t="shared" si="0"/>
        <v>0</v>
      </c>
      <c r="M24" s="3"/>
      <c r="N24" s="3"/>
      <c r="O24" s="3"/>
      <c r="P24" s="3"/>
      <c r="Q24" s="3"/>
    </row>
    <row r="25" spans="1:17" ht="13.5" thickBot="1">
      <c r="A25" s="113" t="s">
        <v>186</v>
      </c>
      <c r="L25" s="47">
        <f>SUM(L11:L24)</f>
        <v>180</v>
      </c>
      <c r="M25" s="3"/>
      <c r="N25" s="3"/>
      <c r="O25" s="3"/>
      <c r="P25" s="3"/>
      <c r="Q25" s="3"/>
    </row>
    <row r="26" spans="1:17" ht="12.75">
      <c r="A26" s="93"/>
      <c r="L26" s="3"/>
      <c r="M26" s="3"/>
      <c r="N26" s="3"/>
      <c r="O26" s="3"/>
      <c r="P26" s="3"/>
      <c r="Q26" s="3"/>
    </row>
    <row r="27" ht="12.75">
      <c r="A27" s="93"/>
    </row>
    <row r="28" spans="1:2" ht="12.75">
      <c r="A28" s="93"/>
      <c r="B28" s="8" t="s">
        <v>189</v>
      </c>
    </row>
    <row r="29" spans="1:2" ht="12.75">
      <c r="A29" s="2" t="s">
        <v>188</v>
      </c>
      <c r="B29" s="3"/>
    </row>
    <row r="30" spans="1:2" ht="13.5" thickBot="1">
      <c r="A30" s="93" t="s">
        <v>248</v>
      </c>
      <c r="B30" s="3">
        <f>L11</f>
        <v>81</v>
      </c>
    </row>
    <row r="31" spans="1:2" ht="13.5" thickBot="1">
      <c r="A31" s="93" t="s">
        <v>63</v>
      </c>
      <c r="B31" s="47">
        <f>SUM(B30)</f>
        <v>81</v>
      </c>
    </row>
    <row r="32" ht="12.75">
      <c r="B32" s="3"/>
    </row>
    <row r="33" spans="1:2" ht="12.75">
      <c r="A33" s="2" t="s">
        <v>164</v>
      </c>
      <c r="B33" s="3"/>
    </row>
    <row r="34" spans="1:2" ht="12.75">
      <c r="A34" s="93" t="s">
        <v>175</v>
      </c>
      <c r="B34" s="3">
        <f>L13</f>
        <v>51</v>
      </c>
    </row>
    <row r="35" spans="1:2" ht="12.75">
      <c r="A35" s="93" t="s">
        <v>178</v>
      </c>
      <c r="B35" s="3">
        <f>L19</f>
        <v>3</v>
      </c>
    </row>
    <row r="36" spans="1:2" ht="13.5" thickBot="1">
      <c r="A36" s="93" t="s">
        <v>208</v>
      </c>
      <c r="B36" s="97">
        <f>L24</f>
        <v>0</v>
      </c>
    </row>
    <row r="37" spans="1:2" ht="13.5" thickBot="1">
      <c r="A37" s="93" t="s">
        <v>63</v>
      </c>
      <c r="B37" s="47">
        <f>SUM(B34:B36)</f>
        <v>54</v>
      </c>
    </row>
    <row r="38" spans="1:2" ht="12.75">
      <c r="A38" s="93"/>
      <c r="B38" s="3"/>
    </row>
    <row r="39" spans="1:2" ht="12.75">
      <c r="A39" s="2" t="s">
        <v>162</v>
      </c>
      <c r="B39" s="3"/>
    </row>
    <row r="40" spans="1:2" ht="12.75">
      <c r="A40" s="93" t="s">
        <v>191</v>
      </c>
      <c r="B40" s="3">
        <f>L12</f>
        <v>15</v>
      </c>
    </row>
    <row r="41" spans="1:2" ht="12.75">
      <c r="A41" s="93" t="s">
        <v>179</v>
      </c>
      <c r="B41" s="3">
        <f>L20</f>
        <v>0</v>
      </c>
    </row>
    <row r="42" spans="1:2" ht="12.75">
      <c r="A42" s="93" t="s">
        <v>180</v>
      </c>
      <c r="B42" s="97">
        <f>L21</f>
        <v>0</v>
      </c>
    </row>
    <row r="43" spans="1:2" ht="12.75">
      <c r="A43" s="93" t="s">
        <v>195</v>
      </c>
      <c r="B43" s="97">
        <f>L22</f>
        <v>10</v>
      </c>
    </row>
    <row r="44" spans="1:2" ht="13.5" thickBot="1">
      <c r="A44" s="93" t="s">
        <v>196</v>
      </c>
      <c r="B44" s="97">
        <f>L17</f>
        <v>5</v>
      </c>
    </row>
    <row r="45" spans="1:2" ht="13.5" thickBot="1">
      <c r="A45" s="93" t="s">
        <v>63</v>
      </c>
      <c r="B45" s="47">
        <f>SUM(B40:B44)</f>
        <v>30</v>
      </c>
    </row>
    <row r="46" ht="12.75">
      <c r="B46" s="3"/>
    </row>
    <row r="47" spans="1:2" ht="12.75">
      <c r="A47" s="2" t="s">
        <v>163</v>
      </c>
      <c r="B47" s="3"/>
    </row>
    <row r="48" spans="1:2" ht="12.75">
      <c r="A48" s="93" t="s">
        <v>177</v>
      </c>
      <c r="B48" s="97">
        <f>L16</f>
        <v>4</v>
      </c>
    </row>
    <row r="49" spans="1:2" ht="12.75">
      <c r="A49" s="93" t="s">
        <v>194</v>
      </c>
      <c r="B49" s="97">
        <f>L18</f>
        <v>7</v>
      </c>
    </row>
    <row r="50" spans="1:2" ht="12.75">
      <c r="A50" s="93" t="s">
        <v>192</v>
      </c>
      <c r="B50" s="97">
        <f>L14</f>
        <v>4</v>
      </c>
    </row>
    <row r="51" spans="1:2" ht="13.5" thickBot="1">
      <c r="A51" s="93" t="s">
        <v>182</v>
      </c>
      <c r="B51" s="97">
        <f>L23</f>
        <v>0</v>
      </c>
    </row>
    <row r="52" spans="1:2" ht="13.5" thickBot="1">
      <c r="A52" s="93" t="s">
        <v>63</v>
      </c>
      <c r="B52" s="120">
        <f>SUM(B48:B51)</f>
        <v>15</v>
      </c>
    </row>
    <row r="53" ht="12.75">
      <c r="B53" s="3"/>
    </row>
    <row r="54" spans="1:2" ht="12.75">
      <c r="A54" s="2" t="s">
        <v>165</v>
      </c>
      <c r="B54" s="3"/>
    </row>
    <row r="55" spans="1:2" ht="13.5" thickBot="1">
      <c r="A55" s="93" t="s">
        <v>176</v>
      </c>
      <c r="B55" s="97">
        <f>L15</f>
        <v>0</v>
      </c>
    </row>
    <row r="56" spans="1:2" ht="13.5" thickBot="1">
      <c r="A56" s="93" t="s">
        <v>63</v>
      </c>
      <c r="B56" s="120">
        <f>SUM(B55:B55)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3:Q92"/>
  <sheetViews>
    <sheetView zoomScale="200" zoomScaleNormal="200" workbookViewId="0" topLeftCell="A9">
      <selection activeCell="A17" sqref="A17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13.73</v>
      </c>
      <c r="D7" s="3" t="s">
        <v>2</v>
      </c>
      <c r="F7" s="2" t="s">
        <v>7</v>
      </c>
      <c r="H7" s="47">
        <v>117</v>
      </c>
      <c r="I7" s="37" t="s">
        <v>222</v>
      </c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v>81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</v>
      </c>
      <c r="I11" t="s">
        <v>221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'Llenado platos p'!B47</f>
        <v>11</v>
      </c>
      <c r="K17" s="131">
        <f>I17/I18</f>
        <v>0.04417670682730924</v>
      </c>
      <c r="L17" s="37" t="s">
        <v>99</v>
      </c>
    </row>
    <row r="18" spans="4:9" ht="13.5" thickTop="1">
      <c r="D18" s="38" t="s">
        <v>190</v>
      </c>
      <c r="I18" s="122">
        <f>'Llenado platos p'!L27</f>
        <v>249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'Llenado platos p'!B54</f>
        <v>6</v>
      </c>
      <c r="K20" s="131">
        <f>I20/I21</f>
        <v>0.024096385542168676</v>
      </c>
      <c r="L20" s="37" t="s">
        <v>99</v>
      </c>
    </row>
    <row r="21" spans="4:9" ht="13.5" thickTop="1">
      <c r="D21" s="38" t="s">
        <v>190</v>
      </c>
      <c r="I21" s="124">
        <f>I18</f>
        <v>249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'Llenado platos p'!B39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249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'Llenado platos p'!B58</f>
        <v>0</v>
      </c>
      <c r="K26" s="131">
        <f>I26/I27</f>
        <v>0</v>
      </c>
      <c r="L26" s="37" t="s">
        <v>99</v>
      </c>
    </row>
    <row r="27" spans="4:9" ht="13.5" thickTop="1">
      <c r="D27" s="38" t="s">
        <v>190</v>
      </c>
      <c r="I27" s="126">
        <f>I18</f>
        <v>249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'Llenado platos p'!L13*3600</f>
        <v>835200</v>
      </c>
      <c r="K29" s="47">
        <f>I29/I30</f>
        <v>3354.2168674698796</v>
      </c>
      <c r="L29" s="37" t="s">
        <v>2</v>
      </c>
    </row>
    <row r="30" spans="4:9" ht="13.5" thickTop="1">
      <c r="D30" s="38" t="s">
        <v>91</v>
      </c>
      <c r="I30" s="130">
        <f>I18</f>
        <v>249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15.926800000000002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3890.8915662650606</v>
      </c>
      <c r="E40">
        <f>D40/D41-1</f>
        <v>1.0880204103995115</v>
      </c>
      <c r="F40" t="s">
        <v>99</v>
      </c>
    </row>
    <row r="41" spans="3:4" ht="12.75">
      <c r="C41" s="3" t="s">
        <v>97</v>
      </c>
      <c r="D41" s="3">
        <f>H7*E37</f>
        <v>1863.4356000000002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0.04417670682730924</v>
      </c>
      <c r="C47" s="66">
        <f>K20</f>
        <v>0.024096385542168676</v>
      </c>
      <c r="D47" s="3">
        <f>K23</f>
        <v>0</v>
      </c>
      <c r="E47" s="3">
        <f>K26</f>
        <v>0</v>
      </c>
      <c r="F47">
        <f>E40</f>
        <v>1.0880204103995115</v>
      </c>
    </row>
    <row r="49" spans="1:3" ht="12.75">
      <c r="A49" s="2" t="s">
        <v>52</v>
      </c>
      <c r="B49">
        <f>B47+C47+D47+E47+F47</f>
        <v>1.1562935027689893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15.926800000000002</v>
      </c>
      <c r="F54" s="66">
        <f>B49+1</f>
        <v>2.1562935027689893</v>
      </c>
    </row>
    <row r="56" spans="1:5" ht="12.75">
      <c r="A56" s="2" t="s">
        <v>104</v>
      </c>
      <c r="D56">
        <f>E54*F54</f>
        <v>34.342855359901144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10.683114890263672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  <row r="78" spans="1:12" ht="12.75">
      <c r="A78" t="s">
        <v>215</v>
      </c>
      <c r="B78">
        <v>212</v>
      </c>
      <c r="C78">
        <v>62</v>
      </c>
      <c r="D78">
        <v>57</v>
      </c>
      <c r="E78">
        <v>22</v>
      </c>
      <c r="F78">
        <v>27</v>
      </c>
      <c r="G78">
        <v>38</v>
      </c>
      <c r="H78">
        <v>58</v>
      </c>
      <c r="I78">
        <v>20</v>
      </c>
      <c r="J78">
        <v>26</v>
      </c>
      <c r="K78">
        <v>102</v>
      </c>
      <c r="L78">
        <f aca="true" t="shared" si="0" ref="L78:L83">SUM(B78:K78)</f>
        <v>624</v>
      </c>
    </row>
    <row r="79" spans="1:12" ht="12.75">
      <c r="A79" t="s">
        <v>216</v>
      </c>
      <c r="B79">
        <v>114</v>
      </c>
      <c r="C79">
        <v>33</v>
      </c>
      <c r="D79">
        <v>31</v>
      </c>
      <c r="E79">
        <v>12</v>
      </c>
      <c r="F79">
        <v>15</v>
      </c>
      <c r="G79">
        <v>20</v>
      </c>
      <c r="H79">
        <v>31</v>
      </c>
      <c r="I79">
        <v>11</v>
      </c>
      <c r="J79">
        <v>14</v>
      </c>
      <c r="K79">
        <v>55</v>
      </c>
      <c r="L79">
        <f t="shared" si="0"/>
        <v>336</v>
      </c>
    </row>
    <row r="80" spans="1:12" ht="12.75">
      <c r="A80" t="s">
        <v>217</v>
      </c>
      <c r="B80">
        <v>65</v>
      </c>
      <c r="C80">
        <v>19</v>
      </c>
      <c r="D80">
        <v>18</v>
      </c>
      <c r="E80">
        <v>7</v>
      </c>
      <c r="F80">
        <v>8</v>
      </c>
      <c r="G80">
        <v>12</v>
      </c>
      <c r="H80">
        <v>18</v>
      </c>
      <c r="I80">
        <v>6</v>
      </c>
      <c r="J80">
        <v>8</v>
      </c>
      <c r="K80">
        <v>31</v>
      </c>
      <c r="L80">
        <f t="shared" si="0"/>
        <v>192</v>
      </c>
    </row>
    <row r="81" spans="1:12" ht="12.75">
      <c r="A81" t="s">
        <v>218</v>
      </c>
      <c r="B81">
        <v>10</v>
      </c>
      <c r="C81">
        <v>3</v>
      </c>
      <c r="D81">
        <v>3</v>
      </c>
      <c r="E81">
        <v>1</v>
      </c>
      <c r="F81">
        <v>1</v>
      </c>
      <c r="G81">
        <v>2</v>
      </c>
      <c r="H81">
        <v>3</v>
      </c>
      <c r="I81">
        <v>1</v>
      </c>
      <c r="J81">
        <v>1</v>
      </c>
      <c r="K81">
        <v>5</v>
      </c>
      <c r="L81">
        <f t="shared" si="0"/>
        <v>30</v>
      </c>
    </row>
    <row r="82" spans="1:12" ht="12.75">
      <c r="A82" t="s">
        <v>219</v>
      </c>
      <c r="B82">
        <v>6</v>
      </c>
      <c r="C82">
        <v>2</v>
      </c>
      <c r="D82">
        <v>2</v>
      </c>
      <c r="E82">
        <v>1</v>
      </c>
      <c r="F82">
        <v>1</v>
      </c>
      <c r="G82">
        <v>1</v>
      </c>
      <c r="H82">
        <v>2</v>
      </c>
      <c r="I82">
        <v>1</v>
      </c>
      <c r="J82">
        <v>1</v>
      </c>
      <c r="K82">
        <v>3</v>
      </c>
      <c r="L82">
        <f t="shared" si="0"/>
        <v>20</v>
      </c>
    </row>
    <row r="83" spans="1:14" ht="12.75">
      <c r="A83" t="s">
        <v>220</v>
      </c>
      <c r="B83">
        <v>326</v>
      </c>
      <c r="C83">
        <v>95</v>
      </c>
      <c r="D83">
        <v>88</v>
      </c>
      <c r="E83">
        <v>34</v>
      </c>
      <c r="F83">
        <v>42</v>
      </c>
      <c r="G83">
        <v>58</v>
      </c>
      <c r="H83">
        <v>90</v>
      </c>
      <c r="I83">
        <v>30</v>
      </c>
      <c r="J83">
        <v>40</v>
      </c>
      <c r="K83">
        <v>157</v>
      </c>
      <c r="L83">
        <f t="shared" si="0"/>
        <v>960</v>
      </c>
      <c r="N83">
        <f>L78+L79+L80+L83</f>
        <v>2112</v>
      </c>
    </row>
    <row r="85" spans="15:16" ht="12.75">
      <c r="O85" s="132">
        <v>0.3055555555555555</v>
      </c>
      <c r="P85" s="132">
        <v>0.75</v>
      </c>
    </row>
    <row r="87" ht="12.75">
      <c r="P87" s="132">
        <f>P85-O85</f>
        <v>0.4444444444444445</v>
      </c>
    </row>
    <row r="89" spans="15:17" ht="12.75">
      <c r="O89">
        <f>N83/P89</f>
        <v>198</v>
      </c>
      <c r="P89">
        <f>40/60+10</f>
        <v>10.666666666666666</v>
      </c>
      <c r="Q89">
        <v>2112</v>
      </c>
    </row>
    <row r="90" ht="12.75">
      <c r="P90">
        <v>0.45</v>
      </c>
    </row>
    <row r="92" ht="12.75">
      <c r="P92">
        <f>P90*Q89/P89</f>
        <v>89.10000000000001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10242" r:id="rId1"/>
    <oleObject progId="Equation.3" shapeId="610243" r:id="rId2"/>
  </oleObjects>
</worksheet>
</file>

<file path=xl/worksheets/sheet44.xml><?xml version="1.0" encoding="utf-8"?>
<worksheet xmlns="http://schemas.openxmlformats.org/spreadsheetml/2006/main" xmlns:r="http://schemas.openxmlformats.org/officeDocument/2006/relationships">
  <dimension ref="A3:Q55"/>
  <sheetViews>
    <sheetView workbookViewId="0" topLeftCell="A1">
      <selection activeCell="A23" sqref="A23"/>
    </sheetView>
  </sheetViews>
  <sheetFormatPr defaultColWidth="9.140625" defaultRowHeight="12.75"/>
  <cols>
    <col min="1" max="1" width="27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3" spans="1:9" ht="12.75">
      <c r="A3" s="71"/>
      <c r="B3" s="94" t="s">
        <v>184</v>
      </c>
      <c r="C3" s="164">
        <v>6</v>
      </c>
      <c r="G3" s="94" t="s">
        <v>250</v>
      </c>
      <c r="H3" s="69">
        <v>2277</v>
      </c>
      <c r="I3" t="s">
        <v>291</v>
      </c>
    </row>
    <row r="5" spans="2:3" ht="12.75">
      <c r="B5" s="29" t="s">
        <v>252</v>
      </c>
      <c r="C5" s="74">
        <v>141</v>
      </c>
    </row>
    <row r="7" spans="2:3" ht="12.75">
      <c r="B7" s="29"/>
      <c r="C7" s="75"/>
    </row>
    <row r="9" ht="13.5" thickBot="1">
      <c r="F9" s="94" t="s">
        <v>185</v>
      </c>
    </row>
    <row r="10" spans="1:12" ht="13.5" thickBot="1">
      <c r="A10" s="109" t="s">
        <v>59</v>
      </c>
      <c r="B10" s="100">
        <v>1</v>
      </c>
      <c r="C10" s="100">
        <v>2</v>
      </c>
      <c r="D10" s="100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100">
        <v>9</v>
      </c>
      <c r="K10" s="100">
        <v>10</v>
      </c>
      <c r="L10" s="101" t="s">
        <v>187</v>
      </c>
    </row>
    <row r="11" spans="1:17" ht="12.75">
      <c r="A11" s="110" t="s">
        <v>243</v>
      </c>
      <c r="B11" s="106">
        <v>49</v>
      </c>
      <c r="C11" s="102">
        <v>49</v>
      </c>
      <c r="D11" s="102">
        <v>50</v>
      </c>
      <c r="E11" s="102">
        <v>46</v>
      </c>
      <c r="F11" s="102">
        <v>48</v>
      </c>
      <c r="G11" s="102">
        <v>46</v>
      </c>
      <c r="H11" s="102">
        <v>46</v>
      </c>
      <c r="I11" s="103"/>
      <c r="J11" s="103"/>
      <c r="K11" s="114"/>
      <c r="L11" s="116">
        <f>SUM(B11:H11)</f>
        <v>334</v>
      </c>
      <c r="M11" s="95"/>
      <c r="N11" s="98"/>
      <c r="O11" s="95"/>
      <c r="P11" s="98"/>
      <c r="Q11" s="95"/>
    </row>
    <row r="12" spans="1:17" ht="12.75">
      <c r="A12" s="134" t="s">
        <v>244</v>
      </c>
      <c r="B12" s="135"/>
      <c r="C12" s="136"/>
      <c r="D12" s="136"/>
      <c r="E12" s="136"/>
      <c r="F12" s="136"/>
      <c r="G12" s="136"/>
      <c r="H12" s="136"/>
      <c r="I12" s="137"/>
      <c r="J12" s="137"/>
      <c r="K12" s="138"/>
      <c r="L12" s="139"/>
      <c r="M12" s="95"/>
      <c r="N12" s="98"/>
      <c r="O12" s="95"/>
      <c r="P12" s="98"/>
      <c r="Q12" s="95"/>
    </row>
    <row r="13" spans="1:17" ht="12.75">
      <c r="A13" s="111" t="s">
        <v>174</v>
      </c>
      <c r="B13" s="107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30"/>
      <c r="J13" s="30"/>
      <c r="K13" s="78"/>
      <c r="L13" s="117">
        <f aca="true" t="shared" si="0" ref="L13:L23">SUM(B13:H13)</f>
        <v>0</v>
      </c>
      <c r="M13" s="3"/>
      <c r="N13" s="3"/>
      <c r="O13" s="3"/>
      <c r="P13" s="3"/>
      <c r="Q13" s="3"/>
    </row>
    <row r="14" spans="1:17" ht="12.75">
      <c r="A14" s="111" t="s">
        <v>175</v>
      </c>
      <c r="B14" s="107">
        <v>11</v>
      </c>
      <c r="C14" s="96">
        <v>11</v>
      </c>
      <c r="D14" s="96">
        <v>10</v>
      </c>
      <c r="E14" s="96">
        <v>10</v>
      </c>
      <c r="F14" s="96">
        <v>10</v>
      </c>
      <c r="G14" s="96">
        <v>11</v>
      </c>
      <c r="H14" s="96">
        <v>11</v>
      </c>
      <c r="I14" s="30"/>
      <c r="J14" s="30"/>
      <c r="K14" s="78"/>
      <c r="L14" s="117">
        <f t="shared" si="0"/>
        <v>74</v>
      </c>
      <c r="M14" s="3"/>
      <c r="N14" s="3"/>
      <c r="O14" s="3"/>
      <c r="P14" s="3"/>
      <c r="Q14" s="3"/>
    </row>
    <row r="15" spans="1:17" ht="12.75">
      <c r="A15" s="111" t="s">
        <v>176</v>
      </c>
      <c r="B15" s="107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1</v>
      </c>
      <c r="I15" s="30"/>
      <c r="J15" s="30"/>
      <c r="K15" s="78"/>
      <c r="L15" s="118">
        <f t="shared" si="0"/>
        <v>1</v>
      </c>
      <c r="M15" s="3"/>
      <c r="N15" s="3"/>
      <c r="O15" s="3"/>
      <c r="P15" s="3"/>
      <c r="Q15" s="3"/>
    </row>
    <row r="16" spans="1:17" ht="12.75">
      <c r="A16" s="111" t="s">
        <v>177</v>
      </c>
      <c r="B16" s="107">
        <v>0</v>
      </c>
      <c r="C16" s="96">
        <v>0</v>
      </c>
      <c r="D16" s="96">
        <v>0</v>
      </c>
      <c r="E16" s="96">
        <v>0</v>
      </c>
      <c r="F16" s="96">
        <v>1</v>
      </c>
      <c r="G16" s="96">
        <v>1</v>
      </c>
      <c r="H16" s="96">
        <v>1</v>
      </c>
      <c r="I16" s="30"/>
      <c r="J16" s="30"/>
      <c r="K16" s="78"/>
      <c r="L16" s="118">
        <f t="shared" si="0"/>
        <v>3</v>
      </c>
      <c r="M16" s="3"/>
      <c r="N16" s="3"/>
      <c r="O16" s="3"/>
      <c r="P16" s="3"/>
      <c r="Q16" s="3"/>
    </row>
    <row r="17" spans="1:17" ht="12.75">
      <c r="A17" s="111" t="s">
        <v>181</v>
      </c>
      <c r="B17" s="107">
        <v>0</v>
      </c>
      <c r="C17" s="96">
        <v>0</v>
      </c>
      <c r="D17" s="96">
        <v>0</v>
      </c>
      <c r="E17" s="96">
        <v>0</v>
      </c>
      <c r="F17" s="96">
        <v>0</v>
      </c>
      <c r="G17" s="96">
        <v>1</v>
      </c>
      <c r="H17" s="96">
        <v>0</v>
      </c>
      <c r="I17" s="30"/>
      <c r="J17" s="30"/>
      <c r="K17" s="78"/>
      <c r="L17" s="118">
        <f t="shared" si="0"/>
        <v>1</v>
      </c>
      <c r="M17" s="3"/>
      <c r="N17" s="3"/>
      <c r="O17" s="3"/>
      <c r="P17" s="3"/>
      <c r="Q17" s="3"/>
    </row>
    <row r="18" spans="1:17" ht="12.75">
      <c r="A18" s="111" t="s">
        <v>178</v>
      </c>
      <c r="B18" s="107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30"/>
      <c r="J18" s="30"/>
      <c r="K18" s="78"/>
      <c r="L18" s="117">
        <f t="shared" si="0"/>
        <v>0</v>
      </c>
      <c r="M18" s="3"/>
      <c r="N18" s="3"/>
      <c r="O18" s="3"/>
      <c r="P18" s="3"/>
      <c r="Q18" s="3"/>
    </row>
    <row r="19" spans="1:17" ht="12.75">
      <c r="A19" s="111" t="s">
        <v>179</v>
      </c>
      <c r="B19" s="107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30"/>
      <c r="J19" s="30"/>
      <c r="K19" s="78"/>
      <c r="L19" s="117">
        <f t="shared" si="0"/>
        <v>0</v>
      </c>
      <c r="M19" s="3"/>
      <c r="N19" s="3"/>
      <c r="O19" s="3"/>
      <c r="P19" s="3"/>
      <c r="Q19" s="3"/>
    </row>
    <row r="20" spans="1:17" ht="12.75">
      <c r="A20" s="111" t="s">
        <v>180</v>
      </c>
      <c r="B20" s="107">
        <v>0</v>
      </c>
      <c r="C20" s="96">
        <v>0</v>
      </c>
      <c r="D20" s="96">
        <v>0</v>
      </c>
      <c r="E20" s="96">
        <v>2</v>
      </c>
      <c r="F20" s="96">
        <v>1</v>
      </c>
      <c r="G20" s="96">
        <v>1</v>
      </c>
      <c r="H20" s="96">
        <v>1</v>
      </c>
      <c r="I20" s="30"/>
      <c r="J20" s="30"/>
      <c r="K20" s="78"/>
      <c r="L20" s="118">
        <f t="shared" si="0"/>
        <v>5</v>
      </c>
      <c r="M20" s="3"/>
      <c r="N20" s="3"/>
      <c r="O20" s="3"/>
      <c r="P20" s="3"/>
      <c r="Q20" s="3"/>
    </row>
    <row r="21" spans="1:17" ht="12.75">
      <c r="A21" s="111" t="s">
        <v>195</v>
      </c>
      <c r="B21" s="107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30"/>
      <c r="J21" s="30"/>
      <c r="K21" s="78"/>
      <c r="L21" s="118">
        <f t="shared" si="0"/>
        <v>0</v>
      </c>
      <c r="M21" s="3"/>
      <c r="N21" s="3"/>
      <c r="O21" s="3"/>
      <c r="P21" s="3"/>
      <c r="Q21" s="3"/>
    </row>
    <row r="22" spans="1:17" ht="12.75">
      <c r="A22" s="140" t="s">
        <v>182</v>
      </c>
      <c r="B22" s="141">
        <v>0</v>
      </c>
      <c r="C22" s="142">
        <v>0</v>
      </c>
      <c r="D22" s="142">
        <v>0</v>
      </c>
      <c r="E22" s="142">
        <v>2</v>
      </c>
      <c r="F22" s="142">
        <v>0</v>
      </c>
      <c r="G22" s="142">
        <v>0</v>
      </c>
      <c r="H22" s="142">
        <v>0</v>
      </c>
      <c r="I22" s="143"/>
      <c r="J22" s="143"/>
      <c r="K22" s="144"/>
      <c r="L22" s="145">
        <f t="shared" si="0"/>
        <v>2</v>
      </c>
      <c r="M22" s="3"/>
      <c r="N22" s="3"/>
      <c r="O22" s="3"/>
      <c r="P22" s="3"/>
      <c r="Q22" s="3"/>
    </row>
    <row r="23" spans="1:17" ht="13.5" thickBot="1">
      <c r="A23" s="112" t="s">
        <v>208</v>
      </c>
      <c r="B23" s="108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5"/>
      <c r="J23" s="105"/>
      <c r="K23" s="115"/>
      <c r="L23" s="119">
        <f t="shared" si="0"/>
        <v>0</v>
      </c>
      <c r="M23" s="3"/>
      <c r="N23" s="3"/>
      <c r="O23" s="3"/>
      <c r="P23" s="3"/>
      <c r="Q23" s="3"/>
    </row>
    <row r="24" spans="1:17" ht="13.5" thickBot="1">
      <c r="A24" s="113" t="s">
        <v>186</v>
      </c>
      <c r="L24" s="47">
        <f>SUM(L11:L23)</f>
        <v>420</v>
      </c>
      <c r="M24" s="3"/>
      <c r="N24" s="3"/>
      <c r="O24" s="3"/>
      <c r="P24" s="3"/>
      <c r="Q24" s="3"/>
    </row>
    <row r="25" spans="1:17" ht="12.75">
      <c r="A25" s="93"/>
      <c r="L25" s="3"/>
      <c r="M25" s="3"/>
      <c r="N25" s="3"/>
      <c r="O25" s="3"/>
      <c r="P25" s="3"/>
      <c r="Q25" s="3"/>
    </row>
    <row r="26" ht="12.75">
      <c r="A26" s="93"/>
    </row>
    <row r="27" spans="1:2" ht="12.75">
      <c r="A27" s="93"/>
      <c r="B27" s="8" t="s">
        <v>189</v>
      </c>
    </row>
    <row r="28" spans="1:2" ht="12.75">
      <c r="A28" s="2" t="s">
        <v>188</v>
      </c>
      <c r="B28" s="3"/>
    </row>
    <row r="29" spans="1:5" ht="12.75">
      <c r="A29" s="93" t="s">
        <v>243</v>
      </c>
      <c r="B29" s="3">
        <f>L11</f>
        <v>334</v>
      </c>
      <c r="C29">
        <v>1</v>
      </c>
      <c r="E29" t="s">
        <v>246</v>
      </c>
    </row>
    <row r="30" spans="1:5" ht="13.5" thickBot="1">
      <c r="A30" s="93" t="s">
        <v>244</v>
      </c>
      <c r="B30" s="3"/>
      <c r="C30">
        <v>2</v>
      </c>
      <c r="E30" t="s">
        <v>246</v>
      </c>
    </row>
    <row r="31" spans="1:2" ht="13.5" thickBot="1">
      <c r="A31" s="93" t="s">
        <v>63</v>
      </c>
      <c r="B31" s="47">
        <f>SUM(B29)</f>
        <v>334</v>
      </c>
    </row>
    <row r="32" ht="12.75">
      <c r="B32" s="3"/>
    </row>
    <row r="33" spans="1:2" ht="12.75">
      <c r="A33" s="2" t="s">
        <v>164</v>
      </c>
      <c r="B33" s="3"/>
    </row>
    <row r="34" spans="1:5" ht="12.75">
      <c r="A34" s="93" t="s">
        <v>175</v>
      </c>
      <c r="B34" s="3">
        <f>L14</f>
        <v>74</v>
      </c>
      <c r="C34">
        <v>3</v>
      </c>
      <c r="E34" t="s">
        <v>246</v>
      </c>
    </row>
    <row r="35" spans="1:5" ht="12.75">
      <c r="A35" s="93" t="s">
        <v>178</v>
      </c>
      <c r="B35" s="3">
        <v>0</v>
      </c>
      <c r="C35">
        <v>4</v>
      </c>
      <c r="E35" t="s">
        <v>246</v>
      </c>
    </row>
    <row r="36" spans="1:5" ht="13.5" thickBot="1">
      <c r="A36" s="93" t="s">
        <v>208</v>
      </c>
      <c r="B36" s="97">
        <f>L23</f>
        <v>0</v>
      </c>
      <c r="C36">
        <v>5</v>
      </c>
      <c r="E36" t="s">
        <v>246</v>
      </c>
    </row>
    <row r="37" spans="1:2" ht="13.5" thickBot="1">
      <c r="A37" s="93" t="s">
        <v>63</v>
      </c>
      <c r="B37" s="47">
        <f>SUM(B34:B36)</f>
        <v>74</v>
      </c>
    </row>
    <row r="38" spans="1:2" ht="12.75">
      <c r="A38" s="93"/>
      <c r="B38" s="3"/>
    </row>
    <row r="39" spans="1:2" ht="12.75">
      <c r="A39" s="2" t="s">
        <v>162</v>
      </c>
      <c r="B39" s="3"/>
    </row>
    <row r="40" spans="1:5" ht="12.75">
      <c r="A40" s="93" t="s">
        <v>174</v>
      </c>
      <c r="B40" s="3">
        <f>L13</f>
        <v>0</v>
      </c>
      <c r="C40">
        <v>6</v>
      </c>
      <c r="E40" t="s">
        <v>246</v>
      </c>
    </row>
    <row r="41" spans="1:3" ht="12.75">
      <c r="A41" s="93" t="s">
        <v>242</v>
      </c>
      <c r="B41" s="3"/>
      <c r="C41">
        <v>7</v>
      </c>
    </row>
    <row r="42" spans="1:5" ht="12.75">
      <c r="A42" s="93" t="s">
        <v>179</v>
      </c>
      <c r="B42" s="3">
        <v>0</v>
      </c>
      <c r="C42">
        <v>8</v>
      </c>
      <c r="E42" t="s">
        <v>246</v>
      </c>
    </row>
    <row r="43" spans="1:5" ht="12.75">
      <c r="A43" s="93" t="s">
        <v>180</v>
      </c>
      <c r="B43" s="3">
        <v>5</v>
      </c>
      <c r="C43">
        <v>9</v>
      </c>
      <c r="E43" t="s">
        <v>246</v>
      </c>
    </row>
    <row r="44" spans="1:5" ht="13.5" thickBot="1">
      <c r="A44" s="93" t="s">
        <v>195</v>
      </c>
      <c r="B44" s="3">
        <v>0</v>
      </c>
      <c r="C44">
        <v>10</v>
      </c>
      <c r="E44" t="s">
        <v>246</v>
      </c>
    </row>
    <row r="45" spans="1:2" ht="13.5" thickBot="1">
      <c r="A45" s="93" t="s">
        <v>63</v>
      </c>
      <c r="B45" s="47">
        <f>SUM(B40:B44)</f>
        <v>5</v>
      </c>
    </row>
    <row r="46" ht="12.75">
      <c r="B46" s="3"/>
    </row>
    <row r="47" spans="1:2" ht="12.75">
      <c r="A47" s="2" t="s">
        <v>163</v>
      </c>
      <c r="B47" s="3"/>
    </row>
    <row r="48" spans="1:5" ht="12.75">
      <c r="A48" s="93" t="s">
        <v>177</v>
      </c>
      <c r="B48" s="97">
        <f>L16</f>
        <v>3</v>
      </c>
      <c r="C48">
        <v>11</v>
      </c>
      <c r="E48" t="s">
        <v>246</v>
      </c>
    </row>
    <row r="49" spans="1:5" ht="12.75">
      <c r="A49" s="93" t="s">
        <v>181</v>
      </c>
      <c r="B49" s="97">
        <f>L17</f>
        <v>1</v>
      </c>
      <c r="C49">
        <v>12</v>
      </c>
      <c r="E49" t="s">
        <v>246</v>
      </c>
    </row>
    <row r="50" spans="1:5" ht="13.5" thickBot="1">
      <c r="A50" s="38" t="s">
        <v>245</v>
      </c>
      <c r="B50" s="97">
        <f>L22</f>
        <v>2</v>
      </c>
      <c r="C50">
        <v>13</v>
      </c>
      <c r="E50" t="s">
        <v>246</v>
      </c>
    </row>
    <row r="51" spans="1:2" ht="13.5" thickBot="1">
      <c r="A51" s="93" t="s">
        <v>63</v>
      </c>
      <c r="B51" s="120">
        <f>SUM(B48:B50)</f>
        <v>6</v>
      </c>
    </row>
    <row r="52" ht="12.75">
      <c r="B52" s="3"/>
    </row>
    <row r="53" spans="1:2" ht="12.75">
      <c r="A53" s="2" t="s">
        <v>165</v>
      </c>
      <c r="B53" s="3"/>
    </row>
    <row r="54" spans="1:5" ht="13.5" thickBot="1">
      <c r="A54" s="93" t="s">
        <v>176</v>
      </c>
      <c r="B54" s="97">
        <f>L15</f>
        <v>1</v>
      </c>
      <c r="C54">
        <v>14</v>
      </c>
      <c r="E54" t="s">
        <v>246</v>
      </c>
    </row>
    <row r="55" spans="1:2" ht="13.5" thickBot="1">
      <c r="A55" s="93" t="s">
        <v>63</v>
      </c>
      <c r="B55" s="120">
        <f>SUM(B54:B54)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Q54"/>
  <sheetViews>
    <sheetView workbookViewId="0" topLeftCell="A5">
      <selection activeCell="A28" sqref="A28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3" spans="1:5" ht="12.75">
      <c r="A3" s="71" t="s">
        <v>198</v>
      </c>
      <c r="B3" s="132">
        <v>0.5923611111111111</v>
      </c>
      <c r="D3" s="94" t="s">
        <v>197</v>
      </c>
      <c r="E3" s="132">
        <v>0.6340277777777777</v>
      </c>
    </row>
    <row r="5" spans="2:6" ht="12.75">
      <c r="B5" s="94" t="s">
        <v>184</v>
      </c>
      <c r="C5" s="99">
        <v>1</v>
      </c>
      <c r="F5" s="132"/>
    </row>
    <row r="7" spans="2:3" ht="12.75">
      <c r="B7" s="29" t="s">
        <v>183</v>
      </c>
      <c r="C7" s="74">
        <v>250</v>
      </c>
    </row>
    <row r="9" ht="13.5" thickBot="1">
      <c r="F9" s="94" t="s">
        <v>185</v>
      </c>
    </row>
    <row r="10" spans="1:12" ht="13.5" thickBot="1">
      <c r="A10" s="109" t="s">
        <v>59</v>
      </c>
      <c r="B10" s="100">
        <v>1</v>
      </c>
      <c r="C10" s="100">
        <v>2</v>
      </c>
      <c r="D10" s="100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100">
        <v>9</v>
      </c>
      <c r="K10" s="100">
        <v>10</v>
      </c>
      <c r="L10" s="101" t="s">
        <v>187</v>
      </c>
    </row>
    <row r="11" spans="1:17" ht="12.75">
      <c r="A11" s="110" t="s">
        <v>211</v>
      </c>
      <c r="B11" s="106">
        <v>34</v>
      </c>
      <c r="C11" s="102">
        <v>35</v>
      </c>
      <c r="D11" s="102">
        <v>39</v>
      </c>
      <c r="E11" s="102"/>
      <c r="F11" s="102"/>
      <c r="G11" s="102"/>
      <c r="H11" s="102"/>
      <c r="I11" s="103"/>
      <c r="J11" s="103"/>
      <c r="K11" s="114"/>
      <c r="L11" s="116">
        <f>SUM(B11:D11)</f>
        <v>108</v>
      </c>
      <c r="M11" s="95"/>
      <c r="N11" s="98"/>
      <c r="O11" s="95"/>
      <c r="P11" s="98"/>
      <c r="Q11" s="95"/>
    </row>
    <row r="12" spans="1:17" ht="12.75">
      <c r="A12" s="111" t="s">
        <v>201</v>
      </c>
      <c r="B12" s="107">
        <v>16</v>
      </c>
      <c r="C12" s="96">
        <v>16</v>
      </c>
      <c r="D12" s="96">
        <v>16</v>
      </c>
      <c r="E12" s="96"/>
      <c r="F12" s="96"/>
      <c r="G12" s="96"/>
      <c r="H12" s="96"/>
      <c r="I12" s="30"/>
      <c r="J12" s="30"/>
      <c r="K12" s="78"/>
      <c r="L12" s="117">
        <f>SUM(B12:D12)</f>
        <v>48</v>
      </c>
      <c r="M12" s="3"/>
      <c r="N12" s="3"/>
      <c r="O12" s="3"/>
      <c r="P12" s="3"/>
      <c r="Q12" s="3"/>
    </row>
    <row r="13" spans="1:17" ht="12.75">
      <c r="A13" s="111" t="s">
        <v>175</v>
      </c>
      <c r="B13" s="107">
        <v>0</v>
      </c>
      <c r="C13" s="96">
        <v>0</v>
      </c>
      <c r="D13" s="96">
        <v>0</v>
      </c>
      <c r="E13" s="96"/>
      <c r="F13" s="96"/>
      <c r="G13" s="96"/>
      <c r="H13" s="96"/>
      <c r="I13" s="30"/>
      <c r="J13" s="30"/>
      <c r="K13" s="78"/>
      <c r="L13" s="117">
        <f aca="true" t="shared" si="0" ref="L13:L22">SUM(B13:D13)</f>
        <v>0</v>
      </c>
      <c r="M13" s="3"/>
      <c r="N13" s="3"/>
      <c r="O13" s="3"/>
      <c r="P13" s="3"/>
      <c r="Q13" s="3"/>
    </row>
    <row r="14" spans="1:17" ht="12.75">
      <c r="A14" s="111" t="s">
        <v>176</v>
      </c>
      <c r="B14" s="107">
        <v>0</v>
      </c>
      <c r="C14" s="96">
        <v>0</v>
      </c>
      <c r="D14" s="96">
        <v>0</v>
      </c>
      <c r="E14" s="96"/>
      <c r="F14" s="96"/>
      <c r="G14" s="96"/>
      <c r="H14" s="96"/>
      <c r="I14" s="30"/>
      <c r="J14" s="30"/>
      <c r="K14" s="78"/>
      <c r="L14" s="117">
        <f t="shared" si="0"/>
        <v>0</v>
      </c>
      <c r="M14" s="3"/>
      <c r="N14" s="3"/>
      <c r="O14" s="3"/>
      <c r="P14" s="3"/>
      <c r="Q14" s="3"/>
    </row>
    <row r="15" spans="1:17" ht="12.75">
      <c r="A15" s="111" t="s">
        <v>177</v>
      </c>
      <c r="B15" s="107">
        <v>0</v>
      </c>
      <c r="C15" s="96">
        <v>0</v>
      </c>
      <c r="D15" s="96">
        <v>0</v>
      </c>
      <c r="E15" s="96"/>
      <c r="F15" s="96"/>
      <c r="G15" s="96"/>
      <c r="H15" s="96"/>
      <c r="I15" s="30"/>
      <c r="J15" s="30"/>
      <c r="K15" s="78"/>
      <c r="L15" s="117">
        <f t="shared" si="0"/>
        <v>0</v>
      </c>
      <c r="M15" s="3"/>
      <c r="N15" s="3"/>
      <c r="O15" s="3"/>
      <c r="P15" s="3"/>
      <c r="Q15" s="3"/>
    </row>
    <row r="16" spans="1:17" ht="12.75">
      <c r="A16" s="111" t="s">
        <v>210</v>
      </c>
      <c r="B16" s="107">
        <v>10</v>
      </c>
      <c r="C16" s="96">
        <v>8</v>
      </c>
      <c r="D16" s="96">
        <v>5</v>
      </c>
      <c r="E16" s="96"/>
      <c r="F16" s="96"/>
      <c r="G16" s="96"/>
      <c r="H16" s="96"/>
      <c r="I16" s="30"/>
      <c r="J16" s="30"/>
      <c r="K16" s="78"/>
      <c r="L16" s="117">
        <f t="shared" si="0"/>
        <v>23</v>
      </c>
      <c r="M16" s="3"/>
      <c r="N16" s="3"/>
      <c r="O16" s="3"/>
      <c r="P16" s="3"/>
      <c r="Q16" s="3"/>
    </row>
    <row r="17" spans="1:17" ht="12.75">
      <c r="A17" s="111" t="s">
        <v>203</v>
      </c>
      <c r="B17" s="107">
        <v>0</v>
      </c>
      <c r="C17" s="96">
        <v>0</v>
      </c>
      <c r="D17" s="96">
        <v>0</v>
      </c>
      <c r="E17" s="96"/>
      <c r="F17" s="96"/>
      <c r="G17" s="96"/>
      <c r="H17" s="96"/>
      <c r="I17" s="30"/>
      <c r="J17" s="30"/>
      <c r="K17" s="78"/>
      <c r="L17" s="117">
        <f t="shared" si="0"/>
        <v>0</v>
      </c>
      <c r="M17" s="3"/>
      <c r="N17" s="3"/>
      <c r="O17" s="3"/>
      <c r="P17" s="3"/>
      <c r="Q17" s="3"/>
    </row>
    <row r="18" spans="1:17" ht="12.75">
      <c r="A18" s="111" t="s">
        <v>178</v>
      </c>
      <c r="B18" s="107">
        <v>0</v>
      </c>
      <c r="C18" s="96">
        <v>0</v>
      </c>
      <c r="D18" s="96">
        <v>0</v>
      </c>
      <c r="E18" s="96"/>
      <c r="F18" s="96"/>
      <c r="G18" s="96"/>
      <c r="H18" s="96"/>
      <c r="I18" s="30"/>
      <c r="J18" s="30"/>
      <c r="K18" s="78"/>
      <c r="L18" s="117">
        <f t="shared" si="0"/>
        <v>0</v>
      </c>
      <c r="M18" s="3"/>
      <c r="N18" s="3"/>
      <c r="O18" s="3"/>
      <c r="P18" s="3"/>
      <c r="Q18" s="3"/>
    </row>
    <row r="19" spans="1:17" ht="12.75">
      <c r="A19" s="111" t="s">
        <v>179</v>
      </c>
      <c r="B19" s="107">
        <v>0</v>
      </c>
      <c r="C19" s="96">
        <v>0</v>
      </c>
      <c r="D19" s="96">
        <v>0</v>
      </c>
      <c r="E19" s="96"/>
      <c r="F19" s="96"/>
      <c r="G19" s="96"/>
      <c r="H19" s="96"/>
      <c r="I19" s="30"/>
      <c r="J19" s="30"/>
      <c r="K19" s="78"/>
      <c r="L19" s="117">
        <f t="shared" si="0"/>
        <v>0</v>
      </c>
      <c r="M19" s="3"/>
      <c r="N19" s="3"/>
      <c r="O19" s="3"/>
      <c r="P19" s="3"/>
      <c r="Q19" s="3"/>
    </row>
    <row r="20" spans="1:17" ht="12.75">
      <c r="A20" s="111" t="s">
        <v>180</v>
      </c>
      <c r="B20" s="107">
        <v>0</v>
      </c>
      <c r="C20" s="96">
        <v>0</v>
      </c>
      <c r="D20" s="96">
        <v>0</v>
      </c>
      <c r="E20" s="96"/>
      <c r="F20" s="96"/>
      <c r="G20" s="96"/>
      <c r="H20" s="96"/>
      <c r="I20" s="30"/>
      <c r="J20" s="30"/>
      <c r="K20" s="78"/>
      <c r="L20" s="117">
        <f t="shared" si="0"/>
        <v>0</v>
      </c>
      <c r="M20" s="3"/>
      <c r="N20" s="3"/>
      <c r="O20" s="3"/>
      <c r="P20" s="3"/>
      <c r="Q20" s="3"/>
    </row>
    <row r="21" spans="1:17" ht="12.75">
      <c r="A21" s="111" t="s">
        <v>195</v>
      </c>
      <c r="B21" s="107">
        <v>0</v>
      </c>
      <c r="C21" s="96">
        <v>1</v>
      </c>
      <c r="D21" s="96">
        <v>0</v>
      </c>
      <c r="E21" s="96"/>
      <c r="F21" s="96"/>
      <c r="G21" s="96"/>
      <c r="H21" s="96"/>
      <c r="I21" s="30"/>
      <c r="J21" s="30"/>
      <c r="K21" s="78"/>
      <c r="L21" s="117">
        <f t="shared" si="0"/>
        <v>1</v>
      </c>
      <c r="M21" s="3"/>
      <c r="N21" s="3"/>
      <c r="O21" s="3"/>
      <c r="P21" s="3"/>
      <c r="Q21" s="3"/>
    </row>
    <row r="22" spans="1:17" ht="12.75">
      <c r="A22" s="140" t="s">
        <v>182</v>
      </c>
      <c r="B22" s="141">
        <v>0</v>
      </c>
      <c r="C22" s="142">
        <v>0</v>
      </c>
      <c r="D22" s="142">
        <v>0</v>
      </c>
      <c r="E22" s="142"/>
      <c r="F22" s="142"/>
      <c r="G22" s="142"/>
      <c r="H22" s="142"/>
      <c r="I22" s="143"/>
      <c r="J22" s="143"/>
      <c r="K22" s="144"/>
      <c r="L22" s="117">
        <f t="shared" si="0"/>
        <v>0</v>
      </c>
      <c r="M22" s="3"/>
      <c r="N22" s="3"/>
      <c r="O22" s="3"/>
      <c r="P22" s="3"/>
      <c r="Q22" s="3"/>
    </row>
    <row r="23" spans="1:17" ht="13.5" thickBot="1">
      <c r="A23" s="112" t="s">
        <v>208</v>
      </c>
      <c r="B23" s="108">
        <v>0</v>
      </c>
      <c r="C23" s="104">
        <v>0</v>
      </c>
      <c r="D23" s="104">
        <v>0</v>
      </c>
      <c r="E23" s="104"/>
      <c r="F23" s="104"/>
      <c r="G23" s="104"/>
      <c r="H23" s="104"/>
      <c r="I23" s="105"/>
      <c r="J23" s="105"/>
      <c r="K23" s="115"/>
      <c r="L23" s="119">
        <f>SUM(B23:D23)</f>
        <v>0</v>
      </c>
      <c r="M23" s="3"/>
      <c r="N23" s="3"/>
      <c r="O23" s="3"/>
      <c r="P23" s="3"/>
      <c r="Q23" s="3"/>
    </row>
    <row r="24" spans="1:17" ht="13.5" thickBot="1">
      <c r="A24" s="113" t="s">
        <v>186</v>
      </c>
      <c r="L24" s="47">
        <f>SUM(L11:L23)</f>
        <v>180</v>
      </c>
      <c r="M24" s="3"/>
      <c r="N24" s="3"/>
      <c r="O24" s="3"/>
      <c r="P24" s="3"/>
      <c r="Q24" s="3"/>
    </row>
    <row r="25" spans="1:17" ht="12.75">
      <c r="A25" s="93"/>
      <c r="L25" s="3"/>
      <c r="M25" s="3"/>
      <c r="N25" s="3"/>
      <c r="O25" s="3"/>
      <c r="P25" s="3"/>
      <c r="Q25" s="3"/>
    </row>
    <row r="26" ht="12.75">
      <c r="A26" s="93"/>
    </row>
    <row r="27" spans="1:2" ht="12.75">
      <c r="A27" s="93"/>
      <c r="B27" s="8" t="s">
        <v>189</v>
      </c>
    </row>
    <row r="28" spans="1:2" ht="12.75">
      <c r="A28" s="2" t="s">
        <v>188</v>
      </c>
      <c r="B28" s="3"/>
    </row>
    <row r="29" spans="1:2" ht="13.5" thickBot="1">
      <c r="A29" s="93" t="s">
        <v>211</v>
      </c>
      <c r="B29" s="3">
        <f>L11</f>
        <v>108</v>
      </c>
    </row>
    <row r="30" spans="1:2" ht="13.5" thickBot="1">
      <c r="A30" s="93" t="s">
        <v>63</v>
      </c>
      <c r="B30" s="47">
        <f>SUM(B29:B29)</f>
        <v>108</v>
      </c>
    </row>
    <row r="31" ht="12.75">
      <c r="B31" s="3"/>
    </row>
    <row r="32" spans="1:2" ht="12.75">
      <c r="A32" s="2" t="s">
        <v>164</v>
      </c>
      <c r="B32" s="3"/>
    </row>
    <row r="33" spans="1:2" ht="12.75">
      <c r="A33" s="93" t="s">
        <v>175</v>
      </c>
      <c r="B33" s="3">
        <f>L13</f>
        <v>0</v>
      </c>
    </row>
    <row r="34" spans="1:2" ht="12.75">
      <c r="A34" s="93" t="s">
        <v>208</v>
      </c>
      <c r="B34" s="97">
        <f>L23</f>
        <v>0</v>
      </c>
    </row>
    <row r="35" spans="1:2" ht="13.5" thickBot="1">
      <c r="A35" s="93" t="s">
        <v>178</v>
      </c>
      <c r="B35" s="3">
        <f>L18</f>
        <v>0</v>
      </c>
    </row>
    <row r="36" spans="1:2" ht="13.5" thickBot="1">
      <c r="A36" s="93" t="s">
        <v>63</v>
      </c>
      <c r="B36" s="47">
        <f>SUM(B33:B35)</f>
        <v>0</v>
      </c>
    </row>
    <row r="37" spans="1:2" ht="12.75">
      <c r="A37" s="93"/>
      <c r="B37" s="3"/>
    </row>
    <row r="38" spans="1:2" ht="12.75">
      <c r="A38" s="2" t="s">
        <v>162</v>
      </c>
      <c r="B38" s="3"/>
    </row>
    <row r="39" spans="1:2" ht="12.75">
      <c r="A39" s="93" t="s">
        <v>201</v>
      </c>
      <c r="B39" s="3">
        <f>L12</f>
        <v>48</v>
      </c>
    </row>
    <row r="40" spans="1:2" ht="12.75">
      <c r="A40" s="93" t="s">
        <v>179</v>
      </c>
      <c r="B40" s="3">
        <f>L19</f>
        <v>0</v>
      </c>
    </row>
    <row r="41" spans="1:2" ht="12.75">
      <c r="A41" s="93" t="s">
        <v>180</v>
      </c>
      <c r="B41" s="97">
        <f>L20</f>
        <v>0</v>
      </c>
    </row>
    <row r="42" spans="1:2" ht="12.75">
      <c r="A42" s="93" t="s">
        <v>195</v>
      </c>
      <c r="B42" s="97">
        <f>L21</f>
        <v>1</v>
      </c>
    </row>
    <row r="43" spans="1:2" ht="13.5" thickBot="1">
      <c r="A43" s="93" t="s">
        <v>210</v>
      </c>
      <c r="B43" s="97">
        <f>L16</f>
        <v>23</v>
      </c>
    </row>
    <row r="44" spans="1:2" ht="13.5" thickBot="1">
      <c r="A44" s="93" t="s">
        <v>63</v>
      </c>
      <c r="B44" s="47">
        <f>SUM(B39:B43)</f>
        <v>72</v>
      </c>
    </row>
    <row r="45" ht="12.75">
      <c r="B45" s="3"/>
    </row>
    <row r="46" spans="1:2" ht="12.75">
      <c r="A46" s="2" t="s">
        <v>163</v>
      </c>
      <c r="B46" s="3"/>
    </row>
    <row r="47" spans="1:2" ht="12.75">
      <c r="A47" s="93" t="s">
        <v>177</v>
      </c>
      <c r="B47" s="97">
        <f>L15</f>
        <v>0</v>
      </c>
    </row>
    <row r="48" spans="1:2" ht="12.75">
      <c r="A48" s="93" t="s">
        <v>204</v>
      </c>
      <c r="B48" s="97">
        <f>L17</f>
        <v>0</v>
      </c>
    </row>
    <row r="49" spans="1:2" ht="13.5" thickBot="1">
      <c r="A49" s="93" t="s">
        <v>182</v>
      </c>
      <c r="B49" s="97">
        <f>L22</f>
        <v>0</v>
      </c>
    </row>
    <row r="50" spans="1:2" ht="13.5" thickBot="1">
      <c r="A50" s="93" t="s">
        <v>63</v>
      </c>
      <c r="B50" s="120">
        <f>SUM(B47:B49)</f>
        <v>0</v>
      </c>
    </row>
    <row r="51" ht="12.75">
      <c r="B51" s="3"/>
    </row>
    <row r="52" spans="1:2" ht="12.75">
      <c r="A52" s="2" t="s">
        <v>165</v>
      </c>
      <c r="B52" s="3"/>
    </row>
    <row r="53" spans="1:2" ht="13.5" thickBot="1">
      <c r="A53" s="93" t="s">
        <v>176</v>
      </c>
      <c r="B53" s="97">
        <f>L14</f>
        <v>0</v>
      </c>
    </row>
    <row r="54" spans="1:5" ht="13.5" thickBot="1">
      <c r="A54" s="93" t="s">
        <v>63</v>
      </c>
      <c r="B54" s="120">
        <f>SUM(B53:B53)</f>
        <v>0</v>
      </c>
      <c r="E54" s="133"/>
    </row>
  </sheetData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F8">
      <selection activeCell="I18" sqref="I18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11.07</v>
      </c>
      <c r="D7" s="3" t="s">
        <v>2</v>
      </c>
      <c r="F7" s="2" t="s">
        <v>7</v>
      </c>
      <c r="H7" s="47">
        <v>195</v>
      </c>
      <c r="I7" s="37" t="s">
        <v>225</v>
      </c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v>108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</v>
      </c>
      <c r="I11" t="s">
        <v>89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'Enfundar Clusters'!B44</f>
        <v>72</v>
      </c>
      <c r="K17" s="131">
        <f>I17/I18</f>
        <v>0.4</v>
      </c>
      <c r="L17" s="37" t="s">
        <v>99</v>
      </c>
    </row>
    <row r="18" spans="4:9" ht="13.5" thickTop="1">
      <c r="D18" s="38" t="s">
        <v>190</v>
      </c>
      <c r="I18" s="122">
        <f>'Enfundar Clusters'!L24</f>
        <v>180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'Enfundar Clusters'!B50</f>
        <v>0</v>
      </c>
      <c r="K20" s="131">
        <f>I20/I21</f>
        <v>0</v>
      </c>
      <c r="L20" s="37" t="s">
        <v>99</v>
      </c>
    </row>
    <row r="21" spans="4:9" ht="13.5" thickTop="1">
      <c r="D21" s="38" t="s">
        <v>190</v>
      </c>
      <c r="I21" s="124">
        <f>I18</f>
        <v>180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'Enfundar Clusters'!B36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180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'Enfundar Clusters'!B54</f>
        <v>0</v>
      </c>
      <c r="K26" s="131">
        <f>I26/I27</f>
        <v>0</v>
      </c>
      <c r="L26" s="37" t="s">
        <v>99</v>
      </c>
    </row>
    <row r="27" spans="4:9" ht="13.5" thickTop="1">
      <c r="D27" s="38" t="s">
        <v>190</v>
      </c>
      <c r="I27" s="126">
        <f>I18</f>
        <v>180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'Enfundar Clusters'!L11*3600</f>
        <v>388800</v>
      </c>
      <c r="K29" s="47">
        <f>I29/I30</f>
        <v>2160</v>
      </c>
      <c r="L29" s="37" t="s">
        <v>2</v>
      </c>
    </row>
    <row r="30" spans="4:9" ht="13.5" thickTop="1">
      <c r="D30" s="38" t="s">
        <v>91</v>
      </c>
      <c r="I30" s="130">
        <f>I18</f>
        <v>180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12.841200000000002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2505.6000000000004</v>
      </c>
      <c r="E40">
        <f>D40/D41-1</f>
        <v>0.0006253908692932519</v>
      </c>
      <c r="F40" t="s">
        <v>99</v>
      </c>
    </row>
    <row r="41" spans="3:4" ht="12.75">
      <c r="C41" s="3" t="s">
        <v>97</v>
      </c>
      <c r="D41" s="3">
        <f>H7*E37</f>
        <v>2504.0340000000006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0.4</v>
      </c>
      <c r="C47" s="66">
        <f>K20</f>
        <v>0</v>
      </c>
      <c r="D47" s="3">
        <f>K23</f>
        <v>0</v>
      </c>
      <c r="E47" s="3">
        <f>K26</f>
        <v>0</v>
      </c>
      <c r="F47">
        <f>E40</f>
        <v>0.0006253908692932519</v>
      </c>
    </row>
    <row r="49" spans="1:3" ht="12.75">
      <c r="A49" s="2" t="s">
        <v>52</v>
      </c>
      <c r="B49">
        <f>B47+C47+D47+E47+F47</f>
        <v>0.4006253908692933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12.841200000000002</v>
      </c>
      <c r="F54" s="66">
        <f>B49+1</f>
        <v>1.4006253908692932</v>
      </c>
    </row>
    <row r="56" spans="1:5" ht="12.75">
      <c r="A56" s="2" t="s">
        <v>104</v>
      </c>
      <c r="D56">
        <f>E54*F54</f>
        <v>17.98571076923077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10.34388151390292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56802" r:id="rId1"/>
    <oleObject progId="Equation.3" shapeId="656803" r:id="rId2"/>
  </oleObjects>
</worksheet>
</file>

<file path=xl/worksheets/sheet47.xml><?xml version="1.0" encoding="utf-8"?>
<worksheet xmlns="http://schemas.openxmlformats.org/spreadsheetml/2006/main" xmlns:r="http://schemas.openxmlformats.org/officeDocument/2006/relationships">
  <dimension ref="A3:Q56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3" spans="1:5" ht="12.75">
      <c r="A3" s="71" t="s">
        <v>198</v>
      </c>
      <c r="B3" s="132">
        <v>0.4159722222222222</v>
      </c>
      <c r="D3" s="94" t="s">
        <v>197</v>
      </c>
      <c r="E3" s="132">
        <v>0.4576388888888889</v>
      </c>
    </row>
    <row r="5" spans="2:3" ht="12.75">
      <c r="B5" s="94" t="s">
        <v>184</v>
      </c>
      <c r="C5" s="99">
        <v>1</v>
      </c>
    </row>
    <row r="7" spans="2:3" ht="12.75">
      <c r="B7" s="29" t="s">
        <v>183</v>
      </c>
      <c r="C7" s="74">
        <v>250</v>
      </c>
    </row>
    <row r="9" ht="13.5" thickBot="1">
      <c r="F9" s="94" t="s">
        <v>185</v>
      </c>
    </row>
    <row r="10" spans="1:12" ht="13.5" thickBot="1">
      <c r="A10" s="109" t="s">
        <v>59</v>
      </c>
      <c r="B10" s="100">
        <v>1</v>
      </c>
      <c r="C10" s="100">
        <v>2</v>
      </c>
      <c r="D10" s="100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100">
        <v>9</v>
      </c>
      <c r="K10" s="100">
        <v>10</v>
      </c>
      <c r="L10" s="101" t="s">
        <v>187</v>
      </c>
    </row>
    <row r="11" spans="1:17" ht="12.75">
      <c r="A11" s="110" t="s">
        <v>199</v>
      </c>
      <c r="B11" s="106">
        <v>40</v>
      </c>
      <c r="C11" s="102">
        <v>37</v>
      </c>
      <c r="D11" s="102"/>
      <c r="E11" s="102"/>
      <c r="F11" s="102"/>
      <c r="G11" s="102"/>
      <c r="H11" s="102"/>
      <c r="I11" s="103"/>
      <c r="J11" s="103"/>
      <c r="K11" s="114"/>
      <c r="L11" s="116">
        <f aca="true" t="shared" si="0" ref="L11:L24">SUM(B11:C11)</f>
        <v>77</v>
      </c>
      <c r="M11" s="95"/>
      <c r="N11" s="98"/>
      <c r="O11" s="95"/>
      <c r="P11" s="98"/>
      <c r="Q11" s="95"/>
    </row>
    <row r="12" spans="1:17" ht="12.75">
      <c r="A12" s="111" t="s">
        <v>201</v>
      </c>
      <c r="B12" s="107">
        <v>8</v>
      </c>
      <c r="C12" s="96">
        <v>5</v>
      </c>
      <c r="D12" s="96"/>
      <c r="E12" s="96"/>
      <c r="F12" s="96"/>
      <c r="G12" s="96"/>
      <c r="H12" s="96"/>
      <c r="I12" s="30"/>
      <c r="J12" s="30"/>
      <c r="K12" s="78"/>
      <c r="L12" s="117">
        <f t="shared" si="0"/>
        <v>13</v>
      </c>
      <c r="M12" s="3"/>
      <c r="N12" s="3"/>
      <c r="O12" s="3"/>
      <c r="P12" s="3"/>
      <c r="Q12" s="3"/>
    </row>
    <row r="13" spans="1:17" ht="12.75">
      <c r="A13" s="111" t="s">
        <v>175</v>
      </c>
      <c r="B13" s="107">
        <v>0</v>
      </c>
      <c r="C13" s="96">
        <v>0</v>
      </c>
      <c r="D13" s="96"/>
      <c r="E13" s="96"/>
      <c r="F13" s="96"/>
      <c r="G13" s="96"/>
      <c r="H13" s="96"/>
      <c r="I13" s="30"/>
      <c r="J13" s="30"/>
      <c r="K13" s="78"/>
      <c r="L13" s="117">
        <f t="shared" si="0"/>
        <v>0</v>
      </c>
      <c r="M13" s="3"/>
      <c r="N13" s="3"/>
      <c r="O13" s="3"/>
      <c r="P13" s="3"/>
      <c r="Q13" s="3"/>
    </row>
    <row r="14" spans="1:17" ht="12.75">
      <c r="A14" s="111" t="s">
        <v>202</v>
      </c>
      <c r="B14" s="107">
        <v>4</v>
      </c>
      <c r="C14" s="96">
        <v>3</v>
      </c>
      <c r="D14" s="96"/>
      <c r="E14" s="96"/>
      <c r="F14" s="96"/>
      <c r="G14" s="96"/>
      <c r="H14" s="96"/>
      <c r="I14" s="30"/>
      <c r="J14" s="30"/>
      <c r="K14" s="78"/>
      <c r="L14" s="117">
        <f t="shared" si="0"/>
        <v>7</v>
      </c>
      <c r="M14" s="3"/>
      <c r="N14" s="3"/>
      <c r="O14" s="3"/>
      <c r="P14" s="3"/>
      <c r="Q14" s="3"/>
    </row>
    <row r="15" spans="1:17" ht="12.75">
      <c r="A15" s="111" t="s">
        <v>176</v>
      </c>
      <c r="B15" s="107">
        <v>1</v>
      </c>
      <c r="C15" s="96">
        <v>3</v>
      </c>
      <c r="D15" s="96"/>
      <c r="E15" s="96"/>
      <c r="F15" s="96"/>
      <c r="G15" s="96"/>
      <c r="H15" s="96"/>
      <c r="I15" s="30"/>
      <c r="J15" s="30"/>
      <c r="K15" s="78"/>
      <c r="L15" s="118">
        <f t="shared" si="0"/>
        <v>4</v>
      </c>
      <c r="M15" s="3"/>
      <c r="N15" s="3"/>
      <c r="O15" s="3"/>
      <c r="P15" s="3"/>
      <c r="Q15" s="3"/>
    </row>
    <row r="16" spans="1:17" ht="12.75">
      <c r="A16" s="111" t="s">
        <v>177</v>
      </c>
      <c r="B16" s="107">
        <v>0</v>
      </c>
      <c r="C16" s="96">
        <v>0</v>
      </c>
      <c r="D16" s="96"/>
      <c r="E16" s="96"/>
      <c r="F16" s="96"/>
      <c r="G16" s="96"/>
      <c r="H16" s="96"/>
      <c r="I16" s="30"/>
      <c r="J16" s="30"/>
      <c r="K16" s="78"/>
      <c r="L16" s="118">
        <f t="shared" si="0"/>
        <v>0</v>
      </c>
      <c r="M16" s="3"/>
      <c r="N16" s="3"/>
      <c r="O16" s="3"/>
      <c r="P16" s="3"/>
      <c r="Q16" s="3"/>
    </row>
    <row r="17" spans="1:17" ht="12.75">
      <c r="A17" s="111" t="s">
        <v>200</v>
      </c>
      <c r="B17" s="107">
        <v>0</v>
      </c>
      <c r="C17" s="96">
        <v>0</v>
      </c>
      <c r="D17" s="96"/>
      <c r="E17" s="96"/>
      <c r="F17" s="96"/>
      <c r="G17" s="96"/>
      <c r="H17" s="96"/>
      <c r="I17" s="30"/>
      <c r="J17" s="30"/>
      <c r="K17" s="78"/>
      <c r="L17" s="118">
        <f t="shared" si="0"/>
        <v>0</v>
      </c>
      <c r="M17" s="3"/>
      <c r="N17" s="3"/>
      <c r="O17" s="3"/>
      <c r="P17" s="3"/>
      <c r="Q17" s="3"/>
    </row>
    <row r="18" spans="1:17" ht="12.75">
      <c r="A18" s="111" t="s">
        <v>203</v>
      </c>
      <c r="B18" s="107">
        <v>1</v>
      </c>
      <c r="C18" s="96">
        <v>2</v>
      </c>
      <c r="D18" s="96"/>
      <c r="E18" s="96"/>
      <c r="F18" s="96"/>
      <c r="G18" s="96"/>
      <c r="H18" s="96"/>
      <c r="I18" s="30"/>
      <c r="J18" s="30"/>
      <c r="K18" s="78"/>
      <c r="L18" s="118">
        <f t="shared" si="0"/>
        <v>3</v>
      </c>
      <c r="M18" s="3"/>
      <c r="N18" s="3"/>
      <c r="O18" s="3"/>
      <c r="P18" s="3"/>
      <c r="Q18" s="3"/>
    </row>
    <row r="19" spans="1:17" ht="12.75">
      <c r="A19" s="111" t="s">
        <v>178</v>
      </c>
      <c r="B19" s="107">
        <v>1</v>
      </c>
      <c r="C19" s="96">
        <v>1</v>
      </c>
      <c r="D19" s="96"/>
      <c r="E19" s="96"/>
      <c r="F19" s="96"/>
      <c r="G19" s="96"/>
      <c r="H19" s="96"/>
      <c r="I19" s="30"/>
      <c r="J19" s="30"/>
      <c r="K19" s="78"/>
      <c r="L19" s="117">
        <f t="shared" si="0"/>
        <v>2</v>
      </c>
      <c r="M19" s="3"/>
      <c r="N19" s="3"/>
      <c r="O19" s="3"/>
      <c r="P19" s="3"/>
      <c r="Q19" s="3"/>
    </row>
    <row r="20" spans="1:17" ht="12.75">
      <c r="A20" s="111" t="s">
        <v>179</v>
      </c>
      <c r="B20" s="107">
        <v>0</v>
      </c>
      <c r="C20" s="96">
        <v>0</v>
      </c>
      <c r="D20" s="96"/>
      <c r="E20" s="96"/>
      <c r="F20" s="96"/>
      <c r="G20" s="96"/>
      <c r="H20" s="96"/>
      <c r="I20" s="30"/>
      <c r="J20" s="30"/>
      <c r="K20" s="78"/>
      <c r="L20" s="117">
        <f t="shared" si="0"/>
        <v>0</v>
      </c>
      <c r="M20" s="3"/>
      <c r="N20" s="3"/>
      <c r="O20" s="3"/>
      <c r="P20" s="3"/>
      <c r="Q20" s="3"/>
    </row>
    <row r="21" spans="1:17" ht="12.75">
      <c r="A21" s="111" t="s">
        <v>180</v>
      </c>
      <c r="B21" s="107">
        <v>3</v>
      </c>
      <c r="C21" s="96">
        <v>1</v>
      </c>
      <c r="D21" s="96"/>
      <c r="E21" s="96"/>
      <c r="F21" s="96"/>
      <c r="G21" s="96"/>
      <c r="H21" s="96"/>
      <c r="I21" s="30"/>
      <c r="J21" s="30"/>
      <c r="K21" s="78"/>
      <c r="L21" s="118">
        <f t="shared" si="0"/>
        <v>4</v>
      </c>
      <c r="M21" s="3"/>
      <c r="N21" s="3"/>
      <c r="O21" s="3"/>
      <c r="P21" s="3"/>
      <c r="Q21" s="3"/>
    </row>
    <row r="22" spans="1:17" ht="12.75">
      <c r="A22" s="111" t="s">
        <v>195</v>
      </c>
      <c r="B22" s="107">
        <v>0</v>
      </c>
      <c r="C22" s="96">
        <v>7</v>
      </c>
      <c r="D22" s="96"/>
      <c r="E22" s="96"/>
      <c r="F22" s="96"/>
      <c r="G22" s="96"/>
      <c r="H22" s="96"/>
      <c r="I22" s="30"/>
      <c r="J22" s="30"/>
      <c r="K22" s="78"/>
      <c r="L22" s="118">
        <f t="shared" si="0"/>
        <v>7</v>
      </c>
      <c r="M22" s="3"/>
      <c r="N22" s="3"/>
      <c r="O22" s="3"/>
      <c r="P22" s="3"/>
      <c r="Q22" s="3"/>
    </row>
    <row r="23" spans="1:17" ht="12.75">
      <c r="A23" s="140" t="s">
        <v>182</v>
      </c>
      <c r="B23" s="141">
        <v>2</v>
      </c>
      <c r="C23" s="142">
        <v>1</v>
      </c>
      <c r="D23" s="142"/>
      <c r="E23" s="142"/>
      <c r="F23" s="142"/>
      <c r="G23" s="142"/>
      <c r="H23" s="142"/>
      <c r="I23" s="143"/>
      <c r="J23" s="143"/>
      <c r="K23" s="144"/>
      <c r="L23" s="145">
        <f t="shared" si="0"/>
        <v>3</v>
      </c>
      <c r="M23" s="3"/>
      <c r="N23" s="3"/>
      <c r="O23" s="3"/>
      <c r="P23" s="3"/>
      <c r="Q23" s="3"/>
    </row>
    <row r="24" spans="1:17" ht="13.5" thickBot="1">
      <c r="A24" s="112" t="s">
        <v>208</v>
      </c>
      <c r="B24" s="108">
        <v>0</v>
      </c>
      <c r="C24" s="104">
        <v>0</v>
      </c>
      <c r="D24" s="104"/>
      <c r="E24" s="104"/>
      <c r="F24" s="104"/>
      <c r="G24" s="104"/>
      <c r="H24" s="104"/>
      <c r="I24" s="105"/>
      <c r="J24" s="105"/>
      <c r="K24" s="115"/>
      <c r="L24" s="119">
        <f t="shared" si="0"/>
        <v>0</v>
      </c>
      <c r="M24" s="3"/>
      <c r="N24" s="3"/>
      <c r="O24" s="3"/>
      <c r="P24" s="3"/>
      <c r="Q24" s="3"/>
    </row>
    <row r="25" spans="1:17" ht="13.5" thickBot="1">
      <c r="A25" s="113" t="s">
        <v>186</v>
      </c>
      <c r="L25" s="47">
        <f>SUM(L11:L24)</f>
        <v>120</v>
      </c>
      <c r="M25" s="3"/>
      <c r="N25" s="3"/>
      <c r="O25" s="3"/>
      <c r="P25" s="3"/>
      <c r="Q25" s="3"/>
    </row>
    <row r="26" spans="1:17" ht="12.75">
      <c r="A26" s="93"/>
      <c r="L26" s="3"/>
      <c r="M26" s="3"/>
      <c r="N26" s="3"/>
      <c r="O26" s="3"/>
      <c r="P26" s="3"/>
      <c r="Q26" s="3"/>
    </row>
    <row r="27" ht="12.75">
      <c r="A27" s="93"/>
    </row>
    <row r="28" spans="1:2" ht="12.75">
      <c r="A28" s="93"/>
      <c r="B28" s="8" t="s">
        <v>189</v>
      </c>
    </row>
    <row r="29" spans="1:2" ht="12.75">
      <c r="A29" s="2" t="s">
        <v>188</v>
      </c>
      <c r="B29" s="3"/>
    </row>
    <row r="30" spans="1:2" ht="13.5" thickBot="1">
      <c r="A30" s="93" t="s">
        <v>199</v>
      </c>
      <c r="B30" s="3">
        <f>L11</f>
        <v>77</v>
      </c>
    </row>
    <row r="31" spans="1:2" ht="13.5" thickBot="1">
      <c r="A31" s="93" t="s">
        <v>63</v>
      </c>
      <c r="B31" s="47">
        <f>SUM(B30)</f>
        <v>77</v>
      </c>
    </row>
    <row r="32" ht="12.75">
      <c r="B32" s="3"/>
    </row>
    <row r="33" spans="1:2" ht="12.75">
      <c r="A33" s="2" t="s">
        <v>164</v>
      </c>
      <c r="B33" s="3"/>
    </row>
    <row r="34" spans="1:2" ht="12.75">
      <c r="A34" s="93" t="s">
        <v>175</v>
      </c>
      <c r="B34" s="3">
        <f>L13</f>
        <v>0</v>
      </c>
    </row>
    <row r="35" spans="1:2" ht="12.75">
      <c r="A35" s="93" t="s">
        <v>178</v>
      </c>
      <c r="B35" s="3">
        <f>L19</f>
        <v>2</v>
      </c>
    </row>
    <row r="36" spans="1:2" ht="13.5" thickBot="1">
      <c r="A36" s="93" t="s">
        <v>208</v>
      </c>
      <c r="B36" s="97">
        <f>L24</f>
        <v>0</v>
      </c>
    </row>
    <row r="37" spans="1:2" ht="13.5" thickBot="1">
      <c r="A37" s="93" t="s">
        <v>63</v>
      </c>
      <c r="B37" s="47">
        <f>SUM(B34:B36)</f>
        <v>2</v>
      </c>
    </row>
    <row r="38" spans="1:2" ht="12.75">
      <c r="A38" s="93"/>
      <c r="B38" s="3"/>
    </row>
    <row r="39" spans="1:2" ht="12.75">
      <c r="A39" s="2" t="s">
        <v>162</v>
      </c>
      <c r="B39" s="3"/>
    </row>
    <row r="40" spans="1:2" ht="12.75">
      <c r="A40" s="93" t="s">
        <v>201</v>
      </c>
      <c r="B40" s="3">
        <f>L12</f>
        <v>13</v>
      </c>
    </row>
    <row r="41" spans="1:2" ht="12.75">
      <c r="A41" s="93" t="s">
        <v>202</v>
      </c>
      <c r="B41" s="3">
        <f>L14</f>
        <v>7</v>
      </c>
    </row>
    <row r="42" spans="1:2" ht="12.75">
      <c r="A42" s="93" t="s">
        <v>179</v>
      </c>
      <c r="B42" s="3">
        <f>L20</f>
        <v>0</v>
      </c>
    </row>
    <row r="43" spans="1:2" ht="12.75">
      <c r="A43" s="93" t="s">
        <v>180</v>
      </c>
      <c r="B43" s="97">
        <f>L21</f>
        <v>4</v>
      </c>
    </row>
    <row r="44" spans="1:2" ht="12.75">
      <c r="A44" s="93" t="s">
        <v>195</v>
      </c>
      <c r="B44" s="97">
        <f>L22</f>
        <v>7</v>
      </c>
    </row>
    <row r="45" spans="1:2" ht="13.5" thickBot="1">
      <c r="A45" s="93" t="s">
        <v>200</v>
      </c>
      <c r="B45" s="97">
        <f>L17</f>
        <v>0</v>
      </c>
    </row>
    <row r="46" spans="1:2" ht="13.5" thickBot="1">
      <c r="A46" s="93" t="s">
        <v>63</v>
      </c>
      <c r="B46" s="47">
        <f>SUM(B40:B45)</f>
        <v>31</v>
      </c>
    </row>
    <row r="47" ht="12.75">
      <c r="B47" s="3"/>
    </row>
    <row r="48" spans="1:2" ht="12.75">
      <c r="A48" s="2" t="s">
        <v>163</v>
      </c>
      <c r="B48" s="3"/>
    </row>
    <row r="49" spans="1:2" ht="12.75">
      <c r="A49" s="93" t="s">
        <v>177</v>
      </c>
      <c r="B49" s="97">
        <f>L16</f>
        <v>0</v>
      </c>
    </row>
    <row r="50" spans="1:2" ht="12.75">
      <c r="A50" s="93" t="s">
        <v>204</v>
      </c>
      <c r="B50" s="97">
        <f>L18</f>
        <v>3</v>
      </c>
    </row>
    <row r="51" spans="1:2" ht="13.5" thickBot="1">
      <c r="A51" s="93" t="s">
        <v>182</v>
      </c>
      <c r="B51" s="97">
        <f>L23</f>
        <v>3</v>
      </c>
    </row>
    <row r="52" spans="1:2" ht="13.5" thickBot="1">
      <c r="A52" s="93" t="s">
        <v>63</v>
      </c>
      <c r="B52" s="120">
        <f>SUM(B49:B51)</f>
        <v>6</v>
      </c>
    </row>
    <row r="53" ht="12.75">
      <c r="B53" s="3"/>
    </row>
    <row r="54" spans="1:2" ht="12.75">
      <c r="A54" s="2" t="s">
        <v>165</v>
      </c>
      <c r="B54" s="3"/>
    </row>
    <row r="55" spans="1:2" ht="13.5" thickBot="1">
      <c r="A55" s="93" t="s">
        <v>176</v>
      </c>
      <c r="B55" s="97">
        <f>L15</f>
        <v>4</v>
      </c>
    </row>
    <row r="56" spans="1:5" ht="13.5" thickBot="1">
      <c r="A56" s="93" t="s">
        <v>63</v>
      </c>
      <c r="B56" s="120">
        <f>SUM(B55:B55)</f>
        <v>4</v>
      </c>
      <c r="E56" s="133"/>
    </row>
  </sheetData>
  <printOptions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58"/>
  <sheetViews>
    <sheetView workbookViewId="0" topLeftCell="A1">
      <selection activeCell="A23" sqref="A2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3" spans="1:5" ht="12.75">
      <c r="A3" s="71" t="s">
        <v>198</v>
      </c>
      <c r="B3" s="132">
        <v>0.4576388888888889</v>
      </c>
      <c r="D3" s="94" t="s">
        <v>197</v>
      </c>
      <c r="E3" s="132">
        <v>0.4993055555555555</v>
      </c>
    </row>
    <row r="5" spans="2:3" ht="12.75">
      <c r="B5" s="94" t="s">
        <v>184</v>
      </c>
      <c r="C5" s="99">
        <v>1</v>
      </c>
    </row>
    <row r="7" spans="2:3" ht="12.75">
      <c r="B7" s="29" t="s">
        <v>183</v>
      </c>
      <c r="C7" s="74">
        <v>250</v>
      </c>
    </row>
    <row r="9" ht="13.5" thickBot="1">
      <c r="F9" s="94" t="s">
        <v>185</v>
      </c>
    </row>
    <row r="10" spans="1:12" ht="13.5" thickBot="1">
      <c r="A10" s="109" t="s">
        <v>59</v>
      </c>
      <c r="B10" s="100">
        <v>1</v>
      </c>
      <c r="C10" s="100">
        <v>2</v>
      </c>
      <c r="D10" s="100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100">
        <v>9</v>
      </c>
      <c r="K10" s="100">
        <v>10</v>
      </c>
      <c r="L10" s="101" t="s">
        <v>187</v>
      </c>
    </row>
    <row r="11" spans="1:17" ht="12.75">
      <c r="A11" s="110" t="s">
        <v>205</v>
      </c>
      <c r="B11" s="106">
        <v>10</v>
      </c>
      <c r="C11" s="102"/>
      <c r="D11" s="102"/>
      <c r="E11" s="102"/>
      <c r="F11" s="102"/>
      <c r="G11" s="102"/>
      <c r="H11" s="102"/>
      <c r="I11" s="103"/>
      <c r="J11" s="103"/>
      <c r="K11" s="114"/>
      <c r="L11" s="116">
        <f aca="true" t="shared" si="0" ref="L11:L25">SUM(B11)</f>
        <v>10</v>
      </c>
      <c r="M11" s="95"/>
      <c r="N11" s="98"/>
      <c r="O11" s="95"/>
      <c r="P11" s="98"/>
      <c r="Q11" s="95"/>
    </row>
    <row r="12" spans="1:17" ht="12.75">
      <c r="A12" s="134" t="s">
        <v>206</v>
      </c>
      <c r="B12" s="135">
        <v>21</v>
      </c>
      <c r="C12" s="136"/>
      <c r="D12" s="136"/>
      <c r="E12" s="136"/>
      <c r="F12" s="136"/>
      <c r="G12" s="136"/>
      <c r="H12" s="136"/>
      <c r="I12" s="137"/>
      <c r="J12" s="137"/>
      <c r="K12" s="138"/>
      <c r="L12" s="139">
        <f t="shared" si="0"/>
        <v>21</v>
      </c>
      <c r="M12" s="95"/>
      <c r="N12" s="98"/>
      <c r="O12" s="95"/>
      <c r="P12" s="98"/>
      <c r="Q12" s="95"/>
    </row>
    <row r="13" spans="1:17" ht="12.75">
      <c r="A13" s="111" t="s">
        <v>201</v>
      </c>
      <c r="B13" s="107">
        <v>15</v>
      </c>
      <c r="C13" s="96"/>
      <c r="D13" s="96"/>
      <c r="E13" s="96"/>
      <c r="F13" s="96"/>
      <c r="G13" s="96"/>
      <c r="H13" s="96"/>
      <c r="I13" s="30"/>
      <c r="J13" s="30"/>
      <c r="K13" s="78"/>
      <c r="L13" s="117">
        <f t="shared" si="0"/>
        <v>15</v>
      </c>
      <c r="M13" s="3"/>
      <c r="N13" s="3"/>
      <c r="O13" s="3"/>
      <c r="P13" s="3"/>
      <c r="Q13" s="3"/>
    </row>
    <row r="14" spans="1:17" ht="12.75">
      <c r="A14" s="111" t="s">
        <v>175</v>
      </c>
      <c r="B14" s="107">
        <v>4</v>
      </c>
      <c r="C14" s="96"/>
      <c r="D14" s="96"/>
      <c r="E14" s="96"/>
      <c r="F14" s="96"/>
      <c r="G14" s="96"/>
      <c r="H14" s="96"/>
      <c r="I14" s="30"/>
      <c r="J14" s="30"/>
      <c r="K14" s="78"/>
      <c r="L14" s="117">
        <f t="shared" si="0"/>
        <v>4</v>
      </c>
      <c r="M14" s="3"/>
      <c r="N14" s="3"/>
      <c r="O14" s="3"/>
      <c r="P14" s="3"/>
      <c r="Q14" s="3"/>
    </row>
    <row r="15" spans="1:17" ht="12.75">
      <c r="A15" s="111" t="s">
        <v>207</v>
      </c>
      <c r="B15" s="107">
        <v>0</v>
      </c>
      <c r="C15" s="96"/>
      <c r="D15" s="96"/>
      <c r="E15" s="96"/>
      <c r="F15" s="96"/>
      <c r="G15" s="96"/>
      <c r="H15" s="96"/>
      <c r="I15" s="30"/>
      <c r="J15" s="30"/>
      <c r="K15" s="78"/>
      <c r="L15" s="117">
        <f t="shared" si="0"/>
        <v>0</v>
      </c>
      <c r="M15" s="3"/>
      <c r="N15" s="3"/>
      <c r="O15" s="3"/>
      <c r="P15" s="3"/>
      <c r="Q15" s="3"/>
    </row>
    <row r="16" spans="1:17" ht="12.75">
      <c r="A16" s="111" t="s">
        <v>176</v>
      </c>
      <c r="B16" s="107">
        <v>1</v>
      </c>
      <c r="C16" s="96"/>
      <c r="D16" s="96"/>
      <c r="E16" s="96"/>
      <c r="F16" s="96"/>
      <c r="G16" s="96"/>
      <c r="H16" s="96"/>
      <c r="I16" s="30"/>
      <c r="J16" s="30"/>
      <c r="K16" s="78"/>
      <c r="L16" s="118">
        <f t="shared" si="0"/>
        <v>1</v>
      </c>
      <c r="M16" s="3"/>
      <c r="N16" s="3"/>
      <c r="O16" s="3"/>
      <c r="P16" s="3"/>
      <c r="Q16" s="3"/>
    </row>
    <row r="17" spans="1:17" ht="12.75">
      <c r="A17" s="111" t="s">
        <v>177</v>
      </c>
      <c r="B17" s="107">
        <v>1</v>
      </c>
      <c r="C17" s="96"/>
      <c r="D17" s="96"/>
      <c r="E17" s="96"/>
      <c r="F17" s="96"/>
      <c r="G17" s="96"/>
      <c r="H17" s="96"/>
      <c r="I17" s="30"/>
      <c r="J17" s="30"/>
      <c r="K17" s="78"/>
      <c r="L17" s="118">
        <f t="shared" si="0"/>
        <v>1</v>
      </c>
      <c r="M17" s="3"/>
      <c r="N17" s="3"/>
      <c r="O17" s="3"/>
      <c r="P17" s="3"/>
      <c r="Q17" s="3"/>
    </row>
    <row r="18" spans="1:17" ht="12.75">
      <c r="A18" s="111" t="s">
        <v>200</v>
      </c>
      <c r="B18" s="107">
        <v>2</v>
      </c>
      <c r="C18" s="96"/>
      <c r="D18" s="96"/>
      <c r="E18" s="96"/>
      <c r="F18" s="96"/>
      <c r="G18" s="96"/>
      <c r="H18" s="96"/>
      <c r="I18" s="30"/>
      <c r="J18" s="30"/>
      <c r="K18" s="78"/>
      <c r="L18" s="118">
        <f t="shared" si="0"/>
        <v>2</v>
      </c>
      <c r="M18" s="3"/>
      <c r="N18" s="3"/>
      <c r="O18" s="3"/>
      <c r="P18" s="3"/>
      <c r="Q18" s="3"/>
    </row>
    <row r="19" spans="1:17" ht="12.75">
      <c r="A19" s="111" t="s">
        <v>203</v>
      </c>
      <c r="B19" s="107">
        <v>2</v>
      </c>
      <c r="C19" s="96"/>
      <c r="D19" s="96"/>
      <c r="E19" s="96"/>
      <c r="F19" s="96"/>
      <c r="G19" s="96"/>
      <c r="H19" s="96"/>
      <c r="I19" s="30"/>
      <c r="J19" s="30"/>
      <c r="K19" s="78"/>
      <c r="L19" s="118">
        <f t="shared" si="0"/>
        <v>2</v>
      </c>
      <c r="M19" s="3"/>
      <c r="N19" s="3"/>
      <c r="O19" s="3"/>
      <c r="P19" s="3"/>
      <c r="Q19" s="3"/>
    </row>
    <row r="20" spans="1:17" ht="12.75">
      <c r="A20" s="111" t="s">
        <v>178</v>
      </c>
      <c r="B20" s="107">
        <v>0</v>
      </c>
      <c r="C20" s="96"/>
      <c r="D20" s="96"/>
      <c r="E20" s="96"/>
      <c r="F20" s="96"/>
      <c r="G20" s="96"/>
      <c r="H20" s="96"/>
      <c r="I20" s="30"/>
      <c r="J20" s="30"/>
      <c r="K20" s="78"/>
      <c r="L20" s="117">
        <f t="shared" si="0"/>
        <v>0</v>
      </c>
      <c r="M20" s="3"/>
      <c r="N20" s="3"/>
      <c r="O20" s="3"/>
      <c r="P20" s="3"/>
      <c r="Q20" s="3"/>
    </row>
    <row r="21" spans="1:17" ht="12.75">
      <c r="A21" s="111" t="s">
        <v>179</v>
      </c>
      <c r="B21" s="107">
        <v>1</v>
      </c>
      <c r="C21" s="96"/>
      <c r="D21" s="96"/>
      <c r="E21" s="96"/>
      <c r="F21" s="96"/>
      <c r="G21" s="96"/>
      <c r="H21" s="96"/>
      <c r="I21" s="30"/>
      <c r="J21" s="30"/>
      <c r="K21" s="78"/>
      <c r="L21" s="117">
        <f t="shared" si="0"/>
        <v>1</v>
      </c>
      <c r="M21" s="3"/>
      <c r="N21" s="3"/>
      <c r="O21" s="3"/>
      <c r="P21" s="3"/>
      <c r="Q21" s="3"/>
    </row>
    <row r="22" spans="1:17" ht="12.75">
      <c r="A22" s="111" t="s">
        <v>180</v>
      </c>
      <c r="B22" s="107">
        <v>1</v>
      </c>
      <c r="C22" s="96"/>
      <c r="D22" s="96"/>
      <c r="E22" s="96"/>
      <c r="F22" s="96"/>
      <c r="G22" s="96"/>
      <c r="H22" s="96"/>
      <c r="I22" s="30"/>
      <c r="J22" s="30"/>
      <c r="K22" s="78"/>
      <c r="L22" s="118">
        <f t="shared" si="0"/>
        <v>1</v>
      </c>
      <c r="M22" s="3"/>
      <c r="N22" s="3"/>
      <c r="O22" s="3"/>
      <c r="P22" s="3"/>
      <c r="Q22" s="3"/>
    </row>
    <row r="23" spans="1:17" ht="12.75">
      <c r="A23" s="111" t="s">
        <v>195</v>
      </c>
      <c r="B23" s="107">
        <v>1</v>
      </c>
      <c r="C23" s="96"/>
      <c r="D23" s="96"/>
      <c r="E23" s="96"/>
      <c r="F23" s="96"/>
      <c r="G23" s="96"/>
      <c r="H23" s="96"/>
      <c r="I23" s="30"/>
      <c r="J23" s="30"/>
      <c r="K23" s="78"/>
      <c r="L23" s="118">
        <f t="shared" si="0"/>
        <v>1</v>
      </c>
      <c r="M23" s="3"/>
      <c r="N23" s="3"/>
      <c r="O23" s="3"/>
      <c r="P23" s="3"/>
      <c r="Q23" s="3"/>
    </row>
    <row r="24" spans="1:17" ht="12.75">
      <c r="A24" s="140" t="s">
        <v>182</v>
      </c>
      <c r="B24" s="141">
        <v>1</v>
      </c>
      <c r="C24" s="142"/>
      <c r="D24" s="142"/>
      <c r="E24" s="142"/>
      <c r="F24" s="142"/>
      <c r="G24" s="142"/>
      <c r="H24" s="142"/>
      <c r="I24" s="143"/>
      <c r="J24" s="143"/>
      <c r="K24" s="144"/>
      <c r="L24" s="145">
        <f t="shared" si="0"/>
        <v>1</v>
      </c>
      <c r="M24" s="3"/>
      <c r="N24" s="3"/>
      <c r="O24" s="3"/>
      <c r="P24" s="3"/>
      <c r="Q24" s="3"/>
    </row>
    <row r="25" spans="1:17" ht="13.5" thickBot="1">
      <c r="A25" s="112" t="s">
        <v>208</v>
      </c>
      <c r="B25" s="108">
        <v>0</v>
      </c>
      <c r="C25" s="104"/>
      <c r="D25" s="104"/>
      <c r="E25" s="104"/>
      <c r="F25" s="104"/>
      <c r="G25" s="104"/>
      <c r="H25" s="104"/>
      <c r="I25" s="105"/>
      <c r="J25" s="105"/>
      <c r="K25" s="115"/>
      <c r="L25" s="119">
        <f t="shared" si="0"/>
        <v>0</v>
      </c>
      <c r="M25" s="3"/>
      <c r="N25" s="3"/>
      <c r="O25" s="3"/>
      <c r="P25" s="3"/>
      <c r="Q25" s="3"/>
    </row>
    <row r="26" spans="1:17" ht="13.5" thickBot="1">
      <c r="A26" s="113" t="s">
        <v>186</v>
      </c>
      <c r="L26" s="47">
        <f>SUM(L11:L25)</f>
        <v>60</v>
      </c>
      <c r="M26" s="3"/>
      <c r="N26" s="3"/>
      <c r="O26" s="3"/>
      <c r="P26" s="3"/>
      <c r="Q26" s="3"/>
    </row>
    <row r="27" spans="1:17" ht="12.75">
      <c r="A27" s="93"/>
      <c r="L27" s="3"/>
      <c r="M27" s="3"/>
      <c r="N27" s="3"/>
      <c r="O27" s="3"/>
      <c r="P27" s="3"/>
      <c r="Q27" s="3"/>
    </row>
    <row r="28" ht="12.75">
      <c r="A28" s="93"/>
    </row>
    <row r="29" spans="1:2" ht="12.75">
      <c r="A29" s="93"/>
      <c r="B29" s="8" t="s">
        <v>189</v>
      </c>
    </row>
    <row r="30" spans="1:2" ht="12.75">
      <c r="A30" s="2" t="s">
        <v>188</v>
      </c>
      <c r="B30" s="3"/>
    </row>
    <row r="31" spans="1:2" ht="12.75">
      <c r="A31" s="93" t="s">
        <v>205</v>
      </c>
      <c r="B31" s="3">
        <f>L11</f>
        <v>10</v>
      </c>
    </row>
    <row r="32" spans="1:2" ht="13.5" thickBot="1">
      <c r="A32" s="93" t="s">
        <v>206</v>
      </c>
      <c r="B32" s="3">
        <f>L12</f>
        <v>21</v>
      </c>
    </row>
    <row r="33" spans="1:2" ht="13.5" thickBot="1">
      <c r="A33" s="93" t="s">
        <v>63</v>
      </c>
      <c r="B33" s="47">
        <f>SUM(B31:B32)</f>
        <v>31</v>
      </c>
    </row>
    <row r="34" ht="12.75">
      <c r="B34" s="3"/>
    </row>
    <row r="35" spans="1:2" ht="12.75">
      <c r="A35" s="2" t="s">
        <v>164</v>
      </c>
      <c r="B35" s="3"/>
    </row>
    <row r="36" spans="1:2" ht="12.75">
      <c r="A36" s="93" t="s">
        <v>175</v>
      </c>
      <c r="B36" s="3">
        <f>L14</f>
        <v>4</v>
      </c>
    </row>
    <row r="37" spans="1:2" ht="12.75">
      <c r="A37" s="93" t="s">
        <v>208</v>
      </c>
      <c r="B37" s="97">
        <f>L25</f>
        <v>0</v>
      </c>
    </row>
    <row r="38" spans="1:2" ht="13.5" thickBot="1">
      <c r="A38" s="93" t="s">
        <v>178</v>
      </c>
      <c r="B38" s="3">
        <f>L20</f>
        <v>0</v>
      </c>
    </row>
    <row r="39" spans="1:2" ht="13.5" thickBot="1">
      <c r="A39" s="93" t="s">
        <v>63</v>
      </c>
      <c r="B39" s="47">
        <f>SUM(B36:B38)</f>
        <v>4</v>
      </c>
    </row>
    <row r="40" spans="1:2" ht="12.75">
      <c r="A40" s="93"/>
      <c r="B40" s="3"/>
    </row>
    <row r="41" spans="1:2" ht="12.75">
      <c r="A41" s="2" t="s">
        <v>162</v>
      </c>
      <c r="B41" s="3"/>
    </row>
    <row r="42" spans="1:2" ht="12.75">
      <c r="A42" s="93" t="s">
        <v>201</v>
      </c>
      <c r="B42" s="3">
        <f>L13</f>
        <v>15</v>
      </c>
    </row>
    <row r="43" spans="1:2" ht="12.75">
      <c r="A43" s="93" t="s">
        <v>179</v>
      </c>
      <c r="B43" s="3">
        <f>L21</f>
        <v>1</v>
      </c>
    </row>
    <row r="44" spans="1:2" ht="12.75">
      <c r="A44" s="93" t="s">
        <v>180</v>
      </c>
      <c r="B44" s="97">
        <f>L22</f>
        <v>1</v>
      </c>
    </row>
    <row r="45" spans="1:2" ht="12.75">
      <c r="A45" s="93" t="s">
        <v>195</v>
      </c>
      <c r="B45" s="97">
        <f>L23</f>
        <v>1</v>
      </c>
    </row>
    <row r="46" spans="1:2" ht="13.5" thickBot="1">
      <c r="A46" s="93" t="s">
        <v>200</v>
      </c>
      <c r="B46" s="97">
        <f>L18</f>
        <v>2</v>
      </c>
    </row>
    <row r="47" spans="1:2" ht="13.5" thickBot="1">
      <c r="A47" s="93" t="s">
        <v>63</v>
      </c>
      <c r="B47" s="47">
        <f>SUM(B42:B46)</f>
        <v>20</v>
      </c>
    </row>
    <row r="48" ht="12.75">
      <c r="B48" s="3"/>
    </row>
    <row r="49" spans="1:2" ht="12.75">
      <c r="A49" s="2" t="s">
        <v>163</v>
      </c>
      <c r="B49" s="3"/>
    </row>
    <row r="50" spans="1:2" ht="12.75">
      <c r="A50" s="93" t="s">
        <v>177</v>
      </c>
      <c r="B50" s="97">
        <f>L17</f>
        <v>1</v>
      </c>
    </row>
    <row r="51" spans="1:2" ht="12.75">
      <c r="A51" s="93" t="s">
        <v>204</v>
      </c>
      <c r="B51" s="97">
        <f>L19</f>
        <v>2</v>
      </c>
    </row>
    <row r="52" spans="1:2" ht="12.75">
      <c r="A52" s="93" t="s">
        <v>182</v>
      </c>
      <c r="B52" s="97">
        <f>L24</f>
        <v>1</v>
      </c>
    </row>
    <row r="53" spans="1:2" ht="13.5" thickBot="1">
      <c r="A53" s="93" t="s">
        <v>207</v>
      </c>
      <c r="B53" s="97">
        <f>L15</f>
        <v>0</v>
      </c>
    </row>
    <row r="54" spans="1:2" ht="13.5" thickBot="1">
      <c r="A54" s="93" t="s">
        <v>63</v>
      </c>
      <c r="B54" s="120">
        <f>SUM(B50:B53)</f>
        <v>4</v>
      </c>
    </row>
    <row r="55" ht="12.75">
      <c r="B55" s="3"/>
    </row>
    <row r="56" spans="1:2" ht="12.75">
      <c r="A56" s="2" t="s">
        <v>165</v>
      </c>
      <c r="B56" s="3"/>
    </row>
    <row r="57" spans="1:2" ht="13.5" thickBot="1">
      <c r="A57" s="93" t="s">
        <v>176</v>
      </c>
      <c r="B57" s="97">
        <f>L16</f>
        <v>1</v>
      </c>
    </row>
    <row r="58" spans="1:5" ht="13.5" thickBot="1">
      <c r="A58" s="93" t="s">
        <v>63</v>
      </c>
      <c r="B58" s="120">
        <f>SUM(B57:B57)</f>
        <v>1</v>
      </c>
      <c r="E58" s="133"/>
    </row>
  </sheetData>
  <printOptions/>
  <pageMargins left="0.75" right="0.75" top="1" bottom="1" header="0.5" footer="0.5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13">
      <selection activeCell="A21" sqref="A21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9.92</v>
      </c>
      <c r="D7" s="3" t="s">
        <v>2</v>
      </c>
      <c r="F7" s="2" t="s">
        <v>7</v>
      </c>
      <c r="H7" s="47">
        <v>58</v>
      </c>
      <c r="I7" s="37" t="s">
        <v>224</v>
      </c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v>9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</v>
      </c>
      <c r="I11" t="s">
        <v>89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'Pesado Platos (2)'!B47</f>
        <v>20</v>
      </c>
      <c r="K17" s="131">
        <f>I17/I18</f>
        <v>0.3333333333333333</v>
      </c>
      <c r="L17" s="37" t="s">
        <v>99</v>
      </c>
    </row>
    <row r="18" spans="4:9" ht="13.5" thickTop="1">
      <c r="D18" s="38" t="s">
        <v>190</v>
      </c>
      <c r="I18" s="122">
        <f>'Pesado Platos (2)'!L26</f>
        <v>60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'Pesado Platos (2)'!B54</f>
        <v>4</v>
      </c>
      <c r="K20" s="131">
        <f>I20/I21</f>
        <v>0.06666666666666667</v>
      </c>
      <c r="L20" s="37" t="s">
        <v>99</v>
      </c>
    </row>
    <row r="21" spans="4:9" ht="13.5" thickTop="1">
      <c r="D21" s="38" t="s">
        <v>190</v>
      </c>
      <c r="I21" s="124">
        <f>I18</f>
        <v>60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'Pesado Platos (2)'!B39</f>
        <v>4</v>
      </c>
      <c r="K23" s="131">
        <f>I23/I24</f>
        <v>0.06666666666666667</v>
      </c>
      <c r="L23" s="37" t="s">
        <v>99</v>
      </c>
    </row>
    <row r="24" spans="4:9" ht="13.5" thickTop="1">
      <c r="D24" s="38" t="s">
        <v>190</v>
      </c>
      <c r="I24" s="125">
        <f>I18</f>
        <v>60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'Pesado Platos (2)'!B58</f>
        <v>1</v>
      </c>
      <c r="K26" s="131">
        <f>I26/I27</f>
        <v>0.016666666666666666</v>
      </c>
      <c r="L26" s="37" t="s">
        <v>99</v>
      </c>
    </row>
    <row r="27" spans="4:9" ht="13.5" thickTop="1">
      <c r="D27" s="38" t="s">
        <v>190</v>
      </c>
      <c r="I27" s="126">
        <f>I18</f>
        <v>60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'Pesado Platos (2)'!L11*3600</f>
        <v>36000</v>
      </c>
      <c r="K29" s="47">
        <f>I29/I30</f>
        <v>600</v>
      </c>
      <c r="L29" s="37" t="s">
        <v>2</v>
      </c>
    </row>
    <row r="30" spans="4:9" ht="13.5" thickTop="1">
      <c r="D30" s="38" t="s">
        <v>91</v>
      </c>
      <c r="I30" s="130">
        <f>I18</f>
        <v>60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11.507200000000001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696.0000000000001</v>
      </c>
      <c r="E40">
        <f>D40/D41-1</f>
        <v>0.04282536151279204</v>
      </c>
      <c r="F40" t="s">
        <v>99</v>
      </c>
    </row>
    <row r="41" spans="3:4" ht="12.75">
      <c r="C41" s="3" t="s">
        <v>97</v>
      </c>
      <c r="D41" s="3">
        <f>H7*E37</f>
        <v>667.4176000000001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0.3333333333333333</v>
      </c>
      <c r="C47" s="66">
        <f>K20</f>
        <v>0.06666666666666667</v>
      </c>
      <c r="D47" s="3">
        <f>K23</f>
        <v>0.06666666666666667</v>
      </c>
      <c r="E47" s="3">
        <f>K26</f>
        <v>0.016666666666666666</v>
      </c>
      <c r="F47">
        <f>E40</f>
        <v>0.04282536151279204</v>
      </c>
    </row>
    <row r="49" spans="1:3" ht="12.75">
      <c r="A49" s="2" t="s">
        <v>52</v>
      </c>
      <c r="B49">
        <f>B47+C47+D47+E47+F47</f>
        <v>0.5261586948461253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11.507200000000001</v>
      </c>
      <c r="F54" s="66">
        <f>B49+1</f>
        <v>1.5261586948461252</v>
      </c>
    </row>
    <row r="56" spans="1:5" ht="12.75">
      <c r="A56" s="2" t="s">
        <v>104</v>
      </c>
      <c r="D56">
        <f>E54*F54</f>
        <v>17.561813333333333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67.69576094101252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894754" r:id="rId1"/>
    <oleObject progId="Equation.3" shapeId="89475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29">
      <selection activeCell="C19" sqref="C19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13.417200000000001</v>
      </c>
      <c r="D7" s="3" t="s">
        <v>2</v>
      </c>
      <c r="F7" s="2" t="s">
        <v>7</v>
      </c>
      <c r="H7" s="47">
        <v>130</v>
      </c>
      <c r="I7" s="37" t="s">
        <v>284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'Desmane s'!L11</f>
        <v>373</v>
      </c>
      <c r="I9" t="s">
        <v>293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3794</v>
      </c>
      <c r="I11" t="s">
        <v>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'Desmane s'!B44</f>
        <v>3</v>
      </c>
      <c r="K17" s="131">
        <f>I17/I18</f>
        <v>0.0079155672823219</v>
      </c>
      <c r="L17" s="37" t="s">
        <v>99</v>
      </c>
    </row>
    <row r="18" spans="4:9" ht="13.5" thickTop="1">
      <c r="D18" s="38" t="s">
        <v>190</v>
      </c>
      <c r="I18" s="122">
        <f>'Desmane s'!L24</f>
        <v>379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'Desmane s'!B50</f>
        <v>0</v>
      </c>
      <c r="K20" s="131">
        <f>I20/I21</f>
        <v>0</v>
      </c>
      <c r="L20" s="37" t="s">
        <v>99</v>
      </c>
    </row>
    <row r="21" spans="4:9" ht="13.5" thickTop="1">
      <c r="D21" s="38" t="s">
        <v>190</v>
      </c>
      <c r="I21" s="124">
        <f>I18</f>
        <v>379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'Desmane s'!B37</f>
        <v>2</v>
      </c>
      <c r="K23" s="131">
        <f>I23/I24</f>
        <v>0.005277044854881266</v>
      </c>
      <c r="L23" s="37" t="s">
        <v>99</v>
      </c>
    </row>
    <row r="24" spans="4:9" ht="13.5" thickTop="1">
      <c r="D24" s="38" t="s">
        <v>190</v>
      </c>
      <c r="I24" s="125">
        <f>I18</f>
        <v>379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'Desmane s'!B54</f>
        <v>2</v>
      </c>
      <c r="K26" s="131">
        <f>I26/I27</f>
        <v>0.005277044854881266</v>
      </c>
      <c r="L26" s="37" t="s">
        <v>99</v>
      </c>
    </row>
    <row r="27" spans="4:9" ht="13.5" thickTop="1">
      <c r="D27" s="38" t="s">
        <v>190</v>
      </c>
      <c r="I27" s="126">
        <f>I18</f>
        <v>379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'Desmane s'!L11*H11</f>
        <v>1415162</v>
      </c>
      <c r="K29" s="47">
        <f>I29/I30</f>
        <v>3733.9366754617413</v>
      </c>
      <c r="L29" s="37" t="s">
        <v>2</v>
      </c>
    </row>
    <row r="30" spans="4:9" ht="13.5" thickTop="1">
      <c r="D30" s="38" t="s">
        <v>251</v>
      </c>
      <c r="I30" s="130">
        <f>I18</f>
        <v>379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Normal!E10</f>
        <v>+ 0.08</v>
      </c>
      <c r="L35" s="58" t="str">
        <f>Normal!H10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15.563952000000004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4331.366543535621</v>
      </c>
      <c r="E40">
        <f>D40/D41-1</f>
        <v>0.07036452505903479</v>
      </c>
      <c r="F40" t="s">
        <v>99</v>
      </c>
    </row>
    <row r="41" spans="3:4" ht="12.75">
      <c r="C41" s="3" t="s">
        <v>97</v>
      </c>
      <c r="D41" s="3">
        <f>((H7/2)*4)*E37</f>
        <v>4046.627520000001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0.0079155672823219</v>
      </c>
      <c r="C47" s="66">
        <f>K20</f>
        <v>0</v>
      </c>
      <c r="D47" s="3">
        <f>K23</f>
        <v>0.005277044854881266</v>
      </c>
      <c r="E47" s="3">
        <f>K26</f>
        <v>0.005277044854881266</v>
      </c>
      <c r="F47">
        <f>E40</f>
        <v>0.07036452505903479</v>
      </c>
    </row>
    <row r="49" spans="1:3" ht="12.75">
      <c r="A49" s="2" t="s">
        <v>52</v>
      </c>
      <c r="B49">
        <f>B47+C47+D47+E47+F47</f>
        <v>0.08883418205111922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15.563952000000004</v>
      </c>
      <c r="F54" s="66">
        <f>B49+1</f>
        <v>1.0888341820511191</v>
      </c>
    </row>
    <row r="56" spans="1:5" ht="12.75">
      <c r="A56" s="2" t="s">
        <v>104</v>
      </c>
      <c r="D56">
        <f>E54*F54</f>
        <v>16.946562945402885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2.4454164613386338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98212" r:id="rId1"/>
    <oleObject progId="Equation.3" shapeId="698213" r:id="rId2"/>
  </oleObjects>
</worksheet>
</file>

<file path=xl/worksheets/sheet50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1">
      <selection activeCell="A9" sqref="A9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14.8</v>
      </c>
      <c r="D7" s="3" t="s">
        <v>2</v>
      </c>
      <c r="F7" s="2" t="s">
        <v>7</v>
      </c>
      <c r="H7" s="47">
        <v>155</v>
      </c>
      <c r="I7" s="37" t="s">
        <v>223</v>
      </c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v>76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</v>
      </c>
      <c r="I11" t="s">
        <v>89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'Pesado Clusters 100%'!B46</f>
        <v>31</v>
      </c>
      <c r="K17" s="131">
        <f>I17/I18</f>
        <v>0.25833333333333336</v>
      </c>
      <c r="L17" s="37" t="s">
        <v>99</v>
      </c>
    </row>
    <row r="18" spans="4:9" ht="13.5" thickTop="1">
      <c r="D18" s="38" t="s">
        <v>190</v>
      </c>
      <c r="I18" s="122">
        <f>'Pesado Clusters 100%'!L25</f>
        <v>120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'Pesado Clusters 100%'!B52</f>
        <v>6</v>
      </c>
      <c r="K20" s="131">
        <f>I20/I21</f>
        <v>0.05</v>
      </c>
      <c r="L20" s="37" t="s">
        <v>99</v>
      </c>
    </row>
    <row r="21" spans="4:9" ht="13.5" thickTop="1">
      <c r="D21" s="38" t="s">
        <v>190</v>
      </c>
      <c r="I21" s="124">
        <f>I18</f>
        <v>120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'Pesado Clusters 100%'!B37</f>
        <v>2</v>
      </c>
      <c r="K23" s="131">
        <f>I23/I24</f>
        <v>0.016666666666666666</v>
      </c>
      <c r="L23" s="37" t="s">
        <v>99</v>
      </c>
    </row>
    <row r="24" spans="4:9" ht="13.5" thickTop="1">
      <c r="D24" s="38" t="s">
        <v>190</v>
      </c>
      <c r="I24" s="125">
        <f>I18</f>
        <v>120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'Pesado Clusters 100%'!B56</f>
        <v>4</v>
      </c>
      <c r="K26" s="131">
        <f>I26/I27</f>
        <v>0.03333333333333333</v>
      </c>
      <c r="L26" s="37" t="s">
        <v>99</v>
      </c>
    </row>
    <row r="27" spans="4:9" ht="13.5" thickTop="1">
      <c r="D27" s="38" t="s">
        <v>190</v>
      </c>
      <c r="I27" s="126">
        <f>I18</f>
        <v>120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'Pesado Clusters 100%'!L11*3600</f>
        <v>277200</v>
      </c>
      <c r="K29" s="47">
        <f>I29/I30</f>
        <v>2310</v>
      </c>
      <c r="L29" s="37" t="s">
        <v>2</v>
      </c>
    </row>
    <row r="30" spans="4:9" ht="13.5" thickTop="1">
      <c r="D30" s="38" t="s">
        <v>91</v>
      </c>
      <c r="I30" s="130">
        <f>I18</f>
        <v>120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17.168000000000003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2679.6000000000004</v>
      </c>
      <c r="E40">
        <f>D40/D41-1</f>
        <v>0.006974716652135893</v>
      </c>
      <c r="F40" t="s">
        <v>99</v>
      </c>
    </row>
    <row r="41" spans="3:4" ht="12.75">
      <c r="C41" s="3" t="s">
        <v>97</v>
      </c>
      <c r="D41" s="3">
        <f>H7*E37</f>
        <v>2661.0400000000004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0.25833333333333336</v>
      </c>
      <c r="C47" s="66">
        <f>K20</f>
        <v>0.05</v>
      </c>
      <c r="D47" s="3">
        <f>K23</f>
        <v>0.016666666666666666</v>
      </c>
      <c r="E47" s="3">
        <f>K26</f>
        <v>0.03333333333333333</v>
      </c>
      <c r="F47">
        <f>E40</f>
        <v>0.006974716652135893</v>
      </c>
    </row>
    <row r="49" spans="1:3" ht="12.75">
      <c r="A49" s="2" t="s">
        <v>52</v>
      </c>
      <c r="B49">
        <f>B47+C47+D47+E47+F47</f>
        <v>0.36530804998546923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17.168000000000003</v>
      </c>
      <c r="F54" s="66">
        <f>B49+1</f>
        <v>1.3653080499854693</v>
      </c>
    </row>
    <row r="56" spans="1:5" ht="12.75">
      <c r="A56" s="2" t="s">
        <v>104</v>
      </c>
      <c r="D56">
        <f>E54*F54</f>
        <v>23.43960860215054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13.105157471567088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48164" r:id="rId1"/>
    <oleObject progId="Equation.3" shapeId="648165" r:id="rId2"/>
  </oleObjects>
</worksheet>
</file>

<file path=xl/worksheets/sheet51.xml><?xml version="1.0" encoding="utf-8"?>
<worksheet xmlns="http://schemas.openxmlformats.org/spreadsheetml/2006/main" xmlns:r="http://schemas.openxmlformats.org/officeDocument/2006/relationships">
  <dimension ref="A3:Q54"/>
  <sheetViews>
    <sheetView workbookViewId="0" topLeftCell="A1">
      <selection activeCell="A18" sqref="A18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3" spans="1:5" ht="12.75">
      <c r="A3" s="71" t="s">
        <v>198</v>
      </c>
      <c r="B3" s="132">
        <v>0.59375</v>
      </c>
      <c r="D3" s="94" t="s">
        <v>197</v>
      </c>
      <c r="E3" s="132">
        <v>0.6354166666666666</v>
      </c>
    </row>
    <row r="5" spans="2:6" ht="12.75">
      <c r="B5" s="94" t="s">
        <v>184</v>
      </c>
      <c r="C5" s="99">
        <v>1</v>
      </c>
      <c r="F5" s="132"/>
    </row>
    <row r="7" spans="2:3" ht="12.75">
      <c r="B7" s="29" t="s">
        <v>183</v>
      </c>
      <c r="C7" s="74">
        <v>250</v>
      </c>
    </row>
    <row r="9" ht="13.5" thickBot="1">
      <c r="F9" s="94" t="s">
        <v>185</v>
      </c>
    </row>
    <row r="10" spans="1:12" ht="13.5" thickBot="1">
      <c r="A10" s="109" t="s">
        <v>59</v>
      </c>
      <c r="B10" s="100">
        <v>1</v>
      </c>
      <c r="C10" s="100">
        <v>2</v>
      </c>
      <c r="D10" s="100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100">
        <v>9</v>
      </c>
      <c r="K10" s="100">
        <v>10</v>
      </c>
      <c r="L10" s="101" t="s">
        <v>187</v>
      </c>
    </row>
    <row r="11" spans="1:17" ht="12.75">
      <c r="A11" s="110" t="s">
        <v>172</v>
      </c>
      <c r="B11" s="106">
        <v>53</v>
      </c>
      <c r="C11" s="102">
        <v>57</v>
      </c>
      <c r="D11" s="102">
        <v>58</v>
      </c>
      <c r="E11" s="102"/>
      <c r="F11" s="102"/>
      <c r="G11" s="102"/>
      <c r="H11" s="102"/>
      <c r="I11" s="103"/>
      <c r="J11" s="103"/>
      <c r="K11" s="114"/>
      <c r="L11" s="116">
        <f aca="true" t="shared" si="0" ref="L11:L23">SUM(B11:D11)</f>
        <v>168</v>
      </c>
      <c r="M11" s="95"/>
      <c r="N11" s="98"/>
      <c r="O11" s="95"/>
      <c r="P11" s="98"/>
      <c r="Q11" s="95"/>
    </row>
    <row r="12" spans="1:17" ht="12.75">
      <c r="A12" s="111" t="s">
        <v>201</v>
      </c>
      <c r="B12" s="107">
        <v>7</v>
      </c>
      <c r="C12" s="96">
        <v>0</v>
      </c>
      <c r="D12" s="96">
        <v>0</v>
      </c>
      <c r="E12" s="96"/>
      <c r="F12" s="96"/>
      <c r="G12" s="96"/>
      <c r="H12" s="96"/>
      <c r="I12" s="30"/>
      <c r="J12" s="30"/>
      <c r="K12" s="78"/>
      <c r="L12" s="117">
        <f t="shared" si="0"/>
        <v>7</v>
      </c>
      <c r="M12" s="3"/>
      <c r="N12" s="3"/>
      <c r="O12" s="3"/>
      <c r="P12" s="3"/>
      <c r="Q12" s="3"/>
    </row>
    <row r="13" spans="1:17" ht="12.75">
      <c r="A13" s="111" t="s">
        <v>175</v>
      </c>
      <c r="B13" s="107">
        <v>0</v>
      </c>
      <c r="C13" s="96">
        <v>0</v>
      </c>
      <c r="D13" s="96">
        <v>0</v>
      </c>
      <c r="E13" s="96"/>
      <c r="F13" s="96"/>
      <c r="G13" s="96"/>
      <c r="H13" s="96"/>
      <c r="I13" s="30"/>
      <c r="J13" s="30"/>
      <c r="K13" s="78"/>
      <c r="L13" s="117">
        <f t="shared" si="0"/>
        <v>0</v>
      </c>
      <c r="M13" s="3"/>
      <c r="N13" s="3"/>
      <c r="O13" s="3"/>
      <c r="P13" s="3"/>
      <c r="Q13" s="3"/>
    </row>
    <row r="14" spans="1:17" ht="12.75">
      <c r="A14" s="111" t="s">
        <v>176</v>
      </c>
      <c r="B14" s="107"/>
      <c r="C14" s="96">
        <v>1</v>
      </c>
      <c r="D14" s="96">
        <v>1</v>
      </c>
      <c r="E14" s="96"/>
      <c r="F14" s="96"/>
      <c r="G14" s="96"/>
      <c r="H14" s="96"/>
      <c r="I14" s="30"/>
      <c r="J14" s="30"/>
      <c r="K14" s="78"/>
      <c r="L14" s="117">
        <f t="shared" si="0"/>
        <v>2</v>
      </c>
      <c r="M14" s="3"/>
      <c r="N14" s="3"/>
      <c r="O14" s="3"/>
      <c r="P14" s="3"/>
      <c r="Q14" s="3"/>
    </row>
    <row r="15" spans="1:17" ht="12.75">
      <c r="A15" s="111" t="s">
        <v>177</v>
      </c>
      <c r="B15" s="107"/>
      <c r="C15" s="96"/>
      <c r="D15" s="96"/>
      <c r="E15" s="96"/>
      <c r="F15" s="96"/>
      <c r="G15" s="96"/>
      <c r="H15" s="96"/>
      <c r="I15" s="30"/>
      <c r="J15" s="30"/>
      <c r="K15" s="78"/>
      <c r="L15" s="117">
        <f t="shared" si="0"/>
        <v>0</v>
      </c>
      <c r="M15" s="3"/>
      <c r="N15" s="3"/>
      <c r="O15" s="3"/>
      <c r="P15" s="3"/>
      <c r="Q15" s="3"/>
    </row>
    <row r="16" spans="1:17" ht="12.75">
      <c r="A16" s="111" t="s">
        <v>210</v>
      </c>
      <c r="B16" s="107"/>
      <c r="C16" s="96"/>
      <c r="D16" s="96"/>
      <c r="E16" s="96"/>
      <c r="F16" s="96"/>
      <c r="G16" s="96"/>
      <c r="H16" s="96"/>
      <c r="I16" s="30"/>
      <c r="J16" s="30"/>
      <c r="K16" s="78"/>
      <c r="L16" s="117">
        <f t="shared" si="0"/>
        <v>0</v>
      </c>
      <c r="M16" s="3"/>
      <c r="N16" s="3"/>
      <c r="O16" s="3"/>
      <c r="P16" s="3"/>
      <c r="Q16" s="3"/>
    </row>
    <row r="17" spans="1:17" ht="12.75">
      <c r="A17" s="111" t="s">
        <v>203</v>
      </c>
      <c r="B17" s="107"/>
      <c r="C17" s="96"/>
      <c r="D17" s="96"/>
      <c r="E17" s="96"/>
      <c r="F17" s="96"/>
      <c r="G17" s="96"/>
      <c r="H17" s="96"/>
      <c r="I17" s="30"/>
      <c r="J17" s="30"/>
      <c r="K17" s="78"/>
      <c r="L17" s="117">
        <f t="shared" si="0"/>
        <v>0</v>
      </c>
      <c r="M17" s="3"/>
      <c r="N17" s="3"/>
      <c r="O17" s="3"/>
      <c r="P17" s="3"/>
      <c r="Q17" s="3"/>
    </row>
    <row r="18" spans="1:17" ht="12.75">
      <c r="A18" s="111" t="s">
        <v>178</v>
      </c>
      <c r="B18" s="107"/>
      <c r="C18" s="96"/>
      <c r="D18" s="96">
        <v>1</v>
      </c>
      <c r="E18" s="96"/>
      <c r="F18" s="96"/>
      <c r="G18" s="96"/>
      <c r="H18" s="96"/>
      <c r="I18" s="30"/>
      <c r="J18" s="30"/>
      <c r="K18" s="78"/>
      <c r="L18" s="117">
        <f t="shared" si="0"/>
        <v>1</v>
      </c>
      <c r="M18" s="3"/>
      <c r="N18" s="3"/>
      <c r="O18" s="3"/>
      <c r="P18" s="3"/>
      <c r="Q18" s="3"/>
    </row>
    <row r="19" spans="1:17" ht="12.75">
      <c r="A19" s="111" t="s">
        <v>179</v>
      </c>
      <c r="B19" s="107"/>
      <c r="C19" s="96">
        <v>1</v>
      </c>
      <c r="D19" s="96"/>
      <c r="E19" s="96"/>
      <c r="F19" s="96"/>
      <c r="G19" s="96"/>
      <c r="H19" s="96"/>
      <c r="I19" s="30"/>
      <c r="J19" s="30"/>
      <c r="K19" s="78"/>
      <c r="L19" s="117">
        <f t="shared" si="0"/>
        <v>1</v>
      </c>
      <c r="M19" s="3"/>
      <c r="N19" s="3"/>
      <c r="O19" s="3"/>
      <c r="P19" s="3"/>
      <c r="Q19" s="3"/>
    </row>
    <row r="20" spans="1:17" ht="12.75">
      <c r="A20" s="111" t="s">
        <v>180</v>
      </c>
      <c r="B20" s="107"/>
      <c r="C20" s="96">
        <v>1</v>
      </c>
      <c r="D20" s="96"/>
      <c r="E20" s="96"/>
      <c r="F20" s="96"/>
      <c r="G20" s="96"/>
      <c r="H20" s="96"/>
      <c r="I20" s="30"/>
      <c r="J20" s="30"/>
      <c r="K20" s="78"/>
      <c r="L20" s="117">
        <f t="shared" si="0"/>
        <v>1</v>
      </c>
      <c r="M20" s="3"/>
      <c r="N20" s="3"/>
      <c r="O20" s="3"/>
      <c r="P20" s="3"/>
      <c r="Q20" s="3"/>
    </row>
    <row r="21" spans="1:17" ht="12.75">
      <c r="A21" s="111" t="s">
        <v>195</v>
      </c>
      <c r="B21" s="107"/>
      <c r="C21" s="96"/>
      <c r="D21" s="96"/>
      <c r="E21" s="96"/>
      <c r="F21" s="96"/>
      <c r="G21" s="96"/>
      <c r="H21" s="96"/>
      <c r="I21" s="30"/>
      <c r="J21" s="30"/>
      <c r="K21" s="78"/>
      <c r="L21" s="117">
        <f t="shared" si="0"/>
        <v>0</v>
      </c>
      <c r="M21" s="3"/>
      <c r="N21" s="3"/>
      <c r="O21" s="3"/>
      <c r="P21" s="3"/>
      <c r="Q21" s="3"/>
    </row>
    <row r="22" spans="1:17" ht="12.75">
      <c r="A22" s="140" t="s">
        <v>182</v>
      </c>
      <c r="B22" s="141"/>
      <c r="C22" s="142"/>
      <c r="D22" s="142"/>
      <c r="E22" s="142"/>
      <c r="F22" s="142"/>
      <c r="G22" s="142"/>
      <c r="H22" s="142"/>
      <c r="I22" s="143"/>
      <c r="J22" s="143"/>
      <c r="K22" s="144"/>
      <c r="L22" s="117">
        <f t="shared" si="0"/>
        <v>0</v>
      </c>
      <c r="M22" s="3"/>
      <c r="N22" s="3"/>
      <c r="O22" s="3"/>
      <c r="P22" s="3"/>
      <c r="Q22" s="3"/>
    </row>
    <row r="23" spans="1:17" ht="13.5" thickBot="1">
      <c r="A23" s="112" t="s">
        <v>208</v>
      </c>
      <c r="B23" s="108"/>
      <c r="C23" s="104"/>
      <c r="D23" s="104"/>
      <c r="E23" s="104"/>
      <c r="F23" s="104"/>
      <c r="G23" s="104"/>
      <c r="H23" s="104"/>
      <c r="I23" s="105"/>
      <c r="J23" s="105"/>
      <c r="K23" s="115"/>
      <c r="L23" s="119">
        <f t="shared" si="0"/>
        <v>0</v>
      </c>
      <c r="M23" s="3"/>
      <c r="N23" s="3"/>
      <c r="O23" s="3"/>
      <c r="P23" s="3"/>
      <c r="Q23" s="3"/>
    </row>
    <row r="24" spans="1:17" ht="13.5" thickBot="1">
      <c r="A24" s="113" t="s">
        <v>186</v>
      </c>
      <c r="L24" s="47">
        <f>SUM(L11:L23)</f>
        <v>180</v>
      </c>
      <c r="M24" s="3"/>
      <c r="N24" s="3"/>
      <c r="O24" s="3"/>
      <c r="P24" s="3"/>
      <c r="Q24" s="3"/>
    </row>
    <row r="25" spans="1:17" ht="12.75">
      <c r="A25" s="93"/>
      <c r="L25" s="3"/>
      <c r="M25" s="3"/>
      <c r="N25" s="3"/>
      <c r="O25" s="3"/>
      <c r="P25" s="3"/>
      <c r="Q25" s="3"/>
    </row>
    <row r="26" ht="12.75">
      <c r="A26" s="93"/>
    </row>
    <row r="27" spans="1:2" ht="12.75">
      <c r="A27" s="93"/>
      <c r="B27" s="8" t="s">
        <v>189</v>
      </c>
    </row>
    <row r="28" spans="1:2" ht="12.75">
      <c r="A28" s="2" t="s">
        <v>188</v>
      </c>
      <c r="B28" s="3"/>
    </row>
    <row r="29" spans="1:2" ht="13.5" thickBot="1">
      <c r="A29" s="93" t="s">
        <v>172</v>
      </c>
      <c r="B29" s="3">
        <f>L11</f>
        <v>168</v>
      </c>
    </row>
    <row r="30" spans="1:2" ht="13.5" thickBot="1">
      <c r="A30" s="93" t="s">
        <v>63</v>
      </c>
      <c r="B30" s="47">
        <f>SUM(B29:B29)</f>
        <v>168</v>
      </c>
    </row>
    <row r="31" ht="12.75">
      <c r="B31" s="3"/>
    </row>
    <row r="32" spans="1:2" ht="12.75">
      <c r="A32" s="2" t="s">
        <v>164</v>
      </c>
      <c r="B32" s="3"/>
    </row>
    <row r="33" spans="1:2" ht="12.75">
      <c r="A33" s="93" t="s">
        <v>175</v>
      </c>
      <c r="B33" s="3">
        <f>L13</f>
        <v>0</v>
      </c>
    </row>
    <row r="34" spans="1:2" ht="12.75">
      <c r="A34" s="93" t="s">
        <v>208</v>
      </c>
      <c r="B34" s="97">
        <f>L23</f>
        <v>0</v>
      </c>
    </row>
    <row r="35" spans="1:2" ht="13.5" thickBot="1">
      <c r="A35" s="93" t="s">
        <v>178</v>
      </c>
      <c r="B35" s="3">
        <f>L18</f>
        <v>1</v>
      </c>
    </row>
    <row r="36" spans="1:2" ht="13.5" thickBot="1">
      <c r="A36" s="93" t="s">
        <v>63</v>
      </c>
      <c r="B36" s="47">
        <f>SUM(B33:B35)</f>
        <v>1</v>
      </c>
    </row>
    <row r="37" spans="1:2" ht="12.75">
      <c r="A37" s="93"/>
      <c r="B37" s="3"/>
    </row>
    <row r="38" spans="1:2" ht="12.75">
      <c r="A38" s="2" t="s">
        <v>162</v>
      </c>
      <c r="B38" s="3"/>
    </row>
    <row r="39" spans="1:2" ht="12.75">
      <c r="A39" s="93" t="s">
        <v>201</v>
      </c>
      <c r="B39" s="3">
        <f>L12</f>
        <v>7</v>
      </c>
    </row>
    <row r="40" spans="1:2" ht="12.75">
      <c r="A40" s="93" t="s">
        <v>179</v>
      </c>
      <c r="B40" s="3">
        <f>L19</f>
        <v>1</v>
      </c>
    </row>
    <row r="41" spans="1:2" ht="12.75">
      <c r="A41" s="93" t="s">
        <v>180</v>
      </c>
      <c r="B41" s="97">
        <f>L20</f>
        <v>1</v>
      </c>
    </row>
    <row r="42" spans="1:2" ht="12.75">
      <c r="A42" s="93" t="s">
        <v>195</v>
      </c>
      <c r="B42" s="97">
        <f>L21</f>
        <v>0</v>
      </c>
    </row>
    <row r="43" spans="1:2" ht="13.5" thickBot="1">
      <c r="A43" s="93" t="s">
        <v>210</v>
      </c>
      <c r="B43" s="97">
        <f>L16</f>
        <v>0</v>
      </c>
    </row>
    <row r="44" spans="1:2" ht="13.5" thickBot="1">
      <c r="A44" s="93" t="s">
        <v>63</v>
      </c>
      <c r="B44" s="47">
        <f>SUM(B39:B43)</f>
        <v>9</v>
      </c>
    </row>
    <row r="45" ht="12.75">
      <c r="B45" s="3"/>
    </row>
    <row r="46" spans="1:2" ht="12.75">
      <c r="A46" s="2" t="s">
        <v>163</v>
      </c>
      <c r="B46" s="3"/>
    </row>
    <row r="47" spans="1:2" ht="12.75">
      <c r="A47" s="93" t="s">
        <v>177</v>
      </c>
      <c r="B47" s="97">
        <f>L15</f>
        <v>0</v>
      </c>
    </row>
    <row r="48" spans="1:2" ht="12.75">
      <c r="A48" s="93" t="s">
        <v>204</v>
      </c>
      <c r="B48" s="97">
        <f>L17</f>
        <v>0</v>
      </c>
    </row>
    <row r="49" spans="1:2" ht="13.5" thickBot="1">
      <c r="A49" s="93" t="s">
        <v>182</v>
      </c>
      <c r="B49" s="97">
        <f>L22</f>
        <v>0</v>
      </c>
    </row>
    <row r="50" spans="1:2" ht="13.5" thickBot="1">
      <c r="A50" s="93" t="s">
        <v>63</v>
      </c>
      <c r="B50" s="120">
        <f>SUM(B47:B49)</f>
        <v>0</v>
      </c>
    </row>
    <row r="51" ht="12.75">
      <c r="B51" s="3"/>
    </row>
    <row r="52" spans="1:2" ht="12.75">
      <c r="A52" s="2" t="s">
        <v>165</v>
      </c>
      <c r="B52" s="3"/>
    </row>
    <row r="53" spans="1:2" ht="13.5" thickBot="1">
      <c r="A53" s="93" t="s">
        <v>176</v>
      </c>
      <c r="B53" s="97">
        <f>L14</f>
        <v>2</v>
      </c>
    </row>
    <row r="54" spans="1:5" ht="13.5" thickBot="1">
      <c r="A54" s="93" t="s">
        <v>63</v>
      </c>
      <c r="B54" s="120">
        <f>SUM(B53:B53)</f>
        <v>2</v>
      </c>
      <c r="E54" s="133"/>
    </row>
  </sheetData>
  <printOptions/>
  <pageMargins left="0.75" right="0.75" top="1" bottom="1" header="0.5" footer="0.5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1">
      <selection activeCell="A11" sqref="A11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12.47</v>
      </c>
      <c r="D7" s="3" t="s">
        <v>2</v>
      </c>
      <c r="F7" s="2" t="s">
        <v>7</v>
      </c>
      <c r="H7" s="47">
        <v>268</v>
      </c>
      <c r="I7" s="37" t="s">
        <v>226</v>
      </c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v>167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</v>
      </c>
      <c r="I11" t="s">
        <v>89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'Ligar Clusters'!B44</f>
        <v>9</v>
      </c>
      <c r="K17" s="131">
        <f>I17/I18</f>
        <v>0.05</v>
      </c>
      <c r="L17" s="37" t="s">
        <v>99</v>
      </c>
    </row>
    <row r="18" spans="4:9" ht="13.5" thickTop="1">
      <c r="D18" s="38" t="s">
        <v>190</v>
      </c>
      <c r="I18" s="122">
        <f>'Ligar Clusters'!L24</f>
        <v>180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'Ligar Clusters'!B50</f>
        <v>0</v>
      </c>
      <c r="K20" s="131">
        <f>I20/I21</f>
        <v>0</v>
      </c>
      <c r="L20" s="37" t="s">
        <v>99</v>
      </c>
    </row>
    <row r="21" spans="4:9" ht="13.5" thickTop="1">
      <c r="D21" s="38" t="s">
        <v>190</v>
      </c>
      <c r="I21" s="124">
        <f>I18</f>
        <v>180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'Ligar Clusters'!B36</f>
        <v>1</v>
      </c>
      <c r="K23" s="131">
        <f>I23/I24</f>
        <v>0.005555555555555556</v>
      </c>
      <c r="L23" s="37" t="s">
        <v>99</v>
      </c>
    </row>
    <row r="24" spans="4:9" ht="13.5" thickTop="1">
      <c r="D24" s="38" t="s">
        <v>190</v>
      </c>
      <c r="I24" s="125">
        <f>I18</f>
        <v>180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'Ligar Clusters'!B54</f>
        <v>2</v>
      </c>
      <c r="K26" s="131">
        <f>I26/I27</f>
        <v>0.011111111111111112</v>
      </c>
      <c r="L26" s="37" t="s">
        <v>99</v>
      </c>
    </row>
    <row r="27" spans="4:9" ht="13.5" thickTop="1">
      <c r="D27" s="38" t="s">
        <v>190</v>
      </c>
      <c r="I27" s="126">
        <f>I18</f>
        <v>180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'Ligar Clusters'!L11*3600</f>
        <v>604800</v>
      </c>
      <c r="K29" s="47">
        <f>I29/I30</f>
        <v>3360</v>
      </c>
      <c r="L29" s="37" t="s">
        <v>2</v>
      </c>
    </row>
    <row r="30" spans="4:9" ht="13.5" thickTop="1">
      <c r="D30" s="38" t="s">
        <v>91</v>
      </c>
      <c r="I30" s="130">
        <f>I18</f>
        <v>180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14.465200000000003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3897.6000000000004</v>
      </c>
      <c r="E40">
        <f>D40/D41-1</f>
        <v>0.005398029898622259</v>
      </c>
      <c r="F40" t="s">
        <v>99</v>
      </c>
    </row>
    <row r="41" spans="3:4" ht="12.75">
      <c r="C41" s="3" t="s">
        <v>97</v>
      </c>
      <c r="D41" s="3">
        <f>H7*E37</f>
        <v>3876.673600000001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0.05</v>
      </c>
      <c r="C47" s="66">
        <f>K20</f>
        <v>0</v>
      </c>
      <c r="D47" s="3">
        <f>K23</f>
        <v>0.005555555555555556</v>
      </c>
      <c r="E47" s="3">
        <f>K26</f>
        <v>0.011111111111111112</v>
      </c>
      <c r="F47">
        <f>E40</f>
        <v>0.005398029898622259</v>
      </c>
    </row>
    <row r="49" spans="1:3" ht="12.75">
      <c r="A49" s="2" t="s">
        <v>52</v>
      </c>
      <c r="B49">
        <f>B47+C47+D47+E47+F47</f>
        <v>0.07206469656528892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14.465200000000003</v>
      </c>
      <c r="F54" s="66">
        <f>B49+1</f>
        <v>1.072064696565289</v>
      </c>
    </row>
    <row r="56" spans="1:5" ht="12.75">
      <c r="A56" s="2" t="s">
        <v>104</v>
      </c>
      <c r="D56">
        <f>E54*F54</f>
        <v>15.50763024875622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7.842254152692169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58533" r:id="rId1"/>
    <oleObject progId="Equation.3" shapeId="658534" r:id="rId2"/>
  </oleObjects>
</worksheet>
</file>

<file path=xl/worksheets/sheet53.xml><?xml version="1.0" encoding="utf-8"?>
<worksheet xmlns="http://schemas.openxmlformats.org/spreadsheetml/2006/main" xmlns:r="http://schemas.openxmlformats.org/officeDocument/2006/relationships">
  <dimension ref="A3:Q54"/>
  <sheetViews>
    <sheetView workbookViewId="0" topLeftCell="A11">
      <selection activeCell="A56" sqref="A56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3" spans="1:5" ht="12.75">
      <c r="A3" s="71" t="s">
        <v>198</v>
      </c>
      <c r="B3" s="132">
        <v>0.6104166666666667</v>
      </c>
      <c r="D3" s="94" t="s">
        <v>197</v>
      </c>
      <c r="E3" s="132">
        <v>0.6520833333333333</v>
      </c>
    </row>
    <row r="5" spans="2:6" ht="12.75">
      <c r="B5" s="94" t="s">
        <v>184</v>
      </c>
      <c r="C5" s="99">
        <v>1</v>
      </c>
      <c r="F5" s="132"/>
    </row>
    <row r="7" spans="2:3" ht="12.75">
      <c r="B7" s="29" t="s">
        <v>183</v>
      </c>
      <c r="C7" s="74">
        <v>250</v>
      </c>
    </row>
    <row r="9" ht="13.5" thickBot="1">
      <c r="F9" s="94" t="s">
        <v>185</v>
      </c>
    </row>
    <row r="10" spans="1:12" ht="13.5" thickBot="1">
      <c r="A10" s="109" t="s">
        <v>59</v>
      </c>
      <c r="B10" s="100">
        <v>1</v>
      </c>
      <c r="C10" s="100">
        <v>2</v>
      </c>
      <c r="D10" s="100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100">
        <v>9</v>
      </c>
      <c r="K10" s="100">
        <v>10</v>
      </c>
      <c r="L10" s="101" t="s">
        <v>187</v>
      </c>
    </row>
    <row r="11" spans="1:17" ht="12.75">
      <c r="A11" s="110" t="s">
        <v>170</v>
      </c>
      <c r="B11" s="106">
        <v>55</v>
      </c>
      <c r="C11" s="102">
        <v>57</v>
      </c>
      <c r="D11" s="102">
        <v>57</v>
      </c>
      <c r="E11" s="102">
        <v>56</v>
      </c>
      <c r="F11" s="102">
        <v>60</v>
      </c>
      <c r="G11" s="102">
        <v>60</v>
      </c>
      <c r="H11" s="102"/>
      <c r="I11" s="103"/>
      <c r="J11" s="103"/>
      <c r="K11" s="114"/>
      <c r="L11" s="116">
        <f>SUM(B11:G11)</f>
        <v>345</v>
      </c>
      <c r="M11" s="95"/>
      <c r="N11" s="98"/>
      <c r="O11" s="95"/>
      <c r="P11" s="98"/>
      <c r="Q11" s="95"/>
    </row>
    <row r="12" spans="1:17" ht="12.75">
      <c r="A12" s="111" t="s">
        <v>201</v>
      </c>
      <c r="B12" s="107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/>
      <c r="I12" s="30"/>
      <c r="J12" s="30"/>
      <c r="K12" s="78"/>
      <c r="L12" s="117">
        <f>SUM(B12:G12)</f>
        <v>0</v>
      </c>
      <c r="M12" s="3"/>
      <c r="N12" s="3"/>
      <c r="O12" s="3"/>
      <c r="P12" s="3"/>
      <c r="Q12" s="3"/>
    </row>
    <row r="13" spans="1:17" ht="12.75">
      <c r="A13" s="111" t="s">
        <v>175</v>
      </c>
      <c r="B13" s="107">
        <v>2</v>
      </c>
      <c r="C13" s="96">
        <v>2</v>
      </c>
      <c r="D13" s="96">
        <v>1</v>
      </c>
      <c r="E13" s="96">
        <v>1</v>
      </c>
      <c r="F13" s="96">
        <v>0</v>
      </c>
      <c r="G13" s="96">
        <v>0</v>
      </c>
      <c r="H13" s="96"/>
      <c r="I13" s="30"/>
      <c r="J13" s="30"/>
      <c r="K13" s="78"/>
      <c r="L13" s="117">
        <f>SUM(B13:G13)</f>
        <v>6</v>
      </c>
      <c r="M13" s="3"/>
      <c r="N13" s="3"/>
      <c r="O13" s="3"/>
      <c r="P13" s="3"/>
      <c r="Q13" s="3"/>
    </row>
    <row r="14" spans="1:17" ht="12.75">
      <c r="A14" s="111" t="s">
        <v>176</v>
      </c>
      <c r="B14" s="107">
        <v>0</v>
      </c>
      <c r="C14" s="96">
        <v>0</v>
      </c>
      <c r="D14" s="96">
        <v>0</v>
      </c>
      <c r="E14" s="96">
        <v>1</v>
      </c>
      <c r="F14" s="96">
        <v>0</v>
      </c>
      <c r="G14" s="96">
        <v>0</v>
      </c>
      <c r="H14" s="96"/>
      <c r="I14" s="30"/>
      <c r="J14" s="30"/>
      <c r="K14" s="78"/>
      <c r="L14" s="117">
        <f aca="true" t="shared" si="0" ref="L14:L22">SUM(B14:G14)</f>
        <v>1</v>
      </c>
      <c r="M14" s="3"/>
      <c r="N14" s="3"/>
      <c r="O14" s="3"/>
      <c r="P14" s="3"/>
      <c r="Q14" s="3"/>
    </row>
    <row r="15" spans="1:17" ht="12.75">
      <c r="A15" s="111" t="s">
        <v>177</v>
      </c>
      <c r="B15" s="107">
        <v>1</v>
      </c>
      <c r="C15" s="96">
        <v>1</v>
      </c>
      <c r="D15" s="96">
        <v>1</v>
      </c>
      <c r="E15" s="96">
        <v>1</v>
      </c>
      <c r="F15" s="96">
        <v>0</v>
      </c>
      <c r="G15" s="96">
        <v>0</v>
      </c>
      <c r="H15" s="96"/>
      <c r="I15" s="30"/>
      <c r="J15" s="30"/>
      <c r="K15" s="78"/>
      <c r="L15" s="117">
        <f t="shared" si="0"/>
        <v>4</v>
      </c>
      <c r="M15" s="3"/>
      <c r="N15" s="3"/>
      <c r="O15" s="3"/>
      <c r="P15" s="3"/>
      <c r="Q15" s="3"/>
    </row>
    <row r="16" spans="1:17" ht="12.75">
      <c r="A16" s="111" t="s">
        <v>210</v>
      </c>
      <c r="B16" s="107">
        <v>1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/>
      <c r="I16" s="30"/>
      <c r="J16" s="30"/>
      <c r="K16" s="78"/>
      <c r="L16" s="117">
        <f t="shared" si="0"/>
        <v>1</v>
      </c>
      <c r="M16" s="3"/>
      <c r="N16" s="3"/>
      <c r="O16" s="3"/>
      <c r="P16" s="3"/>
      <c r="Q16" s="3"/>
    </row>
    <row r="17" spans="1:17" ht="12.75">
      <c r="A17" s="111" t="s">
        <v>203</v>
      </c>
      <c r="B17" s="107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/>
      <c r="I17" s="30"/>
      <c r="J17" s="30"/>
      <c r="K17" s="78"/>
      <c r="L17" s="117">
        <f t="shared" si="0"/>
        <v>0</v>
      </c>
      <c r="M17" s="3"/>
      <c r="N17" s="3"/>
      <c r="O17" s="3"/>
      <c r="P17" s="3"/>
      <c r="Q17" s="3"/>
    </row>
    <row r="18" spans="1:17" ht="12.75">
      <c r="A18" s="111" t="s">
        <v>178</v>
      </c>
      <c r="B18" s="107">
        <v>1</v>
      </c>
      <c r="C18" s="96">
        <v>0</v>
      </c>
      <c r="D18" s="96">
        <v>1</v>
      </c>
      <c r="E18" s="96">
        <v>1</v>
      </c>
      <c r="F18" s="96">
        <v>0</v>
      </c>
      <c r="G18" s="96">
        <v>0</v>
      </c>
      <c r="H18" s="96"/>
      <c r="I18" s="30"/>
      <c r="J18" s="30"/>
      <c r="K18" s="78"/>
      <c r="L18" s="117">
        <f t="shared" si="0"/>
        <v>3</v>
      </c>
      <c r="M18" s="3"/>
      <c r="N18" s="3"/>
      <c r="O18" s="3"/>
      <c r="P18" s="3"/>
      <c r="Q18" s="3"/>
    </row>
    <row r="19" spans="1:17" ht="12.75">
      <c r="A19" s="111" t="s">
        <v>179</v>
      </c>
      <c r="B19" s="107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/>
      <c r="I19" s="30"/>
      <c r="J19" s="30"/>
      <c r="K19" s="78"/>
      <c r="L19" s="117">
        <f t="shared" si="0"/>
        <v>0</v>
      </c>
      <c r="M19" s="3"/>
      <c r="N19" s="3"/>
      <c r="O19" s="3"/>
      <c r="P19" s="3"/>
      <c r="Q19" s="3"/>
    </row>
    <row r="20" spans="1:17" ht="12.75">
      <c r="A20" s="111" t="s">
        <v>180</v>
      </c>
      <c r="B20" s="107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/>
      <c r="I20" s="30"/>
      <c r="J20" s="30"/>
      <c r="K20" s="78"/>
      <c r="L20" s="117">
        <f t="shared" si="0"/>
        <v>0</v>
      </c>
      <c r="M20" s="3"/>
      <c r="N20" s="3"/>
      <c r="O20" s="3"/>
      <c r="P20" s="3"/>
      <c r="Q20" s="3"/>
    </row>
    <row r="21" spans="1:17" ht="12.75">
      <c r="A21" s="111" t="s">
        <v>195</v>
      </c>
      <c r="B21" s="107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/>
      <c r="I21" s="30"/>
      <c r="J21" s="30"/>
      <c r="K21" s="78"/>
      <c r="L21" s="117">
        <f t="shared" si="0"/>
        <v>0</v>
      </c>
      <c r="M21" s="3"/>
      <c r="N21" s="3"/>
      <c r="O21" s="3"/>
      <c r="P21" s="3"/>
      <c r="Q21" s="3"/>
    </row>
    <row r="22" spans="1:17" ht="12.75">
      <c r="A22" s="140" t="s">
        <v>182</v>
      </c>
      <c r="B22" s="141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/>
      <c r="I22" s="143"/>
      <c r="J22" s="143"/>
      <c r="K22" s="144"/>
      <c r="L22" s="117">
        <f t="shared" si="0"/>
        <v>0</v>
      </c>
      <c r="M22" s="3"/>
      <c r="N22" s="3"/>
      <c r="O22" s="3"/>
      <c r="P22" s="3"/>
      <c r="Q22" s="3"/>
    </row>
    <row r="23" spans="1:17" ht="13.5" thickBot="1">
      <c r="A23" s="112" t="s">
        <v>208</v>
      </c>
      <c r="B23" s="108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/>
      <c r="I23" s="105"/>
      <c r="J23" s="105"/>
      <c r="K23" s="115"/>
      <c r="L23" s="119">
        <f>SUM(B23:G23)</f>
        <v>0</v>
      </c>
      <c r="M23" s="3"/>
      <c r="N23" s="3"/>
      <c r="O23" s="3"/>
      <c r="P23" s="3"/>
      <c r="Q23" s="3"/>
    </row>
    <row r="24" spans="1:17" ht="13.5" thickBot="1">
      <c r="A24" s="113" t="s">
        <v>186</v>
      </c>
      <c r="L24" s="47">
        <f>SUM(L11:L23)</f>
        <v>360</v>
      </c>
      <c r="M24" s="3"/>
      <c r="N24" s="3"/>
      <c r="O24" s="3"/>
      <c r="P24" s="3"/>
      <c r="Q24" s="3"/>
    </row>
    <row r="25" spans="1:17" ht="12.75">
      <c r="A25" s="93"/>
      <c r="B25" s="146">
        <v>35</v>
      </c>
      <c r="C25" s="146">
        <v>42</v>
      </c>
      <c r="D25" s="146">
        <v>40</v>
      </c>
      <c r="E25" s="146">
        <v>37</v>
      </c>
      <c r="F25" s="146">
        <v>37</v>
      </c>
      <c r="G25" s="146">
        <v>41</v>
      </c>
      <c r="H25" t="s">
        <v>212</v>
      </c>
      <c r="L25" s="3"/>
      <c r="M25" s="3"/>
      <c r="N25" s="3"/>
      <c r="O25" s="3"/>
      <c r="P25" s="3"/>
      <c r="Q25" s="3"/>
    </row>
    <row r="26" ht="12.75">
      <c r="A26" s="93"/>
    </row>
    <row r="27" spans="1:2" ht="12.75">
      <c r="A27" s="93"/>
      <c r="B27" s="8" t="s">
        <v>189</v>
      </c>
    </row>
    <row r="28" spans="1:2" ht="12.75">
      <c r="A28" s="2" t="s">
        <v>188</v>
      </c>
      <c r="B28" s="3"/>
    </row>
    <row r="29" spans="1:2" ht="13.5" thickBot="1">
      <c r="A29" s="93" t="s">
        <v>170</v>
      </c>
      <c r="B29" s="3">
        <f>L11</f>
        <v>345</v>
      </c>
    </row>
    <row r="30" spans="1:2" ht="13.5" thickBot="1">
      <c r="A30" s="93" t="s">
        <v>63</v>
      </c>
      <c r="B30" s="47">
        <f>SUM(B29:B29)</f>
        <v>345</v>
      </c>
    </row>
    <row r="31" ht="12.75">
      <c r="B31" s="3"/>
    </row>
    <row r="32" spans="1:2" ht="12.75">
      <c r="A32" s="2" t="s">
        <v>164</v>
      </c>
      <c r="B32" s="3"/>
    </row>
    <row r="33" spans="1:2" ht="12.75">
      <c r="A33" s="93" t="s">
        <v>175</v>
      </c>
      <c r="B33" s="3">
        <f>L13</f>
        <v>6</v>
      </c>
    </row>
    <row r="34" spans="1:2" ht="12.75">
      <c r="A34" s="93" t="s">
        <v>208</v>
      </c>
      <c r="B34" s="97">
        <f>L23</f>
        <v>0</v>
      </c>
    </row>
    <row r="35" spans="1:2" ht="13.5" thickBot="1">
      <c r="A35" s="93" t="s">
        <v>178</v>
      </c>
      <c r="B35" s="3">
        <f>L18</f>
        <v>3</v>
      </c>
    </row>
    <row r="36" spans="1:2" ht="13.5" thickBot="1">
      <c r="A36" s="93" t="s">
        <v>63</v>
      </c>
      <c r="B36" s="47">
        <f>SUM(B33:B35)</f>
        <v>9</v>
      </c>
    </row>
    <row r="37" spans="1:2" ht="12.75">
      <c r="A37" s="93"/>
      <c r="B37" s="3"/>
    </row>
    <row r="38" spans="1:2" ht="12.75">
      <c r="A38" s="2" t="s">
        <v>162</v>
      </c>
      <c r="B38" s="3"/>
    </row>
    <row r="39" spans="1:2" ht="12.75">
      <c r="A39" s="93" t="s">
        <v>201</v>
      </c>
      <c r="B39" s="3">
        <f>L12</f>
        <v>0</v>
      </c>
    </row>
    <row r="40" spans="1:2" ht="12.75">
      <c r="A40" s="93" t="s">
        <v>179</v>
      </c>
      <c r="B40" s="3">
        <f>L19</f>
        <v>0</v>
      </c>
    </row>
    <row r="41" spans="1:2" ht="12.75">
      <c r="A41" s="93" t="s">
        <v>180</v>
      </c>
      <c r="B41" s="97">
        <f>L20</f>
        <v>0</v>
      </c>
    </row>
    <row r="42" spans="1:2" ht="12.75">
      <c r="A42" s="93" t="s">
        <v>195</v>
      </c>
      <c r="B42" s="97">
        <f>L21</f>
        <v>0</v>
      </c>
    </row>
    <row r="43" spans="1:2" ht="13.5" thickBot="1">
      <c r="A43" s="93" t="s">
        <v>210</v>
      </c>
      <c r="B43" s="97">
        <f>L16</f>
        <v>1</v>
      </c>
    </row>
    <row r="44" spans="1:2" ht="13.5" thickBot="1">
      <c r="A44" s="93" t="s">
        <v>63</v>
      </c>
      <c r="B44" s="47">
        <f>SUM(B39:B43)</f>
        <v>1</v>
      </c>
    </row>
    <row r="45" ht="12.75">
      <c r="B45" s="3"/>
    </row>
    <row r="46" spans="1:2" ht="12.75">
      <c r="A46" s="2" t="s">
        <v>163</v>
      </c>
      <c r="B46" s="3"/>
    </row>
    <row r="47" spans="1:2" ht="12.75">
      <c r="A47" s="93" t="s">
        <v>177</v>
      </c>
      <c r="B47" s="97">
        <f>L15</f>
        <v>4</v>
      </c>
    </row>
    <row r="48" spans="1:2" ht="12.75">
      <c r="A48" s="93" t="s">
        <v>204</v>
      </c>
      <c r="B48" s="97">
        <f>L17</f>
        <v>0</v>
      </c>
    </row>
    <row r="49" spans="1:2" ht="13.5" thickBot="1">
      <c r="A49" s="93" t="s">
        <v>182</v>
      </c>
      <c r="B49" s="97">
        <f>L22</f>
        <v>0</v>
      </c>
    </row>
    <row r="50" spans="1:2" ht="13.5" thickBot="1">
      <c r="A50" s="93" t="s">
        <v>63</v>
      </c>
      <c r="B50" s="120">
        <f>SUM(B47:B49)</f>
        <v>4</v>
      </c>
    </row>
    <row r="51" ht="12.75">
      <c r="B51" s="3"/>
    </row>
    <row r="52" spans="1:2" ht="12.75">
      <c r="A52" s="2" t="s">
        <v>165</v>
      </c>
      <c r="B52" s="3"/>
    </row>
    <row r="53" spans="1:2" ht="13.5" thickBot="1">
      <c r="A53" s="93" t="s">
        <v>176</v>
      </c>
      <c r="B53" s="97">
        <f>L14</f>
        <v>1</v>
      </c>
    </row>
    <row r="54" spans="1:5" ht="13.5" thickBot="1">
      <c r="A54" s="93" t="s">
        <v>63</v>
      </c>
      <c r="B54" s="120">
        <f>SUM(B53:B53)</f>
        <v>1</v>
      </c>
      <c r="E54" s="133"/>
    </row>
  </sheetData>
  <printOptions/>
  <pageMargins left="0.75" right="0.75" top="1" bottom="1" header="0.5" footer="0.5"/>
  <pageSetup horizontalDpi="600" verticalDpi="6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D14">
      <selection activeCell="I18" sqref="I18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12.49</v>
      </c>
      <c r="D7" s="3" t="s">
        <v>2</v>
      </c>
      <c r="F7" s="2" t="s">
        <v>7</v>
      </c>
      <c r="H7" s="47">
        <v>240</v>
      </c>
      <c r="I7" s="37" t="s">
        <v>227</v>
      </c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v>342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</v>
      </c>
      <c r="I11" t="s">
        <v>89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'Embalar Cajas 2'!B44</f>
        <v>1</v>
      </c>
      <c r="K17" s="131">
        <f>I17/I18</f>
        <v>0.002777777777777778</v>
      </c>
      <c r="L17" s="37" t="s">
        <v>99</v>
      </c>
    </row>
    <row r="18" spans="4:9" ht="13.5" thickTop="1">
      <c r="D18" s="38" t="s">
        <v>190</v>
      </c>
      <c r="I18" s="122">
        <f>'Embalar Cajas 2'!L24</f>
        <v>360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'Embalar Cajas 2'!B50</f>
        <v>4</v>
      </c>
      <c r="K20" s="131">
        <f>I20/I21</f>
        <v>0.011111111111111112</v>
      </c>
      <c r="L20" s="37" t="s">
        <v>99</v>
      </c>
    </row>
    <row r="21" spans="4:9" ht="13.5" thickTop="1">
      <c r="D21" s="38" t="s">
        <v>190</v>
      </c>
      <c r="I21" s="124">
        <f>I18</f>
        <v>360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'Embalar Cajas 2'!B36</f>
        <v>9</v>
      </c>
      <c r="K23" s="131">
        <f>I23/I24</f>
        <v>0.025</v>
      </c>
      <c r="L23" s="37" t="s">
        <v>99</v>
      </c>
    </row>
    <row r="24" spans="4:9" ht="13.5" thickTop="1">
      <c r="D24" s="38" t="s">
        <v>190</v>
      </c>
      <c r="I24" s="125">
        <f>I18</f>
        <v>360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'Embalar Cajas 2'!B54</f>
        <v>1</v>
      </c>
      <c r="K26" s="131">
        <f>I26/I27</f>
        <v>0.002777777777777778</v>
      </c>
      <c r="L26" s="37" t="s">
        <v>99</v>
      </c>
    </row>
    <row r="27" spans="4:9" ht="13.5" thickTop="1">
      <c r="D27" s="38" t="s">
        <v>190</v>
      </c>
      <c r="I27" s="126">
        <f>I18</f>
        <v>360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'Embalar Cajas 2'!L11*3600</f>
        <v>1242000</v>
      </c>
      <c r="K29" s="47">
        <f>I29/I30</f>
        <v>3450</v>
      </c>
      <c r="L29" s="37" t="s">
        <v>2</v>
      </c>
    </row>
    <row r="30" spans="4:9" ht="13.5" thickTop="1">
      <c r="D30" s="38" t="s">
        <v>91</v>
      </c>
      <c r="I30" s="130">
        <f>I18</f>
        <v>360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14.488400000000002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4002.0000000000005</v>
      </c>
      <c r="E40">
        <f>D40/D41-1</f>
        <v>0.15092073658927152</v>
      </c>
      <c r="F40" t="s">
        <v>99</v>
      </c>
    </row>
    <row r="41" spans="3:4" ht="12.75">
      <c r="C41" s="3" t="s">
        <v>97</v>
      </c>
      <c r="D41" s="3">
        <f>H7*E37</f>
        <v>3477.2160000000003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0.002777777777777778</v>
      </c>
      <c r="C47" s="66">
        <f>K20</f>
        <v>0.011111111111111112</v>
      </c>
      <c r="D47" s="3">
        <f>K23</f>
        <v>0.025</v>
      </c>
      <c r="E47" s="3">
        <f>K26</f>
        <v>0.002777777777777778</v>
      </c>
      <c r="F47">
        <f>E40</f>
        <v>0.15092073658927152</v>
      </c>
    </row>
    <row r="49" spans="1:3" ht="12.75">
      <c r="A49" s="2" t="s">
        <v>52</v>
      </c>
      <c r="B49">
        <f>B47+C47+D47+E47+F47</f>
        <v>0.19258740325593818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14.488400000000002</v>
      </c>
      <c r="F54" s="66">
        <f>B49+1</f>
        <v>1.1925874032559383</v>
      </c>
    </row>
    <row r="56" spans="1:5" ht="12.75">
      <c r="A56" s="2" t="s">
        <v>104</v>
      </c>
      <c r="D56">
        <f>E54*F54</f>
        <v>17.278683333333337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3.623844066626823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61255" r:id="rId1"/>
    <oleObject progId="Equation.3" shapeId="661256" r:id="rId2"/>
  </oleObjects>
</worksheet>
</file>

<file path=xl/worksheets/sheet55.xml><?xml version="1.0" encoding="utf-8"?>
<worksheet xmlns="http://schemas.openxmlformats.org/spreadsheetml/2006/main" xmlns:r="http://schemas.openxmlformats.org/officeDocument/2006/relationships">
  <dimension ref="A6:K20"/>
  <sheetViews>
    <sheetView workbookViewId="0" topLeftCell="A1">
      <selection activeCell="A13" sqref="A13"/>
    </sheetView>
  </sheetViews>
  <sheetFormatPr defaultColWidth="9.140625" defaultRowHeight="12.75"/>
  <sheetData>
    <row r="6" spans="1:10" ht="12.75">
      <c r="A6" s="252" t="s">
        <v>59</v>
      </c>
      <c r="B6" s="252"/>
      <c r="C6" s="252" t="s">
        <v>54</v>
      </c>
      <c r="D6" s="252"/>
      <c r="E6" s="252" t="s">
        <v>54</v>
      </c>
      <c r="F6" s="252"/>
      <c r="G6" s="252" t="s">
        <v>54</v>
      </c>
      <c r="H6" s="252"/>
      <c r="I6" s="252" t="s">
        <v>54</v>
      </c>
      <c r="J6" s="252"/>
    </row>
    <row r="7" spans="1:10" ht="12.75">
      <c r="A7" s="252" t="s">
        <v>60</v>
      </c>
      <c r="B7" s="252"/>
      <c r="C7" s="252" t="s">
        <v>55</v>
      </c>
      <c r="D7" s="252"/>
      <c r="E7" s="252" t="s">
        <v>56</v>
      </c>
      <c r="F7" s="252"/>
      <c r="G7" s="252" t="s">
        <v>57</v>
      </c>
      <c r="H7" s="252"/>
      <c r="I7" s="252" t="s">
        <v>58</v>
      </c>
      <c r="J7" s="252"/>
    </row>
    <row r="8" spans="1:10" ht="12.75">
      <c r="A8" s="8" t="s">
        <v>61</v>
      </c>
      <c r="B8" s="29" t="s">
        <v>62</v>
      </c>
      <c r="C8" s="8" t="s">
        <v>61</v>
      </c>
      <c r="D8" s="29" t="s">
        <v>62</v>
      </c>
      <c r="E8" s="8" t="s">
        <v>61</v>
      </c>
      <c r="F8" s="29" t="s">
        <v>62</v>
      </c>
      <c r="G8" s="8" t="s">
        <v>61</v>
      </c>
      <c r="H8" s="29" t="s">
        <v>62</v>
      </c>
      <c r="I8" s="8" t="s">
        <v>61</v>
      </c>
      <c r="J8" s="29" t="s">
        <v>62</v>
      </c>
    </row>
    <row r="9" spans="1:10" ht="12.7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1" ht="12.75">
      <c r="A20" s="8" t="s">
        <v>63</v>
      </c>
      <c r="B20" s="7">
        <f>SUM(B9:B19)</f>
        <v>0</v>
      </c>
      <c r="C20" s="3" t="s">
        <v>2</v>
      </c>
      <c r="D20" s="7">
        <f>SUM(D9:D19)</f>
        <v>0</v>
      </c>
      <c r="E20" s="3" t="s">
        <v>2</v>
      </c>
      <c r="F20" s="7">
        <f>SUM(F9:F19)</f>
        <v>0</v>
      </c>
      <c r="G20" s="3" t="s">
        <v>2</v>
      </c>
      <c r="H20" s="7">
        <f>SUM(H9:H19)</f>
        <v>0</v>
      </c>
      <c r="I20" s="3" t="s">
        <v>2</v>
      </c>
      <c r="J20" s="7">
        <f>SUM(J9:J19)</f>
        <v>0</v>
      </c>
      <c r="K20" s="3" t="s">
        <v>2</v>
      </c>
    </row>
  </sheetData>
  <mergeCells count="10">
    <mergeCell ref="A6:B6"/>
    <mergeCell ref="A7:B7"/>
    <mergeCell ref="C6:D6"/>
    <mergeCell ref="C7:D7"/>
    <mergeCell ref="I6:J6"/>
    <mergeCell ref="I7:J7"/>
    <mergeCell ref="E6:F6"/>
    <mergeCell ref="E7:F7"/>
    <mergeCell ref="G6:H6"/>
    <mergeCell ref="G7:H7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28">
      <selection activeCell="A48" sqref="A48"/>
    </sheetView>
  </sheetViews>
  <sheetFormatPr defaultColWidth="9.140625" defaultRowHeight="12.75"/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"/>
      <c r="D7" s="3" t="s">
        <v>2</v>
      </c>
      <c r="F7" s="2" t="s">
        <v>7</v>
      </c>
      <c r="H7" s="1"/>
      <c r="I7" s="3" t="s">
        <v>4</v>
      </c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1"/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1"/>
      <c r="I11" t="s">
        <v>89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39"/>
      <c r="K17" s="47"/>
      <c r="L17" s="37" t="s">
        <v>99</v>
      </c>
    </row>
    <row r="18" spans="4:9" ht="13.5" thickTop="1">
      <c r="D18" s="38" t="s">
        <v>87</v>
      </c>
      <c r="I18" s="40"/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42"/>
      <c r="K20" s="47"/>
      <c r="L20" s="37" t="s">
        <v>99</v>
      </c>
    </row>
    <row r="21" spans="4:9" ht="13.5" thickTop="1">
      <c r="D21" s="38" t="s">
        <v>87</v>
      </c>
      <c r="I21" s="41"/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44"/>
      <c r="K23" s="47"/>
      <c r="L23" s="37" t="s">
        <v>99</v>
      </c>
    </row>
    <row r="24" spans="4:9" ht="13.5" thickTop="1">
      <c r="D24" s="38" t="s">
        <v>87</v>
      </c>
      <c r="I24" s="43"/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46"/>
      <c r="K26" s="47"/>
      <c r="L26" s="37" t="s">
        <v>99</v>
      </c>
    </row>
    <row r="27" spans="4:9" ht="13.5" thickTop="1">
      <c r="D27" s="38" t="s">
        <v>87</v>
      </c>
      <c r="I27" s="45"/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61">
        <f>(H11*3600)</f>
        <v>0</v>
      </c>
      <c r="K29" s="47" t="e">
        <f>I29/I30</f>
        <v>#DIV/0!</v>
      </c>
      <c r="L29" s="37" t="s">
        <v>2</v>
      </c>
    </row>
    <row r="30" spans="4:9" ht="13.5" thickTop="1">
      <c r="D30" s="38" t="s">
        <v>91</v>
      </c>
      <c r="I30" s="60"/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0</v>
      </c>
      <c r="F37" t="s">
        <v>2</v>
      </c>
    </row>
    <row r="40" spans="2:6" ht="12.75">
      <c r="B40" s="65" t="s">
        <v>94</v>
      </c>
      <c r="C40" s="64" t="s">
        <v>96</v>
      </c>
      <c r="D40" s="66" t="e">
        <f>K29*N35</f>
        <v>#DIV/0!</v>
      </c>
      <c r="E40" t="e">
        <f>D40/D41</f>
        <v>#DIV/0!</v>
      </c>
      <c r="F40" t="s">
        <v>99</v>
      </c>
    </row>
    <row r="41" spans="3:4" ht="12.75">
      <c r="C41" s="3" t="s">
        <v>97</v>
      </c>
      <c r="D41" s="3">
        <f>H7*E37</f>
        <v>0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</v>
      </c>
      <c r="C47" s="66">
        <f>K20</f>
        <v>0</v>
      </c>
      <c r="D47" s="3">
        <f>K23</f>
        <v>0</v>
      </c>
      <c r="E47" s="3">
        <f>K26</f>
        <v>0</v>
      </c>
      <c r="F47" t="e">
        <f>E40</f>
        <v>#DIV/0!</v>
      </c>
    </row>
    <row r="49" spans="1:3" ht="12.75">
      <c r="A49" s="2" t="s">
        <v>52</v>
      </c>
      <c r="B49" t="e">
        <f>B47+C47+D47+E47+F47</f>
        <v>#DIV/0!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0</v>
      </c>
      <c r="F54" s="66" t="e">
        <f>B49</f>
        <v>#DIV/0!</v>
      </c>
    </row>
    <row r="56" spans="1:5" ht="12.75">
      <c r="A56" s="2" t="s">
        <v>104</v>
      </c>
      <c r="D56" t="e">
        <f>E54*F54</f>
        <v>#DIV/0!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 t="e">
        <f>80*SQRT(H7)/H9*100</f>
        <v>#DIV/0!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890239" r:id="rId1"/>
    <oleObject progId="Equation.3" shapeId="225734" r:id="rId2"/>
  </oleObjects>
</worksheet>
</file>

<file path=xl/worksheets/sheet57.xml><?xml version="1.0" encoding="utf-8"?>
<worksheet xmlns="http://schemas.openxmlformats.org/spreadsheetml/2006/main" xmlns:r="http://schemas.openxmlformats.org/officeDocument/2006/relationships">
  <dimension ref="B1:G17"/>
  <sheetViews>
    <sheetView zoomScale="200" zoomScaleNormal="200" workbookViewId="0" topLeftCell="A1">
      <selection activeCell="B12" sqref="B12"/>
    </sheetView>
  </sheetViews>
  <sheetFormatPr defaultColWidth="9.140625" defaultRowHeight="12.75"/>
  <cols>
    <col min="1" max="1" width="7.28125" style="9" customWidth="1"/>
    <col min="2" max="16384" width="9.140625" style="9" customWidth="1"/>
  </cols>
  <sheetData>
    <row r="1" ht="12.75">
      <c r="B1" s="10" t="s">
        <v>51</v>
      </c>
    </row>
    <row r="2" spans="2:7" ht="12.75">
      <c r="B2" s="11"/>
      <c r="C2" s="11"/>
      <c r="D2" s="11"/>
      <c r="E2" s="11"/>
      <c r="F2" s="11"/>
      <c r="G2" s="11"/>
    </row>
    <row r="3" spans="2:7" ht="12.75">
      <c r="B3" s="253" t="s">
        <v>12</v>
      </c>
      <c r="C3" s="253"/>
      <c r="D3" s="253"/>
      <c r="E3" s="253" t="s">
        <v>13</v>
      </c>
      <c r="F3" s="253"/>
      <c r="G3" s="253"/>
    </row>
    <row r="4" spans="2:7" ht="12.75">
      <c r="B4" s="12"/>
      <c r="C4" s="12"/>
      <c r="D4" s="12"/>
      <c r="E4" s="12"/>
      <c r="F4" s="12"/>
      <c r="G4" s="12"/>
    </row>
    <row r="5" spans="2:7" ht="12.75">
      <c r="B5" s="17" t="s">
        <v>14</v>
      </c>
      <c r="C5" s="21" t="s">
        <v>15</v>
      </c>
      <c r="D5" s="21" t="s">
        <v>17</v>
      </c>
      <c r="E5" s="25" t="s">
        <v>19</v>
      </c>
      <c r="F5" s="21" t="s">
        <v>15</v>
      </c>
      <c r="G5" s="14" t="s">
        <v>21</v>
      </c>
    </row>
    <row r="6" spans="2:7" ht="12.75">
      <c r="B6" s="18" t="s">
        <v>19</v>
      </c>
      <c r="C6" s="22" t="s">
        <v>16</v>
      </c>
      <c r="D6" s="22" t="s">
        <v>18</v>
      </c>
      <c r="E6" s="26" t="s">
        <v>20</v>
      </c>
      <c r="F6" s="22" t="s">
        <v>16</v>
      </c>
      <c r="G6" s="15"/>
    </row>
    <row r="7" spans="2:7" ht="12.75">
      <c r="B7" s="19" t="s">
        <v>22</v>
      </c>
      <c r="C7" s="23" t="s">
        <v>26</v>
      </c>
      <c r="D7" s="23" t="s">
        <v>30</v>
      </c>
      <c r="E7" s="27" t="s">
        <v>32</v>
      </c>
      <c r="F7" s="23" t="s">
        <v>26</v>
      </c>
      <c r="G7" s="14" t="s">
        <v>30</v>
      </c>
    </row>
    <row r="8" spans="2:7" ht="12.75">
      <c r="B8" s="18" t="s">
        <v>23</v>
      </c>
      <c r="C8" s="22" t="s">
        <v>27</v>
      </c>
      <c r="D8" s="22"/>
      <c r="E8" s="26" t="s">
        <v>23</v>
      </c>
      <c r="F8" s="22" t="s">
        <v>27</v>
      </c>
      <c r="G8" s="15"/>
    </row>
    <row r="9" spans="2:7" ht="12.75">
      <c r="B9" s="19" t="s">
        <v>24</v>
      </c>
      <c r="C9" s="23" t="s">
        <v>28</v>
      </c>
      <c r="D9" s="23" t="s">
        <v>31</v>
      </c>
      <c r="E9" s="27" t="s">
        <v>33</v>
      </c>
      <c r="F9" s="23" t="s">
        <v>28</v>
      </c>
      <c r="G9" s="14" t="s">
        <v>35</v>
      </c>
    </row>
    <row r="10" spans="2:7" ht="12.75">
      <c r="B10" s="18" t="s">
        <v>25</v>
      </c>
      <c r="C10" s="22" t="s">
        <v>29</v>
      </c>
      <c r="D10" s="22"/>
      <c r="E10" s="26" t="s">
        <v>34</v>
      </c>
      <c r="F10" s="22" t="s">
        <v>29</v>
      </c>
      <c r="G10" s="15"/>
    </row>
    <row r="11" spans="2:7" ht="12.75">
      <c r="B11" s="20">
        <v>0</v>
      </c>
      <c r="C11" s="24" t="s">
        <v>36</v>
      </c>
      <c r="D11" s="24" t="s">
        <v>1</v>
      </c>
      <c r="E11" s="28">
        <v>0</v>
      </c>
      <c r="F11" s="24" t="s">
        <v>36</v>
      </c>
      <c r="G11" s="16" t="s">
        <v>1</v>
      </c>
    </row>
    <row r="12" spans="2:7" ht="12.75">
      <c r="B12" s="19" t="s">
        <v>37</v>
      </c>
      <c r="C12" s="23" t="s">
        <v>41</v>
      </c>
      <c r="D12" s="23" t="s">
        <v>45</v>
      </c>
      <c r="E12" s="27" t="s">
        <v>47</v>
      </c>
      <c r="F12" s="23" t="s">
        <v>41</v>
      </c>
      <c r="G12" s="14" t="s">
        <v>45</v>
      </c>
    </row>
    <row r="13" spans="2:7" ht="12.75">
      <c r="B13" s="18" t="s">
        <v>38</v>
      </c>
      <c r="C13" s="22" t="s">
        <v>42</v>
      </c>
      <c r="D13" s="22"/>
      <c r="E13" s="26" t="s">
        <v>48</v>
      </c>
      <c r="F13" s="22" t="s">
        <v>42</v>
      </c>
      <c r="G13" s="15"/>
    </row>
    <row r="14" spans="2:7" ht="12.75">
      <c r="B14" s="19" t="s">
        <v>39</v>
      </c>
      <c r="C14" s="23" t="s">
        <v>43</v>
      </c>
      <c r="D14" s="23" t="s">
        <v>46</v>
      </c>
      <c r="E14" s="27" t="s">
        <v>49</v>
      </c>
      <c r="F14" s="23" t="s">
        <v>43</v>
      </c>
      <c r="G14" s="14" t="s">
        <v>46</v>
      </c>
    </row>
    <row r="15" spans="2:7" ht="12.75">
      <c r="B15" s="18" t="s">
        <v>40</v>
      </c>
      <c r="C15" s="22" t="s">
        <v>44</v>
      </c>
      <c r="D15" s="22"/>
      <c r="E15" s="26" t="s">
        <v>50</v>
      </c>
      <c r="F15" s="22" t="s">
        <v>44</v>
      </c>
      <c r="G15" s="15"/>
    </row>
    <row r="16" ht="12.75">
      <c r="B16" s="13"/>
    </row>
    <row r="17" ht="12.75">
      <c r="B17" s="13"/>
    </row>
  </sheetData>
  <mergeCells count="2">
    <mergeCell ref="B3:D3"/>
    <mergeCell ref="E3:G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7:O31"/>
  <sheetViews>
    <sheetView workbookViewId="0" topLeftCell="A1">
      <selection activeCell="A14" sqref="A14"/>
    </sheetView>
  </sheetViews>
  <sheetFormatPr defaultColWidth="9.140625" defaultRowHeight="12.75"/>
  <cols>
    <col min="3" max="3" width="11.8515625" style="0" customWidth="1"/>
    <col min="4" max="5" width="8.28125" style="0" customWidth="1"/>
    <col min="6" max="6" width="14.140625" style="0" customWidth="1"/>
    <col min="7" max="8" width="8.28125" style="0" customWidth="1"/>
    <col min="9" max="9" width="14.140625" style="0" customWidth="1"/>
    <col min="11" max="11" width="9.7109375" style="0" bestFit="1" customWidth="1"/>
    <col min="13" max="13" width="10.7109375" style="0" bestFit="1" customWidth="1"/>
    <col min="15" max="15" width="15.421875" style="0" bestFit="1" customWidth="1"/>
  </cols>
  <sheetData>
    <row r="7" spans="1:15" ht="12.75">
      <c r="A7" s="9"/>
      <c r="B7" s="9"/>
      <c r="C7" s="9"/>
      <c r="D7" s="258" t="s">
        <v>12</v>
      </c>
      <c r="E7" s="258"/>
      <c r="F7" s="258"/>
      <c r="G7" s="222" t="s">
        <v>13</v>
      </c>
      <c r="H7" s="222"/>
      <c r="I7" s="222"/>
      <c r="J7" s="254" t="s">
        <v>253</v>
      </c>
      <c r="K7" s="179" t="s">
        <v>287</v>
      </c>
      <c r="L7" s="179" t="s">
        <v>287</v>
      </c>
      <c r="M7" s="21"/>
      <c r="N7" s="147" t="s">
        <v>287</v>
      </c>
      <c r="O7" s="147" t="s">
        <v>299</v>
      </c>
    </row>
    <row r="8" spans="1:15" ht="12.75">
      <c r="A8" s="256" t="s">
        <v>254</v>
      </c>
      <c r="B8" s="257"/>
      <c r="C8" s="257"/>
      <c r="D8" s="258" t="s">
        <v>255</v>
      </c>
      <c r="E8" s="258"/>
      <c r="F8" s="167" t="s">
        <v>256</v>
      </c>
      <c r="G8" s="222" t="s">
        <v>255</v>
      </c>
      <c r="H8" s="222"/>
      <c r="I8" s="168" t="s">
        <v>256</v>
      </c>
      <c r="J8" s="255"/>
      <c r="K8" s="180" t="s">
        <v>289</v>
      </c>
      <c r="L8" s="180" t="s">
        <v>290</v>
      </c>
      <c r="M8" s="150" t="s">
        <v>286</v>
      </c>
      <c r="N8" s="150" t="s">
        <v>288</v>
      </c>
      <c r="O8" s="150" t="s">
        <v>300</v>
      </c>
    </row>
    <row r="9" spans="1:15" ht="12.75">
      <c r="A9" s="169" t="s">
        <v>257</v>
      </c>
      <c r="B9" s="170"/>
      <c r="C9" s="170"/>
      <c r="D9" s="171" t="s">
        <v>29</v>
      </c>
      <c r="E9" s="172" t="s">
        <v>25</v>
      </c>
      <c r="F9" s="30" t="s">
        <v>31</v>
      </c>
      <c r="G9" s="96" t="s">
        <v>29</v>
      </c>
      <c r="H9" s="173" t="s">
        <v>34</v>
      </c>
      <c r="I9" s="30" t="s">
        <v>35</v>
      </c>
      <c r="J9" s="173" t="s">
        <v>33</v>
      </c>
      <c r="K9" s="181">
        <f>'T. estandar daipas'!C7</f>
        <v>23.758133333333337</v>
      </c>
      <c r="L9" s="181">
        <f>(1+J9)*K9</f>
        <v>24.946040000000004</v>
      </c>
      <c r="M9" s="181">
        <f>'T. estandar daipas'!B49</f>
        <v>0.0995281762167731</v>
      </c>
      <c r="N9" s="181">
        <f>(1+M9)*L9</f>
        <v>27.42887386503067</v>
      </c>
      <c r="O9" s="96" t="s">
        <v>310</v>
      </c>
    </row>
    <row r="10" spans="1:15" ht="12.75">
      <c r="A10" s="169" t="s">
        <v>258</v>
      </c>
      <c r="B10" s="170"/>
      <c r="C10" s="170"/>
      <c r="D10" s="96" t="s">
        <v>27</v>
      </c>
      <c r="E10" s="172" t="s">
        <v>23</v>
      </c>
      <c r="F10" s="30" t="s">
        <v>30</v>
      </c>
      <c r="G10" s="96" t="s">
        <v>27</v>
      </c>
      <c r="H10" s="173" t="s">
        <v>23</v>
      </c>
      <c r="I10" s="30" t="s">
        <v>30</v>
      </c>
      <c r="J10" s="173" t="s">
        <v>259</v>
      </c>
      <c r="K10" s="174">
        <f>+'T. estandar Desmane s'!C7</f>
        <v>13.417200000000001</v>
      </c>
      <c r="L10" s="181">
        <f aca="true" t="shared" si="0" ref="L10:L28">(1+J10)*K10</f>
        <v>15.563952</v>
      </c>
      <c r="M10" s="181">
        <f>+'T. estandar Desmane s'!B49</f>
        <v>0.08883418205111922</v>
      </c>
      <c r="N10" s="181">
        <f aca="true" t="shared" si="1" ref="N10:N28">(1+M10)*L10</f>
        <v>16.94656294540288</v>
      </c>
      <c r="O10" s="96" t="s">
        <v>311</v>
      </c>
    </row>
    <row r="11" spans="1:15" ht="12.75">
      <c r="A11" s="169" t="s">
        <v>260</v>
      </c>
      <c r="B11" s="170"/>
      <c r="C11" s="170"/>
      <c r="D11" s="96" t="s">
        <v>27</v>
      </c>
      <c r="E11" s="172" t="s">
        <v>23</v>
      </c>
      <c r="F11" s="30" t="s">
        <v>30</v>
      </c>
      <c r="G11" s="96" t="s">
        <v>27</v>
      </c>
      <c r="H11" s="173" t="s">
        <v>23</v>
      </c>
      <c r="I11" s="30" t="s">
        <v>30</v>
      </c>
      <c r="J11" s="173" t="s">
        <v>259</v>
      </c>
      <c r="K11" s="174">
        <f>+'T. estandar Desmane i'!C7</f>
        <v>10.2424</v>
      </c>
      <c r="L11" s="181">
        <f t="shared" si="0"/>
        <v>11.881184</v>
      </c>
      <c r="M11" s="181">
        <f>+'T. estandar Desmane i'!B49</f>
        <v>0.1840775213226984</v>
      </c>
      <c r="N11" s="181">
        <f t="shared" si="1"/>
        <v>14.068242901098902</v>
      </c>
      <c r="O11" s="96" t="s">
        <v>311</v>
      </c>
    </row>
    <row r="12" spans="1:15" ht="12.75">
      <c r="A12" s="169" t="s">
        <v>261</v>
      </c>
      <c r="B12" s="170"/>
      <c r="C12" s="170"/>
      <c r="D12" s="171" t="s">
        <v>27</v>
      </c>
      <c r="E12" s="172" t="s">
        <v>23</v>
      </c>
      <c r="F12" s="30" t="s">
        <v>30</v>
      </c>
      <c r="G12" s="96" t="s">
        <v>27</v>
      </c>
      <c r="H12" s="173" t="s">
        <v>23</v>
      </c>
      <c r="I12" s="30" t="s">
        <v>30</v>
      </c>
      <c r="J12" s="173" t="s">
        <v>259</v>
      </c>
      <c r="K12" s="174">
        <f>+'T. estandar gajeo p'!C7</f>
        <v>7.8932</v>
      </c>
      <c r="L12" s="181">
        <f t="shared" si="0"/>
        <v>9.156112</v>
      </c>
      <c r="M12" s="181">
        <f>+'T. estandar gajeo p'!B49</f>
        <v>0.21248572800447993</v>
      </c>
      <c r="N12" s="181">
        <f t="shared" si="1"/>
        <v>11.101655124010554</v>
      </c>
      <c r="O12" s="96" t="s">
        <v>312</v>
      </c>
    </row>
    <row r="13" spans="1:15" ht="12.75">
      <c r="A13" s="169" t="s">
        <v>262</v>
      </c>
      <c r="B13" s="170"/>
      <c r="C13" s="170"/>
      <c r="D13" s="171" t="s">
        <v>27</v>
      </c>
      <c r="E13" s="172" t="s">
        <v>23</v>
      </c>
      <c r="F13" s="30" t="s">
        <v>30</v>
      </c>
      <c r="G13" s="96" t="s">
        <v>27</v>
      </c>
      <c r="H13" s="173" t="s">
        <v>23</v>
      </c>
      <c r="I13" s="30" t="s">
        <v>30</v>
      </c>
      <c r="J13" s="173" t="s">
        <v>259</v>
      </c>
      <c r="K13" s="174">
        <f>+'T. estandar gajeo m'!C7</f>
        <v>10.898399999999999</v>
      </c>
      <c r="L13" s="181">
        <f t="shared" si="0"/>
        <v>12.642143999999998</v>
      </c>
      <c r="M13" s="181">
        <f>+'T. estandar gajeo m'!B49</f>
        <v>0.18589235708688842</v>
      </c>
      <c r="N13" s="181">
        <f t="shared" si="1"/>
        <v>14.992221946791862</v>
      </c>
      <c r="O13" s="96" t="s">
        <v>312</v>
      </c>
    </row>
    <row r="14" spans="1:15" ht="12.75">
      <c r="A14" s="169" t="s">
        <v>263</v>
      </c>
      <c r="B14" s="170"/>
      <c r="C14" s="170"/>
      <c r="D14" s="171" t="s">
        <v>27</v>
      </c>
      <c r="E14" s="172" t="s">
        <v>23</v>
      </c>
      <c r="F14" s="30" t="s">
        <v>30</v>
      </c>
      <c r="G14" s="96" t="s">
        <v>27</v>
      </c>
      <c r="H14" s="173" t="s">
        <v>23</v>
      </c>
      <c r="I14" s="30" t="s">
        <v>30</v>
      </c>
      <c r="J14" s="173" t="s">
        <v>259</v>
      </c>
      <c r="K14" s="174">
        <f>+'T. estandar gajeo g'!C7</f>
        <v>14.800959999999996</v>
      </c>
      <c r="L14" s="181">
        <f t="shared" si="0"/>
        <v>17.169113599999996</v>
      </c>
      <c r="M14" s="181">
        <f>+'T. estandar gajeo g'!B49</f>
        <v>0.1831345934850497</v>
      </c>
      <c r="N14" s="181">
        <f t="shared" si="1"/>
        <v>20.31337223963463</v>
      </c>
      <c r="O14" s="96" t="s">
        <v>312</v>
      </c>
    </row>
    <row r="15" spans="1:15" ht="12.75">
      <c r="A15" s="169" t="s">
        <v>264</v>
      </c>
      <c r="B15" s="170"/>
      <c r="C15" s="170"/>
      <c r="D15" s="171" t="s">
        <v>28</v>
      </c>
      <c r="E15" s="172" t="s">
        <v>24</v>
      </c>
      <c r="F15" s="30" t="s">
        <v>31</v>
      </c>
      <c r="G15" s="96" t="s">
        <v>28</v>
      </c>
      <c r="H15" s="173" t="s">
        <v>33</v>
      </c>
      <c r="I15" s="30" t="s">
        <v>35</v>
      </c>
      <c r="J15" s="173" t="s">
        <v>22</v>
      </c>
      <c r="K15" s="174">
        <f>+'T. estandar Llenado Platos p'!C7</f>
        <v>8.446799999999998</v>
      </c>
      <c r="L15" s="181">
        <f t="shared" si="0"/>
        <v>9.375948</v>
      </c>
      <c r="M15" s="181">
        <f>+'T. estandar Llenado Platos p'!B49</f>
        <v>0.19852478030322512</v>
      </c>
      <c r="N15" s="181">
        <f t="shared" si="1"/>
        <v>11.237306016834461</v>
      </c>
      <c r="O15" s="96" t="s">
        <v>313</v>
      </c>
    </row>
    <row r="16" spans="1:15" ht="12.75">
      <c r="A16" s="169" t="s">
        <v>265</v>
      </c>
      <c r="B16" s="170"/>
      <c r="C16" s="170"/>
      <c r="D16" s="171" t="s">
        <v>28</v>
      </c>
      <c r="E16" s="172" t="s">
        <v>24</v>
      </c>
      <c r="F16" s="30" t="s">
        <v>31</v>
      </c>
      <c r="G16" s="96" t="s">
        <v>28</v>
      </c>
      <c r="H16" s="173" t="s">
        <v>33</v>
      </c>
      <c r="I16" s="30" t="s">
        <v>35</v>
      </c>
      <c r="J16" s="173" t="s">
        <v>22</v>
      </c>
      <c r="K16" s="174">
        <f>+'T. estandar Llenado Platos m'!C7</f>
        <v>7.3132</v>
      </c>
      <c r="L16" s="181">
        <f t="shared" si="0"/>
        <v>8.117652000000001</v>
      </c>
      <c r="M16" s="181">
        <f>+'T. estandar Llenado Platos m'!B49</f>
        <v>0.19677177231597726</v>
      </c>
      <c r="N16" s="181">
        <f t="shared" si="1"/>
        <v>9.714976771084338</v>
      </c>
      <c r="O16" s="96" t="s">
        <v>313</v>
      </c>
    </row>
    <row r="17" spans="1:15" ht="12.75">
      <c r="A17" s="169" t="s">
        <v>266</v>
      </c>
      <c r="B17" s="170"/>
      <c r="C17" s="170"/>
      <c r="D17" s="171" t="s">
        <v>28</v>
      </c>
      <c r="E17" s="172" t="s">
        <v>24</v>
      </c>
      <c r="F17" s="30" t="s">
        <v>31</v>
      </c>
      <c r="G17" s="96" t="s">
        <v>28</v>
      </c>
      <c r="H17" s="173" t="s">
        <v>33</v>
      </c>
      <c r="I17" s="30" t="s">
        <v>35</v>
      </c>
      <c r="J17" s="173" t="s">
        <v>22</v>
      </c>
      <c r="K17" s="174">
        <f>+'T. estandar Llenado Platos g'!C7</f>
        <v>7.221199999999998</v>
      </c>
      <c r="L17" s="181">
        <f t="shared" si="0"/>
        <v>8.015531999999999</v>
      </c>
      <c r="M17" s="181">
        <f>+'T. estandar Llenado Platos g'!B49</f>
        <v>0.14911367251164628</v>
      </c>
      <c r="N17" s="181">
        <f t="shared" si="1"/>
        <v>9.210757413654619</v>
      </c>
      <c r="O17" s="96" t="s">
        <v>313</v>
      </c>
    </row>
    <row r="18" spans="1:15" ht="12.75">
      <c r="A18" s="169" t="s">
        <v>267</v>
      </c>
      <c r="B18" s="170"/>
      <c r="C18" s="170"/>
      <c r="D18" s="171" t="s">
        <v>27</v>
      </c>
      <c r="E18" s="172" t="s">
        <v>23</v>
      </c>
      <c r="F18" s="30" t="s">
        <v>30</v>
      </c>
      <c r="G18" s="96" t="s">
        <v>28</v>
      </c>
      <c r="H18" s="173" t="s">
        <v>33</v>
      </c>
      <c r="I18" s="30" t="s">
        <v>35</v>
      </c>
      <c r="J18" s="173" t="s">
        <v>19</v>
      </c>
      <c r="K18" s="182">
        <f>+'T. estandar Pesado Platos'!C7</f>
        <v>5.5636</v>
      </c>
      <c r="L18" s="181">
        <f t="shared" si="0"/>
        <v>6.286867999999999</v>
      </c>
      <c r="M18" s="181">
        <f>+'T. estandar Pesado Platos'!B49</f>
        <v>0.27213210761351136</v>
      </c>
      <c r="N18" s="181">
        <f t="shared" si="1"/>
        <v>7.997726639127941</v>
      </c>
      <c r="O18" s="96" t="s">
        <v>314</v>
      </c>
    </row>
    <row r="19" spans="1:15" ht="12.75">
      <c r="A19" s="169" t="s">
        <v>268</v>
      </c>
      <c r="B19" s="170"/>
      <c r="C19" s="170"/>
      <c r="D19" s="171" t="s">
        <v>29</v>
      </c>
      <c r="E19" s="172" t="s">
        <v>25</v>
      </c>
      <c r="F19" s="30" t="s">
        <v>31</v>
      </c>
      <c r="G19" s="96" t="s">
        <v>29</v>
      </c>
      <c r="H19" s="173" t="s">
        <v>34</v>
      </c>
      <c r="I19" s="30" t="s">
        <v>35</v>
      </c>
      <c r="J19" s="173" t="s">
        <v>33</v>
      </c>
      <c r="K19" s="174">
        <f>+'T. estandar Fumigado'!C7</f>
        <v>11.431199999999999</v>
      </c>
      <c r="L19" s="181">
        <f t="shared" si="0"/>
        <v>12.002759999999999</v>
      </c>
      <c r="M19" s="181">
        <f>+'T. estandar Fumigado'!B49</f>
        <v>0.1183206175832571</v>
      </c>
      <c r="N19" s="181">
        <f t="shared" si="1"/>
        <v>13.422933975903614</v>
      </c>
      <c r="O19" s="96" t="s">
        <v>314</v>
      </c>
    </row>
    <row r="20" spans="1:15" ht="12.75">
      <c r="A20" s="169" t="s">
        <v>269</v>
      </c>
      <c r="B20" s="170"/>
      <c r="C20" s="170"/>
      <c r="D20" s="171" t="s">
        <v>28</v>
      </c>
      <c r="E20" s="172" t="s">
        <v>24</v>
      </c>
      <c r="F20" s="30" t="s">
        <v>31</v>
      </c>
      <c r="G20" s="96" t="s">
        <v>28</v>
      </c>
      <c r="H20" s="173" t="s">
        <v>33</v>
      </c>
      <c r="I20" s="30" t="s">
        <v>35</v>
      </c>
      <c r="J20" s="173" t="s">
        <v>22</v>
      </c>
      <c r="K20" s="173">
        <f>+'T. estandar Sellar Clusters'!C7</f>
        <v>29.28</v>
      </c>
      <c r="L20" s="181">
        <f t="shared" si="0"/>
        <v>32.500800000000005</v>
      </c>
      <c r="M20" s="181">
        <f>+'T. estandar Sellar Clusters'!B49</f>
        <v>0.16616298408172947</v>
      </c>
      <c r="N20" s="181">
        <f t="shared" si="1"/>
        <v>37.90122991304347</v>
      </c>
      <c r="O20" s="96" t="s">
        <v>314</v>
      </c>
    </row>
    <row r="21" spans="1:15" ht="12.75">
      <c r="A21" s="169" t="s">
        <v>270</v>
      </c>
      <c r="B21" s="170"/>
      <c r="C21" s="170"/>
      <c r="D21" s="171" t="s">
        <v>27</v>
      </c>
      <c r="E21" s="172" t="s">
        <v>23</v>
      </c>
      <c r="F21" s="30" t="s">
        <v>30</v>
      </c>
      <c r="G21" s="96" t="s">
        <v>27</v>
      </c>
      <c r="H21" s="173" t="s">
        <v>23</v>
      </c>
      <c r="I21" s="30" t="s">
        <v>30</v>
      </c>
      <c r="J21" s="173" t="s">
        <v>259</v>
      </c>
      <c r="K21" s="173">
        <f>+'T. estandar Embalar Cajas'!C7</f>
        <v>58.01</v>
      </c>
      <c r="L21" s="181">
        <f t="shared" si="0"/>
        <v>67.29159999999999</v>
      </c>
      <c r="M21" s="181">
        <f>+'T. estandar Embalar Cajas'!B49</f>
        <v>0.10635476301903549</v>
      </c>
      <c r="N21" s="181">
        <f t="shared" si="1"/>
        <v>74.44838217117172</v>
      </c>
      <c r="O21" s="96" t="s">
        <v>314</v>
      </c>
    </row>
    <row r="22" spans="1:15" ht="12.75">
      <c r="A22" s="169" t="s">
        <v>271</v>
      </c>
      <c r="B22" s="170"/>
      <c r="C22" s="170"/>
      <c r="D22" s="171" t="s">
        <v>27</v>
      </c>
      <c r="E22" s="172" t="s">
        <v>23</v>
      </c>
      <c r="F22" s="30" t="s">
        <v>30</v>
      </c>
      <c r="G22" s="96" t="s">
        <v>28</v>
      </c>
      <c r="H22" s="173" t="s">
        <v>33</v>
      </c>
      <c r="I22" s="30" t="s">
        <v>35</v>
      </c>
      <c r="J22" s="173" t="s">
        <v>19</v>
      </c>
      <c r="K22" s="174">
        <f>+'T. estandar Re-Pesado cajas'!C7</f>
        <v>4.2578</v>
      </c>
      <c r="L22" s="181">
        <f t="shared" si="0"/>
        <v>4.811313999999999</v>
      </c>
      <c r="M22" s="181">
        <f>+'T. estandar Re-Pesado cajas'!B49</f>
        <v>0.34262510833093823</v>
      </c>
      <c r="N22" s="181">
        <f t="shared" si="1"/>
        <v>6.459790980464159</v>
      </c>
      <c r="O22" s="96" t="s">
        <v>314</v>
      </c>
    </row>
    <row r="23" spans="1:15" ht="12.75">
      <c r="A23" s="169" t="s">
        <v>272</v>
      </c>
      <c r="B23" s="170"/>
      <c r="C23" s="170"/>
      <c r="D23" s="171" t="s">
        <v>28</v>
      </c>
      <c r="E23" s="172" t="s">
        <v>24</v>
      </c>
      <c r="F23" s="30" t="s">
        <v>31</v>
      </c>
      <c r="G23" s="96" t="s">
        <v>29</v>
      </c>
      <c r="H23" s="173" t="s">
        <v>34</v>
      </c>
      <c r="I23" s="30" t="s">
        <v>35</v>
      </c>
      <c r="J23" s="173" t="s">
        <v>23</v>
      </c>
      <c r="K23" s="174">
        <f>+'T. estandar Ligado cajas'!C7</f>
        <v>6.037999999999999</v>
      </c>
      <c r="L23" s="181">
        <f t="shared" si="0"/>
        <v>6.52104</v>
      </c>
      <c r="M23" s="181">
        <f>+'T. estandar Ligado cajas'!B49</f>
        <v>0.4596162009538297</v>
      </c>
      <c r="N23" s="181">
        <f t="shared" si="1"/>
        <v>9.518215631067962</v>
      </c>
      <c r="O23" s="96" t="s">
        <v>314</v>
      </c>
    </row>
    <row r="24" spans="1:15" ht="12.75">
      <c r="A24" s="169" t="s">
        <v>273</v>
      </c>
      <c r="B24" s="170"/>
      <c r="C24" s="170"/>
      <c r="D24" s="171" t="s">
        <v>28</v>
      </c>
      <c r="E24" s="172" t="s">
        <v>24</v>
      </c>
      <c r="F24" s="30" t="s">
        <v>31</v>
      </c>
      <c r="G24" s="96" t="s">
        <v>29</v>
      </c>
      <c r="H24" s="173" t="s">
        <v>34</v>
      </c>
      <c r="I24" s="30" t="s">
        <v>35</v>
      </c>
      <c r="J24" s="173" t="s">
        <v>23</v>
      </c>
      <c r="K24" s="174">
        <f>+'T. estandar Tapado cajas'!C7</f>
        <v>3.545333333333334</v>
      </c>
      <c r="L24" s="181">
        <f t="shared" si="0"/>
        <v>3.8289600000000013</v>
      </c>
      <c r="M24" s="181">
        <f>+'T. estandar Tapado cajas'!B49</f>
        <v>0.4617891882122262</v>
      </c>
      <c r="N24" s="181">
        <f t="shared" si="1"/>
        <v>5.597132330097088</v>
      </c>
      <c r="O24" s="96" t="s">
        <v>314</v>
      </c>
    </row>
    <row r="25" spans="1:15" ht="12.75">
      <c r="A25" s="169" t="s">
        <v>274</v>
      </c>
      <c r="B25" s="170"/>
      <c r="C25" s="170"/>
      <c r="D25" s="171" t="s">
        <v>26</v>
      </c>
      <c r="E25" s="172" t="s">
        <v>22</v>
      </c>
      <c r="F25" s="30" t="s">
        <v>30</v>
      </c>
      <c r="G25" s="96" t="s">
        <v>26</v>
      </c>
      <c r="H25" s="174" t="s">
        <v>32</v>
      </c>
      <c r="I25" s="30" t="s">
        <v>30</v>
      </c>
      <c r="J25" s="173" t="s">
        <v>275</v>
      </c>
      <c r="K25" s="173">
        <f>+'T. estandar Paletizar Cajas'!C7</f>
        <v>480.34</v>
      </c>
      <c r="L25" s="181">
        <f t="shared" si="0"/>
        <v>581.2113999999999</v>
      </c>
      <c r="M25" s="181">
        <f>+'T. estandar Paletizar Cajas'!B49</f>
        <v>0.0815199900696909</v>
      </c>
      <c r="N25" s="181">
        <f t="shared" si="1"/>
        <v>628.5917475563909</v>
      </c>
      <c r="O25" s="96" t="s">
        <v>315</v>
      </c>
    </row>
    <row r="26" spans="1:15" ht="12.75">
      <c r="A26" s="169" t="s">
        <v>276</v>
      </c>
      <c r="B26" s="170"/>
      <c r="C26" s="175"/>
      <c r="D26" s="171" t="s">
        <v>28</v>
      </c>
      <c r="E26" s="172" t="s">
        <v>24</v>
      </c>
      <c r="F26" s="30" t="s">
        <v>31</v>
      </c>
      <c r="G26" s="96" t="s">
        <v>29</v>
      </c>
      <c r="H26" s="173" t="s">
        <v>34</v>
      </c>
      <c r="I26" s="30" t="s">
        <v>35</v>
      </c>
      <c r="J26" s="173" t="s">
        <v>23</v>
      </c>
      <c r="K26" s="174">
        <f>+'T. estandar Pegar fondo'!C7</f>
        <v>33.48700000000001</v>
      </c>
      <c r="L26" s="181">
        <f t="shared" si="0"/>
        <v>36.16596000000001</v>
      </c>
      <c r="M26" s="181">
        <f>+'T. estandar Pegar fondo'!B49</f>
        <v>0.09763790555971738</v>
      </c>
      <c r="N26" s="181">
        <f t="shared" si="1"/>
        <v>39.69712858695653</v>
      </c>
      <c r="O26" s="96" t="s">
        <v>316</v>
      </c>
    </row>
    <row r="27" spans="1:15" ht="12.75">
      <c r="A27" s="169" t="s">
        <v>277</v>
      </c>
      <c r="B27" s="170"/>
      <c r="C27" s="175"/>
      <c r="D27" s="171" t="s">
        <v>28</v>
      </c>
      <c r="E27" s="172" t="s">
        <v>24</v>
      </c>
      <c r="F27" s="30" t="s">
        <v>31</v>
      </c>
      <c r="G27" s="96" t="s">
        <v>29</v>
      </c>
      <c r="H27" s="173" t="s">
        <v>34</v>
      </c>
      <c r="I27" s="30" t="s">
        <v>35</v>
      </c>
      <c r="J27" s="173" t="s">
        <v>23</v>
      </c>
      <c r="K27" s="174">
        <f>+'T. estandar Pegar Tapa'!C7</f>
        <v>33.117000000000004</v>
      </c>
      <c r="L27" s="181">
        <f t="shared" si="0"/>
        <v>35.766360000000006</v>
      </c>
      <c r="M27" s="181">
        <f>+'T. estandar Pegar Tapa'!B49</f>
        <v>0.10968875502008021</v>
      </c>
      <c r="N27" s="181">
        <f t="shared" si="1"/>
        <v>39.689527500000004</v>
      </c>
      <c r="O27" s="96" t="s">
        <v>316</v>
      </c>
    </row>
    <row r="28" spans="1:15" ht="12.75">
      <c r="A28" s="169" t="s">
        <v>278</v>
      </c>
      <c r="B28" s="170"/>
      <c r="C28" s="175"/>
      <c r="D28" s="171" t="s">
        <v>29</v>
      </c>
      <c r="E28" s="172" t="s">
        <v>25</v>
      </c>
      <c r="F28" s="30" t="s">
        <v>31</v>
      </c>
      <c r="G28" s="96" t="s">
        <v>29</v>
      </c>
      <c r="H28" s="173" t="s">
        <v>34</v>
      </c>
      <c r="I28" s="30" t="s">
        <v>35</v>
      </c>
      <c r="J28" s="173" t="s">
        <v>33</v>
      </c>
      <c r="K28" s="174">
        <f>+'T. estandar Arma fondo tapa'!C7</f>
        <v>7.7945714285714285</v>
      </c>
      <c r="L28" s="181">
        <f t="shared" si="0"/>
        <v>8.1843</v>
      </c>
      <c r="M28" s="181">
        <f>+'T. estandar Arma fondo tapa'!B49</f>
        <v>0.05547724238138964</v>
      </c>
      <c r="N28" s="181">
        <f t="shared" si="1"/>
        <v>8.638342394822008</v>
      </c>
      <c r="O28" s="96" t="s">
        <v>314</v>
      </c>
    </row>
    <row r="31" ht="12.75">
      <c r="H31" s="146"/>
    </row>
  </sheetData>
  <mergeCells count="6">
    <mergeCell ref="J7:J8"/>
    <mergeCell ref="A8:C8"/>
    <mergeCell ref="D8:E8"/>
    <mergeCell ref="G8:H8"/>
    <mergeCell ref="D7:F7"/>
    <mergeCell ref="G7:I7"/>
  </mergeCells>
  <printOptions/>
  <pageMargins left="0.75" right="0.75" top="1" bottom="1" header="0.5" footer="0.5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7:V31"/>
  <sheetViews>
    <sheetView workbookViewId="0" topLeftCell="A1">
      <selection activeCell="V12" sqref="V12"/>
    </sheetView>
  </sheetViews>
  <sheetFormatPr defaultColWidth="9.140625" defaultRowHeight="12.75"/>
  <cols>
    <col min="3" max="3" width="11.8515625" style="0" customWidth="1"/>
    <col min="4" max="4" width="4.57421875" style="0" hidden="1" customWidth="1"/>
    <col min="5" max="5" width="8.28125" style="0" hidden="1" customWidth="1"/>
    <col min="6" max="6" width="9.421875" style="0" hidden="1" customWidth="1"/>
    <col min="7" max="7" width="4.57421875" style="0" hidden="1" customWidth="1"/>
    <col min="8" max="8" width="8.28125" style="0" hidden="1" customWidth="1"/>
    <col min="9" max="9" width="9.421875" style="0" hidden="1" customWidth="1"/>
    <col min="10" max="10" width="7.00390625" style="0" hidden="1" customWidth="1"/>
    <col min="11" max="11" width="9.7109375" style="0" hidden="1" customWidth="1"/>
    <col min="12" max="12" width="0" style="0" hidden="1" customWidth="1"/>
    <col min="13" max="16" width="11.00390625" style="0" hidden="1" customWidth="1"/>
    <col min="17" max="17" width="7.8515625" style="0" hidden="1" customWidth="1"/>
    <col min="18" max="18" width="10.7109375" style="0" hidden="1" customWidth="1"/>
    <col min="20" max="20" width="15.421875" style="0" bestFit="1" customWidth="1"/>
  </cols>
  <sheetData>
    <row r="7" spans="1:21" ht="12.75">
      <c r="A7" s="9"/>
      <c r="B7" s="9"/>
      <c r="C7" s="9"/>
      <c r="D7" s="258" t="s">
        <v>12</v>
      </c>
      <c r="E7" s="258"/>
      <c r="F7" s="258"/>
      <c r="G7" s="222" t="s">
        <v>13</v>
      </c>
      <c r="H7" s="222"/>
      <c r="I7" s="222"/>
      <c r="J7" s="223" t="s">
        <v>253</v>
      </c>
      <c r="K7" s="199" t="s">
        <v>287</v>
      </c>
      <c r="L7" s="199" t="s">
        <v>287</v>
      </c>
      <c r="M7" s="186" t="s">
        <v>317</v>
      </c>
      <c r="N7" s="188" t="s">
        <v>317</v>
      </c>
      <c r="O7" s="190" t="s">
        <v>317</v>
      </c>
      <c r="P7" s="192" t="s">
        <v>317</v>
      </c>
      <c r="Q7" s="194" t="s">
        <v>318</v>
      </c>
      <c r="R7" s="196" t="s">
        <v>88</v>
      </c>
      <c r="S7" s="201" t="s">
        <v>287</v>
      </c>
      <c r="T7" s="147" t="s">
        <v>299</v>
      </c>
      <c r="U7" s="147" t="s">
        <v>323</v>
      </c>
    </row>
    <row r="8" spans="1:21" ht="12.75">
      <c r="A8" s="256" t="s">
        <v>254</v>
      </c>
      <c r="B8" s="257"/>
      <c r="C8" s="257"/>
      <c r="D8" s="258" t="s">
        <v>255</v>
      </c>
      <c r="E8" s="258"/>
      <c r="F8" s="184" t="s">
        <v>256</v>
      </c>
      <c r="G8" s="222" t="s">
        <v>255</v>
      </c>
      <c r="H8" s="222"/>
      <c r="I8" s="185" t="s">
        <v>256</v>
      </c>
      <c r="J8" s="224"/>
      <c r="K8" s="200" t="s">
        <v>289</v>
      </c>
      <c r="L8" s="200" t="s">
        <v>290</v>
      </c>
      <c r="M8" s="187" t="s">
        <v>55</v>
      </c>
      <c r="N8" s="189" t="s">
        <v>56</v>
      </c>
      <c r="O8" s="191" t="s">
        <v>57</v>
      </c>
      <c r="P8" s="193" t="s">
        <v>58</v>
      </c>
      <c r="Q8" s="195" t="s">
        <v>319</v>
      </c>
      <c r="R8" s="197" t="s">
        <v>286</v>
      </c>
      <c r="S8" s="197" t="s">
        <v>288</v>
      </c>
      <c r="T8" s="150" t="s">
        <v>300</v>
      </c>
      <c r="U8" s="150" t="s">
        <v>322</v>
      </c>
    </row>
    <row r="9" spans="1:22" ht="12.75">
      <c r="A9" s="169" t="s">
        <v>257</v>
      </c>
      <c r="B9" s="170"/>
      <c r="C9" s="170"/>
      <c r="D9" s="171" t="s">
        <v>29</v>
      </c>
      <c r="E9" s="172" t="s">
        <v>25</v>
      </c>
      <c r="F9" s="30" t="s">
        <v>31</v>
      </c>
      <c r="G9" s="96" t="s">
        <v>29</v>
      </c>
      <c r="H9" s="173" t="s">
        <v>34</v>
      </c>
      <c r="I9" s="30" t="s">
        <v>35</v>
      </c>
      <c r="J9" s="173" t="s">
        <v>33</v>
      </c>
      <c r="K9" s="181">
        <f>'T. estandar daipas'!C7</f>
        <v>23.758133333333337</v>
      </c>
      <c r="L9" s="181">
        <f aca="true" t="shared" si="0" ref="L9:L28">(1+J9)*K9</f>
        <v>24.946040000000004</v>
      </c>
      <c r="M9" s="183">
        <f>+'T. estandar daipas'!B47</f>
        <v>0.012269938650306749</v>
      </c>
      <c r="N9" s="183">
        <f>+'T. estandar daipas'!C47</f>
        <v>0.015337423312883436</v>
      </c>
      <c r="O9" s="183">
        <f>+'T. estandar daipas'!D47</f>
        <v>0</v>
      </c>
      <c r="P9" s="183">
        <f>+'T. estandar daipas'!E47</f>
        <v>0.024539877300613498</v>
      </c>
      <c r="Q9" s="183">
        <f>+'T. estandar daipas'!F47</f>
        <v>0.04738093695296941</v>
      </c>
      <c r="R9" s="183">
        <f>'T. estandar daipas'!B49</f>
        <v>0.0995281762167731</v>
      </c>
      <c r="S9" s="181">
        <f aca="true" t="shared" si="1" ref="S9:S28">(1+R9)*L9</f>
        <v>27.42887386503067</v>
      </c>
      <c r="T9" s="96" t="s">
        <v>310</v>
      </c>
      <c r="U9" s="96" t="s">
        <v>324</v>
      </c>
      <c r="V9" s="69"/>
    </row>
    <row r="10" spans="1:21" ht="12.75">
      <c r="A10" s="169" t="s">
        <v>258</v>
      </c>
      <c r="B10" s="170"/>
      <c r="C10" s="170"/>
      <c r="D10" s="96" t="s">
        <v>27</v>
      </c>
      <c r="E10" s="172" t="s">
        <v>23</v>
      </c>
      <c r="F10" s="30" t="s">
        <v>30</v>
      </c>
      <c r="G10" s="96" t="s">
        <v>27</v>
      </c>
      <c r="H10" s="173" t="s">
        <v>23</v>
      </c>
      <c r="I10" s="30" t="s">
        <v>30</v>
      </c>
      <c r="J10" s="173" t="s">
        <v>259</v>
      </c>
      <c r="K10" s="174">
        <f>+'T. estandar Desmane s'!C7</f>
        <v>13.417200000000001</v>
      </c>
      <c r="L10" s="181">
        <f t="shared" si="0"/>
        <v>15.563952</v>
      </c>
      <c r="M10" s="183">
        <f>+'T. estandar Desmane s'!B47</f>
        <v>0.0079155672823219</v>
      </c>
      <c r="N10" s="183">
        <f>+'T. estandar Desmane s'!C47</f>
        <v>0</v>
      </c>
      <c r="O10" s="183">
        <f>+'T. estandar Desmane s'!D47</f>
        <v>0.005277044854881266</v>
      </c>
      <c r="P10" s="183">
        <f>+'T. estandar Desmane s'!E47</f>
        <v>0.005277044854881266</v>
      </c>
      <c r="Q10" s="183">
        <f>+'T. estandar Desmane s'!F47</f>
        <v>0.07036452505903479</v>
      </c>
      <c r="R10" s="183">
        <f>+'T. estandar Desmane s'!B49</f>
        <v>0.08883418205111922</v>
      </c>
      <c r="S10" s="181">
        <f t="shared" si="1"/>
        <v>16.94656294540288</v>
      </c>
      <c r="T10" s="96" t="s">
        <v>311</v>
      </c>
      <c r="U10" s="96" t="s">
        <v>325</v>
      </c>
    </row>
    <row r="11" spans="1:21" ht="12.75">
      <c r="A11" s="169" t="s">
        <v>260</v>
      </c>
      <c r="B11" s="170"/>
      <c r="C11" s="170"/>
      <c r="D11" s="96" t="s">
        <v>27</v>
      </c>
      <c r="E11" s="172" t="s">
        <v>23</v>
      </c>
      <c r="F11" s="30" t="s">
        <v>30</v>
      </c>
      <c r="G11" s="96" t="s">
        <v>27</v>
      </c>
      <c r="H11" s="173" t="s">
        <v>23</v>
      </c>
      <c r="I11" s="30" t="s">
        <v>30</v>
      </c>
      <c r="J11" s="173" t="s">
        <v>259</v>
      </c>
      <c r="K11" s="174">
        <f>+'T. estandar Desmane i'!C7</f>
        <v>10.2424</v>
      </c>
      <c r="L11" s="181">
        <f t="shared" si="0"/>
        <v>11.881184</v>
      </c>
      <c r="M11" s="183">
        <f>+'T. estandar Desmane i'!B47</f>
        <v>0.007957559681697613</v>
      </c>
      <c r="N11" s="183">
        <f>'T. estandar Desmane i'!C47</f>
        <v>0</v>
      </c>
      <c r="O11" s="183">
        <f>'T. estandar Desmane i'!D47</f>
        <v>0.005305039787798408</v>
      </c>
      <c r="P11" s="183">
        <f>'T. estandar Desmane i'!E47</f>
        <v>0.005305039787798408</v>
      </c>
      <c r="Q11" s="183">
        <f>'T. estandar Desmane i'!F47</f>
        <v>0.16550988206540396</v>
      </c>
      <c r="R11" s="183">
        <f>+'T. estandar Desmane i'!B49</f>
        <v>0.1840775213226984</v>
      </c>
      <c r="S11" s="181">
        <f t="shared" si="1"/>
        <v>14.068242901098902</v>
      </c>
      <c r="T11" s="96" t="s">
        <v>311</v>
      </c>
      <c r="U11" s="96" t="s">
        <v>326</v>
      </c>
    </row>
    <row r="12" spans="1:21" ht="12.75">
      <c r="A12" s="169" t="s">
        <v>261</v>
      </c>
      <c r="B12" s="170"/>
      <c r="C12" s="170"/>
      <c r="D12" s="171" t="s">
        <v>27</v>
      </c>
      <c r="E12" s="172" t="s">
        <v>23</v>
      </c>
      <c r="F12" s="30" t="s">
        <v>30</v>
      </c>
      <c r="G12" s="96" t="s">
        <v>27</v>
      </c>
      <c r="H12" s="173" t="s">
        <v>23</v>
      </c>
      <c r="I12" s="30" t="s">
        <v>30</v>
      </c>
      <c r="J12" s="173" t="s">
        <v>259</v>
      </c>
      <c r="K12" s="174">
        <f>+'T. estandar gajeo p'!C7</f>
        <v>7.8932</v>
      </c>
      <c r="L12" s="181">
        <f t="shared" si="0"/>
        <v>9.156112</v>
      </c>
      <c r="M12" s="183">
        <f>'T. estandar gajeo p'!B47</f>
        <v>0.023746701846965697</v>
      </c>
      <c r="N12" s="183">
        <f>'T. estandar gajeo p'!C47</f>
        <v>0.0158311345646438</v>
      </c>
      <c r="O12" s="183">
        <f>'T. estandar gajeo p'!D47</f>
        <v>0</v>
      </c>
      <c r="P12" s="183">
        <f>'T. estandar gajeo p'!E47</f>
        <v>0.002638522427440633</v>
      </c>
      <c r="Q12" s="183">
        <f>'T. estandar gajeo p'!F47</f>
        <v>0.17026936916542978</v>
      </c>
      <c r="R12" s="183">
        <f>+'T. estandar gajeo p'!B49</f>
        <v>0.21248572800447993</v>
      </c>
      <c r="S12" s="181">
        <f t="shared" si="1"/>
        <v>11.101655124010554</v>
      </c>
      <c r="T12" s="96" t="s">
        <v>312</v>
      </c>
      <c r="U12" s="96" t="s">
        <v>327</v>
      </c>
    </row>
    <row r="13" spans="1:21" ht="12.75">
      <c r="A13" s="169" t="s">
        <v>262</v>
      </c>
      <c r="B13" s="170"/>
      <c r="C13" s="170"/>
      <c r="D13" s="171" t="s">
        <v>27</v>
      </c>
      <c r="E13" s="172" t="s">
        <v>23</v>
      </c>
      <c r="F13" s="30" t="s">
        <v>30</v>
      </c>
      <c r="G13" s="96" t="s">
        <v>27</v>
      </c>
      <c r="H13" s="173" t="s">
        <v>23</v>
      </c>
      <c r="I13" s="30" t="s">
        <v>30</v>
      </c>
      <c r="J13" s="173" t="s">
        <v>259</v>
      </c>
      <c r="K13" s="174">
        <f>+'T. estandar gajeo m'!C7</f>
        <v>10.898399999999999</v>
      </c>
      <c r="L13" s="181">
        <f t="shared" si="0"/>
        <v>12.642143999999998</v>
      </c>
      <c r="M13" s="183">
        <f>'T. estandar gajeo m'!B47</f>
        <v>0.023474178403755867</v>
      </c>
      <c r="N13" s="183">
        <f>'T. estandar gajeo m'!C47</f>
        <v>0</v>
      </c>
      <c r="O13" s="183">
        <f>'T. estandar gajeo m'!D47</f>
        <v>0</v>
      </c>
      <c r="P13" s="183">
        <f>'T. estandar gajeo m'!E47</f>
        <v>0.009389671361502348</v>
      </c>
      <c r="Q13" s="183">
        <f>'T. estandar gajeo m'!F47</f>
        <v>0.1530285073216302</v>
      </c>
      <c r="R13" s="183">
        <f>+'T. estandar gajeo m'!B49</f>
        <v>0.18589235708688842</v>
      </c>
      <c r="S13" s="181">
        <f t="shared" si="1"/>
        <v>14.992221946791862</v>
      </c>
      <c r="T13" s="96" t="s">
        <v>312</v>
      </c>
      <c r="U13" s="96" t="s">
        <v>328</v>
      </c>
    </row>
    <row r="14" spans="1:21" ht="12.75">
      <c r="A14" s="169" t="s">
        <v>263</v>
      </c>
      <c r="B14" s="170"/>
      <c r="C14" s="170"/>
      <c r="D14" s="171" t="s">
        <v>27</v>
      </c>
      <c r="E14" s="172" t="s">
        <v>23</v>
      </c>
      <c r="F14" s="30" t="s">
        <v>30</v>
      </c>
      <c r="G14" s="96" t="s">
        <v>27</v>
      </c>
      <c r="H14" s="173" t="s">
        <v>23</v>
      </c>
      <c r="I14" s="30" t="s">
        <v>30</v>
      </c>
      <c r="J14" s="173" t="s">
        <v>259</v>
      </c>
      <c r="K14" s="174">
        <f>+'T. estandar gajeo g'!C7</f>
        <v>14.800959999999996</v>
      </c>
      <c r="L14" s="181">
        <f t="shared" si="0"/>
        <v>17.169113599999996</v>
      </c>
      <c r="M14" s="183">
        <f>'T. estandar gajeo g'!B47</f>
        <v>0.014084507042253521</v>
      </c>
      <c r="N14" s="183">
        <f>'T. estandar gajeo g'!C47</f>
        <v>0</v>
      </c>
      <c r="O14" s="183">
        <f>'T. estandar gajeo g'!D47</f>
        <v>0.004694835680751174</v>
      </c>
      <c r="P14" s="183">
        <f>'T. estandar gajeo g'!E47</f>
        <v>0.009389671361502348</v>
      </c>
      <c r="Q14" s="183">
        <f>'T. estandar gajeo g'!F47</f>
        <v>0.15496557940054267</v>
      </c>
      <c r="R14" s="183">
        <f>+'T. estandar gajeo g'!B49</f>
        <v>0.1831345934850497</v>
      </c>
      <c r="S14" s="181">
        <f t="shared" si="1"/>
        <v>20.31337223963463</v>
      </c>
      <c r="T14" s="96" t="s">
        <v>312</v>
      </c>
      <c r="U14" s="96" t="s">
        <v>329</v>
      </c>
    </row>
    <row r="15" spans="1:21" ht="12.75">
      <c r="A15" s="169" t="s">
        <v>264</v>
      </c>
      <c r="B15" s="170"/>
      <c r="C15" s="170"/>
      <c r="D15" s="171" t="s">
        <v>28</v>
      </c>
      <c r="E15" s="172" t="s">
        <v>24</v>
      </c>
      <c r="F15" s="30" t="s">
        <v>31</v>
      </c>
      <c r="G15" s="96" t="s">
        <v>28</v>
      </c>
      <c r="H15" s="173" t="s">
        <v>33</v>
      </c>
      <c r="I15" s="30" t="s">
        <v>35</v>
      </c>
      <c r="J15" s="173" t="s">
        <v>22</v>
      </c>
      <c r="K15" s="174">
        <f>+'T. estandar Llenado Platos p'!C7</f>
        <v>8.446799999999998</v>
      </c>
      <c r="L15" s="181">
        <f t="shared" si="0"/>
        <v>9.375948</v>
      </c>
      <c r="M15" s="183">
        <f>'T. estandar Llenado Platos p'!B47</f>
        <v>0.04417670682730924</v>
      </c>
      <c r="N15" s="183">
        <f>'T. estandar Llenado Platos p'!C47</f>
        <v>0.024096385542168676</v>
      </c>
      <c r="O15" s="183">
        <f>'T. estandar Llenado Platos p'!D47</f>
        <v>0</v>
      </c>
      <c r="P15" s="183">
        <f>'T. estandar Llenado Platos p'!E47</f>
        <v>0</v>
      </c>
      <c r="Q15" s="183">
        <f>'T. estandar Llenado Platos p'!F47</f>
        <v>0.1302516879337472</v>
      </c>
      <c r="R15" s="183">
        <f>+'T. estandar Llenado Platos p'!B49</f>
        <v>0.19852478030322512</v>
      </c>
      <c r="S15" s="181">
        <f t="shared" si="1"/>
        <v>11.237306016834461</v>
      </c>
      <c r="T15" s="96" t="s">
        <v>313</v>
      </c>
      <c r="U15" s="96" t="s">
        <v>330</v>
      </c>
    </row>
    <row r="16" spans="1:21" ht="12.75">
      <c r="A16" s="169" t="s">
        <v>265</v>
      </c>
      <c r="B16" s="170"/>
      <c r="C16" s="170"/>
      <c r="D16" s="171" t="s">
        <v>28</v>
      </c>
      <c r="E16" s="172" t="s">
        <v>24</v>
      </c>
      <c r="F16" s="30" t="s">
        <v>31</v>
      </c>
      <c r="G16" s="96" t="s">
        <v>28</v>
      </c>
      <c r="H16" s="173" t="s">
        <v>33</v>
      </c>
      <c r="I16" s="30" t="s">
        <v>35</v>
      </c>
      <c r="J16" s="173" t="s">
        <v>22</v>
      </c>
      <c r="K16" s="174">
        <f>+'T. estandar Llenado Platos m'!C7</f>
        <v>7.3132</v>
      </c>
      <c r="L16" s="181">
        <f t="shared" si="0"/>
        <v>8.117652000000001</v>
      </c>
      <c r="M16" s="183">
        <f>'T. estandar Llenado Platos m'!B47</f>
        <v>0.024096385542168676</v>
      </c>
      <c r="N16" s="183">
        <f>'T. estandar Llenado Platos m'!C47</f>
        <v>0.008032128514056224</v>
      </c>
      <c r="O16" s="183">
        <f>'T. estandar Llenado Platos m'!D47</f>
        <v>0</v>
      </c>
      <c r="P16" s="183">
        <f>'T. estandar Llenado Platos m'!E47</f>
        <v>0</v>
      </c>
      <c r="Q16" s="183">
        <f>'T. estandar Llenado Platos m'!F47</f>
        <v>0.16464325825975235</v>
      </c>
      <c r="R16" s="183">
        <f>+'T. estandar Llenado Platos m'!B49</f>
        <v>0.19677177231597726</v>
      </c>
      <c r="S16" s="181">
        <f t="shared" si="1"/>
        <v>9.714976771084338</v>
      </c>
      <c r="T16" s="96" t="s">
        <v>313</v>
      </c>
      <c r="U16" s="96" t="s">
        <v>331</v>
      </c>
    </row>
    <row r="17" spans="1:21" ht="12.75">
      <c r="A17" s="169" t="s">
        <v>266</v>
      </c>
      <c r="B17" s="170"/>
      <c r="C17" s="170"/>
      <c r="D17" s="171" t="s">
        <v>28</v>
      </c>
      <c r="E17" s="172" t="s">
        <v>24</v>
      </c>
      <c r="F17" s="30" t="s">
        <v>31</v>
      </c>
      <c r="G17" s="96" t="s">
        <v>28</v>
      </c>
      <c r="H17" s="173" t="s">
        <v>33</v>
      </c>
      <c r="I17" s="30" t="s">
        <v>35</v>
      </c>
      <c r="J17" s="173" t="s">
        <v>22</v>
      </c>
      <c r="K17" s="174">
        <f>+'T. estandar Llenado Platos g'!C7</f>
        <v>7.221199999999998</v>
      </c>
      <c r="L17" s="181">
        <f t="shared" si="0"/>
        <v>8.015531999999999</v>
      </c>
      <c r="M17" s="183">
        <f>'T. estandar Llenado Platos g'!B47</f>
        <v>0</v>
      </c>
      <c r="N17" s="183">
        <f>'T. estandar Llenado Platos g'!C47</f>
        <v>0.012048192771084338</v>
      </c>
      <c r="O17" s="183">
        <f>'T. estandar Llenado Platos g'!D47</f>
        <v>0</v>
      </c>
      <c r="P17" s="183">
        <f>'T. estandar Llenado Platos g'!E47</f>
        <v>0</v>
      </c>
      <c r="Q17" s="183">
        <f>'T. estandar Llenado Platos g'!F47</f>
        <v>0.13706547974056194</v>
      </c>
      <c r="R17" s="183">
        <f>+'T. estandar Llenado Platos g'!B49</f>
        <v>0.14911367251164628</v>
      </c>
      <c r="S17" s="181">
        <f t="shared" si="1"/>
        <v>9.210757413654619</v>
      </c>
      <c r="T17" s="96" t="s">
        <v>313</v>
      </c>
      <c r="U17" s="96" t="s">
        <v>332</v>
      </c>
    </row>
    <row r="18" spans="1:21" ht="12.75">
      <c r="A18" s="169" t="s">
        <v>267</v>
      </c>
      <c r="B18" s="170"/>
      <c r="C18" s="170"/>
      <c r="D18" s="171" t="s">
        <v>27</v>
      </c>
      <c r="E18" s="172" t="s">
        <v>23</v>
      </c>
      <c r="F18" s="30" t="s">
        <v>30</v>
      </c>
      <c r="G18" s="96" t="s">
        <v>28</v>
      </c>
      <c r="H18" s="173" t="s">
        <v>33</v>
      </c>
      <c r="I18" s="30" t="s">
        <v>35</v>
      </c>
      <c r="J18" s="173" t="s">
        <v>19</v>
      </c>
      <c r="K18" s="182">
        <f>+'T. estandar Pesado Platos'!C7</f>
        <v>5.5636</v>
      </c>
      <c r="L18" s="181">
        <f t="shared" si="0"/>
        <v>6.286867999999999</v>
      </c>
      <c r="M18" s="183">
        <f>'T. estandar Pesado Platos'!B47</f>
        <v>0.01606425702811245</v>
      </c>
      <c r="N18" s="183">
        <f>'T. estandar Pesado Platos'!C47</f>
        <v>0.008032128514056224</v>
      </c>
      <c r="O18" s="183">
        <f>'T. estandar Pesado Platos'!D47</f>
        <v>0</v>
      </c>
      <c r="P18" s="183">
        <f>'T. estandar Pesado Platos'!E47</f>
        <v>0.004016064257028112</v>
      </c>
      <c r="Q18" s="183">
        <f>'T. estandar Pesado Platos'!F47</f>
        <v>0.24401965781431456</v>
      </c>
      <c r="R18" s="183">
        <f>+'T. estandar Pesado Platos'!B49</f>
        <v>0.27213210761351136</v>
      </c>
      <c r="S18" s="181">
        <f t="shared" si="1"/>
        <v>7.997726639127941</v>
      </c>
      <c r="T18" s="96" t="s">
        <v>314</v>
      </c>
      <c r="U18" s="96" t="s">
        <v>333</v>
      </c>
    </row>
    <row r="19" spans="1:21" ht="12.75">
      <c r="A19" s="169" t="s">
        <v>268</v>
      </c>
      <c r="B19" s="170"/>
      <c r="C19" s="170"/>
      <c r="D19" s="171" t="s">
        <v>29</v>
      </c>
      <c r="E19" s="172" t="s">
        <v>25</v>
      </c>
      <c r="F19" s="30" t="s">
        <v>31</v>
      </c>
      <c r="G19" s="96" t="s">
        <v>29</v>
      </c>
      <c r="H19" s="173" t="s">
        <v>34</v>
      </c>
      <c r="I19" s="30" t="s">
        <v>35</v>
      </c>
      <c r="J19" s="173" t="s">
        <v>33</v>
      </c>
      <c r="K19" s="174">
        <f>+'T. estandar Fumigado'!C7</f>
        <v>11.431199999999999</v>
      </c>
      <c r="L19" s="181">
        <f t="shared" si="0"/>
        <v>12.002759999999999</v>
      </c>
      <c r="M19" s="183">
        <f>'T. estandar Fumigado'!B47</f>
        <v>0.004016064257028112</v>
      </c>
      <c r="N19" s="183">
        <f>'T. estandar Fumigado'!C47</f>
        <v>0.012048192771084338</v>
      </c>
      <c r="O19" s="183">
        <f>'T. estandar Fumigado'!D47</f>
        <v>0.004016064257028112</v>
      </c>
      <c r="P19" s="183">
        <f>'T. estandar Fumigado'!E47</f>
        <v>0.004016064257028112</v>
      </c>
      <c r="Q19" s="183">
        <f>'T. estandar Fumigado'!F47</f>
        <v>0.09422423204108843</v>
      </c>
      <c r="R19" s="183">
        <f>+'T. estandar Fumigado'!B49</f>
        <v>0.1183206175832571</v>
      </c>
      <c r="S19" s="181">
        <f t="shared" si="1"/>
        <v>13.422933975903614</v>
      </c>
      <c r="T19" s="96" t="s">
        <v>314</v>
      </c>
      <c r="U19" s="96" t="s">
        <v>334</v>
      </c>
    </row>
    <row r="20" spans="1:21" ht="12.75">
      <c r="A20" s="169" t="s">
        <v>269</v>
      </c>
      <c r="B20" s="170"/>
      <c r="C20" s="170"/>
      <c r="D20" s="171" t="s">
        <v>28</v>
      </c>
      <c r="E20" s="172" t="s">
        <v>24</v>
      </c>
      <c r="F20" s="30" t="s">
        <v>31</v>
      </c>
      <c r="G20" s="96" t="s">
        <v>28</v>
      </c>
      <c r="H20" s="173" t="s">
        <v>33</v>
      </c>
      <c r="I20" s="30" t="s">
        <v>35</v>
      </c>
      <c r="J20" s="173" t="s">
        <v>22</v>
      </c>
      <c r="K20" s="173">
        <f>+'T. estandar Sellar Clusters'!C7</f>
        <v>29.28</v>
      </c>
      <c r="L20" s="181">
        <f t="shared" si="0"/>
        <v>32.500800000000005</v>
      </c>
      <c r="M20" s="183">
        <f>'T. estandar Sellar Clusters'!B47</f>
        <v>0.06</v>
      </c>
      <c r="N20" s="183">
        <f>'T. estandar Sellar Clusters'!C47</f>
        <v>0.015</v>
      </c>
      <c r="O20" s="183">
        <f>'T. estandar Sellar Clusters'!D47</f>
        <v>0.015</v>
      </c>
      <c r="P20" s="183">
        <f>'T. estandar Sellar Clusters'!E47</f>
        <v>0.03</v>
      </c>
      <c r="Q20" s="183">
        <f>'T. estandar Sellar Clusters'!F47</f>
        <v>0.046162984081729475</v>
      </c>
      <c r="R20" s="183">
        <f>+'T. estandar Sellar Clusters'!B49</f>
        <v>0.16616298408172947</v>
      </c>
      <c r="S20" s="181">
        <f t="shared" si="1"/>
        <v>37.90122991304347</v>
      </c>
      <c r="T20" s="96" t="s">
        <v>314</v>
      </c>
      <c r="U20" s="96" t="s">
        <v>335</v>
      </c>
    </row>
    <row r="21" spans="1:21" ht="12.75">
      <c r="A21" s="169" t="s">
        <v>270</v>
      </c>
      <c r="B21" s="170"/>
      <c r="C21" s="170"/>
      <c r="D21" s="171" t="s">
        <v>27</v>
      </c>
      <c r="E21" s="172" t="s">
        <v>23</v>
      </c>
      <c r="F21" s="30" t="s">
        <v>30</v>
      </c>
      <c r="G21" s="96" t="s">
        <v>27</v>
      </c>
      <c r="H21" s="173" t="s">
        <v>23</v>
      </c>
      <c r="I21" s="30" t="s">
        <v>30</v>
      </c>
      <c r="J21" s="173" t="s">
        <v>259</v>
      </c>
      <c r="K21" s="173">
        <f>+'T. estandar Embalar Cajas'!C7</f>
        <v>58.01</v>
      </c>
      <c r="L21" s="181">
        <f t="shared" si="0"/>
        <v>67.29159999999999</v>
      </c>
      <c r="M21" s="183">
        <f>'T. estandar Embalar Cajas'!B47</f>
        <v>0.004016064257028112</v>
      </c>
      <c r="N21" s="183">
        <f>'T. estandar Embalar Cajas'!C47</f>
        <v>0.01606425702811245</v>
      </c>
      <c r="O21" s="183">
        <f>'T. estandar Embalar Cajas'!D47</f>
        <v>0.03614457831325301</v>
      </c>
      <c r="P21" s="183">
        <f>'T. estandar Embalar Cajas'!E47</f>
        <v>0.004016064257028112</v>
      </c>
      <c r="Q21" s="183">
        <f>'T. estandar Embalar Cajas'!F47</f>
        <v>0.0461137991636138</v>
      </c>
      <c r="R21" s="183">
        <f>+'T. estandar Embalar Cajas'!B49</f>
        <v>0.10635476301903549</v>
      </c>
      <c r="S21" s="181">
        <f t="shared" si="1"/>
        <v>74.44838217117172</v>
      </c>
      <c r="T21" s="96" t="s">
        <v>314</v>
      </c>
      <c r="U21" s="96" t="s">
        <v>336</v>
      </c>
    </row>
    <row r="22" spans="1:21" ht="12.75">
      <c r="A22" s="169" t="s">
        <v>271</v>
      </c>
      <c r="B22" s="170"/>
      <c r="C22" s="170"/>
      <c r="D22" s="171" t="s">
        <v>27</v>
      </c>
      <c r="E22" s="172" t="s">
        <v>23</v>
      </c>
      <c r="F22" s="30" t="s">
        <v>30</v>
      </c>
      <c r="G22" s="96" t="s">
        <v>28</v>
      </c>
      <c r="H22" s="173" t="s">
        <v>33</v>
      </c>
      <c r="I22" s="30" t="s">
        <v>35</v>
      </c>
      <c r="J22" s="173" t="s">
        <v>19</v>
      </c>
      <c r="K22" s="174">
        <f>+'T. estandar Re-Pesado cajas'!C7</f>
        <v>4.2578</v>
      </c>
      <c r="L22" s="181">
        <f t="shared" si="0"/>
        <v>4.811313999999999</v>
      </c>
      <c r="M22" s="183">
        <f>'T. estandar Re-Pesado cajas'!B47</f>
        <v>0.1358695652173913</v>
      </c>
      <c r="N22" s="183">
        <f>'T. estandar Re-Pesado cajas'!C47</f>
        <v>0.010869565217391304</v>
      </c>
      <c r="O22" s="183">
        <f>'T. estandar Re-Pesado cajas'!D47</f>
        <v>0.002717391304347826</v>
      </c>
      <c r="P22" s="183">
        <f>'T. estandar Re-Pesado cajas'!E47</f>
        <v>0</v>
      </c>
      <c r="Q22" s="183">
        <f>'T. estandar Re-Pesado cajas'!F47</f>
        <v>0.1931685865918078</v>
      </c>
      <c r="R22" s="183">
        <f>+'T. estandar Re-Pesado cajas'!B49</f>
        <v>0.34262510833093823</v>
      </c>
      <c r="S22" s="181">
        <f t="shared" si="1"/>
        <v>6.459790980464159</v>
      </c>
      <c r="T22" s="96" t="s">
        <v>314</v>
      </c>
      <c r="U22" s="96" t="s">
        <v>337</v>
      </c>
    </row>
    <row r="23" spans="1:21" ht="12.75">
      <c r="A23" s="169" t="s">
        <v>272</v>
      </c>
      <c r="B23" s="170"/>
      <c r="C23" s="170"/>
      <c r="D23" s="171" t="s">
        <v>28</v>
      </c>
      <c r="E23" s="172" t="s">
        <v>24</v>
      </c>
      <c r="F23" s="30" t="s">
        <v>31</v>
      </c>
      <c r="G23" s="96" t="s">
        <v>29</v>
      </c>
      <c r="H23" s="173" t="s">
        <v>34</v>
      </c>
      <c r="I23" s="30" t="s">
        <v>35</v>
      </c>
      <c r="J23" s="173" t="s">
        <v>23</v>
      </c>
      <c r="K23" s="174">
        <f>+'T. estandar Ligado cajas'!C7</f>
        <v>6.037999999999999</v>
      </c>
      <c r="L23" s="181">
        <f t="shared" si="0"/>
        <v>6.52104</v>
      </c>
      <c r="M23" s="183">
        <f>'T. estandar Ligado cajas'!B47</f>
        <v>0.2168284789644013</v>
      </c>
      <c r="N23" s="183">
        <f>'T. estandar Ligado cajas'!C47</f>
        <v>0.006472491909385114</v>
      </c>
      <c r="O23" s="183">
        <f>'T. estandar Ligado cajas'!D47</f>
        <v>0.006472491909385114</v>
      </c>
      <c r="P23" s="183">
        <f>'T. estandar Ligado cajas'!E47</f>
        <v>0.003236245954692557</v>
      </c>
      <c r="Q23" s="183">
        <f>'T. estandar Ligado cajas'!F47</f>
        <v>0.22660649221596563</v>
      </c>
      <c r="R23" s="183">
        <f>+'T. estandar Ligado cajas'!B49</f>
        <v>0.4596162009538297</v>
      </c>
      <c r="S23" s="181">
        <f t="shared" si="1"/>
        <v>9.518215631067962</v>
      </c>
      <c r="T23" s="96" t="s">
        <v>314</v>
      </c>
      <c r="U23" s="96" t="s">
        <v>338</v>
      </c>
    </row>
    <row r="24" spans="1:21" ht="12.75">
      <c r="A24" s="169" t="s">
        <v>273</v>
      </c>
      <c r="B24" s="170"/>
      <c r="C24" s="170"/>
      <c r="D24" s="171" t="s">
        <v>28</v>
      </c>
      <c r="E24" s="172" t="s">
        <v>24</v>
      </c>
      <c r="F24" s="30" t="s">
        <v>31</v>
      </c>
      <c r="G24" s="96" t="s">
        <v>29</v>
      </c>
      <c r="H24" s="173" t="s">
        <v>34</v>
      </c>
      <c r="I24" s="30" t="s">
        <v>35</v>
      </c>
      <c r="J24" s="173" t="s">
        <v>23</v>
      </c>
      <c r="K24" s="174">
        <f>+'T. estandar Tapado cajas'!C7</f>
        <v>3.545333333333334</v>
      </c>
      <c r="L24" s="181">
        <f t="shared" si="0"/>
        <v>3.8289600000000013</v>
      </c>
      <c r="M24" s="183">
        <f>'T. estandar Tapado cajas'!B47</f>
        <v>0.2621359223300971</v>
      </c>
      <c r="N24" s="183">
        <f>'T. estandar Tapado cajas'!C47</f>
        <v>0.003236245954692557</v>
      </c>
      <c r="O24" s="183">
        <f>'T. estandar Tapado cajas'!D47</f>
        <v>0.003236245954692557</v>
      </c>
      <c r="P24" s="183">
        <f>'T. estandar Tapado cajas'!E47</f>
        <v>0.003236245954692557</v>
      </c>
      <c r="Q24" s="183">
        <f>'T. estandar Tapado cajas'!F47</f>
        <v>0.1899445280180514</v>
      </c>
      <c r="R24" s="183">
        <f>+'T. estandar Tapado cajas'!B49</f>
        <v>0.4617891882122262</v>
      </c>
      <c r="S24" s="181">
        <f t="shared" si="1"/>
        <v>5.597132330097088</v>
      </c>
      <c r="T24" s="96" t="s">
        <v>314</v>
      </c>
      <c r="U24" s="96" t="s">
        <v>339</v>
      </c>
    </row>
    <row r="25" spans="1:21" ht="12.75">
      <c r="A25" s="169" t="s">
        <v>274</v>
      </c>
      <c r="B25" s="170"/>
      <c r="C25" s="170"/>
      <c r="D25" s="171" t="s">
        <v>26</v>
      </c>
      <c r="E25" s="172" t="s">
        <v>22</v>
      </c>
      <c r="F25" s="30" t="s">
        <v>30</v>
      </c>
      <c r="G25" s="96" t="s">
        <v>26</v>
      </c>
      <c r="H25" s="174" t="s">
        <v>32</v>
      </c>
      <c r="I25" s="30" t="s">
        <v>30</v>
      </c>
      <c r="J25" s="173" t="s">
        <v>275</v>
      </c>
      <c r="K25" s="173">
        <f>+'T. estandar Paletizar Cajas'!C7</f>
        <v>480.34</v>
      </c>
      <c r="L25" s="181">
        <f t="shared" si="0"/>
        <v>581.2113999999999</v>
      </c>
      <c r="M25" s="183">
        <f>'T. estandar Paletizar Cajas'!B47</f>
        <v>0.013157894736842105</v>
      </c>
      <c r="N25" s="183">
        <f>'T. estandar Paletizar Cajas'!C47</f>
        <v>0</v>
      </c>
      <c r="O25" s="183">
        <f>'T. estandar Paletizar Cajas'!D47</f>
        <v>0</v>
      </c>
      <c r="P25" s="183">
        <f>'T. estandar Paletizar Cajas'!E47</f>
        <v>0.006578947368421052</v>
      </c>
      <c r="Q25" s="183">
        <f>'T. estandar Paletizar Cajas'!F47</f>
        <v>0.06178314796442774</v>
      </c>
      <c r="R25" s="183">
        <f>+'T. estandar Paletizar Cajas'!B49</f>
        <v>0.0815199900696909</v>
      </c>
      <c r="S25" s="181">
        <f t="shared" si="1"/>
        <v>628.5917475563909</v>
      </c>
      <c r="T25" s="96" t="s">
        <v>315</v>
      </c>
      <c r="U25" s="96" t="s">
        <v>340</v>
      </c>
    </row>
    <row r="26" spans="1:21" ht="12.75">
      <c r="A26" s="169" t="s">
        <v>276</v>
      </c>
      <c r="B26" s="170"/>
      <c r="C26" s="175"/>
      <c r="D26" s="171" t="s">
        <v>28</v>
      </c>
      <c r="E26" s="172" t="s">
        <v>24</v>
      </c>
      <c r="F26" s="30" t="s">
        <v>31</v>
      </c>
      <c r="G26" s="96" t="s">
        <v>29</v>
      </c>
      <c r="H26" s="173" t="s">
        <v>34</v>
      </c>
      <c r="I26" s="30" t="s">
        <v>35</v>
      </c>
      <c r="J26" s="173" t="s">
        <v>23</v>
      </c>
      <c r="K26" s="174">
        <f>+'T. estandar Pegar fondo'!C7</f>
        <v>33.48700000000001</v>
      </c>
      <c r="L26" s="181">
        <f t="shared" si="0"/>
        <v>36.16596000000001</v>
      </c>
      <c r="M26" s="183">
        <f>'T. estandar Pegar fondo'!B47</f>
        <v>0.002717391304347826</v>
      </c>
      <c r="N26" s="183">
        <f>'T. estandar Pegar fondo'!C47</f>
        <v>0.002717391304347826</v>
      </c>
      <c r="O26" s="183">
        <f>'T. estandar Pegar fondo'!D47</f>
        <v>0.002717391304347826</v>
      </c>
      <c r="P26" s="183">
        <f>'T. estandar Pegar fondo'!E47</f>
        <v>0.010869565217391304</v>
      </c>
      <c r="Q26" s="183">
        <f>'T. estandar Pegar fondo'!F47</f>
        <v>0.0786161664292826</v>
      </c>
      <c r="R26" s="183">
        <f>+'T. estandar Pegar fondo'!B49</f>
        <v>0.09763790555971738</v>
      </c>
      <c r="S26" s="181">
        <f t="shared" si="1"/>
        <v>39.69712858695653</v>
      </c>
      <c r="T26" s="96" t="s">
        <v>316</v>
      </c>
      <c r="U26" s="96" t="s">
        <v>341</v>
      </c>
    </row>
    <row r="27" spans="1:21" ht="12.75">
      <c r="A27" s="169" t="s">
        <v>277</v>
      </c>
      <c r="B27" s="170"/>
      <c r="C27" s="175"/>
      <c r="D27" s="171" t="s">
        <v>28</v>
      </c>
      <c r="E27" s="172" t="s">
        <v>24</v>
      </c>
      <c r="F27" s="30" t="s">
        <v>31</v>
      </c>
      <c r="G27" s="96" t="s">
        <v>29</v>
      </c>
      <c r="H27" s="173" t="s">
        <v>34</v>
      </c>
      <c r="I27" s="30" t="s">
        <v>35</v>
      </c>
      <c r="J27" s="173" t="s">
        <v>23</v>
      </c>
      <c r="K27" s="174">
        <f>+'T. estandar Pegar Tapa'!C7</f>
        <v>33.117000000000004</v>
      </c>
      <c r="L27" s="181">
        <f t="shared" si="0"/>
        <v>35.766360000000006</v>
      </c>
      <c r="M27" s="183">
        <f>'T. estandar Pegar Tapa'!B47</f>
        <v>0.002717391304347826</v>
      </c>
      <c r="N27" s="183">
        <f>'T. estandar Pegar Tapa'!C47</f>
        <v>0.002717391304347826</v>
      </c>
      <c r="O27" s="183">
        <f>'T. estandar Pegar Tapa'!D47</f>
        <v>0.002717391304347826</v>
      </c>
      <c r="P27" s="183">
        <f>'T. estandar Pegar Tapa'!E47</f>
        <v>0.010869565217391304</v>
      </c>
      <c r="Q27" s="183">
        <f>'T. estandar Pegar Tapa'!F47</f>
        <v>0.09066701588964543</v>
      </c>
      <c r="R27" s="183">
        <f>+'T. estandar Pegar Tapa'!B49</f>
        <v>0.10968875502008021</v>
      </c>
      <c r="S27" s="181">
        <f t="shared" si="1"/>
        <v>39.689527500000004</v>
      </c>
      <c r="T27" s="96" t="s">
        <v>316</v>
      </c>
      <c r="U27" s="96" t="s">
        <v>342</v>
      </c>
    </row>
    <row r="28" spans="1:21" ht="12.75">
      <c r="A28" s="169" t="s">
        <v>278</v>
      </c>
      <c r="B28" s="170"/>
      <c r="C28" s="175"/>
      <c r="D28" s="171" t="s">
        <v>29</v>
      </c>
      <c r="E28" s="172" t="s">
        <v>25</v>
      </c>
      <c r="F28" s="30" t="s">
        <v>31</v>
      </c>
      <c r="G28" s="96" t="s">
        <v>29</v>
      </c>
      <c r="H28" s="173" t="s">
        <v>34</v>
      </c>
      <c r="I28" s="30" t="s">
        <v>35</v>
      </c>
      <c r="J28" s="173" t="s">
        <v>33</v>
      </c>
      <c r="K28" s="174">
        <f>+'T. estandar Arma fondo tapa'!C7</f>
        <v>7.7945714285714285</v>
      </c>
      <c r="L28" s="181">
        <f t="shared" si="0"/>
        <v>8.1843</v>
      </c>
      <c r="M28" s="183">
        <f>'T. estandar Arma fondo tapa'!B47</f>
        <v>0</v>
      </c>
      <c r="N28" s="183">
        <f>'T. estandar Arma fondo tapa'!C47</f>
        <v>0.012944983818770227</v>
      </c>
      <c r="O28" s="183">
        <f>'T. estandar Arma fondo tapa'!D47</f>
        <v>0.003236245954692557</v>
      </c>
      <c r="P28" s="183">
        <f>'T. estandar Arma fondo tapa'!E47</f>
        <v>0.003236245954692557</v>
      </c>
      <c r="Q28" s="183">
        <f>'T. estandar Arma fondo tapa'!F47</f>
        <v>0.03605976665323429</v>
      </c>
      <c r="R28" s="183">
        <f>+'T. estandar Arma fondo tapa'!B49</f>
        <v>0.05547724238138964</v>
      </c>
      <c r="S28" s="181">
        <f t="shared" si="1"/>
        <v>8.638342394822008</v>
      </c>
      <c r="T28" s="96" t="s">
        <v>314</v>
      </c>
      <c r="U28" s="96" t="s">
        <v>343</v>
      </c>
    </row>
    <row r="31" ht="12.75">
      <c r="H31" s="146"/>
    </row>
  </sheetData>
  <mergeCells count="6">
    <mergeCell ref="J7:J8"/>
    <mergeCell ref="A8:C8"/>
    <mergeCell ref="D8:E8"/>
    <mergeCell ref="G8:H8"/>
    <mergeCell ref="D7:F7"/>
    <mergeCell ref="G7:I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348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203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/>
      <c r="B5" s="10" t="s">
        <v>184</v>
      </c>
      <c r="C5" s="208">
        <v>9</v>
      </c>
      <c r="D5" s="9"/>
      <c r="E5" s="9"/>
      <c r="F5" s="9"/>
      <c r="G5" s="10" t="s">
        <v>250</v>
      </c>
      <c r="H5" s="209">
        <v>3415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252</v>
      </c>
      <c r="C7" s="15">
        <v>140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.5" thickBot="1">
      <c r="A9" s="9"/>
      <c r="B9" s="9"/>
      <c r="C9" s="9"/>
      <c r="D9" s="9"/>
      <c r="E9" s="9"/>
      <c r="F9" s="10" t="s">
        <v>185</v>
      </c>
      <c r="G9" s="9"/>
      <c r="H9" s="9"/>
      <c r="I9" s="9"/>
      <c r="J9" s="9"/>
      <c r="K9" s="9"/>
      <c r="L9" s="9"/>
    </row>
    <row r="10" spans="1:12" ht="13.5" thickBot="1">
      <c r="A10" s="211" t="s">
        <v>59</v>
      </c>
      <c r="B10" s="212">
        <v>1</v>
      </c>
      <c r="C10" s="212">
        <v>2</v>
      </c>
      <c r="D10" s="212">
        <v>3</v>
      </c>
      <c r="E10" s="212">
        <v>4</v>
      </c>
      <c r="F10" s="212">
        <v>5</v>
      </c>
      <c r="G10" s="212">
        <v>6</v>
      </c>
      <c r="H10" s="212">
        <v>7</v>
      </c>
      <c r="I10" s="212">
        <v>8</v>
      </c>
      <c r="J10" s="212">
        <v>9</v>
      </c>
      <c r="K10" s="212">
        <v>10</v>
      </c>
      <c r="L10" s="213" t="s">
        <v>187</v>
      </c>
    </row>
    <row r="11" spans="1:17" ht="12.75">
      <c r="A11" s="214" t="s">
        <v>247</v>
      </c>
      <c r="B11" s="215">
        <v>369</v>
      </c>
      <c r="C11" s="216"/>
      <c r="D11" s="216"/>
      <c r="E11" s="216"/>
      <c r="F11" s="216"/>
      <c r="G11" s="216"/>
      <c r="H11" s="216"/>
      <c r="I11" s="217"/>
      <c r="J11" s="217"/>
      <c r="K11" s="218"/>
      <c r="L11" s="219">
        <f aca="true" t="shared" si="0" ref="L11:L23">SUM(B11:H11)</f>
        <v>369</v>
      </c>
      <c r="M11" s="95"/>
      <c r="N11" s="98"/>
      <c r="O11" s="95"/>
      <c r="P11" s="98"/>
      <c r="Q11" s="95"/>
    </row>
    <row r="12" spans="1:17" ht="12.75">
      <c r="A12" s="220" t="s">
        <v>174</v>
      </c>
      <c r="B12" s="221">
        <v>1</v>
      </c>
      <c r="C12" s="24"/>
      <c r="D12" s="24"/>
      <c r="E12" s="24"/>
      <c r="F12" s="24"/>
      <c r="G12" s="24"/>
      <c r="H12" s="24"/>
      <c r="I12" s="162"/>
      <c r="J12" s="162"/>
      <c r="K12" s="169"/>
      <c r="L12" s="227">
        <f t="shared" si="0"/>
        <v>1</v>
      </c>
      <c r="M12" s="3"/>
      <c r="N12" s="3"/>
      <c r="O12" s="3"/>
      <c r="P12" s="3"/>
      <c r="Q12" s="3"/>
    </row>
    <row r="13" spans="1:17" ht="12.75">
      <c r="A13" s="220" t="s">
        <v>175</v>
      </c>
      <c r="B13" s="221">
        <v>0</v>
      </c>
      <c r="C13" s="24"/>
      <c r="D13" s="24"/>
      <c r="E13" s="24"/>
      <c r="F13" s="24"/>
      <c r="G13" s="24"/>
      <c r="H13" s="24"/>
      <c r="I13" s="162"/>
      <c r="J13" s="162"/>
      <c r="K13" s="169"/>
      <c r="L13" s="227">
        <f t="shared" si="0"/>
        <v>0</v>
      </c>
      <c r="M13" s="3"/>
      <c r="N13" s="3"/>
      <c r="O13" s="3"/>
      <c r="P13" s="3"/>
      <c r="Q13" s="3"/>
    </row>
    <row r="14" spans="1:17" ht="12.75">
      <c r="A14" s="220" t="s">
        <v>176</v>
      </c>
      <c r="B14" s="221">
        <v>4</v>
      </c>
      <c r="C14" s="24"/>
      <c r="D14" s="24"/>
      <c r="E14" s="24"/>
      <c r="F14" s="24"/>
      <c r="G14" s="24"/>
      <c r="H14" s="24"/>
      <c r="I14" s="162"/>
      <c r="J14" s="162"/>
      <c r="K14" s="169"/>
      <c r="L14" s="228">
        <f t="shared" si="0"/>
        <v>4</v>
      </c>
      <c r="M14" s="3"/>
      <c r="N14" s="3"/>
      <c r="O14" s="3"/>
      <c r="P14" s="3"/>
      <c r="Q14" s="3"/>
    </row>
    <row r="15" spans="1:17" ht="12.75">
      <c r="A15" s="220" t="s">
        <v>177</v>
      </c>
      <c r="B15" s="221">
        <v>0</v>
      </c>
      <c r="C15" s="24"/>
      <c r="D15" s="24"/>
      <c r="E15" s="24"/>
      <c r="F15" s="24"/>
      <c r="G15" s="24"/>
      <c r="H15" s="24"/>
      <c r="I15" s="162"/>
      <c r="J15" s="162"/>
      <c r="K15" s="169"/>
      <c r="L15" s="228">
        <f t="shared" si="0"/>
        <v>0</v>
      </c>
      <c r="M15" s="3"/>
      <c r="N15" s="3"/>
      <c r="O15" s="3"/>
      <c r="P15" s="3"/>
      <c r="Q15" s="3"/>
    </row>
    <row r="16" spans="1:17" ht="12.75">
      <c r="A16" s="220" t="s">
        <v>181</v>
      </c>
      <c r="B16" s="221">
        <v>0</v>
      </c>
      <c r="C16" s="24"/>
      <c r="D16" s="24"/>
      <c r="E16" s="24"/>
      <c r="F16" s="24"/>
      <c r="G16" s="24"/>
      <c r="H16" s="24"/>
      <c r="I16" s="162"/>
      <c r="J16" s="162"/>
      <c r="K16" s="169"/>
      <c r="L16" s="228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178</v>
      </c>
      <c r="B17" s="221">
        <v>0</v>
      </c>
      <c r="C17" s="24"/>
      <c r="D17" s="24"/>
      <c r="E17" s="24"/>
      <c r="F17" s="24"/>
      <c r="G17" s="24"/>
      <c r="H17" s="24"/>
      <c r="I17" s="162"/>
      <c r="J17" s="162"/>
      <c r="K17" s="169"/>
      <c r="L17" s="227">
        <f t="shared" si="0"/>
        <v>0</v>
      </c>
      <c r="M17" s="3"/>
      <c r="N17" s="3"/>
      <c r="O17" s="3"/>
      <c r="P17" s="3"/>
      <c r="Q17" s="3"/>
    </row>
    <row r="18" spans="1:17" ht="12.75">
      <c r="A18" s="220" t="s">
        <v>179</v>
      </c>
      <c r="B18" s="221">
        <v>1</v>
      </c>
      <c r="C18" s="24"/>
      <c r="D18" s="24"/>
      <c r="E18" s="24"/>
      <c r="F18" s="24"/>
      <c r="G18" s="24"/>
      <c r="H18" s="24"/>
      <c r="I18" s="162"/>
      <c r="J18" s="162"/>
      <c r="K18" s="169"/>
      <c r="L18" s="227">
        <f t="shared" si="0"/>
        <v>1</v>
      </c>
      <c r="M18" s="3"/>
      <c r="N18" s="3"/>
      <c r="O18" s="3"/>
      <c r="P18" s="3"/>
      <c r="Q18" s="3"/>
    </row>
    <row r="19" spans="1:17" ht="12.75">
      <c r="A19" s="220" t="s">
        <v>180</v>
      </c>
      <c r="B19" s="221">
        <v>1</v>
      </c>
      <c r="C19" s="24"/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1</v>
      </c>
      <c r="M19" s="3"/>
      <c r="N19" s="3"/>
      <c r="O19" s="3"/>
      <c r="P19" s="3"/>
      <c r="Q19" s="3"/>
    </row>
    <row r="20" spans="1:17" ht="12.75">
      <c r="A20" s="220" t="s">
        <v>195</v>
      </c>
      <c r="B20" s="221">
        <v>0</v>
      </c>
      <c r="C20" s="24"/>
      <c r="D20" s="24"/>
      <c r="E20" s="24"/>
      <c r="F20" s="24"/>
      <c r="G20" s="24"/>
      <c r="H20" s="24"/>
      <c r="I20" s="162"/>
      <c r="J20" s="162"/>
      <c r="K20" s="169"/>
      <c r="L20" s="228">
        <f t="shared" si="0"/>
        <v>0</v>
      </c>
      <c r="M20" s="3"/>
      <c r="N20" s="3"/>
      <c r="O20" s="3"/>
      <c r="P20" s="3"/>
      <c r="Q20" s="3"/>
    </row>
    <row r="21" spans="1:17" ht="12.75">
      <c r="A21" s="229" t="s">
        <v>182</v>
      </c>
      <c r="B21" s="230">
        <v>0</v>
      </c>
      <c r="C21" s="21"/>
      <c r="D21" s="21"/>
      <c r="E21" s="21"/>
      <c r="F21" s="21"/>
      <c r="G21" s="21"/>
      <c r="H21" s="21"/>
      <c r="I21" s="152"/>
      <c r="J21" s="152"/>
      <c r="K21" s="231"/>
      <c r="L21" s="232">
        <f t="shared" si="0"/>
        <v>0</v>
      </c>
      <c r="M21" s="3"/>
      <c r="N21" s="3"/>
      <c r="O21" s="3"/>
      <c r="P21" s="3"/>
      <c r="Q21" s="3"/>
    </row>
    <row r="22" spans="1:17" ht="12.75">
      <c r="A22" s="229" t="s">
        <v>292</v>
      </c>
      <c r="B22" s="230">
        <v>1</v>
      </c>
      <c r="C22" s="21"/>
      <c r="D22" s="21"/>
      <c r="E22" s="21"/>
      <c r="F22" s="21"/>
      <c r="G22" s="21"/>
      <c r="H22" s="21"/>
      <c r="I22" s="152"/>
      <c r="J22" s="152"/>
      <c r="K22" s="231"/>
      <c r="L22" s="232">
        <f t="shared" si="0"/>
        <v>1</v>
      </c>
      <c r="M22" s="3"/>
      <c r="N22" s="3"/>
      <c r="O22" s="3"/>
      <c r="P22" s="3"/>
      <c r="Q22" s="3"/>
    </row>
    <row r="23" spans="1:17" ht="13.5" thickBot="1">
      <c r="A23" s="233" t="s">
        <v>208</v>
      </c>
      <c r="B23" s="234">
        <v>0</v>
      </c>
      <c r="C23" s="235"/>
      <c r="D23" s="235"/>
      <c r="E23" s="235"/>
      <c r="F23" s="235"/>
      <c r="G23" s="235"/>
      <c r="H23" s="235"/>
      <c r="I23" s="236"/>
      <c r="J23" s="236"/>
      <c r="K23" s="237"/>
      <c r="L23" s="238">
        <f t="shared" si="0"/>
        <v>0</v>
      </c>
      <c r="M23" s="3"/>
      <c r="N23" s="3"/>
      <c r="O23" s="3"/>
      <c r="P23" s="3"/>
      <c r="Q23" s="3"/>
    </row>
    <row r="24" spans="1:17" ht="13.5" thickBot="1">
      <c r="A24" s="239" t="s">
        <v>186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40">
        <f>SUM(L11:L23)</f>
        <v>377</v>
      </c>
      <c r="M24" s="3"/>
      <c r="N24" s="3"/>
      <c r="O24" s="3"/>
      <c r="P24" s="3"/>
      <c r="Q24" s="3"/>
    </row>
    <row r="25" spans="1:17" ht="12.75">
      <c r="A25" s="241"/>
      <c r="B25" s="9"/>
      <c r="C25" s="9"/>
      <c r="D25" s="9"/>
      <c r="E25" s="9"/>
      <c r="F25" s="9"/>
      <c r="G25" s="9"/>
      <c r="H25" s="9"/>
      <c r="I25" s="9"/>
      <c r="J25" s="9"/>
      <c r="K25" s="9"/>
      <c r="L25" s="14"/>
      <c r="M25" s="3"/>
      <c r="N25" s="3"/>
      <c r="O25" s="3"/>
      <c r="P25" s="3"/>
      <c r="Q25" s="3"/>
    </row>
    <row r="26" spans="1:12" ht="12.75" hidden="1">
      <c r="A26" s="24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41"/>
      <c r="B27" s="202" t="s">
        <v>189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42" t="s">
        <v>188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 thickBot="1">
      <c r="A29" s="241" t="s">
        <v>247</v>
      </c>
      <c r="B29" s="14">
        <f>L11</f>
        <v>369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3.5" thickBot="1">
      <c r="A30" s="241" t="s">
        <v>63</v>
      </c>
      <c r="B30" s="240">
        <f>SUM(B29)</f>
        <v>369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42" t="s">
        <v>164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41" t="s">
        <v>175</v>
      </c>
      <c r="B33" s="14">
        <f>L13</f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41" t="s">
        <v>178</v>
      </c>
      <c r="B34" s="14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1" t="s">
        <v>208</v>
      </c>
      <c r="B35" s="243">
        <f>L23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3.5" thickBot="1">
      <c r="A36" s="241" t="s">
        <v>292</v>
      </c>
      <c r="B36" s="243">
        <v>2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41" t="s">
        <v>63</v>
      </c>
      <c r="B37" s="240">
        <f>SUM(B33:B36)</f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41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42" t="s">
        <v>162</v>
      </c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 t="s">
        <v>174</v>
      </c>
      <c r="B40" s="14">
        <f>L12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1" t="s">
        <v>179</v>
      </c>
      <c r="B41" s="14"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180</v>
      </c>
      <c r="B42" s="14"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3.5" thickBot="1">
      <c r="A43" s="241" t="s">
        <v>195</v>
      </c>
      <c r="B43" s="14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3.5" thickBot="1">
      <c r="A44" s="241" t="s">
        <v>63</v>
      </c>
      <c r="B44" s="240">
        <f>SUM(B40:B43)</f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42" t="s">
        <v>163</v>
      </c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41" t="s">
        <v>177</v>
      </c>
      <c r="B47" s="243">
        <f>L15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41" t="s">
        <v>181</v>
      </c>
      <c r="B48" s="243">
        <f>L16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41" t="s">
        <v>182</v>
      </c>
      <c r="B49" s="243">
        <f>L21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3.5" thickBot="1">
      <c r="A50" s="241" t="s">
        <v>63</v>
      </c>
      <c r="B50" s="244">
        <f>SUM(B47:B49)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42" t="s">
        <v>165</v>
      </c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176</v>
      </c>
      <c r="B53" s="243">
        <v>2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41" t="s">
        <v>63</v>
      </c>
      <c r="B54" s="244">
        <f>SUM(B53:B53)</f>
        <v>2</v>
      </c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7:Y31"/>
  <sheetViews>
    <sheetView workbookViewId="0" topLeftCell="B1">
      <selection activeCell="V32" sqref="V32"/>
    </sheetView>
  </sheetViews>
  <sheetFormatPr defaultColWidth="9.140625" defaultRowHeight="12.75"/>
  <cols>
    <col min="3" max="3" width="11.8515625" style="0" customWidth="1"/>
    <col min="4" max="4" width="4.57421875" style="0" hidden="1" customWidth="1"/>
    <col min="5" max="5" width="8.28125" style="0" hidden="1" customWidth="1"/>
    <col min="6" max="6" width="9.421875" style="0" hidden="1" customWidth="1"/>
    <col min="7" max="7" width="4.57421875" style="0" hidden="1" customWidth="1"/>
    <col min="8" max="8" width="8.28125" style="0" hidden="1" customWidth="1"/>
    <col min="9" max="9" width="9.421875" style="0" hidden="1" customWidth="1"/>
    <col min="10" max="10" width="7.00390625" style="0" hidden="1" customWidth="1"/>
    <col min="11" max="11" width="9.7109375" style="0" hidden="1" customWidth="1"/>
    <col min="12" max="12" width="0" style="0" hidden="1" customWidth="1"/>
    <col min="13" max="16" width="11.00390625" style="0" hidden="1" customWidth="1"/>
    <col min="17" max="17" width="7.8515625" style="0" hidden="1" customWidth="1"/>
    <col min="18" max="18" width="10.7109375" style="0" hidden="1" customWidth="1"/>
    <col min="20" max="20" width="15.421875" style="0" bestFit="1" customWidth="1"/>
    <col min="22" max="22" width="30.57421875" style="0" bestFit="1" customWidth="1"/>
  </cols>
  <sheetData>
    <row r="7" spans="1:25" ht="12.75">
      <c r="A7" s="9"/>
      <c r="B7" s="9"/>
      <c r="C7" s="9"/>
      <c r="D7" s="258" t="s">
        <v>12</v>
      </c>
      <c r="E7" s="258"/>
      <c r="F7" s="258"/>
      <c r="G7" s="222" t="s">
        <v>13</v>
      </c>
      <c r="H7" s="222"/>
      <c r="I7" s="222"/>
      <c r="J7" s="223" t="s">
        <v>253</v>
      </c>
      <c r="K7" s="199" t="s">
        <v>287</v>
      </c>
      <c r="L7" s="199" t="s">
        <v>287</v>
      </c>
      <c r="M7" s="186" t="s">
        <v>317</v>
      </c>
      <c r="N7" s="188" t="s">
        <v>317</v>
      </c>
      <c r="O7" s="190" t="s">
        <v>317</v>
      </c>
      <c r="P7" s="192" t="s">
        <v>317</v>
      </c>
      <c r="Q7" s="194" t="s">
        <v>318</v>
      </c>
      <c r="R7" s="196" t="s">
        <v>88</v>
      </c>
      <c r="S7" s="201" t="s">
        <v>287</v>
      </c>
      <c r="T7" s="147" t="s">
        <v>299</v>
      </c>
      <c r="U7" s="147" t="s">
        <v>323</v>
      </c>
      <c r="W7" s="201" t="s">
        <v>287</v>
      </c>
      <c r="X7" s="147" t="s">
        <v>299</v>
      </c>
      <c r="Y7" s="147" t="s">
        <v>323</v>
      </c>
    </row>
    <row r="8" spans="1:25" ht="12.75">
      <c r="A8" s="256" t="s">
        <v>254</v>
      </c>
      <c r="B8" s="257"/>
      <c r="C8" s="257"/>
      <c r="D8" s="258" t="s">
        <v>255</v>
      </c>
      <c r="E8" s="258"/>
      <c r="F8" s="184" t="s">
        <v>256</v>
      </c>
      <c r="G8" s="222" t="s">
        <v>255</v>
      </c>
      <c r="H8" s="222"/>
      <c r="I8" s="185" t="s">
        <v>256</v>
      </c>
      <c r="J8" s="224"/>
      <c r="K8" s="200" t="s">
        <v>289</v>
      </c>
      <c r="L8" s="200" t="s">
        <v>290</v>
      </c>
      <c r="M8" s="187" t="s">
        <v>55</v>
      </c>
      <c r="N8" s="189" t="s">
        <v>56</v>
      </c>
      <c r="O8" s="191" t="s">
        <v>57</v>
      </c>
      <c r="P8" s="193" t="s">
        <v>58</v>
      </c>
      <c r="Q8" s="195" t="s">
        <v>319</v>
      </c>
      <c r="R8" s="197" t="s">
        <v>286</v>
      </c>
      <c r="S8" s="197" t="s">
        <v>288</v>
      </c>
      <c r="T8" s="150" t="s">
        <v>300</v>
      </c>
      <c r="U8" s="150" t="s">
        <v>322</v>
      </c>
      <c r="V8" s="198" t="s">
        <v>254</v>
      </c>
      <c r="W8" s="197" t="s">
        <v>288</v>
      </c>
      <c r="X8" s="150" t="s">
        <v>300</v>
      </c>
      <c r="Y8" s="150" t="s">
        <v>322</v>
      </c>
    </row>
    <row r="9" spans="1:25" ht="12.75">
      <c r="A9" s="169" t="s">
        <v>257</v>
      </c>
      <c r="B9" s="170"/>
      <c r="C9" s="170"/>
      <c r="D9" s="171" t="s">
        <v>29</v>
      </c>
      <c r="E9" s="172" t="s">
        <v>25</v>
      </c>
      <c r="F9" s="30" t="s">
        <v>31</v>
      </c>
      <c r="G9" s="96" t="s">
        <v>29</v>
      </c>
      <c r="H9" s="173" t="s">
        <v>34</v>
      </c>
      <c r="I9" s="30" t="s">
        <v>35</v>
      </c>
      <c r="J9" s="173" t="s">
        <v>33</v>
      </c>
      <c r="K9" s="181">
        <f>'T. estandar daipas'!C7</f>
        <v>23.758133333333337</v>
      </c>
      <c r="L9" s="181">
        <f aca="true" t="shared" si="0" ref="L9:L28">(1+J9)*K9</f>
        <v>24.946040000000004</v>
      </c>
      <c r="M9" s="183">
        <f>+'T. estandar daipas'!B47</f>
        <v>0.012269938650306749</v>
      </c>
      <c r="N9" s="183">
        <f>+'T. estandar daipas'!C47</f>
        <v>0.015337423312883436</v>
      </c>
      <c r="O9" s="183">
        <f>+'T. estandar daipas'!D47</f>
        <v>0</v>
      </c>
      <c r="P9" s="183">
        <f>+'T. estandar daipas'!E47</f>
        <v>0.024539877300613498</v>
      </c>
      <c r="Q9" s="183">
        <f>+'T. estandar daipas'!F47</f>
        <v>0.04738093695296941</v>
      </c>
      <c r="R9" s="183">
        <f>'T. estandar daipas'!B49</f>
        <v>0.0995281762167731</v>
      </c>
      <c r="S9" s="181">
        <f aca="true" t="shared" si="1" ref="S9:S28">(1+R9)*L9</f>
        <v>27.42887386503067</v>
      </c>
      <c r="T9" s="96" t="s">
        <v>310</v>
      </c>
      <c r="U9" s="96" t="s">
        <v>324</v>
      </c>
      <c r="V9" s="162" t="s">
        <v>257</v>
      </c>
      <c r="W9" s="181">
        <f>S9/1.45</f>
        <v>18.91646473450391</v>
      </c>
      <c r="X9" s="96" t="s">
        <v>314</v>
      </c>
      <c r="Y9" s="96" t="s">
        <v>324</v>
      </c>
    </row>
    <row r="10" spans="1:25" ht="12.75" hidden="1">
      <c r="A10" s="169" t="s">
        <v>258</v>
      </c>
      <c r="B10" s="170"/>
      <c r="C10" s="170"/>
      <c r="D10" s="96" t="s">
        <v>27</v>
      </c>
      <c r="E10" s="172" t="s">
        <v>23</v>
      </c>
      <c r="F10" s="30" t="s">
        <v>30</v>
      </c>
      <c r="G10" s="96" t="s">
        <v>27</v>
      </c>
      <c r="H10" s="173" t="s">
        <v>23</v>
      </c>
      <c r="I10" s="30" t="s">
        <v>30</v>
      </c>
      <c r="J10" s="173" t="s">
        <v>259</v>
      </c>
      <c r="K10" s="174">
        <f>+'T. estandar Desmane s'!C7</f>
        <v>13.417200000000001</v>
      </c>
      <c r="L10" s="181">
        <f t="shared" si="0"/>
        <v>15.563952</v>
      </c>
      <c r="M10" s="183">
        <f>+'T. estandar Desmane s'!B47</f>
        <v>0.0079155672823219</v>
      </c>
      <c r="N10" s="183">
        <f>+'T. estandar Desmane s'!C47</f>
        <v>0</v>
      </c>
      <c r="O10" s="183">
        <f>+'T. estandar Desmane s'!D47</f>
        <v>0.005277044854881266</v>
      </c>
      <c r="P10" s="183">
        <f>+'T. estandar Desmane s'!E47</f>
        <v>0.005277044854881266</v>
      </c>
      <c r="Q10" s="183">
        <f>+'T. estandar Desmane s'!F47</f>
        <v>0.07036452505903479</v>
      </c>
      <c r="R10" s="183">
        <f>+'T. estandar Desmane s'!B49</f>
        <v>0.08883418205111922</v>
      </c>
      <c r="S10" s="181">
        <f t="shared" si="1"/>
        <v>16.94656294540288</v>
      </c>
      <c r="T10" s="96" t="s">
        <v>311</v>
      </c>
      <c r="U10" s="96" t="s">
        <v>325</v>
      </c>
      <c r="V10" s="162" t="s">
        <v>258</v>
      </c>
      <c r="W10" s="96"/>
      <c r="X10" s="96" t="s">
        <v>314</v>
      </c>
      <c r="Y10" s="96" t="s">
        <v>325</v>
      </c>
    </row>
    <row r="11" spans="1:25" ht="12.75">
      <c r="A11" s="169" t="s">
        <v>260</v>
      </c>
      <c r="B11" s="170"/>
      <c r="C11" s="170"/>
      <c r="D11" s="96" t="s">
        <v>27</v>
      </c>
      <c r="E11" s="172" t="s">
        <v>23</v>
      </c>
      <c r="F11" s="30" t="s">
        <v>30</v>
      </c>
      <c r="G11" s="96" t="s">
        <v>27</v>
      </c>
      <c r="H11" s="173" t="s">
        <v>23</v>
      </c>
      <c r="I11" s="30" t="s">
        <v>30</v>
      </c>
      <c r="J11" s="173" t="s">
        <v>259</v>
      </c>
      <c r="K11" s="174">
        <f>+'T. estandar Desmane i'!C7</f>
        <v>10.2424</v>
      </c>
      <c r="L11" s="181">
        <f t="shared" si="0"/>
        <v>11.881184</v>
      </c>
      <c r="M11" s="183">
        <f>+'T. estandar Desmane i'!B47</f>
        <v>0.007957559681697613</v>
      </c>
      <c r="N11" s="183">
        <f>'T. estandar Desmane i'!C47</f>
        <v>0</v>
      </c>
      <c r="O11" s="183">
        <f>'T. estandar Desmane i'!D47</f>
        <v>0.005305039787798408</v>
      </c>
      <c r="P11" s="183">
        <f>'T. estandar Desmane i'!E47</f>
        <v>0.005305039787798408</v>
      </c>
      <c r="Q11" s="183">
        <f>'T. estandar Desmane i'!F47</f>
        <v>0.16550988206540396</v>
      </c>
      <c r="R11" s="183">
        <f>+'T. estandar Desmane i'!B49</f>
        <v>0.1840775213226984</v>
      </c>
      <c r="S11" s="181">
        <f t="shared" si="1"/>
        <v>14.068242901098902</v>
      </c>
      <c r="T11" s="96" t="s">
        <v>311</v>
      </c>
      <c r="U11" s="96" t="s">
        <v>326</v>
      </c>
      <c r="V11" s="162" t="s">
        <v>346</v>
      </c>
      <c r="W11" s="181">
        <f>(S10+S11)/1.45</f>
        <v>21.389521273449507</v>
      </c>
      <c r="X11" s="96" t="s">
        <v>314</v>
      </c>
      <c r="Y11" s="96" t="s">
        <v>325</v>
      </c>
    </row>
    <row r="12" spans="1:25" ht="12.75" hidden="1">
      <c r="A12" s="169" t="s">
        <v>261</v>
      </c>
      <c r="B12" s="170"/>
      <c r="C12" s="170"/>
      <c r="D12" s="171" t="s">
        <v>27</v>
      </c>
      <c r="E12" s="172" t="s">
        <v>23</v>
      </c>
      <c r="F12" s="30" t="s">
        <v>30</v>
      </c>
      <c r="G12" s="96" t="s">
        <v>27</v>
      </c>
      <c r="H12" s="173" t="s">
        <v>23</v>
      </c>
      <c r="I12" s="30" t="s">
        <v>30</v>
      </c>
      <c r="J12" s="173" t="s">
        <v>259</v>
      </c>
      <c r="K12" s="174">
        <f>+'T. estandar gajeo p'!C7</f>
        <v>7.8932</v>
      </c>
      <c r="L12" s="181">
        <f t="shared" si="0"/>
        <v>9.156112</v>
      </c>
      <c r="M12" s="183">
        <f>'T. estandar gajeo p'!B47</f>
        <v>0.023746701846965697</v>
      </c>
      <c r="N12" s="183">
        <f>'T. estandar gajeo p'!C47</f>
        <v>0.0158311345646438</v>
      </c>
      <c r="O12" s="183">
        <f>'T. estandar gajeo p'!D47</f>
        <v>0</v>
      </c>
      <c r="P12" s="183">
        <f>'T. estandar gajeo p'!E47</f>
        <v>0.002638522427440633</v>
      </c>
      <c r="Q12" s="183">
        <f>'T. estandar gajeo p'!F47</f>
        <v>0.17026936916542978</v>
      </c>
      <c r="R12" s="183">
        <f>+'T. estandar gajeo p'!B49</f>
        <v>0.21248572800447993</v>
      </c>
      <c r="S12" s="181">
        <f t="shared" si="1"/>
        <v>11.101655124010554</v>
      </c>
      <c r="T12" s="96" t="s">
        <v>312</v>
      </c>
      <c r="U12" s="96" t="s">
        <v>327</v>
      </c>
      <c r="V12" s="162" t="s">
        <v>261</v>
      </c>
      <c r="W12" s="96"/>
      <c r="X12" s="96" t="s">
        <v>314</v>
      </c>
      <c r="Y12" s="96" t="s">
        <v>327</v>
      </c>
    </row>
    <row r="13" spans="1:25" ht="12.75" hidden="1">
      <c r="A13" s="169" t="s">
        <v>262</v>
      </c>
      <c r="B13" s="170"/>
      <c r="C13" s="170"/>
      <c r="D13" s="171" t="s">
        <v>27</v>
      </c>
      <c r="E13" s="172" t="s">
        <v>23</v>
      </c>
      <c r="F13" s="30" t="s">
        <v>30</v>
      </c>
      <c r="G13" s="96" t="s">
        <v>27</v>
      </c>
      <c r="H13" s="173" t="s">
        <v>23</v>
      </c>
      <c r="I13" s="30" t="s">
        <v>30</v>
      </c>
      <c r="J13" s="173" t="s">
        <v>259</v>
      </c>
      <c r="K13" s="174">
        <f>+'T. estandar gajeo m'!C7</f>
        <v>10.898399999999999</v>
      </c>
      <c r="L13" s="181">
        <f t="shared" si="0"/>
        <v>12.642143999999998</v>
      </c>
      <c r="M13" s="183">
        <f>'T. estandar gajeo m'!B47</f>
        <v>0.023474178403755867</v>
      </c>
      <c r="N13" s="183">
        <f>'T. estandar gajeo m'!C47</f>
        <v>0</v>
      </c>
      <c r="O13" s="183">
        <f>'T. estandar gajeo m'!D47</f>
        <v>0</v>
      </c>
      <c r="P13" s="183">
        <f>'T. estandar gajeo m'!E47</f>
        <v>0.009389671361502348</v>
      </c>
      <c r="Q13" s="183">
        <f>'T. estandar gajeo m'!F47</f>
        <v>0.1530285073216302</v>
      </c>
      <c r="R13" s="183">
        <f>+'T. estandar gajeo m'!B49</f>
        <v>0.18589235708688842</v>
      </c>
      <c r="S13" s="181">
        <f t="shared" si="1"/>
        <v>14.992221946791862</v>
      </c>
      <c r="T13" s="96" t="s">
        <v>312</v>
      </c>
      <c r="U13" s="96" t="s">
        <v>328</v>
      </c>
      <c r="V13" s="162" t="s">
        <v>262</v>
      </c>
      <c r="W13" s="96"/>
      <c r="X13" s="96" t="s">
        <v>314</v>
      </c>
      <c r="Y13" s="96" t="s">
        <v>328</v>
      </c>
    </row>
    <row r="14" spans="1:25" ht="12.75">
      <c r="A14" s="169" t="s">
        <v>263</v>
      </c>
      <c r="B14" s="170"/>
      <c r="C14" s="170"/>
      <c r="D14" s="171" t="s">
        <v>27</v>
      </c>
      <c r="E14" s="172" t="s">
        <v>23</v>
      </c>
      <c r="F14" s="30" t="s">
        <v>30</v>
      </c>
      <c r="G14" s="96" t="s">
        <v>27</v>
      </c>
      <c r="H14" s="173" t="s">
        <v>23</v>
      </c>
      <c r="I14" s="30" t="s">
        <v>30</v>
      </c>
      <c r="J14" s="173" t="s">
        <v>259</v>
      </c>
      <c r="K14" s="174">
        <f>+'T. estandar gajeo g'!C7</f>
        <v>14.800959999999996</v>
      </c>
      <c r="L14" s="181">
        <f t="shared" si="0"/>
        <v>17.169113599999996</v>
      </c>
      <c r="M14" s="183">
        <f>'T. estandar gajeo g'!B47</f>
        <v>0.014084507042253521</v>
      </c>
      <c r="N14" s="183">
        <f>'T. estandar gajeo g'!C47</f>
        <v>0</v>
      </c>
      <c r="O14" s="183">
        <f>'T. estandar gajeo g'!D47</f>
        <v>0.004694835680751174</v>
      </c>
      <c r="P14" s="183">
        <f>'T. estandar gajeo g'!E47</f>
        <v>0.009389671361502348</v>
      </c>
      <c r="Q14" s="183">
        <f>'T. estandar gajeo g'!F47</f>
        <v>0.15496557940054267</v>
      </c>
      <c r="R14" s="183">
        <f>+'T. estandar gajeo g'!B49</f>
        <v>0.1831345934850497</v>
      </c>
      <c r="S14" s="181">
        <f t="shared" si="1"/>
        <v>20.31337223963463</v>
      </c>
      <c r="T14" s="96" t="s">
        <v>312</v>
      </c>
      <c r="U14" s="96" t="s">
        <v>329</v>
      </c>
      <c r="V14" s="162" t="s">
        <v>345</v>
      </c>
      <c r="W14" s="181">
        <f>(S12*2+S13*3+S14*3)/1.45</f>
        <v>88.35868469469006</v>
      </c>
      <c r="X14" s="96" t="s">
        <v>314</v>
      </c>
      <c r="Y14" s="96" t="s">
        <v>326</v>
      </c>
    </row>
    <row r="15" spans="1:25" ht="12.75" hidden="1">
      <c r="A15" s="169" t="s">
        <v>264</v>
      </c>
      <c r="B15" s="170"/>
      <c r="C15" s="170"/>
      <c r="D15" s="171" t="s">
        <v>28</v>
      </c>
      <c r="E15" s="172" t="s">
        <v>24</v>
      </c>
      <c r="F15" s="30" t="s">
        <v>31</v>
      </c>
      <c r="G15" s="96" t="s">
        <v>28</v>
      </c>
      <c r="H15" s="173" t="s">
        <v>33</v>
      </c>
      <c r="I15" s="30" t="s">
        <v>35</v>
      </c>
      <c r="J15" s="173" t="s">
        <v>22</v>
      </c>
      <c r="K15" s="174">
        <f>+'T. estandar Llenado Platos p'!C7</f>
        <v>8.446799999999998</v>
      </c>
      <c r="L15" s="181">
        <f t="shared" si="0"/>
        <v>9.375948</v>
      </c>
      <c r="M15" s="183">
        <f>'T. estandar Llenado Platos p'!B47</f>
        <v>0.04417670682730924</v>
      </c>
      <c r="N15" s="183">
        <f>'T. estandar Llenado Platos p'!C47</f>
        <v>0.024096385542168676</v>
      </c>
      <c r="O15" s="183">
        <f>'T. estandar Llenado Platos p'!D47</f>
        <v>0</v>
      </c>
      <c r="P15" s="183">
        <f>'T. estandar Llenado Platos p'!E47</f>
        <v>0</v>
      </c>
      <c r="Q15" s="183">
        <f>'T. estandar Llenado Platos p'!F47</f>
        <v>0.1302516879337472</v>
      </c>
      <c r="R15" s="183">
        <f>+'T. estandar Llenado Platos p'!B49</f>
        <v>0.19852478030322512</v>
      </c>
      <c r="S15" s="181">
        <f t="shared" si="1"/>
        <v>11.237306016834461</v>
      </c>
      <c r="T15" s="96" t="s">
        <v>313</v>
      </c>
      <c r="U15" s="96" t="s">
        <v>330</v>
      </c>
      <c r="V15" s="162" t="s">
        <v>344</v>
      </c>
      <c r="W15" s="96"/>
      <c r="X15" s="96" t="s">
        <v>314</v>
      </c>
      <c r="Y15" s="96" t="s">
        <v>330</v>
      </c>
    </row>
    <row r="16" spans="1:25" ht="12.75" hidden="1">
      <c r="A16" s="169" t="s">
        <v>265</v>
      </c>
      <c r="B16" s="170"/>
      <c r="C16" s="170"/>
      <c r="D16" s="171" t="s">
        <v>28</v>
      </c>
      <c r="E16" s="172" t="s">
        <v>24</v>
      </c>
      <c r="F16" s="30" t="s">
        <v>31</v>
      </c>
      <c r="G16" s="96" t="s">
        <v>28</v>
      </c>
      <c r="H16" s="173" t="s">
        <v>33</v>
      </c>
      <c r="I16" s="30" t="s">
        <v>35</v>
      </c>
      <c r="J16" s="173" t="s">
        <v>22</v>
      </c>
      <c r="K16" s="174">
        <f>+'T. estandar Llenado Platos m'!C7</f>
        <v>7.3132</v>
      </c>
      <c r="L16" s="181">
        <f t="shared" si="0"/>
        <v>8.117652000000001</v>
      </c>
      <c r="M16" s="183">
        <f>'T. estandar Llenado Platos m'!B47</f>
        <v>0.024096385542168676</v>
      </c>
      <c r="N16" s="183">
        <f>'T. estandar Llenado Platos m'!C47</f>
        <v>0.008032128514056224</v>
      </c>
      <c r="O16" s="183">
        <f>'T. estandar Llenado Platos m'!D47</f>
        <v>0</v>
      </c>
      <c r="P16" s="183">
        <f>'T. estandar Llenado Platos m'!E47</f>
        <v>0</v>
      </c>
      <c r="Q16" s="183">
        <f>'T. estandar Llenado Platos m'!F47</f>
        <v>0.16464325825975235</v>
      </c>
      <c r="R16" s="183">
        <f>+'T. estandar Llenado Platos m'!B49</f>
        <v>0.19677177231597726</v>
      </c>
      <c r="S16" s="181">
        <f t="shared" si="1"/>
        <v>9.714976771084338</v>
      </c>
      <c r="T16" s="96" t="s">
        <v>313</v>
      </c>
      <c r="U16" s="96" t="s">
        <v>331</v>
      </c>
      <c r="V16" s="162"/>
      <c r="W16" s="96"/>
      <c r="X16" s="96" t="s">
        <v>314</v>
      </c>
      <c r="Y16" s="96" t="s">
        <v>331</v>
      </c>
    </row>
    <row r="17" spans="1:25" ht="12.75">
      <c r="A17" s="169" t="s">
        <v>266</v>
      </c>
      <c r="B17" s="170"/>
      <c r="C17" s="170"/>
      <c r="D17" s="171" t="s">
        <v>28</v>
      </c>
      <c r="E17" s="172" t="s">
        <v>24</v>
      </c>
      <c r="F17" s="30" t="s">
        <v>31</v>
      </c>
      <c r="G17" s="96" t="s">
        <v>28</v>
      </c>
      <c r="H17" s="173" t="s">
        <v>33</v>
      </c>
      <c r="I17" s="30" t="s">
        <v>35</v>
      </c>
      <c r="J17" s="173" t="s">
        <v>22</v>
      </c>
      <c r="K17" s="174">
        <f>+'T. estandar Llenado Platos g'!C7</f>
        <v>7.221199999999998</v>
      </c>
      <c r="L17" s="181">
        <f t="shared" si="0"/>
        <v>8.015531999999999</v>
      </c>
      <c r="M17" s="183">
        <f>'T. estandar Llenado Platos g'!B47</f>
        <v>0</v>
      </c>
      <c r="N17" s="183">
        <f>'T. estandar Llenado Platos g'!C47</f>
        <v>0.012048192771084338</v>
      </c>
      <c r="O17" s="183">
        <f>'T. estandar Llenado Platos g'!D47</f>
        <v>0</v>
      </c>
      <c r="P17" s="183">
        <f>'T. estandar Llenado Platos g'!E47</f>
        <v>0</v>
      </c>
      <c r="Q17" s="183">
        <f>'T. estandar Llenado Platos g'!F47</f>
        <v>0.13706547974056194</v>
      </c>
      <c r="R17" s="183">
        <f>+'T. estandar Llenado Platos g'!B49</f>
        <v>0.14911367251164628</v>
      </c>
      <c r="S17" s="181">
        <f t="shared" si="1"/>
        <v>9.210757413654619</v>
      </c>
      <c r="T17" s="96" t="s">
        <v>313</v>
      </c>
      <c r="U17" s="96" t="s">
        <v>332</v>
      </c>
      <c r="V17" s="162" t="s">
        <v>344</v>
      </c>
      <c r="W17" s="181">
        <f>S15+S16+S17</f>
        <v>30.163040201573416</v>
      </c>
      <c r="X17" s="96" t="s">
        <v>314</v>
      </c>
      <c r="Y17" s="96" t="s">
        <v>327</v>
      </c>
    </row>
    <row r="18" spans="1:25" ht="12.75">
      <c r="A18" s="169" t="s">
        <v>267</v>
      </c>
      <c r="B18" s="170"/>
      <c r="C18" s="170"/>
      <c r="D18" s="171" t="s">
        <v>27</v>
      </c>
      <c r="E18" s="172" t="s">
        <v>23</v>
      </c>
      <c r="F18" s="30" t="s">
        <v>30</v>
      </c>
      <c r="G18" s="96" t="s">
        <v>28</v>
      </c>
      <c r="H18" s="173" t="s">
        <v>33</v>
      </c>
      <c r="I18" s="30" t="s">
        <v>35</v>
      </c>
      <c r="J18" s="173" t="s">
        <v>19</v>
      </c>
      <c r="K18" s="182">
        <f>+'T. estandar Pesado Platos'!C7</f>
        <v>5.5636</v>
      </c>
      <c r="L18" s="181">
        <f t="shared" si="0"/>
        <v>6.286867999999999</v>
      </c>
      <c r="M18" s="183">
        <f>'T. estandar Pesado Platos'!B47</f>
        <v>0.01606425702811245</v>
      </c>
      <c r="N18" s="183">
        <f>'T. estandar Pesado Platos'!C47</f>
        <v>0.008032128514056224</v>
      </c>
      <c r="O18" s="183">
        <f>'T. estandar Pesado Platos'!D47</f>
        <v>0</v>
      </c>
      <c r="P18" s="183">
        <f>'T. estandar Pesado Platos'!E47</f>
        <v>0.004016064257028112</v>
      </c>
      <c r="Q18" s="183">
        <f>'T. estandar Pesado Platos'!F47</f>
        <v>0.24401965781431456</v>
      </c>
      <c r="R18" s="183">
        <f>+'T. estandar Pesado Platos'!B49</f>
        <v>0.27213210761351136</v>
      </c>
      <c r="S18" s="181">
        <f t="shared" si="1"/>
        <v>7.997726639127941</v>
      </c>
      <c r="T18" s="96" t="s">
        <v>314</v>
      </c>
      <c r="U18" s="96" t="s">
        <v>333</v>
      </c>
      <c r="V18" s="162" t="s">
        <v>267</v>
      </c>
      <c r="W18" s="181">
        <f aca="true" t="shared" si="2" ref="W18:W24">S18</f>
        <v>7.997726639127941</v>
      </c>
      <c r="X18" s="96" t="s">
        <v>314</v>
      </c>
      <c r="Y18" s="96" t="s">
        <v>328</v>
      </c>
    </row>
    <row r="19" spans="1:25" ht="12.75">
      <c r="A19" s="169" t="s">
        <v>268</v>
      </c>
      <c r="B19" s="170"/>
      <c r="C19" s="170"/>
      <c r="D19" s="171" t="s">
        <v>29</v>
      </c>
      <c r="E19" s="172" t="s">
        <v>25</v>
      </c>
      <c r="F19" s="30" t="s">
        <v>31</v>
      </c>
      <c r="G19" s="96" t="s">
        <v>29</v>
      </c>
      <c r="H19" s="173" t="s">
        <v>34</v>
      </c>
      <c r="I19" s="30" t="s">
        <v>35</v>
      </c>
      <c r="J19" s="173" t="s">
        <v>33</v>
      </c>
      <c r="K19" s="174">
        <f>+'T. estandar Fumigado'!C7</f>
        <v>11.431199999999999</v>
      </c>
      <c r="L19" s="181">
        <f t="shared" si="0"/>
        <v>12.002759999999999</v>
      </c>
      <c r="M19" s="183">
        <f>'T. estandar Fumigado'!B47</f>
        <v>0.004016064257028112</v>
      </c>
      <c r="N19" s="183">
        <f>'T. estandar Fumigado'!C47</f>
        <v>0.012048192771084338</v>
      </c>
      <c r="O19" s="183">
        <f>'T. estandar Fumigado'!D47</f>
        <v>0.004016064257028112</v>
      </c>
      <c r="P19" s="183">
        <f>'T. estandar Fumigado'!E47</f>
        <v>0.004016064257028112</v>
      </c>
      <c r="Q19" s="183">
        <f>'T. estandar Fumigado'!F47</f>
        <v>0.09422423204108843</v>
      </c>
      <c r="R19" s="183">
        <f>+'T. estandar Fumigado'!B49</f>
        <v>0.1183206175832571</v>
      </c>
      <c r="S19" s="181">
        <f t="shared" si="1"/>
        <v>13.422933975903614</v>
      </c>
      <c r="T19" s="96" t="s">
        <v>314</v>
      </c>
      <c r="U19" s="96" t="s">
        <v>334</v>
      </c>
      <c r="V19" s="162" t="s">
        <v>268</v>
      </c>
      <c r="W19" s="181">
        <f t="shared" si="2"/>
        <v>13.422933975903614</v>
      </c>
      <c r="X19" s="96" t="s">
        <v>314</v>
      </c>
      <c r="Y19" s="96" t="s">
        <v>329</v>
      </c>
    </row>
    <row r="20" spans="1:25" ht="12.75">
      <c r="A20" s="169" t="s">
        <v>269</v>
      </c>
      <c r="B20" s="170"/>
      <c r="C20" s="170"/>
      <c r="D20" s="171" t="s">
        <v>28</v>
      </c>
      <c r="E20" s="172" t="s">
        <v>24</v>
      </c>
      <c r="F20" s="30" t="s">
        <v>31</v>
      </c>
      <c r="G20" s="96" t="s">
        <v>28</v>
      </c>
      <c r="H20" s="173" t="s">
        <v>33</v>
      </c>
      <c r="I20" s="30" t="s">
        <v>35</v>
      </c>
      <c r="J20" s="173" t="s">
        <v>22</v>
      </c>
      <c r="K20" s="173">
        <f>+'T. estandar Sellar Clusters'!C7</f>
        <v>29.28</v>
      </c>
      <c r="L20" s="181">
        <f t="shared" si="0"/>
        <v>32.500800000000005</v>
      </c>
      <c r="M20" s="183">
        <f>'T. estandar Sellar Clusters'!B47</f>
        <v>0.06</v>
      </c>
      <c r="N20" s="183">
        <f>'T. estandar Sellar Clusters'!C47</f>
        <v>0.015</v>
      </c>
      <c r="O20" s="183">
        <f>'T. estandar Sellar Clusters'!D47</f>
        <v>0.015</v>
      </c>
      <c r="P20" s="183">
        <f>'T. estandar Sellar Clusters'!E47</f>
        <v>0.03</v>
      </c>
      <c r="Q20" s="183">
        <f>'T. estandar Sellar Clusters'!F47</f>
        <v>0.046162984081729475</v>
      </c>
      <c r="R20" s="183">
        <f>+'T. estandar Sellar Clusters'!B49</f>
        <v>0.16616298408172947</v>
      </c>
      <c r="S20" s="181">
        <f t="shared" si="1"/>
        <v>37.90122991304347</v>
      </c>
      <c r="T20" s="96" t="s">
        <v>314</v>
      </c>
      <c r="U20" s="96" t="s">
        <v>335</v>
      </c>
      <c r="V20" s="162" t="s">
        <v>269</v>
      </c>
      <c r="W20" s="181">
        <f t="shared" si="2"/>
        <v>37.90122991304347</v>
      </c>
      <c r="X20" s="96" t="s">
        <v>314</v>
      </c>
      <c r="Y20" s="96" t="s">
        <v>330</v>
      </c>
    </row>
    <row r="21" spans="1:25" ht="12.75">
      <c r="A21" s="169" t="s">
        <v>270</v>
      </c>
      <c r="B21" s="170"/>
      <c r="C21" s="170"/>
      <c r="D21" s="171" t="s">
        <v>27</v>
      </c>
      <c r="E21" s="172" t="s">
        <v>23</v>
      </c>
      <c r="F21" s="30" t="s">
        <v>30</v>
      </c>
      <c r="G21" s="96" t="s">
        <v>27</v>
      </c>
      <c r="H21" s="173" t="s">
        <v>23</v>
      </c>
      <c r="I21" s="30" t="s">
        <v>30</v>
      </c>
      <c r="J21" s="173" t="s">
        <v>259</v>
      </c>
      <c r="K21" s="173">
        <f>+'T. estandar Embalar Cajas'!C7</f>
        <v>58.01</v>
      </c>
      <c r="L21" s="181">
        <f t="shared" si="0"/>
        <v>67.29159999999999</v>
      </c>
      <c r="M21" s="183">
        <f>'T. estandar Embalar Cajas'!B47</f>
        <v>0.004016064257028112</v>
      </c>
      <c r="N21" s="183">
        <f>'T. estandar Embalar Cajas'!C47</f>
        <v>0.01606425702811245</v>
      </c>
      <c r="O21" s="183">
        <f>'T. estandar Embalar Cajas'!D47</f>
        <v>0.03614457831325301</v>
      </c>
      <c r="P21" s="183">
        <f>'T. estandar Embalar Cajas'!E47</f>
        <v>0.004016064257028112</v>
      </c>
      <c r="Q21" s="183">
        <f>'T. estandar Embalar Cajas'!F47</f>
        <v>0.0461137991636138</v>
      </c>
      <c r="R21" s="183">
        <f>+'T. estandar Embalar Cajas'!B49</f>
        <v>0.10635476301903549</v>
      </c>
      <c r="S21" s="181">
        <f t="shared" si="1"/>
        <v>74.44838217117172</v>
      </c>
      <c r="T21" s="96" t="s">
        <v>314</v>
      </c>
      <c r="U21" s="96" t="s">
        <v>336</v>
      </c>
      <c r="V21" s="162" t="s">
        <v>270</v>
      </c>
      <c r="W21" s="181">
        <f t="shared" si="2"/>
        <v>74.44838217117172</v>
      </c>
      <c r="X21" s="96" t="s">
        <v>314</v>
      </c>
      <c r="Y21" s="96" t="s">
        <v>331</v>
      </c>
    </row>
    <row r="22" spans="1:25" ht="12.75">
      <c r="A22" s="169" t="s">
        <v>271</v>
      </c>
      <c r="B22" s="170"/>
      <c r="C22" s="170"/>
      <c r="D22" s="171" t="s">
        <v>27</v>
      </c>
      <c r="E22" s="172" t="s">
        <v>23</v>
      </c>
      <c r="F22" s="30" t="s">
        <v>30</v>
      </c>
      <c r="G22" s="96" t="s">
        <v>28</v>
      </c>
      <c r="H22" s="173" t="s">
        <v>33</v>
      </c>
      <c r="I22" s="30" t="s">
        <v>35</v>
      </c>
      <c r="J22" s="173" t="s">
        <v>19</v>
      </c>
      <c r="K22" s="174">
        <f>+'T. estandar Re-Pesado cajas'!C7</f>
        <v>4.2578</v>
      </c>
      <c r="L22" s="181">
        <f t="shared" si="0"/>
        <v>4.811313999999999</v>
      </c>
      <c r="M22" s="183">
        <f>'T. estandar Re-Pesado cajas'!B47</f>
        <v>0.1358695652173913</v>
      </c>
      <c r="N22" s="183">
        <f>'T. estandar Re-Pesado cajas'!C47</f>
        <v>0.010869565217391304</v>
      </c>
      <c r="O22" s="183">
        <f>'T. estandar Re-Pesado cajas'!D47</f>
        <v>0.002717391304347826</v>
      </c>
      <c r="P22" s="183">
        <f>'T. estandar Re-Pesado cajas'!E47</f>
        <v>0</v>
      </c>
      <c r="Q22" s="183">
        <f>'T. estandar Re-Pesado cajas'!F47</f>
        <v>0.1931685865918078</v>
      </c>
      <c r="R22" s="183">
        <f>+'T. estandar Re-Pesado cajas'!B49</f>
        <v>0.34262510833093823</v>
      </c>
      <c r="S22" s="181">
        <f t="shared" si="1"/>
        <v>6.459790980464159</v>
      </c>
      <c r="T22" s="96" t="s">
        <v>314</v>
      </c>
      <c r="U22" s="96" t="s">
        <v>337</v>
      </c>
      <c r="V22" s="162" t="s">
        <v>271</v>
      </c>
      <c r="W22" s="181">
        <f t="shared" si="2"/>
        <v>6.459790980464159</v>
      </c>
      <c r="X22" s="96" t="s">
        <v>314</v>
      </c>
      <c r="Y22" s="96" t="s">
        <v>332</v>
      </c>
    </row>
    <row r="23" spans="1:25" ht="12.75">
      <c r="A23" s="169" t="s">
        <v>272</v>
      </c>
      <c r="B23" s="170"/>
      <c r="C23" s="170"/>
      <c r="D23" s="171" t="s">
        <v>28</v>
      </c>
      <c r="E23" s="172" t="s">
        <v>24</v>
      </c>
      <c r="F23" s="30" t="s">
        <v>31</v>
      </c>
      <c r="G23" s="96" t="s">
        <v>29</v>
      </c>
      <c r="H23" s="173" t="s">
        <v>34</v>
      </c>
      <c r="I23" s="30" t="s">
        <v>35</v>
      </c>
      <c r="J23" s="173" t="s">
        <v>23</v>
      </c>
      <c r="K23" s="174">
        <f>+'T. estandar Ligado cajas'!C7</f>
        <v>6.037999999999999</v>
      </c>
      <c r="L23" s="181">
        <f t="shared" si="0"/>
        <v>6.52104</v>
      </c>
      <c r="M23" s="183">
        <f>'T. estandar Ligado cajas'!B47</f>
        <v>0.2168284789644013</v>
      </c>
      <c r="N23" s="183">
        <f>'T. estandar Ligado cajas'!C47</f>
        <v>0.006472491909385114</v>
      </c>
      <c r="O23" s="183">
        <f>'T. estandar Ligado cajas'!D47</f>
        <v>0.006472491909385114</v>
      </c>
      <c r="P23" s="183">
        <f>'T. estandar Ligado cajas'!E47</f>
        <v>0.003236245954692557</v>
      </c>
      <c r="Q23" s="183">
        <f>'T. estandar Ligado cajas'!F47</f>
        <v>0.22660649221596563</v>
      </c>
      <c r="R23" s="183">
        <f>+'T. estandar Ligado cajas'!B49</f>
        <v>0.4596162009538297</v>
      </c>
      <c r="S23" s="181">
        <f t="shared" si="1"/>
        <v>9.518215631067962</v>
      </c>
      <c r="T23" s="96" t="s">
        <v>314</v>
      </c>
      <c r="U23" s="96" t="s">
        <v>338</v>
      </c>
      <c r="V23" s="162" t="s">
        <v>272</v>
      </c>
      <c r="W23" s="181">
        <f t="shared" si="2"/>
        <v>9.518215631067962</v>
      </c>
      <c r="X23" s="96" t="s">
        <v>314</v>
      </c>
      <c r="Y23" s="96" t="s">
        <v>333</v>
      </c>
    </row>
    <row r="24" spans="1:25" ht="12.75">
      <c r="A24" s="169" t="s">
        <v>273</v>
      </c>
      <c r="B24" s="170"/>
      <c r="C24" s="170"/>
      <c r="D24" s="171" t="s">
        <v>28</v>
      </c>
      <c r="E24" s="172" t="s">
        <v>24</v>
      </c>
      <c r="F24" s="30" t="s">
        <v>31</v>
      </c>
      <c r="G24" s="96" t="s">
        <v>29</v>
      </c>
      <c r="H24" s="173" t="s">
        <v>34</v>
      </c>
      <c r="I24" s="30" t="s">
        <v>35</v>
      </c>
      <c r="J24" s="173" t="s">
        <v>23</v>
      </c>
      <c r="K24" s="174">
        <f>+'T. estandar Tapado cajas'!C7</f>
        <v>3.545333333333334</v>
      </c>
      <c r="L24" s="181">
        <f t="shared" si="0"/>
        <v>3.8289600000000013</v>
      </c>
      <c r="M24" s="183">
        <f>'T. estandar Tapado cajas'!B47</f>
        <v>0.2621359223300971</v>
      </c>
      <c r="N24" s="183">
        <f>'T. estandar Tapado cajas'!C47</f>
        <v>0.003236245954692557</v>
      </c>
      <c r="O24" s="183">
        <f>'T. estandar Tapado cajas'!D47</f>
        <v>0.003236245954692557</v>
      </c>
      <c r="P24" s="183">
        <f>'T. estandar Tapado cajas'!E47</f>
        <v>0.003236245954692557</v>
      </c>
      <c r="Q24" s="183">
        <f>'T. estandar Tapado cajas'!F47</f>
        <v>0.1899445280180514</v>
      </c>
      <c r="R24" s="183">
        <f>+'T. estandar Tapado cajas'!B49</f>
        <v>0.4617891882122262</v>
      </c>
      <c r="S24" s="181">
        <f t="shared" si="1"/>
        <v>5.597132330097088</v>
      </c>
      <c r="T24" s="96" t="s">
        <v>314</v>
      </c>
      <c r="U24" s="96" t="s">
        <v>339</v>
      </c>
      <c r="V24" s="162" t="s">
        <v>273</v>
      </c>
      <c r="W24" s="181">
        <f t="shared" si="2"/>
        <v>5.597132330097088</v>
      </c>
      <c r="X24" s="96" t="s">
        <v>314</v>
      </c>
      <c r="Y24" s="96" t="s">
        <v>334</v>
      </c>
    </row>
    <row r="25" spans="1:25" ht="12.75">
      <c r="A25" s="169" t="s">
        <v>274</v>
      </c>
      <c r="B25" s="170"/>
      <c r="C25" s="170"/>
      <c r="D25" s="171" t="s">
        <v>26</v>
      </c>
      <c r="E25" s="172" t="s">
        <v>22</v>
      </c>
      <c r="F25" s="30" t="s">
        <v>30</v>
      </c>
      <c r="G25" s="96" t="s">
        <v>26</v>
      </c>
      <c r="H25" s="174" t="s">
        <v>32</v>
      </c>
      <c r="I25" s="30" t="s">
        <v>30</v>
      </c>
      <c r="J25" s="173" t="s">
        <v>275</v>
      </c>
      <c r="K25" s="173">
        <f>+'T. estandar Paletizar Cajas'!C7</f>
        <v>480.34</v>
      </c>
      <c r="L25" s="181">
        <f t="shared" si="0"/>
        <v>581.2113999999999</v>
      </c>
      <c r="M25" s="183">
        <f>'T. estandar Paletizar Cajas'!B47</f>
        <v>0.013157894736842105</v>
      </c>
      <c r="N25" s="183">
        <f>'T. estandar Paletizar Cajas'!C47</f>
        <v>0</v>
      </c>
      <c r="O25" s="183">
        <f>'T. estandar Paletizar Cajas'!D47</f>
        <v>0</v>
      </c>
      <c r="P25" s="183">
        <f>'T. estandar Paletizar Cajas'!E47</f>
        <v>0.006578947368421052</v>
      </c>
      <c r="Q25" s="183">
        <f>'T. estandar Paletizar Cajas'!F47</f>
        <v>0.06178314796442774</v>
      </c>
      <c r="R25" s="183">
        <f>+'T. estandar Paletizar Cajas'!B49</f>
        <v>0.0815199900696909</v>
      </c>
      <c r="S25" s="181">
        <f t="shared" si="1"/>
        <v>628.5917475563909</v>
      </c>
      <c r="T25" s="96" t="s">
        <v>315</v>
      </c>
      <c r="U25" s="96" t="s">
        <v>340</v>
      </c>
      <c r="V25" s="162" t="s">
        <v>274</v>
      </c>
      <c r="W25" s="181">
        <f>S25/48</f>
        <v>13.095661407424812</v>
      </c>
      <c r="X25" s="96" t="s">
        <v>314</v>
      </c>
      <c r="Y25" s="96" t="s">
        <v>335</v>
      </c>
    </row>
    <row r="26" spans="1:25" ht="12.75">
      <c r="A26" s="169" t="s">
        <v>276</v>
      </c>
      <c r="B26" s="170"/>
      <c r="C26" s="175"/>
      <c r="D26" s="171" t="s">
        <v>28</v>
      </c>
      <c r="E26" s="172" t="s">
        <v>24</v>
      </c>
      <c r="F26" s="30" t="s">
        <v>31</v>
      </c>
      <c r="G26" s="96" t="s">
        <v>29</v>
      </c>
      <c r="H26" s="173" t="s">
        <v>34</v>
      </c>
      <c r="I26" s="30" t="s">
        <v>35</v>
      </c>
      <c r="J26" s="173" t="s">
        <v>23</v>
      </c>
      <c r="K26" s="174">
        <f>+'T. estandar Pegar fondo'!C7</f>
        <v>33.48700000000001</v>
      </c>
      <c r="L26" s="181">
        <f t="shared" si="0"/>
        <v>36.16596000000001</v>
      </c>
      <c r="M26" s="183">
        <f>'T. estandar Pegar fondo'!B47</f>
        <v>0.002717391304347826</v>
      </c>
      <c r="N26" s="183">
        <f>'T. estandar Pegar fondo'!C47</f>
        <v>0.002717391304347826</v>
      </c>
      <c r="O26" s="183">
        <f>'T. estandar Pegar fondo'!D47</f>
        <v>0.002717391304347826</v>
      </c>
      <c r="P26" s="183">
        <f>'T. estandar Pegar fondo'!E47</f>
        <v>0.010869565217391304</v>
      </c>
      <c r="Q26" s="183">
        <f>'T. estandar Pegar fondo'!F47</f>
        <v>0.0786161664292826</v>
      </c>
      <c r="R26" s="183">
        <f>+'T. estandar Pegar fondo'!B49</f>
        <v>0.09763790555971738</v>
      </c>
      <c r="S26" s="181">
        <f t="shared" si="1"/>
        <v>39.69712858695653</v>
      </c>
      <c r="T26" s="96" t="s">
        <v>316</v>
      </c>
      <c r="U26" s="96" t="s">
        <v>341</v>
      </c>
      <c r="V26" s="162" t="s">
        <v>276</v>
      </c>
      <c r="W26" s="181">
        <f>S26/3</f>
        <v>13.232376195652177</v>
      </c>
      <c r="X26" s="96" t="s">
        <v>314</v>
      </c>
      <c r="Y26" s="96" t="s">
        <v>336</v>
      </c>
    </row>
    <row r="27" spans="1:25" ht="12.75">
      <c r="A27" s="169" t="s">
        <v>277</v>
      </c>
      <c r="B27" s="170"/>
      <c r="C27" s="175"/>
      <c r="D27" s="171" t="s">
        <v>28</v>
      </c>
      <c r="E27" s="172" t="s">
        <v>24</v>
      </c>
      <c r="F27" s="30" t="s">
        <v>31</v>
      </c>
      <c r="G27" s="96" t="s">
        <v>29</v>
      </c>
      <c r="H27" s="173" t="s">
        <v>34</v>
      </c>
      <c r="I27" s="30" t="s">
        <v>35</v>
      </c>
      <c r="J27" s="173" t="s">
        <v>23</v>
      </c>
      <c r="K27" s="174">
        <f>+'T. estandar Pegar Tapa'!C7</f>
        <v>33.117000000000004</v>
      </c>
      <c r="L27" s="181">
        <f t="shared" si="0"/>
        <v>35.766360000000006</v>
      </c>
      <c r="M27" s="183">
        <f>'T. estandar Pegar Tapa'!B47</f>
        <v>0.002717391304347826</v>
      </c>
      <c r="N27" s="183">
        <f>'T. estandar Pegar Tapa'!C47</f>
        <v>0.002717391304347826</v>
      </c>
      <c r="O27" s="183">
        <f>'T. estandar Pegar Tapa'!D47</f>
        <v>0.002717391304347826</v>
      </c>
      <c r="P27" s="183">
        <f>'T. estandar Pegar Tapa'!E47</f>
        <v>0.010869565217391304</v>
      </c>
      <c r="Q27" s="183">
        <f>'T. estandar Pegar Tapa'!F47</f>
        <v>0.09066701588964543</v>
      </c>
      <c r="R27" s="183">
        <f>+'T. estandar Pegar Tapa'!B49</f>
        <v>0.10968875502008021</v>
      </c>
      <c r="S27" s="181">
        <f t="shared" si="1"/>
        <v>39.689527500000004</v>
      </c>
      <c r="T27" s="96" t="s">
        <v>316</v>
      </c>
      <c r="U27" s="96" t="s">
        <v>342</v>
      </c>
      <c r="V27" s="162" t="s">
        <v>277</v>
      </c>
      <c r="W27" s="181">
        <f>S27/3</f>
        <v>13.229842500000002</v>
      </c>
      <c r="X27" s="96" t="s">
        <v>314</v>
      </c>
      <c r="Y27" s="96" t="s">
        <v>337</v>
      </c>
    </row>
    <row r="28" spans="1:25" ht="12.75">
      <c r="A28" s="169" t="s">
        <v>278</v>
      </c>
      <c r="B28" s="170"/>
      <c r="C28" s="175"/>
      <c r="D28" s="171" t="s">
        <v>29</v>
      </c>
      <c r="E28" s="172" t="s">
        <v>25</v>
      </c>
      <c r="F28" s="30" t="s">
        <v>31</v>
      </c>
      <c r="G28" s="96" t="s">
        <v>29</v>
      </c>
      <c r="H28" s="173" t="s">
        <v>34</v>
      </c>
      <c r="I28" s="30" t="s">
        <v>35</v>
      </c>
      <c r="J28" s="173" t="s">
        <v>33</v>
      </c>
      <c r="K28" s="174">
        <f>+'T. estandar Arma fondo tapa'!C7</f>
        <v>7.7945714285714285</v>
      </c>
      <c r="L28" s="181">
        <f t="shared" si="0"/>
        <v>8.1843</v>
      </c>
      <c r="M28" s="183">
        <f>'T. estandar Arma fondo tapa'!B47</f>
        <v>0</v>
      </c>
      <c r="N28" s="183">
        <f>'T. estandar Arma fondo tapa'!C47</f>
        <v>0.012944983818770227</v>
      </c>
      <c r="O28" s="183">
        <f>'T. estandar Arma fondo tapa'!D47</f>
        <v>0.003236245954692557</v>
      </c>
      <c r="P28" s="183">
        <f>'T. estandar Arma fondo tapa'!E47</f>
        <v>0.003236245954692557</v>
      </c>
      <c r="Q28" s="183">
        <f>'T. estandar Arma fondo tapa'!F47</f>
        <v>0.03605976665323429</v>
      </c>
      <c r="R28" s="183">
        <f>+'T. estandar Arma fondo tapa'!B49</f>
        <v>0.05547724238138964</v>
      </c>
      <c r="S28" s="181">
        <f t="shared" si="1"/>
        <v>8.638342394822008</v>
      </c>
      <c r="T28" s="96" t="s">
        <v>314</v>
      </c>
      <c r="U28" s="96" t="s">
        <v>343</v>
      </c>
      <c r="V28" s="162" t="s">
        <v>278</v>
      </c>
      <c r="W28" s="181">
        <f>S28</f>
        <v>8.638342394822008</v>
      </c>
      <c r="X28" s="96" t="s">
        <v>314</v>
      </c>
      <c r="Y28" s="96" t="s">
        <v>338</v>
      </c>
    </row>
    <row r="31" ht="12.75">
      <c r="H31" s="146"/>
    </row>
  </sheetData>
  <mergeCells count="6">
    <mergeCell ref="J7:J8"/>
    <mergeCell ref="A8:C8"/>
    <mergeCell ref="D8:E8"/>
    <mergeCell ref="G8:H8"/>
    <mergeCell ref="D7:F7"/>
    <mergeCell ref="G7:I7"/>
  </mergeCells>
  <printOptions/>
  <pageMargins left="0.75" right="0.75" top="1" bottom="1" header="0.5" footer="0.5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7:J26"/>
  <sheetViews>
    <sheetView workbookViewId="0" topLeftCell="A1">
      <selection activeCell="E23" sqref="E23"/>
    </sheetView>
  </sheetViews>
  <sheetFormatPr defaultColWidth="9.140625" defaultRowHeight="12.75"/>
  <cols>
    <col min="3" max="3" width="11.7109375" style="0" customWidth="1"/>
    <col min="4" max="5" width="8.28125" style="0" customWidth="1"/>
    <col min="6" max="6" width="14.140625" style="0" customWidth="1"/>
    <col min="7" max="8" width="8.28125" style="0" customWidth="1"/>
    <col min="9" max="9" width="14.140625" style="0" customWidth="1"/>
  </cols>
  <sheetData>
    <row r="7" spans="1:10" ht="12.75">
      <c r="A7" s="9"/>
      <c r="B7" s="9"/>
      <c r="C7" s="9"/>
      <c r="D7" s="258" t="s">
        <v>12</v>
      </c>
      <c r="E7" s="258"/>
      <c r="F7" s="258"/>
      <c r="G7" s="222" t="s">
        <v>13</v>
      </c>
      <c r="H7" s="222"/>
      <c r="I7" s="222"/>
      <c r="J7" s="254" t="s">
        <v>253</v>
      </c>
    </row>
    <row r="8" spans="1:10" ht="12.75">
      <c r="A8" s="256" t="s">
        <v>254</v>
      </c>
      <c r="B8" s="257"/>
      <c r="C8" s="225"/>
      <c r="D8" s="258" t="s">
        <v>255</v>
      </c>
      <c r="E8" s="258"/>
      <c r="F8" s="167" t="s">
        <v>256</v>
      </c>
      <c r="G8" s="222" t="s">
        <v>255</v>
      </c>
      <c r="H8" s="222"/>
      <c r="I8" s="168" t="s">
        <v>256</v>
      </c>
      <c r="J8" s="255"/>
    </row>
    <row r="9" spans="1:10" ht="12.75">
      <c r="A9" s="169" t="s">
        <v>257</v>
      </c>
      <c r="B9" s="170"/>
      <c r="C9" s="175"/>
      <c r="D9" s="171" t="s">
        <v>29</v>
      </c>
      <c r="E9" s="172" t="s">
        <v>25</v>
      </c>
      <c r="F9" s="30" t="s">
        <v>31</v>
      </c>
      <c r="G9" s="96" t="s">
        <v>29</v>
      </c>
      <c r="H9" s="173" t="s">
        <v>34</v>
      </c>
      <c r="I9" s="30" t="s">
        <v>35</v>
      </c>
      <c r="J9" s="173" t="s">
        <v>33</v>
      </c>
    </row>
    <row r="10" spans="1:10" ht="12.75">
      <c r="A10" s="169" t="s">
        <v>258</v>
      </c>
      <c r="B10" s="170"/>
      <c r="C10" s="175"/>
      <c r="D10" s="96" t="s">
        <v>27</v>
      </c>
      <c r="E10" s="172" t="s">
        <v>23</v>
      </c>
      <c r="F10" s="30" t="s">
        <v>30</v>
      </c>
      <c r="G10" s="96" t="s">
        <v>27</v>
      </c>
      <c r="H10" s="173" t="s">
        <v>23</v>
      </c>
      <c r="I10" s="30" t="s">
        <v>30</v>
      </c>
      <c r="J10" s="173" t="s">
        <v>259</v>
      </c>
    </row>
    <row r="11" spans="1:10" ht="12.75">
      <c r="A11" s="169" t="s">
        <v>260</v>
      </c>
      <c r="B11" s="170"/>
      <c r="C11" s="175"/>
      <c r="D11" s="96" t="s">
        <v>27</v>
      </c>
      <c r="E11" s="172" t="s">
        <v>23</v>
      </c>
      <c r="F11" s="30" t="s">
        <v>30</v>
      </c>
      <c r="G11" s="96" t="s">
        <v>27</v>
      </c>
      <c r="H11" s="173" t="s">
        <v>23</v>
      </c>
      <c r="I11" s="30" t="s">
        <v>30</v>
      </c>
      <c r="J11" s="173" t="s">
        <v>259</v>
      </c>
    </row>
    <row r="12" spans="1:10" ht="12.75">
      <c r="A12" s="169" t="s">
        <v>261</v>
      </c>
      <c r="B12" s="170"/>
      <c r="C12" s="175"/>
      <c r="D12" s="171" t="s">
        <v>27</v>
      </c>
      <c r="E12" s="172" t="s">
        <v>23</v>
      </c>
      <c r="F12" s="30" t="s">
        <v>30</v>
      </c>
      <c r="G12" s="96" t="s">
        <v>27</v>
      </c>
      <c r="H12" s="173" t="s">
        <v>23</v>
      </c>
      <c r="I12" s="30" t="s">
        <v>30</v>
      </c>
      <c r="J12" s="173" t="s">
        <v>259</v>
      </c>
    </row>
    <row r="13" spans="1:10" ht="12.75">
      <c r="A13" s="169" t="s">
        <v>262</v>
      </c>
      <c r="B13" s="170"/>
      <c r="C13" s="175"/>
      <c r="D13" s="171" t="s">
        <v>27</v>
      </c>
      <c r="E13" s="172" t="s">
        <v>23</v>
      </c>
      <c r="F13" s="30" t="s">
        <v>30</v>
      </c>
      <c r="G13" s="96" t="s">
        <v>27</v>
      </c>
      <c r="H13" s="173" t="s">
        <v>23</v>
      </c>
      <c r="I13" s="30" t="s">
        <v>30</v>
      </c>
      <c r="J13" s="173" t="s">
        <v>259</v>
      </c>
    </row>
    <row r="14" spans="1:10" ht="12.75">
      <c r="A14" s="169" t="s">
        <v>263</v>
      </c>
      <c r="B14" s="170"/>
      <c r="C14" s="175"/>
      <c r="D14" s="171" t="s">
        <v>27</v>
      </c>
      <c r="E14" s="172" t="s">
        <v>23</v>
      </c>
      <c r="F14" s="30" t="s">
        <v>30</v>
      </c>
      <c r="G14" s="96" t="s">
        <v>27</v>
      </c>
      <c r="H14" s="173" t="s">
        <v>23</v>
      </c>
      <c r="I14" s="30" t="s">
        <v>30</v>
      </c>
      <c r="J14" s="173" t="s">
        <v>259</v>
      </c>
    </row>
    <row r="15" spans="1:10" ht="12.75">
      <c r="A15" s="169" t="s">
        <v>264</v>
      </c>
      <c r="B15" s="170"/>
      <c r="C15" s="175"/>
      <c r="D15" s="171" t="s">
        <v>28</v>
      </c>
      <c r="E15" s="172" t="s">
        <v>24</v>
      </c>
      <c r="F15" s="30" t="s">
        <v>31</v>
      </c>
      <c r="G15" s="96" t="s">
        <v>28</v>
      </c>
      <c r="H15" s="173" t="s">
        <v>33</v>
      </c>
      <c r="I15" s="30" t="s">
        <v>35</v>
      </c>
      <c r="J15" s="173" t="s">
        <v>22</v>
      </c>
    </row>
    <row r="16" spans="1:10" ht="12.75">
      <c r="A16" s="169" t="s">
        <v>265</v>
      </c>
      <c r="B16" s="170"/>
      <c r="C16" s="175"/>
      <c r="D16" s="171" t="s">
        <v>28</v>
      </c>
      <c r="E16" s="172" t="s">
        <v>24</v>
      </c>
      <c r="F16" s="30" t="s">
        <v>31</v>
      </c>
      <c r="G16" s="96" t="s">
        <v>28</v>
      </c>
      <c r="H16" s="173" t="s">
        <v>33</v>
      </c>
      <c r="I16" s="30" t="s">
        <v>35</v>
      </c>
      <c r="J16" s="173" t="s">
        <v>22</v>
      </c>
    </row>
    <row r="17" spans="1:10" ht="12.75">
      <c r="A17" s="169" t="s">
        <v>266</v>
      </c>
      <c r="B17" s="170"/>
      <c r="C17" s="175"/>
      <c r="D17" s="171" t="s">
        <v>28</v>
      </c>
      <c r="E17" s="172" t="s">
        <v>24</v>
      </c>
      <c r="F17" s="30" t="s">
        <v>31</v>
      </c>
      <c r="G17" s="96" t="s">
        <v>28</v>
      </c>
      <c r="H17" s="173" t="s">
        <v>33</v>
      </c>
      <c r="I17" s="30" t="s">
        <v>35</v>
      </c>
      <c r="J17" s="173" t="s">
        <v>22</v>
      </c>
    </row>
    <row r="18" spans="1:10" ht="12.75">
      <c r="A18" s="169" t="s">
        <v>279</v>
      </c>
      <c r="B18" s="170"/>
      <c r="C18" s="175"/>
      <c r="D18" s="171" t="s">
        <v>27</v>
      </c>
      <c r="E18" s="172" t="s">
        <v>23</v>
      </c>
      <c r="F18" s="30" t="s">
        <v>30</v>
      </c>
      <c r="G18" s="96" t="s">
        <v>28</v>
      </c>
      <c r="H18" s="173" t="s">
        <v>33</v>
      </c>
      <c r="I18" s="30" t="s">
        <v>35</v>
      </c>
      <c r="J18" s="173" t="s">
        <v>19</v>
      </c>
    </row>
    <row r="19" spans="1:10" ht="12.75">
      <c r="A19" s="169" t="s">
        <v>268</v>
      </c>
      <c r="B19" s="170"/>
      <c r="C19" s="175"/>
      <c r="D19" s="171" t="s">
        <v>29</v>
      </c>
      <c r="E19" s="172" t="s">
        <v>25</v>
      </c>
      <c r="F19" s="30" t="s">
        <v>31</v>
      </c>
      <c r="G19" s="96" t="s">
        <v>29</v>
      </c>
      <c r="H19" s="173" t="s">
        <v>34</v>
      </c>
      <c r="I19" s="30" t="s">
        <v>35</v>
      </c>
      <c r="J19" s="173" t="s">
        <v>33</v>
      </c>
    </row>
    <row r="20" spans="1:10" ht="12.75">
      <c r="A20" s="169" t="s">
        <v>280</v>
      </c>
      <c r="B20" s="170"/>
      <c r="C20" s="175"/>
      <c r="D20" s="171" t="s">
        <v>28</v>
      </c>
      <c r="E20" s="172" t="s">
        <v>24</v>
      </c>
      <c r="F20" s="30" t="s">
        <v>31</v>
      </c>
      <c r="G20" s="96" t="s">
        <v>28</v>
      </c>
      <c r="H20" s="173" t="s">
        <v>33</v>
      </c>
      <c r="I20" s="30" t="s">
        <v>35</v>
      </c>
      <c r="J20" s="173" t="s">
        <v>22</v>
      </c>
    </row>
    <row r="21" spans="1:10" ht="12.75">
      <c r="A21" s="169" t="s">
        <v>281</v>
      </c>
      <c r="B21" s="170"/>
      <c r="C21" s="175"/>
      <c r="D21" s="171" t="s">
        <v>28</v>
      </c>
      <c r="E21" s="172" t="s">
        <v>24</v>
      </c>
      <c r="F21" s="30" t="s">
        <v>31</v>
      </c>
      <c r="G21" s="96" t="s">
        <v>28</v>
      </c>
      <c r="H21" s="173" t="s">
        <v>33</v>
      </c>
      <c r="I21" s="30" t="s">
        <v>35</v>
      </c>
      <c r="J21" s="173" t="s">
        <v>22</v>
      </c>
    </row>
    <row r="22" spans="1:10" ht="12.75">
      <c r="A22" s="169" t="s">
        <v>270</v>
      </c>
      <c r="B22" s="170"/>
      <c r="C22" s="175"/>
      <c r="D22" s="171" t="s">
        <v>27</v>
      </c>
      <c r="E22" s="172" t="s">
        <v>23</v>
      </c>
      <c r="F22" s="30" t="s">
        <v>30</v>
      </c>
      <c r="G22" s="96" t="s">
        <v>27</v>
      </c>
      <c r="H22" s="173" t="s">
        <v>23</v>
      </c>
      <c r="I22" s="30" t="s">
        <v>30</v>
      </c>
      <c r="J22" s="173" t="s">
        <v>259</v>
      </c>
    </row>
    <row r="23" spans="1:10" ht="12.75">
      <c r="A23" s="169" t="s">
        <v>274</v>
      </c>
      <c r="B23" s="170"/>
      <c r="C23" s="175"/>
      <c r="D23" s="171" t="s">
        <v>26</v>
      </c>
      <c r="E23" s="172" t="s">
        <v>22</v>
      </c>
      <c r="F23" s="30" t="s">
        <v>30</v>
      </c>
      <c r="G23" s="96" t="s">
        <v>26</v>
      </c>
      <c r="H23" s="174" t="s">
        <v>32</v>
      </c>
      <c r="I23" s="30" t="s">
        <v>30</v>
      </c>
      <c r="J23" s="173" t="s">
        <v>275</v>
      </c>
    </row>
    <row r="24" spans="1:10" ht="12.75">
      <c r="A24" s="169" t="s">
        <v>282</v>
      </c>
      <c r="B24" s="170"/>
      <c r="C24" s="175"/>
      <c r="D24" s="171" t="s">
        <v>28</v>
      </c>
      <c r="E24" s="172" t="s">
        <v>24</v>
      </c>
      <c r="F24" s="30" t="s">
        <v>31</v>
      </c>
      <c r="G24" s="96" t="s">
        <v>29</v>
      </c>
      <c r="H24" s="173" t="s">
        <v>34</v>
      </c>
      <c r="I24" s="30" t="s">
        <v>35</v>
      </c>
      <c r="J24" s="173" t="s">
        <v>23</v>
      </c>
    </row>
    <row r="25" spans="1:10" ht="12.75">
      <c r="A25" s="169" t="s">
        <v>276</v>
      </c>
      <c r="B25" s="170"/>
      <c r="C25" s="175"/>
      <c r="D25" s="171" t="s">
        <v>28</v>
      </c>
      <c r="E25" s="172" t="s">
        <v>24</v>
      </c>
      <c r="F25" s="30" t="s">
        <v>31</v>
      </c>
      <c r="G25" s="96" t="s">
        <v>29</v>
      </c>
      <c r="H25" s="173" t="s">
        <v>34</v>
      </c>
      <c r="I25" s="30" t="s">
        <v>35</v>
      </c>
      <c r="J25" s="173" t="s">
        <v>23</v>
      </c>
    </row>
    <row r="26" spans="1:10" ht="12.75">
      <c r="A26" s="169" t="s">
        <v>283</v>
      </c>
      <c r="B26" s="170"/>
      <c r="C26" s="175"/>
      <c r="D26" s="171" t="s">
        <v>29</v>
      </c>
      <c r="E26" s="172" t="s">
        <v>25</v>
      </c>
      <c r="F26" s="30" t="s">
        <v>31</v>
      </c>
      <c r="G26" s="96" t="s">
        <v>29</v>
      </c>
      <c r="H26" s="173" t="s">
        <v>34</v>
      </c>
      <c r="I26" s="30" t="s">
        <v>35</v>
      </c>
      <c r="J26" s="173" t="s">
        <v>33</v>
      </c>
    </row>
  </sheetData>
  <mergeCells count="6">
    <mergeCell ref="A8:C8"/>
    <mergeCell ref="D7:F7"/>
    <mergeCell ref="G7:I7"/>
    <mergeCell ref="J7:J8"/>
    <mergeCell ref="D8:E8"/>
    <mergeCell ref="G8:H8"/>
  </mergeCells>
  <printOptions/>
  <pageMargins left="0.75" right="0.75" top="1" bottom="1" header="0.5" footer="0.5"/>
  <pageSetup horizontalDpi="600" verticalDpi="60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14" sqref="F14"/>
    </sheetView>
  </sheetViews>
  <sheetFormatPr defaultColWidth="9.140625" defaultRowHeight="12.75"/>
  <cols>
    <col min="1" max="1" width="13.140625" style="0" bestFit="1" customWidth="1"/>
    <col min="2" max="2" width="26.57421875" style="0" bestFit="1" customWidth="1"/>
    <col min="3" max="3" width="28.7109375" style="0" bestFit="1" customWidth="1"/>
  </cols>
  <sheetData>
    <row r="1" spans="1:7" ht="12.75">
      <c r="A1" s="9"/>
      <c r="B1" s="9"/>
      <c r="C1" s="9"/>
      <c r="D1" s="9"/>
      <c r="E1" s="9"/>
      <c r="F1" s="9"/>
      <c r="G1" s="9"/>
    </row>
    <row r="2" spans="1:7" ht="12.75">
      <c r="A2" s="9"/>
      <c r="B2" s="9"/>
      <c r="C2" s="9"/>
      <c r="D2" s="9"/>
      <c r="E2" s="9"/>
      <c r="F2" s="9"/>
      <c r="G2" s="9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9"/>
      <c r="B7" s="9"/>
      <c r="C7" s="9"/>
      <c r="D7" s="9"/>
      <c r="E7" s="9"/>
      <c r="F7" s="9"/>
      <c r="G7" s="9"/>
    </row>
    <row r="8" spans="1:7" ht="12.75">
      <c r="A8" s="9"/>
      <c r="B8" s="9"/>
      <c r="C8" s="9"/>
      <c r="D8" s="9"/>
      <c r="E8" s="9"/>
      <c r="F8" s="9"/>
      <c r="G8" s="9"/>
    </row>
    <row r="9" spans="1:7" ht="12.75">
      <c r="A9" s="147" t="s">
        <v>240</v>
      </c>
      <c r="B9" s="226" t="s">
        <v>241</v>
      </c>
      <c r="C9" s="259"/>
      <c r="D9" s="9"/>
      <c r="E9" s="9"/>
      <c r="F9" s="9"/>
      <c r="G9" s="9"/>
    </row>
    <row r="10" spans="1:7" ht="12.75">
      <c r="A10" s="148" t="s">
        <v>228</v>
      </c>
      <c r="B10" s="147" t="s">
        <v>238</v>
      </c>
      <c r="C10" s="149" t="s">
        <v>239</v>
      </c>
      <c r="D10" s="9"/>
      <c r="E10" s="9"/>
      <c r="F10" s="9"/>
      <c r="G10" s="9"/>
    </row>
    <row r="11" spans="1:7" ht="12.75">
      <c r="A11" s="150" t="s">
        <v>229</v>
      </c>
      <c r="B11" s="154"/>
      <c r="C11" s="151"/>
      <c r="D11" s="9"/>
      <c r="E11" s="9"/>
      <c r="F11" s="9"/>
      <c r="G11" s="9"/>
    </row>
    <row r="12" spans="1:7" ht="12.75">
      <c r="A12" s="21">
        <v>1</v>
      </c>
      <c r="B12" s="21" t="s">
        <v>236</v>
      </c>
      <c r="C12" s="152"/>
      <c r="D12" s="9"/>
      <c r="E12" s="9"/>
      <c r="F12" s="9"/>
      <c r="G12" s="9"/>
    </row>
    <row r="13" spans="1:7" ht="12.75">
      <c r="A13" s="153"/>
      <c r="B13" s="23" t="s">
        <v>237</v>
      </c>
      <c r="C13" s="153"/>
      <c r="D13" s="9"/>
      <c r="E13" s="9"/>
      <c r="F13" s="9"/>
      <c r="G13" s="9"/>
    </row>
    <row r="14" spans="1:7" ht="12.75">
      <c r="A14" s="154"/>
      <c r="B14" s="22" t="s">
        <v>230</v>
      </c>
      <c r="C14" s="154"/>
      <c r="D14" s="9"/>
      <c r="E14" s="9"/>
      <c r="F14" s="9"/>
      <c r="G14" s="9"/>
    </row>
    <row r="15" spans="1:7" ht="12.75">
      <c r="A15" s="24">
        <v>2</v>
      </c>
      <c r="B15" s="155">
        <v>0.005</v>
      </c>
      <c r="C15" s="156">
        <v>0.5</v>
      </c>
      <c r="D15" s="9"/>
      <c r="E15" s="9"/>
      <c r="F15" s="9"/>
      <c r="G15" s="9"/>
    </row>
    <row r="16" spans="1:7" ht="12.75">
      <c r="A16" s="157" t="s">
        <v>231</v>
      </c>
      <c r="B16" s="155">
        <v>0.01</v>
      </c>
      <c r="C16" s="156">
        <v>1</v>
      </c>
      <c r="D16" s="9"/>
      <c r="E16" s="9"/>
      <c r="F16" s="9"/>
      <c r="G16" s="9"/>
    </row>
    <row r="17" spans="1:7" ht="12.75">
      <c r="A17" s="25" t="s">
        <v>232</v>
      </c>
      <c r="B17" s="158">
        <v>0.02</v>
      </c>
      <c r="C17" s="159">
        <v>2</v>
      </c>
      <c r="D17" s="9"/>
      <c r="E17" s="9"/>
      <c r="F17" s="9"/>
      <c r="G17" s="9"/>
    </row>
    <row r="18" spans="1:7" ht="12.75">
      <c r="A18" s="22"/>
      <c r="B18" s="160">
        <v>0.03</v>
      </c>
      <c r="C18" s="161"/>
      <c r="D18" s="9"/>
      <c r="E18" s="9"/>
      <c r="F18" s="9"/>
      <c r="G18" s="9"/>
    </row>
    <row r="19" spans="1:7" ht="12.75">
      <c r="A19" s="25" t="s">
        <v>233</v>
      </c>
      <c r="B19" s="158">
        <v>0.04</v>
      </c>
      <c r="C19" s="159">
        <v>3</v>
      </c>
      <c r="D19" s="9"/>
      <c r="E19" s="9"/>
      <c r="F19" s="9"/>
      <c r="G19" s="9"/>
    </row>
    <row r="20" spans="1:7" ht="12.75">
      <c r="A20" s="22"/>
      <c r="B20" s="160">
        <v>0.05</v>
      </c>
      <c r="C20" s="161"/>
      <c r="D20" s="9"/>
      <c r="E20" s="9"/>
      <c r="F20" s="9"/>
      <c r="G20" s="9"/>
    </row>
    <row r="21" spans="1:7" ht="12.75">
      <c r="A21" s="24" t="s">
        <v>235</v>
      </c>
      <c r="B21" s="24" t="s">
        <v>234</v>
      </c>
      <c r="C21" s="162"/>
      <c r="D21" s="9"/>
      <c r="E21" s="9"/>
      <c r="F21" s="9"/>
      <c r="G21" s="9"/>
    </row>
    <row r="22" spans="1:7" ht="12.75">
      <c r="A22" s="9"/>
      <c r="B22" s="9"/>
      <c r="C22" s="9"/>
      <c r="D22" s="9"/>
      <c r="E22" s="9"/>
      <c r="F22" s="9"/>
      <c r="G22" s="9"/>
    </row>
    <row r="23" spans="1:7" ht="12.75">
      <c r="A23" s="9"/>
      <c r="B23" s="9"/>
      <c r="C23" s="9"/>
      <c r="D23" s="9"/>
      <c r="E23" s="9"/>
      <c r="F23" s="9"/>
      <c r="G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  <row r="29" spans="1:7" ht="12.75">
      <c r="A29" s="9"/>
      <c r="B29" s="9"/>
      <c r="C29" s="9"/>
      <c r="D29" s="9"/>
      <c r="E29" s="9"/>
      <c r="F29" s="9"/>
      <c r="G29" s="9"/>
    </row>
  </sheetData>
  <mergeCells count="1">
    <mergeCell ref="B9:C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B38">
      <selection activeCell="C16" sqref="C16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10.2424</v>
      </c>
      <c r="D7" s="3" t="s">
        <v>2</v>
      </c>
      <c r="F7" s="2" t="s">
        <v>7</v>
      </c>
      <c r="H7" s="47">
        <v>140</v>
      </c>
      <c r="I7" s="37" t="s">
        <v>284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'Desmane i'!L11</f>
        <v>369</v>
      </c>
      <c r="I9" t="s">
        <v>293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3415</v>
      </c>
      <c r="I11" t="s">
        <v>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'Desmane i'!B44</f>
        <v>3</v>
      </c>
      <c r="K17" s="131">
        <f>I17/I18</f>
        <v>0.007957559681697613</v>
      </c>
      <c r="L17" s="37" t="s">
        <v>99</v>
      </c>
    </row>
    <row r="18" spans="4:9" ht="13.5" thickTop="1">
      <c r="D18" s="38" t="s">
        <v>190</v>
      </c>
      <c r="I18" s="122">
        <f>'Desmane i'!L24</f>
        <v>377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'Desmane i'!B50</f>
        <v>0</v>
      </c>
      <c r="K20" s="131">
        <f>I20/I21</f>
        <v>0</v>
      </c>
      <c r="L20" s="37" t="s">
        <v>99</v>
      </c>
    </row>
    <row r="21" spans="4:9" ht="13.5" thickTop="1">
      <c r="D21" s="38" t="s">
        <v>190</v>
      </c>
      <c r="I21" s="124">
        <f>I18</f>
        <v>377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'Desmane i'!B37</f>
        <v>2</v>
      </c>
      <c r="K23" s="131">
        <f>I23/I24</f>
        <v>0.005305039787798408</v>
      </c>
      <c r="L23" s="37" t="s">
        <v>99</v>
      </c>
    </row>
    <row r="24" spans="4:9" ht="13.5" thickTop="1">
      <c r="D24" s="38" t="s">
        <v>190</v>
      </c>
      <c r="I24" s="125">
        <f>I18</f>
        <v>377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'Desmane i'!B54</f>
        <v>2</v>
      </c>
      <c r="K26" s="131">
        <f>I26/I27</f>
        <v>0.005305039787798408</v>
      </c>
      <c r="L26" s="37" t="s">
        <v>99</v>
      </c>
    </row>
    <row r="27" spans="4:9" ht="13.5" thickTop="1">
      <c r="D27" s="38" t="s">
        <v>190</v>
      </c>
      <c r="I27" s="126">
        <f>I18</f>
        <v>377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'Desmane i'!L11*H11</f>
        <v>1260135</v>
      </c>
      <c r="K29" s="47">
        <f>I29/I30</f>
        <v>3342.5331564986736</v>
      </c>
      <c r="L29" s="37" t="s">
        <v>2</v>
      </c>
    </row>
    <row r="30" spans="4:9" ht="13.5" thickTop="1">
      <c r="D30" s="38" t="s">
        <v>251</v>
      </c>
      <c r="I30" s="130">
        <f>I18</f>
        <v>377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Normal!E11</f>
        <v>+ 0.08</v>
      </c>
      <c r="L35" s="58" t="str">
        <f>Normal!H11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11.881184000000001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3877.338461538462</v>
      </c>
      <c r="E40">
        <f>D40/D41-1</f>
        <v>0.16550988206540396</v>
      </c>
      <c r="F40" t="s">
        <v>99</v>
      </c>
    </row>
    <row r="41" spans="3:4" ht="12.75">
      <c r="C41" s="3" t="s">
        <v>97</v>
      </c>
      <c r="D41" s="3">
        <f>((H7/2)*4)*E37</f>
        <v>3326.7315200000003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0.007957559681697613</v>
      </c>
      <c r="C47" s="66">
        <f>K20</f>
        <v>0</v>
      </c>
      <c r="D47" s="3">
        <f>K23</f>
        <v>0.005305039787798408</v>
      </c>
      <c r="E47" s="3">
        <f>K26</f>
        <v>0.005305039787798408</v>
      </c>
      <c r="F47">
        <f>E40</f>
        <v>0.16550988206540396</v>
      </c>
    </row>
    <row r="49" spans="1:3" ht="12.75">
      <c r="A49" s="2" t="s">
        <v>52</v>
      </c>
      <c r="B49">
        <f>B47+C47+D47+E47+F47</f>
        <v>0.1840775213226984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11.881184000000001</v>
      </c>
      <c r="F54" s="66">
        <f>B49+1</f>
        <v>1.1840775213226984</v>
      </c>
    </row>
    <row r="56" spans="1:5" ht="12.75">
      <c r="A56" s="2" t="s">
        <v>104</v>
      </c>
      <c r="D56">
        <f>E54*F54</f>
        <v>14.068242901098904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2.5652378463304566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1209402" r:id="rId1"/>
    <oleObject progId="Equation.3" shapeId="120940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B1" sqref="B1:L3"/>
    </sheetView>
  </sheetViews>
  <sheetFormatPr defaultColWidth="9.140625" defaultRowHeight="12.75"/>
  <cols>
    <col min="1" max="1" width="27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347</v>
      </c>
      <c r="C1" s="12" t="s">
        <v>351</v>
      </c>
      <c r="D1" s="205"/>
      <c r="E1" s="206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204" t="s">
        <v>156</v>
      </c>
      <c r="C3" s="12"/>
      <c r="D3" s="205"/>
      <c r="E3" s="206"/>
      <c r="F3" s="12"/>
      <c r="G3" s="9"/>
      <c r="H3" s="9"/>
      <c r="I3" s="207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03"/>
      <c r="B5" s="10" t="s">
        <v>184</v>
      </c>
      <c r="C5" s="208">
        <v>6</v>
      </c>
      <c r="D5" s="9"/>
      <c r="E5" s="9"/>
      <c r="F5" s="9"/>
      <c r="G5" s="10" t="s">
        <v>250</v>
      </c>
      <c r="H5" s="209">
        <v>2277</v>
      </c>
      <c r="I5" s="9" t="s">
        <v>291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210" t="s">
        <v>252</v>
      </c>
      <c r="C7" s="15">
        <v>120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3.5" thickBot="1">
      <c r="A10" s="9"/>
      <c r="B10" s="9"/>
      <c r="C10" s="9"/>
      <c r="D10" s="9"/>
      <c r="E10" s="9"/>
      <c r="F10" s="10" t="s">
        <v>185</v>
      </c>
      <c r="G10" s="9"/>
      <c r="H10" s="9"/>
      <c r="I10" s="9"/>
      <c r="J10" s="9"/>
      <c r="K10" s="9"/>
      <c r="L10" s="9"/>
    </row>
    <row r="11" spans="1:12" ht="13.5" thickBot="1">
      <c r="A11" s="211" t="s">
        <v>59</v>
      </c>
      <c r="B11" s="212">
        <v>1</v>
      </c>
      <c r="C11" s="212">
        <v>2</v>
      </c>
      <c r="D11" s="212">
        <v>3</v>
      </c>
      <c r="E11" s="212">
        <v>4</v>
      </c>
      <c r="F11" s="212">
        <v>5</v>
      </c>
      <c r="G11" s="212">
        <v>6</v>
      </c>
      <c r="H11" s="212">
        <v>7</v>
      </c>
      <c r="I11" s="212">
        <v>8</v>
      </c>
      <c r="J11" s="212">
        <v>9</v>
      </c>
      <c r="K11" s="212">
        <v>10</v>
      </c>
      <c r="L11" s="213" t="s">
        <v>187</v>
      </c>
    </row>
    <row r="12" spans="1:17" ht="12.75">
      <c r="A12" s="214" t="s">
        <v>243</v>
      </c>
      <c r="B12" s="215">
        <v>183</v>
      </c>
      <c r="C12" s="216">
        <v>180</v>
      </c>
      <c r="D12" s="216"/>
      <c r="E12" s="216"/>
      <c r="F12" s="216"/>
      <c r="G12" s="216"/>
      <c r="H12" s="216"/>
      <c r="I12" s="217"/>
      <c r="J12" s="217"/>
      <c r="K12" s="218"/>
      <c r="L12" s="219">
        <f aca="true" t="shared" si="0" ref="L12:L25">SUM(B12:H12)</f>
        <v>363</v>
      </c>
      <c r="M12" s="95"/>
      <c r="N12" s="98"/>
      <c r="O12" s="95"/>
      <c r="P12" s="98"/>
      <c r="Q12" s="95"/>
    </row>
    <row r="13" spans="1:17" ht="12.75" hidden="1">
      <c r="A13" s="245"/>
      <c r="B13" s="246">
        <v>0</v>
      </c>
      <c r="C13" s="22">
        <v>0</v>
      </c>
      <c r="D13" s="22"/>
      <c r="E13" s="22"/>
      <c r="F13" s="22"/>
      <c r="G13" s="22"/>
      <c r="H13" s="22"/>
      <c r="I13" s="154"/>
      <c r="J13" s="154"/>
      <c r="K13" s="247"/>
      <c r="L13" s="227">
        <f t="shared" si="0"/>
        <v>0</v>
      </c>
      <c r="M13" s="95"/>
      <c r="N13" s="98"/>
      <c r="O13" s="95"/>
      <c r="P13" s="98"/>
      <c r="Q13" s="95"/>
    </row>
    <row r="14" spans="1:17" ht="12.75">
      <c r="A14" s="245" t="s">
        <v>242</v>
      </c>
      <c r="B14" s="246">
        <v>2</v>
      </c>
      <c r="C14" s="22">
        <v>4</v>
      </c>
      <c r="D14" s="22"/>
      <c r="E14" s="22"/>
      <c r="F14" s="22"/>
      <c r="G14" s="22"/>
      <c r="H14" s="22"/>
      <c r="I14" s="154"/>
      <c r="J14" s="154"/>
      <c r="K14" s="247"/>
      <c r="L14" s="227">
        <f t="shared" si="0"/>
        <v>6</v>
      </c>
      <c r="M14" s="95"/>
      <c r="N14" s="98"/>
      <c r="O14" s="95"/>
      <c r="P14" s="98"/>
      <c r="Q14" s="95"/>
    </row>
    <row r="15" spans="1:17" ht="12.75">
      <c r="A15" s="220" t="s">
        <v>174</v>
      </c>
      <c r="B15" s="221">
        <v>1</v>
      </c>
      <c r="C15" s="24">
        <v>0</v>
      </c>
      <c r="D15" s="24"/>
      <c r="E15" s="24"/>
      <c r="F15" s="24"/>
      <c r="G15" s="24"/>
      <c r="H15" s="24"/>
      <c r="I15" s="162"/>
      <c r="J15" s="162"/>
      <c r="K15" s="169"/>
      <c r="L15" s="227">
        <f t="shared" si="0"/>
        <v>1</v>
      </c>
      <c r="M15" s="3"/>
      <c r="N15" s="3"/>
      <c r="O15" s="3"/>
      <c r="P15" s="3"/>
      <c r="Q15" s="3"/>
    </row>
    <row r="16" spans="1:17" ht="12.75">
      <c r="A16" s="220" t="s">
        <v>175</v>
      </c>
      <c r="B16" s="221">
        <v>0</v>
      </c>
      <c r="C16" s="24">
        <v>0</v>
      </c>
      <c r="D16" s="24"/>
      <c r="E16" s="24"/>
      <c r="F16" s="24"/>
      <c r="G16" s="24"/>
      <c r="H16" s="24"/>
      <c r="I16" s="162"/>
      <c r="J16" s="162"/>
      <c r="K16" s="169"/>
      <c r="L16" s="227">
        <f t="shared" si="0"/>
        <v>0</v>
      </c>
      <c r="M16" s="3"/>
      <c r="N16" s="3"/>
      <c r="O16" s="3"/>
      <c r="P16" s="3"/>
      <c r="Q16" s="3"/>
    </row>
    <row r="17" spans="1:17" ht="12.75">
      <c r="A17" s="220" t="s">
        <v>176</v>
      </c>
      <c r="B17" s="221">
        <v>0</v>
      </c>
      <c r="C17" s="24">
        <v>1</v>
      </c>
      <c r="D17" s="24"/>
      <c r="E17" s="24"/>
      <c r="F17" s="24"/>
      <c r="G17" s="24"/>
      <c r="H17" s="24"/>
      <c r="I17" s="162"/>
      <c r="J17" s="162"/>
      <c r="K17" s="169"/>
      <c r="L17" s="228">
        <f t="shared" si="0"/>
        <v>1</v>
      </c>
      <c r="M17" s="3"/>
      <c r="N17" s="3"/>
      <c r="O17" s="3"/>
      <c r="P17" s="3"/>
      <c r="Q17" s="3"/>
    </row>
    <row r="18" spans="1:17" ht="12.75">
      <c r="A18" s="220" t="s">
        <v>177</v>
      </c>
      <c r="B18" s="221">
        <v>0</v>
      </c>
      <c r="C18" s="24">
        <v>0</v>
      </c>
      <c r="D18" s="24"/>
      <c r="E18" s="24"/>
      <c r="F18" s="24"/>
      <c r="G18" s="24"/>
      <c r="H18" s="24"/>
      <c r="I18" s="162"/>
      <c r="J18" s="162"/>
      <c r="K18" s="169"/>
      <c r="L18" s="228">
        <f t="shared" si="0"/>
        <v>0</v>
      </c>
      <c r="M18" s="3"/>
      <c r="N18" s="3"/>
      <c r="O18" s="3"/>
      <c r="P18" s="3"/>
      <c r="Q18" s="3"/>
    </row>
    <row r="19" spans="1:17" ht="12.75">
      <c r="A19" s="220" t="s">
        <v>181</v>
      </c>
      <c r="B19" s="221">
        <v>0</v>
      </c>
      <c r="C19" s="24">
        <v>0</v>
      </c>
      <c r="D19" s="24"/>
      <c r="E19" s="24"/>
      <c r="F19" s="24"/>
      <c r="G19" s="24"/>
      <c r="H19" s="24"/>
      <c r="I19" s="162"/>
      <c r="J19" s="162"/>
      <c r="K19" s="169"/>
      <c r="L19" s="228">
        <f t="shared" si="0"/>
        <v>0</v>
      </c>
      <c r="M19" s="3"/>
      <c r="N19" s="3"/>
      <c r="O19" s="3"/>
      <c r="P19" s="3"/>
      <c r="Q19" s="3"/>
    </row>
    <row r="20" spans="1:17" ht="12.75">
      <c r="A20" s="220" t="s">
        <v>178</v>
      </c>
      <c r="B20" s="221">
        <v>0</v>
      </c>
      <c r="C20" s="24">
        <v>0</v>
      </c>
      <c r="D20" s="24"/>
      <c r="E20" s="24"/>
      <c r="F20" s="24"/>
      <c r="G20" s="24"/>
      <c r="H20" s="24"/>
      <c r="I20" s="162"/>
      <c r="J20" s="162"/>
      <c r="K20" s="169"/>
      <c r="L20" s="227">
        <f t="shared" si="0"/>
        <v>0</v>
      </c>
      <c r="M20" s="3"/>
      <c r="N20" s="3"/>
      <c r="O20" s="3"/>
      <c r="P20" s="3"/>
      <c r="Q20" s="3"/>
    </row>
    <row r="21" spans="1:17" ht="12.75">
      <c r="A21" s="220" t="s">
        <v>179</v>
      </c>
      <c r="B21" s="221">
        <v>1</v>
      </c>
      <c r="C21" s="24">
        <v>1</v>
      </c>
      <c r="D21" s="24"/>
      <c r="E21" s="24"/>
      <c r="F21" s="24"/>
      <c r="G21" s="24"/>
      <c r="H21" s="24"/>
      <c r="I21" s="162"/>
      <c r="J21" s="162"/>
      <c r="K21" s="169"/>
      <c r="L21" s="227">
        <f t="shared" si="0"/>
        <v>2</v>
      </c>
      <c r="M21" s="3"/>
      <c r="N21" s="3"/>
      <c r="O21" s="3"/>
      <c r="P21" s="3"/>
      <c r="Q21" s="3"/>
    </row>
    <row r="22" spans="1:17" ht="12.75">
      <c r="A22" s="220" t="s">
        <v>180</v>
      </c>
      <c r="B22" s="221">
        <v>0</v>
      </c>
      <c r="C22" s="24">
        <v>0</v>
      </c>
      <c r="D22" s="24"/>
      <c r="E22" s="24"/>
      <c r="F22" s="24"/>
      <c r="G22" s="24"/>
      <c r="H22" s="24"/>
      <c r="I22" s="162"/>
      <c r="J22" s="162"/>
      <c r="K22" s="169"/>
      <c r="L22" s="228">
        <f t="shared" si="0"/>
        <v>0</v>
      </c>
      <c r="M22" s="3"/>
      <c r="N22" s="3"/>
      <c r="O22" s="3"/>
      <c r="P22" s="3"/>
      <c r="Q22" s="3"/>
    </row>
    <row r="23" spans="1:17" ht="12.75">
      <c r="A23" s="220" t="s">
        <v>195</v>
      </c>
      <c r="B23" s="221">
        <v>0</v>
      </c>
      <c r="C23" s="24">
        <v>0</v>
      </c>
      <c r="D23" s="24"/>
      <c r="E23" s="24"/>
      <c r="F23" s="24"/>
      <c r="G23" s="24"/>
      <c r="H23" s="24"/>
      <c r="I23" s="162"/>
      <c r="J23" s="162"/>
      <c r="K23" s="169"/>
      <c r="L23" s="228">
        <f t="shared" si="0"/>
        <v>0</v>
      </c>
      <c r="M23" s="3"/>
      <c r="N23" s="3"/>
      <c r="O23" s="3"/>
      <c r="P23" s="3"/>
      <c r="Q23" s="3"/>
    </row>
    <row r="24" spans="1:17" ht="12.75">
      <c r="A24" s="248" t="s">
        <v>245</v>
      </c>
      <c r="B24" s="230">
        <v>2</v>
      </c>
      <c r="C24" s="21">
        <v>4</v>
      </c>
      <c r="D24" s="21"/>
      <c r="E24" s="21"/>
      <c r="F24" s="21"/>
      <c r="G24" s="21"/>
      <c r="H24" s="21"/>
      <c r="I24" s="152"/>
      <c r="J24" s="152"/>
      <c r="K24" s="231"/>
      <c r="L24" s="232">
        <f t="shared" si="0"/>
        <v>6</v>
      </c>
      <c r="M24" s="3"/>
      <c r="N24" s="3"/>
      <c r="O24" s="3"/>
      <c r="P24" s="3"/>
      <c r="Q24" s="3"/>
    </row>
    <row r="25" spans="1:17" ht="13.5" thickBot="1">
      <c r="A25" s="233" t="s">
        <v>208</v>
      </c>
      <c r="B25" s="234">
        <v>0</v>
      </c>
      <c r="C25" s="235">
        <v>0</v>
      </c>
      <c r="D25" s="235"/>
      <c r="E25" s="235"/>
      <c r="F25" s="235"/>
      <c r="G25" s="235"/>
      <c r="H25" s="235"/>
      <c r="I25" s="236"/>
      <c r="J25" s="236"/>
      <c r="K25" s="237"/>
      <c r="L25" s="238">
        <f t="shared" si="0"/>
        <v>0</v>
      </c>
      <c r="M25" s="3"/>
      <c r="N25" s="3"/>
      <c r="O25" s="3"/>
      <c r="P25" s="3"/>
      <c r="Q25" s="3"/>
    </row>
    <row r="26" spans="1:17" ht="13.5" thickBot="1">
      <c r="A26" s="239" t="s">
        <v>186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40">
        <f>SUM(L12:L25)</f>
        <v>379</v>
      </c>
      <c r="M26" s="3"/>
      <c r="N26" s="3"/>
      <c r="O26" s="3"/>
      <c r="P26" s="3"/>
      <c r="Q26" s="3"/>
    </row>
    <row r="27" spans="1:17" ht="12.75">
      <c r="A27" s="241"/>
      <c r="B27" s="9"/>
      <c r="C27" s="9"/>
      <c r="D27" s="9"/>
      <c r="E27" s="9"/>
      <c r="F27" s="9"/>
      <c r="G27" s="9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41"/>
      <c r="B29" s="202" t="s">
        <v>189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42" t="s">
        <v>188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41" t="s">
        <v>243</v>
      </c>
      <c r="B31" s="14">
        <f>L12</f>
        <v>363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41"/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41" t="s">
        <v>63</v>
      </c>
      <c r="B33" s="240">
        <f>SUM(B31)</f>
        <v>363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42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41" t="s">
        <v>175</v>
      </c>
      <c r="B36" s="14">
        <f>L16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41" t="s">
        <v>178</v>
      </c>
      <c r="B37" s="14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41" t="s">
        <v>208</v>
      </c>
      <c r="B38" s="243">
        <f>L25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41" t="s">
        <v>63</v>
      </c>
      <c r="B39" s="240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41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42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41" t="s">
        <v>174</v>
      </c>
      <c r="B42" s="14">
        <f>L15</f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41" t="s">
        <v>242</v>
      </c>
      <c r="B43" s="14">
        <v>6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41" t="s">
        <v>179</v>
      </c>
      <c r="B44" s="14">
        <v>2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1" t="s">
        <v>180</v>
      </c>
      <c r="B45" s="14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41" t="s">
        <v>195</v>
      </c>
      <c r="B46" s="14"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41" t="s">
        <v>63</v>
      </c>
      <c r="B47" s="240">
        <f>SUM(B42:B46)</f>
        <v>9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2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41" t="s">
        <v>177</v>
      </c>
      <c r="B50" s="243">
        <f>L18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41" t="s">
        <v>181</v>
      </c>
      <c r="B51" s="243">
        <f>L19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49" t="s">
        <v>245</v>
      </c>
      <c r="B52" s="243">
        <f>L24</f>
        <v>6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41" t="s">
        <v>63</v>
      </c>
      <c r="B53" s="244">
        <f>SUM(B50:B52)</f>
        <v>6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"/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242" t="s">
        <v>165</v>
      </c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41" t="s">
        <v>176</v>
      </c>
      <c r="B56" s="243">
        <f>L17</f>
        <v>1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41" t="s">
        <v>63</v>
      </c>
      <c r="B57" s="244">
        <f>SUM(B56:B56)</f>
        <v>1</v>
      </c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9">
      <selection activeCell="A22" sqref="A22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65">
        <v>7.8932</v>
      </c>
      <c r="D7" s="3" t="s">
        <v>2</v>
      </c>
      <c r="F7" s="2" t="s">
        <v>7</v>
      </c>
      <c r="H7" s="47">
        <v>120</v>
      </c>
      <c r="I7" s="37" t="s">
        <v>284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SUM('Gajeo Clusters p'!L12:L14)</f>
        <v>369</v>
      </c>
      <c r="I9" t="s">
        <v>293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2277</v>
      </c>
      <c r="I11" t="s">
        <v>291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21">
        <f>'Gajeo Clusters p'!B47</f>
        <v>9</v>
      </c>
      <c r="K17" s="131">
        <f>I17/I18</f>
        <v>0.023746701846965697</v>
      </c>
      <c r="L17" s="37" t="s">
        <v>99</v>
      </c>
    </row>
    <row r="18" spans="4:9" ht="13.5" thickTop="1">
      <c r="D18" s="38" t="s">
        <v>190</v>
      </c>
      <c r="I18" s="122">
        <f>'Gajeo Clusters p'!L26</f>
        <v>379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23">
        <f>'Gajeo Clusters p'!B53</f>
        <v>6</v>
      </c>
      <c r="K20" s="131">
        <f>I20/I21</f>
        <v>0.0158311345646438</v>
      </c>
      <c r="L20" s="37" t="s">
        <v>99</v>
      </c>
    </row>
    <row r="21" spans="4:9" ht="13.5" thickTop="1">
      <c r="D21" s="38" t="s">
        <v>190</v>
      </c>
      <c r="I21" s="124">
        <f>I18</f>
        <v>379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27">
        <f>'Gajeo Clusters p'!B39</f>
        <v>0</v>
      </c>
      <c r="K23" s="131">
        <f>I23/I24</f>
        <v>0</v>
      </c>
      <c r="L23" s="37" t="s">
        <v>99</v>
      </c>
    </row>
    <row r="24" spans="4:9" ht="13.5" thickTop="1">
      <c r="D24" s="38" t="s">
        <v>190</v>
      </c>
      <c r="I24" s="125">
        <f>I18</f>
        <v>379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28">
        <f>'Gajeo Clusters p'!B57</f>
        <v>1</v>
      </c>
      <c r="K26" s="131">
        <f>I26/I27</f>
        <v>0.002638522427440633</v>
      </c>
      <c r="L26" s="37" t="s">
        <v>99</v>
      </c>
    </row>
    <row r="27" spans="4:9" ht="13.5" thickTop="1">
      <c r="D27" s="38" t="s">
        <v>190</v>
      </c>
      <c r="I27" s="126">
        <f>I18</f>
        <v>379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29">
        <f>SUM('Gajeo Clusters p'!L12:L14)*H11</f>
        <v>840213</v>
      </c>
      <c r="K29" s="47">
        <f>I29/I30</f>
        <v>2216.920844327177</v>
      </c>
      <c r="L29" s="37" t="s">
        <v>2</v>
      </c>
    </row>
    <row r="30" spans="4:9" ht="13.5" thickTop="1">
      <c r="D30" s="38" t="s">
        <v>91</v>
      </c>
      <c r="I30" s="130">
        <f>I18</f>
        <v>379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Normal!E12</f>
        <v>+ 0.08</v>
      </c>
      <c r="L35" s="58" t="str">
        <f>Normal!H12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9.156112000000002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2571.6281794195256</v>
      </c>
      <c r="E40">
        <f>D40/D41-1</f>
        <v>0.17026936916542978</v>
      </c>
      <c r="F40" t="s">
        <v>99</v>
      </c>
    </row>
    <row r="41" spans="3:4" ht="12.75">
      <c r="C41" s="3" t="s">
        <v>97</v>
      </c>
      <c r="D41" s="3">
        <f>(H7*2)*E37</f>
        <v>2197.4668800000004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0.023746701846965697</v>
      </c>
      <c r="C47" s="66">
        <f>K20</f>
        <v>0.0158311345646438</v>
      </c>
      <c r="D47" s="3">
        <f>K23</f>
        <v>0</v>
      </c>
      <c r="E47" s="3">
        <f>K26</f>
        <v>0.002638522427440633</v>
      </c>
      <c r="F47">
        <f>E40</f>
        <v>0.17026936916542978</v>
      </c>
    </row>
    <row r="49" spans="1:3" ht="12.75">
      <c r="A49" s="2" t="s">
        <v>52</v>
      </c>
      <c r="B49">
        <f>B47+C47+D47+E47+F47</f>
        <v>0.21248572800447993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9.156112000000002</v>
      </c>
      <c r="F54" s="66">
        <f>B49+1</f>
        <v>1.2124857280044798</v>
      </c>
    </row>
    <row r="56" spans="1:5" ht="12.75">
      <c r="A56" s="2" t="s">
        <v>104</v>
      </c>
      <c r="D56">
        <f>E54*F54</f>
        <v>11.101655124010556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2.3749487588299885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728333" r:id="rId1"/>
    <oleObject progId="Equation.3" shapeId="7283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CPilligua</cp:lastModifiedBy>
  <cp:lastPrinted>2006-07-25T21:29:29Z</cp:lastPrinted>
  <dcterms:created xsi:type="dcterms:W3CDTF">1996-10-14T23:33:28Z</dcterms:created>
  <dcterms:modified xsi:type="dcterms:W3CDTF">2007-09-04T14:01:18Z</dcterms:modified>
  <cp:category/>
  <cp:version/>
  <cp:contentType/>
  <cp:contentStatus/>
</cp:coreProperties>
</file>