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700" firstSheet="12" activeTab="14"/>
  </bookViews>
  <sheets>
    <sheet name="Flujo de Caja (3)" sheetId="1" r:id="rId1"/>
    <sheet name="flujo recesion " sheetId="2" r:id="rId2"/>
    <sheet name="Riesgo" sheetId="3" r:id="rId3"/>
    <sheet name="Flujo expancion" sheetId="4" r:id="rId4"/>
    <sheet name="Hoja7" sheetId="5" r:id="rId5"/>
    <sheet name="Préstamo" sheetId="6" r:id="rId6"/>
    <sheet name="CAPM" sheetId="7" r:id="rId7"/>
    <sheet name="Demanda" sheetId="8" r:id="rId8"/>
    <sheet name="Hoja1" sheetId="9" r:id="rId9"/>
    <sheet name="COSTOS FIJOS" sheetId="10" r:id="rId10"/>
    <sheet name="COSTOS VARIABLES" sheetId="11" r:id="rId11"/>
    <sheet name="DESGLOC C VARIABLES" sheetId="12" r:id="rId12"/>
    <sheet name="DESGLOC COSTOS FIJOS" sheetId="13" r:id="rId13"/>
    <sheet name="inversion" sheetId="14" r:id="rId14"/>
    <sheet name="COOOOOOO" sheetId="15" r:id="rId15"/>
    <sheet name="Hoja9" sheetId="16" r:id="rId16"/>
    <sheet name="Hoja2" sheetId="17" r:id="rId17"/>
  </sheets>
  <externalReferences>
    <externalReference r:id="rId20"/>
  </externalReferences>
  <definedNames>
    <definedName name="GRF25161a" localSheetId="6">'CAPM'!$H$25</definedName>
    <definedName name="GRF25161d" localSheetId="6">'CAPM'!$E$25</definedName>
    <definedName name="GRF25161m" localSheetId="6">'CAPM'!$F$25</definedName>
    <definedName name="GRF25162a" localSheetId="6">'CAPM'!$I$25</definedName>
    <definedName name="GRF25166m" localSheetId="6">'CAPM'!$G$25</definedName>
  </definedNames>
  <calcPr fullCalcOnLoad="1"/>
</workbook>
</file>

<file path=xl/sharedStrings.xml><?xml version="1.0" encoding="utf-8"?>
<sst xmlns="http://schemas.openxmlformats.org/spreadsheetml/2006/main" count="431" uniqueCount="271">
  <si>
    <t>GERENTE GENERAL</t>
  </si>
  <si>
    <t>DTO.MARKETING</t>
  </si>
  <si>
    <t>DTO. FINANAZAS</t>
  </si>
  <si>
    <t>DTO. SISTEMAS</t>
  </si>
  <si>
    <t>DEPARTAMENTOS</t>
  </si>
  <si>
    <t>PERSONAS</t>
  </si>
  <si>
    <t>TOTAL</t>
  </si>
  <si>
    <t>SUELDO</t>
  </si>
  <si>
    <t>JEFE DE MARKETING</t>
  </si>
  <si>
    <t>FACTURADOR</t>
  </si>
  <si>
    <t>CONTADOR</t>
  </si>
  <si>
    <t>DF</t>
  </si>
  <si>
    <t>TECNICO PROGRAMADOR</t>
  </si>
  <si>
    <t>DESCRIPCION</t>
  </si>
  <si>
    <t>VALOR</t>
  </si>
  <si>
    <t>VALOR MENSUAL</t>
  </si>
  <si>
    <t>VALOR ANUAL</t>
  </si>
  <si>
    <t>DTO. LOGISTICA</t>
  </si>
  <si>
    <t>CHOFER</t>
  </si>
  <si>
    <t>TECNICO EN LOGISTICA</t>
  </si>
  <si>
    <t>ELECTRICIDAD</t>
  </si>
  <si>
    <t>VALORES</t>
  </si>
  <si>
    <t>CONSUMO MENSUAL</t>
  </si>
  <si>
    <t>AGUA</t>
  </si>
  <si>
    <t>TELEFONO</t>
  </si>
  <si>
    <t>INTERNET</t>
  </si>
  <si>
    <t>12% IVA</t>
  </si>
  <si>
    <t>15% ICE</t>
  </si>
  <si>
    <t>INSUMOS DE OFICINA</t>
  </si>
  <si>
    <t>INSUMOS DE LIMPIEZA</t>
  </si>
  <si>
    <t>CONTRATACION</t>
  </si>
  <si>
    <t>COMPRA DE INSUMO</t>
  </si>
  <si>
    <t>VEHCIULOS COSTO</t>
  </si>
  <si>
    <t>INTERES DE PAGO</t>
  </si>
  <si>
    <t>PAGO DEL VEHICULO EN 5 AÑOS</t>
  </si>
  <si>
    <t>PAGO POR LOS 2 VEHICULOS</t>
  </si>
  <si>
    <t>PAGO ANUAL</t>
  </si>
  <si>
    <t>PAGOS MENSUALES (5 AÑOS)</t>
  </si>
  <si>
    <t>PAGO DE VEHICULO</t>
  </si>
  <si>
    <t>COSTOS FIJOS</t>
  </si>
  <si>
    <t xml:space="preserve">COSTOS </t>
  </si>
  <si>
    <t>GASTOS EN TRASPORTE</t>
  </si>
  <si>
    <t>Gasolina Galon</t>
  </si>
  <si>
    <t xml:space="preserve">Galones </t>
  </si>
  <si>
    <t>Galones x Km</t>
  </si>
  <si>
    <t>Numero de Carros</t>
  </si>
  <si>
    <t xml:space="preserve">$ Galones </t>
  </si>
  <si>
    <t>Mensualment</t>
  </si>
  <si>
    <t>Anualmente</t>
  </si>
  <si>
    <t>MENSUAL</t>
  </si>
  <si>
    <t>ANUAL</t>
  </si>
  <si>
    <t>PUBLICIDAD</t>
  </si>
  <si>
    <t>PUBLICIDAD MENSUAL</t>
  </si>
  <si>
    <t>COMPRAS</t>
  </si>
  <si>
    <t>COMPRAS MENSUALES</t>
  </si>
  <si>
    <t>PAGO PAYPAL</t>
  </si>
  <si>
    <t>MERMAS</t>
  </si>
  <si>
    <t>G. MENSUALES</t>
  </si>
  <si>
    <t>PAGO MENSUALES</t>
  </si>
  <si>
    <t>DOMINIO</t>
  </si>
  <si>
    <t>COSTOS VARIABLES</t>
  </si>
  <si>
    <t xml:space="preserve">Descripción </t>
  </si>
  <si>
    <t>Cantidad</t>
  </si>
  <si>
    <t xml:space="preserve">Precio </t>
  </si>
  <si>
    <t>Totales</t>
  </si>
  <si>
    <t>Escritorio</t>
  </si>
  <si>
    <t>Caja registradora</t>
  </si>
  <si>
    <t>Copiadoras</t>
  </si>
  <si>
    <t>Archivadores</t>
  </si>
  <si>
    <t>Sillas</t>
  </si>
  <si>
    <t>Computadoras</t>
  </si>
  <si>
    <t>Impresora</t>
  </si>
  <si>
    <t>Motorolas</t>
  </si>
  <si>
    <t>Teléfono</t>
  </si>
  <si>
    <t>Camisetas (logo Bordado, Cuello)</t>
  </si>
  <si>
    <t xml:space="preserve">Delantal </t>
  </si>
  <si>
    <t>CANTIDAD</t>
  </si>
  <si>
    <t>PRECIO</t>
  </si>
  <si>
    <t>TOTALES</t>
  </si>
  <si>
    <t>Muebles y Equipo de oficina</t>
  </si>
  <si>
    <t xml:space="preserve">Muebles y Maquinarias </t>
  </si>
  <si>
    <t>TOTAL DEPRECIACIÓN</t>
  </si>
  <si>
    <t>Gastos de funcionamiento</t>
  </si>
  <si>
    <t>Total</t>
  </si>
  <si>
    <t>Muebles y equipo de oficina</t>
  </si>
  <si>
    <t>Depreciación Acumulada</t>
  </si>
  <si>
    <t>Valor de Salvamento</t>
  </si>
  <si>
    <t>ACTIVO</t>
  </si>
  <si>
    <t>VALOR DE COMPRA</t>
  </si>
  <si>
    <t>VIDA CONTABLE</t>
  </si>
  <si>
    <t>DEPREC. ANUAL</t>
  </si>
  <si>
    <t>AÑO DEPREC.</t>
  </si>
  <si>
    <t>DEPREC. ACUMUL.</t>
  </si>
  <si>
    <t>VALOR EN LIBRO</t>
  </si>
  <si>
    <t>Muebles y maquinaria</t>
  </si>
  <si>
    <t>AMORTIZACION DE GASTOS DE FUNCIONAMIENTO</t>
  </si>
  <si>
    <t>ENERO</t>
  </si>
  <si>
    <t>FEBRERO</t>
  </si>
  <si>
    <t>MARZO</t>
  </si>
  <si>
    <t>ABRIL</t>
  </si>
  <si>
    <t>MAYO</t>
  </si>
  <si>
    <t>JUNIO</t>
  </si>
  <si>
    <t>JULIO</t>
  </si>
  <si>
    <t>AGOSTO</t>
  </si>
  <si>
    <t>SEPTIEMBRE</t>
  </si>
  <si>
    <t>OCTUBRE</t>
  </si>
  <si>
    <t>NOVIEMBRE</t>
  </si>
  <si>
    <t>DICIEMBRE</t>
  </si>
  <si>
    <t>C.O.</t>
  </si>
  <si>
    <t>C.N.O.</t>
  </si>
  <si>
    <t>TOTAL MENSUAL</t>
  </si>
  <si>
    <t>COSTO ACUMULAD</t>
  </si>
  <si>
    <t>INGRESO MENSUAL</t>
  </si>
  <si>
    <t>Estimacion de la demanda</t>
  </si>
  <si>
    <t>Estimación del Precio</t>
  </si>
  <si>
    <t>PORCENTAJE DE ACEPTACIÓN</t>
  </si>
  <si>
    <t>POBLACION OBJETIVO</t>
  </si>
  <si>
    <t>PRECIOS</t>
  </si>
  <si>
    <t>Frecuencia</t>
  </si>
  <si>
    <t>E(P)</t>
  </si>
  <si>
    <t>Personas que usan internet para compras</t>
  </si>
  <si>
    <t>FAMILIAS que usan internet</t>
  </si>
  <si>
    <t>PORCENTAJE PENETRACIÓN DE MERCADO</t>
  </si>
  <si>
    <t>DEMANDA PROBABLE</t>
  </si>
  <si>
    <t>adicional paypal</t>
  </si>
  <si>
    <t>DEMANDA</t>
  </si>
  <si>
    <t>E(P) +PAGO PAYPAL</t>
  </si>
  <si>
    <t>DATTOS CON E(P)</t>
  </si>
  <si>
    <t>PORCENTAJE DE FRECUENCIA</t>
  </si>
  <si>
    <t>FRECUENCIA MENSUAL</t>
  </si>
  <si>
    <t>PRECIOCON EL SOBRECARGO (paypal)</t>
  </si>
  <si>
    <t>INGRESO ANUAL</t>
  </si>
  <si>
    <t>INCREMENTO DE compras</t>
  </si>
  <si>
    <t>Dato conservador, dato en como puede crecer la industria</t>
  </si>
  <si>
    <t>de 1.200 a 1500</t>
  </si>
  <si>
    <t>País</t>
  </si>
  <si>
    <t>Población</t>
  </si>
  <si>
    <t>Visitantes únicos mensuales (millones)</t>
  </si>
  <si>
    <t>Penetración internet</t>
  </si>
  <si>
    <t>(millones de habitantes)</t>
  </si>
  <si>
    <t>Argentina</t>
  </si>
  <si>
    <t>Brasil</t>
  </si>
  <si>
    <t>Chile</t>
  </si>
  <si>
    <t>Colombia</t>
  </si>
  <si>
    <t>México</t>
  </si>
  <si>
    <t>Puerto Rico</t>
  </si>
  <si>
    <t>Total América Latina</t>
  </si>
  <si>
    <t>http://html.rincondelvago.com/clasificacion-de-cuentas-contables.html</t>
  </si>
  <si>
    <t>R entabilidad el activo(libre de riesgo)</t>
  </si>
  <si>
    <t>Ri rentabilidad del activo</t>
  </si>
  <si>
    <t>hallar</t>
  </si>
  <si>
    <t>Bi sensibilidad del activo i con respecto al mercado</t>
  </si>
  <si>
    <t>dividendos anuales</t>
  </si>
  <si>
    <t>Rm rentabilidad de mercado</t>
  </si>
  <si>
    <t>de alimentos en ecuador</t>
  </si>
  <si>
    <t xml:space="preserve">r pais </t>
  </si>
  <si>
    <t>E(Ri) = Rf + βi (E(Rm)-Rf)</t>
  </si>
  <si>
    <t>E(Ri)</t>
  </si>
  <si>
    <t>Las acciones son mas volatiles que en el mercado promedioB mayor a1</t>
  </si>
  <si>
    <t>Rm-Rf</t>
  </si>
  <si>
    <t>http://finance.yahoo.com/q?s=WMT</t>
  </si>
  <si>
    <t>( de esta pag se saco la info d waltmart)</t>
  </si>
  <si>
    <t>Donde:</t>
  </si>
  <si>
    <t>E(Ri): Retorno esperado del activo “i”.</t>
  </si>
  <si>
    <t>Rf : Tasa libre de riesgo de la economía (rendimiento en títulos del Tesoro de los EEUU)</t>
  </si>
  <si>
    <t>PRM = E(Rm) - Rf : Prima por Riesgo de Mercado. Es el exceso de retorno del portafolio de Mercado (un índice bursátil) sobre la tasa libre de riesgo. Se suele usar el promedio de los excesos de retornos históricos.</t>
  </si>
  <si>
    <t>βi : Riesgo no diversificable, o sistemático, del activo i, donde βi = σim /σ2m , σim es la covarianza del retorno del activo i con el retorno del portafolio de mercado y σ2m es la varianza del retorno del portafolio de mercado. También se calcula con dat</t>
  </si>
  <si>
    <t xml:space="preserve">Bono del Tesoro 30 años </t>
  </si>
  <si>
    <t>TASA DE DESCUENTO</t>
  </si>
  <si>
    <t xml:space="preserve">Tasa de Mercado SPS 500 </t>
  </si>
  <si>
    <t>RF</t>
  </si>
  <si>
    <t>Beta de Best Buy</t>
  </si>
  <si>
    <t>RM</t>
  </si>
  <si>
    <t>Riesgo Pais Ecuador</t>
  </si>
  <si>
    <t>β</t>
  </si>
  <si>
    <t>RIESGO PAIS</t>
  </si>
  <si>
    <t>Ke = 0.0438 + 1.275 (0.134 – 0.438) + 0.0716</t>
  </si>
  <si>
    <t>Ke</t>
  </si>
  <si>
    <t>El costo de capital propio es: 23.04%</t>
  </si>
  <si>
    <r>
      <t>Ecuación del CAPM:</t>
    </r>
    <r>
      <rPr>
        <sz val="12"/>
        <color indexed="8"/>
        <rFont val="Arial"/>
        <family val="2"/>
      </rPr>
      <t xml:space="preserve"> E(Ri) = Rf + βi (E(Rm)-Rf)</t>
    </r>
  </si>
  <si>
    <t>Inversión en telecomunicaciones</t>
  </si>
  <si>
    <t>Diseño de pagina</t>
  </si>
  <si>
    <t>INVER TOTAL</t>
  </si>
  <si>
    <t>DEUDA</t>
  </si>
  <si>
    <t>Inversión necesaria</t>
  </si>
  <si>
    <t xml:space="preserve">Crédito </t>
  </si>
  <si>
    <t>Pago:</t>
  </si>
  <si>
    <t>Meses:</t>
  </si>
  <si>
    <t>Tasa maxima bce</t>
  </si>
  <si>
    <t>Tasa de interés:</t>
  </si>
  <si>
    <t>Capital:</t>
  </si>
  <si>
    <t>tasa anual</t>
  </si>
  <si>
    <t>Moneda:</t>
  </si>
  <si>
    <t>Dólares</t>
  </si>
  <si>
    <t>ief mensual</t>
  </si>
  <si>
    <t>Meses</t>
  </si>
  <si>
    <t>Capital</t>
  </si>
  <si>
    <t>Intereses</t>
  </si>
  <si>
    <t>Pago</t>
  </si>
  <si>
    <t>Saldo</t>
  </si>
  <si>
    <t>PAGO INTERESES ANUAL</t>
  </si>
  <si>
    <t>AMORTIZACIÓN ANUAL</t>
  </si>
  <si>
    <t>Tasas Referenciales</t>
  </si>
  <si>
    <t>Tasas Máximas</t>
  </si>
  <si>
    <t>% anual</t>
  </si>
  <si>
    <t>Tasa Activa Efectiva Referencial</t>
  </si>
  <si>
    <t>Tasa Activa Efectiva Máxima</t>
  </si>
  <si>
    <t>para el segmento:</t>
  </si>
  <si>
    <t>  Productivo Corporativo</t>
  </si>
  <si>
    <t>9.10</t>
  </si>
  <si>
    <t>9.33</t>
  </si>
  <si>
    <t>  Productivo Empresarial</t>
  </si>
  <si>
    <t>9.92</t>
  </si>
  <si>
    <t>10.21</t>
  </si>
  <si>
    <r>
      <t>1.</t>
    </r>
    <r>
      <rPr>
        <sz val="7"/>
        <color indexed="10"/>
        <rFont val="Times New Roman"/>
        <family val="1"/>
      </rPr>
      <t>    </t>
    </r>
    <r>
      <rPr>
        <b/>
        <sz val="9"/>
        <color indexed="10"/>
        <rFont val="Verdana"/>
        <family val="2"/>
      </rPr>
      <t>TASAS DE INTERÉS ACTIVAS EFECTIVAS VIGENTES</t>
    </r>
  </si>
  <si>
    <t>AÑO</t>
  </si>
  <si>
    <t>INGRESOS</t>
  </si>
  <si>
    <t>OPERATIVOS</t>
  </si>
  <si>
    <t>INGRESOS POR PUBLICIDAD</t>
  </si>
  <si>
    <t>TOTAL INGRESOS</t>
  </si>
  <si>
    <t>EGRESOS</t>
  </si>
  <si>
    <t>COSTOS OPERATIVOS</t>
  </si>
  <si>
    <t>COSTOS NO OPERATIVOS</t>
  </si>
  <si>
    <t>TOTAL EGRESOS</t>
  </si>
  <si>
    <t>UTILIDAD BRUTA</t>
  </si>
  <si>
    <t>DEPRECIACIÓN (-)</t>
  </si>
  <si>
    <t>AMORTIZACION DE INTANGIBLES(-)</t>
  </si>
  <si>
    <t>PAGO DE INTERESES(-)</t>
  </si>
  <si>
    <t>PART. AL TRABAJADOR (15%)</t>
  </si>
  <si>
    <t>IMP. A LA RENTA (25%)</t>
  </si>
  <si>
    <t>UTILIDAD NETA</t>
  </si>
  <si>
    <t>DEPRECIACIÓN (+)</t>
  </si>
  <si>
    <t>AMORTIZACION DEIDA(-)</t>
  </si>
  <si>
    <t>VALOR SALVAMENTO</t>
  </si>
  <si>
    <t>INVERSION INICIAL</t>
  </si>
  <si>
    <t>CAPITAL DE TRBAJO</t>
  </si>
  <si>
    <t>PRESTAMO</t>
  </si>
  <si>
    <t>FLUJO FINAL</t>
  </si>
  <si>
    <t xml:space="preserve">VAN      </t>
  </si>
  <si>
    <t>TIR</t>
  </si>
  <si>
    <t>TMAR</t>
  </si>
  <si>
    <t>PART TRABA</t>
  </si>
  <si>
    <t>Período (años)</t>
  </si>
  <si>
    <t>Saldo Inversion</t>
  </si>
  <si>
    <t>Flujo de Caja</t>
  </si>
  <si>
    <t>Rentabilidad Exigida</t>
  </si>
  <si>
    <t>Recuperación Inversión</t>
  </si>
  <si>
    <t>CONGELADOR</t>
  </si>
  <si>
    <t>REFRIGERACION ABIERTA</t>
  </si>
  <si>
    <t>PERCHAS</t>
  </si>
  <si>
    <t>CARRETILLAS</t>
  </si>
  <si>
    <t>AIRE ACONDICIONADO</t>
  </si>
  <si>
    <t>VEHICULO</t>
  </si>
  <si>
    <t>AÑOS</t>
  </si>
  <si>
    <t>INTERÉS</t>
  </si>
  <si>
    <t>OFICINA</t>
  </si>
  <si>
    <t>ESCENARIO</t>
  </si>
  <si>
    <t>PROBABILIDAD</t>
  </si>
  <si>
    <t>FACTOR</t>
  </si>
  <si>
    <t>EXPANSIÓN</t>
  </si>
  <si>
    <t>NORMAL</t>
  </si>
  <si>
    <t>RECESION</t>
  </si>
  <si>
    <t>FLUJO DE CAJA</t>
  </si>
  <si>
    <t>AMORTIZACION</t>
  </si>
  <si>
    <t>DESVIACION</t>
  </si>
  <si>
    <t>DESVACION CUADRADA</t>
  </si>
  <si>
    <t>PRODUCTO</t>
  </si>
  <si>
    <t>VARIANZA</t>
  </si>
  <si>
    <t>DESVIACION ESTANDAR</t>
  </si>
  <si>
    <t>VAN</t>
  </si>
  <si>
    <t>DESVIACION CUADRADA</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</si>
</sst>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00"/>
    <numFmt numFmtId="173" formatCode="[$$-240A]\ #,##0.00"/>
    <numFmt numFmtId="174" formatCode="[$$-300A]\ #,##0.00"/>
    <numFmt numFmtId="175" formatCode="[$$-2C0A]\ #,##0.00"/>
    <numFmt numFmtId="176" formatCode="[$$-409]#,##0.00;[Red][$$-409]#,##0.00"/>
    <numFmt numFmtId="177" formatCode="&quot;$&quot;\ #,##0_);\(&quot;$&quot;\ #,##0\)"/>
    <numFmt numFmtId="178" formatCode="&quot;$&quot;\ #,##0_);[Red]\(&quot;$&quot;\ #,##0\)"/>
    <numFmt numFmtId="179" formatCode="&quot;$&quot;\ #,##0.00_);\(&quot;$&quot;\ #,##0.00\)"/>
    <numFmt numFmtId="180" formatCode="&quot;$&quot;\ #,##0.00_);[Red]\(&quot;$&quot;\ #,##0.00\)"/>
    <numFmt numFmtId="181" formatCode="_(&quot;$&quot;\ * #,##0_);_(&quot;$&quot;\ * \(#,##0\);_(&quot;$&quot;\ * &quot;-&quot;_);_(@_)"/>
    <numFmt numFmtId="182" formatCode="_(* #,##0_);_(* \(#,##0\);_(* &quot;-&quot;_);_(@_)"/>
    <numFmt numFmtId="183" formatCode="_(&quot;$&quot;\ * #,##0.00_);_(&quot;$&quot;\ * \(#,##0.00\);_(&quot;$&quot;\ * &quot;-&quot;??_);_(@_)"/>
    <numFmt numFmtId="184" formatCode="_(* #,##0.00_);_(* \(#,##0.00\);_(* &quot;-&quot;??_);_(@_)"/>
    <numFmt numFmtId="185" formatCode="[$$-2C0A]\ #,##0"/>
    <numFmt numFmtId="186" formatCode="[$$-240A]\ #,##0"/>
    <numFmt numFmtId="187" formatCode="[$$-300A]#,##0.00;[Red][$$-300A]\-#,##0.00"/>
    <numFmt numFmtId="188" formatCode="[$$-340A]\ #,##0.00"/>
    <numFmt numFmtId="189" formatCode="[$$-409]#,##0.00"/>
    <numFmt numFmtId="190" formatCode="0.0000%"/>
    <numFmt numFmtId="191" formatCode="[$$-300A]\ #,##0.00_ ;\-[$$-300A]\ #,##0.00\ "/>
    <numFmt numFmtId="192" formatCode="#,##0.00\ _€"/>
    <numFmt numFmtId="193" formatCode="_-[$$-240A]\ * #,##0.00_ ;_-[$$-240A]\ * \-#,##0.00\ ;_-[$$-240A]\ * &quot;-&quot;??_ ;_-@_ "/>
    <numFmt numFmtId="194" formatCode="0.0%"/>
    <numFmt numFmtId="195" formatCode="#,##0.00\ &quot;€&quot;"/>
  </numFmts>
  <fonts count="53">
    <font>
      <sz val="10"/>
      <name val="Arial"/>
      <family val="0"/>
    </font>
    <font>
      <b/>
      <sz val="10"/>
      <name val="Arial"/>
      <family val="2"/>
    </font>
    <font>
      <b/>
      <sz val="10"/>
      <color indexed="9"/>
      <name val="Arial"/>
      <family val="2"/>
    </font>
    <font>
      <sz val="10"/>
      <color indexed="9"/>
      <name val="Arial"/>
      <family val="0"/>
    </font>
    <font>
      <b/>
      <u val="single"/>
      <sz val="10"/>
      <name val="Arial"/>
      <family val="2"/>
    </font>
    <font>
      <sz val="8"/>
      <name val="Arial"/>
      <family val="0"/>
    </font>
    <font>
      <b/>
      <sz val="11"/>
      <color indexed="8"/>
      <name val="Calibri"/>
      <family val="2"/>
    </font>
    <font>
      <b/>
      <sz val="11"/>
      <color indexed="9"/>
      <name val="Calibri"/>
      <family val="2"/>
    </font>
    <font>
      <b/>
      <sz val="12"/>
      <color indexed="8"/>
      <name val="Calibri"/>
      <family val="2"/>
    </font>
    <font>
      <sz val="11"/>
      <name val="Calibri"/>
      <family val="2"/>
    </font>
    <font>
      <b/>
      <sz val="10"/>
      <color indexed="8"/>
      <name val="Calibri"/>
      <family val="2"/>
    </font>
    <font>
      <sz val="10"/>
      <color indexed="8"/>
      <name val="Calibri"/>
      <family val="2"/>
    </font>
    <font>
      <b/>
      <u val="single"/>
      <sz val="11"/>
      <color indexed="8"/>
      <name val="Calibri"/>
      <family val="2"/>
    </font>
    <font>
      <sz val="10"/>
      <color indexed="63"/>
      <name val="Tahoma"/>
      <family val="2"/>
    </font>
    <font>
      <sz val="11"/>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8"/>
      <name val="Calibri"/>
      <family val="2"/>
    </font>
    <font>
      <b/>
      <sz val="10"/>
      <name val="Tahoma"/>
      <family val="2"/>
    </font>
    <font>
      <b/>
      <sz val="12"/>
      <color indexed="8"/>
      <name val="Lucida Sans Unicode"/>
      <family val="2"/>
    </font>
    <font>
      <sz val="12"/>
      <color indexed="8"/>
      <name val="Lucida Sans Unicode"/>
      <family val="2"/>
    </font>
    <font>
      <sz val="12"/>
      <color indexed="8"/>
      <name val="Arial"/>
      <family val="2"/>
    </font>
    <font>
      <sz val="12"/>
      <color indexed="18"/>
      <name val="Arial"/>
      <family val="2"/>
    </font>
    <font>
      <b/>
      <u val="single"/>
      <sz val="14"/>
      <color indexed="8"/>
      <name val="Calibri"/>
      <family val="2"/>
    </font>
    <font>
      <b/>
      <sz val="14"/>
      <color indexed="8"/>
      <name val="Calibri"/>
      <family val="2"/>
    </font>
    <font>
      <sz val="12"/>
      <color indexed="8"/>
      <name val="Calibri"/>
      <family val="2"/>
    </font>
    <font>
      <sz val="10"/>
      <name val="Tahoma"/>
      <family val="2"/>
    </font>
    <font>
      <u val="single"/>
      <sz val="11"/>
      <color indexed="8"/>
      <name val="Calibri"/>
      <family val="2"/>
    </font>
    <font>
      <sz val="7"/>
      <color indexed="10"/>
      <name val="Times New Roman"/>
      <family val="1"/>
    </font>
    <font>
      <b/>
      <sz val="9"/>
      <color indexed="10"/>
      <name val="Verdana"/>
      <family val="2"/>
    </font>
    <font>
      <b/>
      <sz val="3"/>
      <color indexed="10"/>
      <name val="Verdana"/>
      <family val="2"/>
    </font>
    <font>
      <sz val="9"/>
      <color indexed="10"/>
      <name val="Times New Roman"/>
      <family val="1"/>
    </font>
    <font>
      <b/>
      <u val="single"/>
      <sz val="10"/>
      <color indexed="8"/>
      <name val="Calibri"/>
      <family val="2"/>
    </font>
    <font>
      <sz val="10"/>
      <color indexed="8"/>
      <name val="Arial"/>
      <family val="2"/>
    </font>
    <font>
      <u val="single"/>
      <sz val="10"/>
      <color indexed="20"/>
      <name val="Arial"/>
      <family val="2"/>
    </font>
    <font>
      <u val="single"/>
      <sz val="10"/>
      <color theme="11"/>
      <name val="Arial"/>
      <family val="2"/>
    </font>
    <font>
      <b/>
      <sz val="10"/>
      <color theme="0"/>
      <name val="Arial"/>
      <family val="2"/>
    </font>
    <font>
      <sz val="10"/>
      <color theme="0"/>
      <name val="Arial"/>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41"/>
        <bgColor indexed="64"/>
      </patternFill>
    </fill>
    <fill>
      <patternFill patternType="solid">
        <fgColor indexed="13"/>
        <bgColor indexed="64"/>
      </patternFill>
    </fill>
    <fill>
      <patternFill patternType="solid">
        <fgColor indexed="23"/>
        <bgColor indexed="64"/>
      </patternFill>
    </fill>
    <fill>
      <patternFill patternType="solid">
        <fgColor theme="1"/>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s>
  <borders count="8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color indexed="9"/>
      </left>
      <right>
        <color indexed="63"/>
      </right>
      <top style="thin">
        <color indexed="9"/>
      </top>
      <bottom>
        <color indexed="63"/>
      </bottom>
    </border>
    <border>
      <left style="thin">
        <color indexed="9"/>
      </left>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9"/>
      </right>
      <top style="thin">
        <color indexed="8"/>
      </top>
      <bottom style="thin">
        <color indexed="8"/>
      </bottom>
    </border>
    <border>
      <left style="medium"/>
      <right style="thin"/>
      <top style="medium"/>
      <bottom/>
    </border>
    <border>
      <left style="thin"/>
      <right style="medium"/>
      <top style="medium"/>
      <bottom/>
    </border>
    <border>
      <left/>
      <right/>
      <top style="thin"/>
      <bottom/>
    </border>
    <border>
      <left style="thin"/>
      <right/>
      <top/>
      <bottom/>
    </border>
    <border>
      <left style="thin"/>
      <right/>
      <top/>
      <bottom style="thin"/>
    </border>
    <border>
      <left>
        <color indexed="63"/>
      </left>
      <right>
        <color indexed="63"/>
      </right>
      <top>
        <color indexed="63"/>
      </top>
      <bottom style="thin"/>
    </border>
    <border>
      <left/>
      <right style="thin"/>
      <top/>
      <bottom style="thin"/>
    </border>
    <border>
      <left style="thin"/>
      <right style="thin"/>
      <top/>
      <bottom style="thin"/>
    </border>
    <border>
      <left style="medium"/>
      <right style="medium"/>
      <top/>
      <bottom/>
    </border>
    <border>
      <left/>
      <right style="medium"/>
      <top/>
      <bottom/>
    </border>
    <border>
      <left style="medium"/>
      <right style="medium"/>
      <top/>
      <bottom style="medium"/>
    </border>
    <border>
      <left/>
      <right/>
      <top style="medium"/>
      <bottom style="medium"/>
    </border>
    <border>
      <left>
        <color indexed="63"/>
      </left>
      <right style="medium"/>
      <top style="medium"/>
      <bottom style="mediu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border>
    <border>
      <left/>
      <right/>
      <top/>
      <bottom style="medium"/>
    </border>
    <border>
      <left style="medium"/>
      <right>
        <color indexed="63"/>
      </right>
      <top style="medium"/>
      <bottom style="medium"/>
    </border>
    <border>
      <left style="medium"/>
      <right>
        <color indexed="63"/>
      </right>
      <top style="thin"/>
      <bottom style="medium"/>
    </border>
    <border>
      <left style="thin">
        <color indexed="26"/>
      </left>
      <right style="medium"/>
      <top style="thin"/>
      <bottom style="medium"/>
    </border>
    <border>
      <left style="thin">
        <color indexed="9"/>
      </left>
      <right style="medium"/>
      <top style="medium"/>
      <bottom>
        <color indexed="63"/>
      </bottom>
    </border>
    <border>
      <left style="medium"/>
      <right style="thin"/>
      <top style="thin"/>
      <bottom>
        <color indexed="63"/>
      </bottom>
    </border>
    <border>
      <left style="thin">
        <color theme="0"/>
      </left>
      <right style="medium"/>
      <top style="thin"/>
      <bottom style="thin"/>
    </border>
    <border>
      <left style="thin">
        <color theme="0"/>
      </left>
      <right style="medium"/>
      <top style="thin">
        <color indexed="9"/>
      </top>
      <bottom style="thin"/>
    </border>
    <border>
      <left style="thin">
        <color indexed="9"/>
      </left>
      <right style="medium"/>
      <top style="thin"/>
      <bottom style="medium"/>
    </border>
    <border>
      <left style="thin">
        <color theme="0"/>
      </left>
      <right style="thin">
        <color theme="0"/>
      </right>
      <top style="medium"/>
      <bottom>
        <color indexed="63"/>
      </bottom>
    </border>
    <border>
      <left style="thin">
        <color theme="0"/>
      </left>
      <right style="medium"/>
      <top style="medium"/>
      <bottom>
        <color indexed="63"/>
      </bottom>
    </border>
    <border>
      <left style="thin">
        <color indexed="9"/>
      </left>
      <right style="medium"/>
      <top>
        <color indexed="63"/>
      </top>
      <bottom style="medium"/>
    </border>
    <border>
      <left style="thin">
        <color theme="0"/>
      </left>
      <right style="medium"/>
      <top style="thin"/>
      <bottom style="medium"/>
    </border>
    <border>
      <left style="medium">
        <color theme="0"/>
      </left>
      <right style="medium"/>
      <top style="medium"/>
      <bottom style="thin"/>
    </border>
    <border>
      <left style="medium">
        <color theme="0"/>
      </left>
      <right style="medium"/>
      <top>
        <color indexed="63"/>
      </top>
      <bottom style="medium"/>
    </border>
    <border>
      <left style="medium">
        <color theme="0"/>
      </left>
      <right style="medium"/>
      <top style="medium"/>
      <bottom>
        <color indexed="63"/>
      </bottom>
    </border>
    <border>
      <left/>
      <right style="medium"/>
      <top style="medium"/>
      <bottom style="thin"/>
    </border>
    <border>
      <left/>
      <right style="medium"/>
      <top style="thin"/>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medium"/>
      <bottom>
        <color indexed="63"/>
      </bottom>
    </border>
    <border>
      <left style="medium"/>
      <right style="thin">
        <color theme="0"/>
      </right>
      <top style="medium"/>
      <bottom>
        <color indexed="63"/>
      </bottom>
    </border>
    <border>
      <left style="medium">
        <color theme="0"/>
      </left>
      <right style="medium">
        <color theme="0"/>
      </right>
      <top style="medium"/>
      <bottom style="medium"/>
    </border>
    <border>
      <left/>
      <right style="thin"/>
      <top style="thin"/>
      <bottom style="thin"/>
    </border>
    <border>
      <left style="thin">
        <color indexed="8"/>
      </left>
      <right style="medium">
        <color indexed="9"/>
      </right>
      <top style="thin">
        <color indexed="8"/>
      </top>
      <bottom/>
    </border>
    <border>
      <left style="thin">
        <color indexed="8"/>
      </left>
      <right style="medium">
        <color indexed="9"/>
      </right>
      <top/>
      <bottom style="thin">
        <color indexed="8"/>
      </bottom>
    </border>
    <border>
      <left style="medium"/>
      <right>
        <color indexed="63"/>
      </right>
      <top style="medium"/>
      <bottom style="thin">
        <color indexed="9"/>
      </bottom>
    </border>
    <border>
      <left>
        <color indexed="63"/>
      </left>
      <right style="medium"/>
      <top style="medium"/>
      <bottom style="thin">
        <color indexed="9"/>
      </bottom>
    </border>
    <border>
      <left>
        <color indexed="63"/>
      </left>
      <right>
        <color indexed="63"/>
      </right>
      <top>
        <color indexed="63"/>
      </top>
      <bottom style="thin">
        <color indexed="9"/>
      </bottom>
    </border>
    <border>
      <left style="medium"/>
      <right/>
      <top style="medium"/>
      <bottom style="thin"/>
    </border>
    <border>
      <left style="medium"/>
      <right/>
      <top style="thin"/>
      <bottom style="thin"/>
    </border>
    <border>
      <left style="thin">
        <color theme="0"/>
      </left>
      <right style="thin">
        <color theme="0"/>
      </right>
      <top style="medium"/>
      <bottom style="thin"/>
    </border>
    <border>
      <left style="thin">
        <color theme="0"/>
      </left>
      <right style="thin">
        <color theme="0"/>
      </right>
      <top style="thin"/>
      <bottom style="thin"/>
    </border>
    <border>
      <left/>
      <right/>
      <top style="medium"/>
      <bottom style="thin"/>
    </border>
    <border>
      <left/>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4" borderId="0" applyNumberFormat="0" applyBorder="0" applyAlignment="0" applyProtection="0"/>
    <xf numFmtId="0" fontId="18" fillId="16" borderId="1" applyNumberFormat="0" applyAlignment="0" applyProtection="0"/>
    <xf numFmtId="0" fontId="7" fillId="17" borderId="2" applyNumberFormat="0" applyAlignment="0" applyProtection="0"/>
    <xf numFmtId="0" fontId="19" fillId="0" borderId="3" applyNumberFormat="0" applyFill="0" applyAlignment="0" applyProtection="0"/>
    <xf numFmtId="0" fontId="20" fillId="0" borderId="0" applyNumberForma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1" fillId="7" borderId="1" applyNumberFormat="0" applyAlignment="0" applyProtection="0"/>
    <xf numFmtId="0" fontId="22" fillId="0" borderId="0" applyNumberFormat="0" applyFill="0" applyBorder="0" applyAlignment="0" applyProtection="0"/>
    <xf numFmtId="0" fontId="49" fillId="0" borderId="0" applyNumberFormat="0" applyFill="0" applyBorder="0" applyAlignment="0" applyProtection="0"/>
    <xf numFmtId="0" fontId="23"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15" fillId="0" borderId="0" applyFont="0" applyFill="0" applyBorder="0" applyAlignment="0" applyProtection="0"/>
    <xf numFmtId="0" fontId="24" fillId="22" borderId="0" applyNumberFormat="0" applyBorder="0" applyAlignment="0" applyProtection="0"/>
    <xf numFmtId="0" fontId="15" fillId="0" borderId="0">
      <alignment/>
      <protection/>
    </xf>
    <xf numFmtId="0" fontId="15" fillId="23" borderId="4" applyNumberFormat="0" applyFont="0" applyAlignment="0" applyProtection="0"/>
    <xf numFmtId="9" fontId="0" fillId="0" borderId="0" applyFont="0" applyFill="0" applyBorder="0" applyAlignment="0" applyProtection="0"/>
    <xf numFmtId="0" fontId="25" fillId="16" borderId="5"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20" fillId="0" borderId="8" applyNumberFormat="0" applyFill="0" applyAlignment="0" applyProtection="0"/>
    <xf numFmtId="0" fontId="6" fillId="0" borderId="9" applyNumberFormat="0" applyFill="0" applyAlignment="0" applyProtection="0"/>
  </cellStyleXfs>
  <cellXfs count="367">
    <xf numFmtId="0" fontId="0" fillId="0" borderId="0" xfId="0" applyAlignment="1">
      <alignment/>
    </xf>
    <xf numFmtId="0" fontId="1" fillId="0" borderId="0" xfId="0" applyFont="1" applyAlignment="1">
      <alignment/>
    </xf>
    <xf numFmtId="0" fontId="2" fillId="24" borderId="0" xfId="0" applyFont="1" applyFill="1" applyAlignment="1">
      <alignment/>
    </xf>
    <xf numFmtId="0" fontId="0" fillId="24" borderId="0" xfId="0" applyFill="1" applyAlignment="1">
      <alignment/>
    </xf>
    <xf numFmtId="0" fontId="3" fillId="24" borderId="0" xfId="0" applyFont="1" applyFill="1" applyAlignment="1">
      <alignment/>
    </xf>
    <xf numFmtId="0" fontId="2" fillId="24" borderId="0" xfId="0" applyFont="1" applyFill="1" applyAlignment="1">
      <alignment horizontal="center"/>
    </xf>
    <xf numFmtId="0" fontId="0" fillId="0" borderId="0" xfId="0" applyAlignment="1">
      <alignment horizontal="center"/>
    </xf>
    <xf numFmtId="0" fontId="3" fillId="24" borderId="0" xfId="0" applyFont="1" applyFill="1" applyAlignment="1">
      <alignment horizontal="center"/>
    </xf>
    <xf numFmtId="0" fontId="0" fillId="0" borderId="10" xfId="0" applyBorder="1" applyAlignment="1">
      <alignment horizontal="center"/>
    </xf>
    <xf numFmtId="0" fontId="4" fillId="0" borderId="0" xfId="0" applyFont="1" applyAlignment="1">
      <alignment/>
    </xf>
    <xf numFmtId="0" fontId="0" fillId="0" borderId="10" xfId="0" applyBorder="1" applyAlignment="1">
      <alignment/>
    </xf>
    <xf numFmtId="172" fontId="0" fillId="0" borderId="11" xfId="0" applyNumberFormat="1" applyBorder="1" applyAlignment="1">
      <alignment/>
    </xf>
    <xf numFmtId="172" fontId="0" fillId="0" borderId="0" xfId="0" applyNumberFormat="1" applyBorder="1" applyAlignment="1">
      <alignment/>
    </xf>
    <xf numFmtId="0" fontId="0" fillId="0" borderId="0" xfId="0" applyBorder="1" applyAlignment="1">
      <alignment/>
    </xf>
    <xf numFmtId="172" fontId="3" fillId="24" borderId="11" xfId="0" applyNumberFormat="1" applyFont="1" applyFill="1" applyBorder="1" applyAlignment="1">
      <alignment horizontal="center"/>
    </xf>
    <xf numFmtId="172" fontId="0" fillId="0" borderId="10" xfId="0" applyNumberFormat="1" applyBorder="1" applyAlignment="1">
      <alignment horizontal="center"/>
    </xf>
    <xf numFmtId="0" fontId="3" fillId="24" borderId="10" xfId="0" applyFont="1" applyFill="1" applyBorder="1" applyAlignment="1">
      <alignment horizontal="center"/>
    </xf>
    <xf numFmtId="172" fontId="0" fillId="0" borderId="10" xfId="0" applyNumberFormat="1" applyBorder="1" applyAlignment="1">
      <alignment/>
    </xf>
    <xf numFmtId="0" fontId="6" fillId="0" borderId="0" xfId="0" applyFont="1" applyAlignment="1">
      <alignment/>
    </xf>
    <xf numFmtId="173" fontId="0" fillId="0" borderId="10" xfId="0" applyNumberFormat="1" applyBorder="1" applyAlignment="1">
      <alignment/>
    </xf>
    <xf numFmtId="0" fontId="6" fillId="0" borderId="10" xfId="0" applyFont="1" applyBorder="1" applyAlignment="1">
      <alignment/>
    </xf>
    <xf numFmtId="0" fontId="7" fillId="24" borderId="10" xfId="0" applyFont="1" applyFill="1" applyBorder="1" applyAlignment="1">
      <alignment/>
    </xf>
    <xf numFmtId="173" fontId="7" fillId="24" borderId="10" xfId="0" applyNumberFormat="1" applyFont="1" applyFill="1" applyBorder="1" applyAlignment="1">
      <alignment/>
    </xf>
    <xf numFmtId="173" fontId="0" fillId="0" borderId="0" xfId="0" applyNumberFormat="1" applyAlignment="1">
      <alignment/>
    </xf>
    <xf numFmtId="0" fontId="2" fillId="0" borderId="0" xfId="0" applyFont="1" applyFill="1" applyBorder="1" applyAlignment="1">
      <alignment/>
    </xf>
    <xf numFmtId="0" fontId="0" fillId="0" borderId="0" xfId="0" applyFill="1" applyBorder="1" applyAlignment="1">
      <alignment/>
    </xf>
    <xf numFmtId="0" fontId="2" fillId="24" borderId="10" xfId="0" applyFont="1" applyFill="1" applyBorder="1" applyAlignment="1">
      <alignment horizontal="center"/>
    </xf>
    <xf numFmtId="0" fontId="0" fillId="0" borderId="10" xfId="0" applyFill="1" applyBorder="1" applyAlignment="1">
      <alignment/>
    </xf>
    <xf numFmtId="172" fontId="3" fillId="24" borderId="0" xfId="0" applyNumberFormat="1" applyFont="1" applyFill="1" applyAlignment="1">
      <alignment/>
    </xf>
    <xf numFmtId="0" fontId="0" fillId="0" borderId="12" xfId="0" applyBorder="1" applyAlignment="1">
      <alignment/>
    </xf>
    <xf numFmtId="0" fontId="0" fillId="0" borderId="12" xfId="0" applyFill="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2" fontId="0" fillId="0" borderId="10" xfId="0" applyNumberFormat="1" applyBorder="1" applyAlignment="1">
      <alignment/>
    </xf>
    <xf numFmtId="0" fontId="3" fillId="24" borderId="16" xfId="0" applyFont="1" applyFill="1" applyBorder="1" applyAlignment="1">
      <alignment horizontal="center"/>
    </xf>
    <xf numFmtId="172" fontId="0" fillId="24" borderId="0" xfId="0" applyNumberFormat="1" applyFill="1" applyAlignment="1">
      <alignment/>
    </xf>
    <xf numFmtId="172" fontId="3" fillId="24" borderId="17" xfId="0" applyNumberFormat="1" applyFont="1" applyFill="1" applyBorder="1" applyAlignment="1">
      <alignment/>
    </xf>
    <xf numFmtId="0" fontId="0" fillId="0" borderId="10" xfId="0" applyBorder="1" applyAlignment="1">
      <alignment wrapText="1"/>
    </xf>
    <xf numFmtId="0" fontId="3" fillId="24" borderId="18" xfId="0" applyFont="1" applyFill="1" applyBorder="1" applyAlignment="1">
      <alignment/>
    </xf>
    <xf numFmtId="173" fontId="3" fillId="24" borderId="18" xfId="0" applyNumberFormat="1" applyFont="1" applyFill="1" applyBorder="1" applyAlignment="1">
      <alignment/>
    </xf>
    <xf numFmtId="173" fontId="0" fillId="0" borderId="0" xfId="0" applyNumberFormat="1" applyBorder="1" applyAlignment="1">
      <alignment/>
    </xf>
    <xf numFmtId="173" fontId="6" fillId="0" borderId="0" xfId="0" applyNumberFormat="1" applyFont="1" applyFill="1" applyBorder="1" applyAlignment="1">
      <alignment/>
    </xf>
    <xf numFmtId="0" fontId="6" fillId="0" borderId="19"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xf>
    <xf numFmtId="174" fontId="6" fillId="0" borderId="10" xfId="0" applyNumberFormat="1" applyFont="1" applyBorder="1" applyAlignment="1">
      <alignment/>
    </xf>
    <xf numFmtId="0" fontId="0" fillId="0" borderId="23" xfId="0" applyBorder="1" applyAlignment="1">
      <alignment/>
    </xf>
    <xf numFmtId="9" fontId="6" fillId="0" borderId="22" xfId="0" applyNumberFormat="1" applyFont="1" applyBorder="1" applyAlignment="1">
      <alignment/>
    </xf>
    <xf numFmtId="174" fontId="0" fillId="0" borderId="10" xfId="0" applyNumberFormat="1" applyBorder="1" applyAlignment="1">
      <alignment/>
    </xf>
    <xf numFmtId="175" fontId="0" fillId="0" borderId="10" xfId="0" applyNumberFormat="1" applyBorder="1" applyAlignment="1">
      <alignment/>
    </xf>
    <xf numFmtId="174" fontId="0" fillId="0" borderId="23" xfId="0" applyNumberFormat="1" applyBorder="1" applyAlignment="1">
      <alignment/>
    </xf>
    <xf numFmtId="0" fontId="0" fillId="0" borderId="22"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21" borderId="0" xfId="0" applyFill="1" applyAlignment="1">
      <alignment/>
    </xf>
    <xf numFmtId="176" fontId="9" fillId="0" borderId="10" xfId="0" applyNumberFormat="1" applyFont="1" applyBorder="1" applyAlignment="1">
      <alignment/>
    </xf>
    <xf numFmtId="2" fontId="0" fillId="22" borderId="10" xfId="0" applyNumberFormat="1" applyFill="1" applyBorder="1" applyAlignment="1">
      <alignment/>
    </xf>
    <xf numFmtId="2" fontId="0" fillId="25" borderId="10" xfId="0" applyNumberFormat="1" applyFill="1" applyBorder="1" applyAlignment="1">
      <alignment/>
    </xf>
    <xf numFmtId="0" fontId="10" fillId="0" borderId="0" xfId="0" applyFont="1" applyAlignment="1">
      <alignment/>
    </xf>
    <xf numFmtId="1" fontId="0" fillId="0" borderId="0" xfId="0" applyNumberFormat="1" applyAlignment="1">
      <alignment/>
    </xf>
    <xf numFmtId="0" fontId="13" fillId="0" borderId="0" xfId="0" applyFont="1" applyAlignment="1">
      <alignment/>
    </xf>
    <xf numFmtId="2" fontId="0" fillId="0" borderId="0" xfId="0" applyNumberFormat="1" applyFill="1" applyAlignment="1">
      <alignment/>
    </xf>
    <xf numFmtId="10" fontId="0" fillId="26" borderId="0" xfId="0" applyNumberFormat="1" applyFill="1" applyAlignment="1">
      <alignment/>
    </xf>
    <xf numFmtId="175" fontId="0" fillId="0" borderId="0" xfId="0" applyNumberFormat="1" applyFill="1" applyAlignment="1">
      <alignment/>
    </xf>
    <xf numFmtId="175" fontId="0" fillId="0" borderId="0" xfId="0" applyNumberFormat="1" applyAlignment="1">
      <alignment/>
    </xf>
    <xf numFmtId="9" fontId="0" fillId="0" borderId="0" xfId="0" applyNumberFormat="1" applyAlignment="1">
      <alignment/>
    </xf>
    <xf numFmtId="0" fontId="12" fillId="0" borderId="0" xfId="55" applyFont="1">
      <alignment/>
      <protection/>
    </xf>
    <xf numFmtId="0" fontId="15" fillId="0" borderId="0" xfId="55">
      <alignment/>
      <protection/>
    </xf>
    <xf numFmtId="4" fontId="15" fillId="0" borderId="0" xfId="55" applyNumberFormat="1">
      <alignment/>
      <protection/>
    </xf>
    <xf numFmtId="0" fontId="6" fillId="0" borderId="0" xfId="55" applyFont="1">
      <alignment/>
      <protection/>
    </xf>
    <xf numFmtId="173" fontId="15" fillId="0" borderId="0" xfId="55" applyNumberFormat="1">
      <alignment/>
      <protection/>
    </xf>
    <xf numFmtId="1" fontId="15" fillId="0" borderId="0" xfId="55" applyNumberFormat="1">
      <alignment/>
      <protection/>
    </xf>
    <xf numFmtId="173" fontId="6" fillId="0" borderId="0" xfId="55" applyNumberFormat="1" applyFont="1">
      <alignment/>
      <protection/>
    </xf>
    <xf numFmtId="173" fontId="15" fillId="12" borderId="0" xfId="55" applyNumberFormat="1" applyFill="1">
      <alignment/>
      <protection/>
    </xf>
    <xf numFmtId="0" fontId="13" fillId="0" borderId="0" xfId="55" applyFont="1">
      <alignment/>
      <protection/>
    </xf>
    <xf numFmtId="2" fontId="15" fillId="0" borderId="0" xfId="55" applyNumberFormat="1" applyFill="1">
      <alignment/>
      <protection/>
    </xf>
    <xf numFmtId="2" fontId="15" fillId="0" borderId="0" xfId="55" applyNumberFormat="1">
      <alignment/>
      <protection/>
    </xf>
    <xf numFmtId="10" fontId="15" fillId="26" borderId="0" xfId="55" applyNumberFormat="1" applyFill="1">
      <alignment/>
      <protection/>
    </xf>
    <xf numFmtId="4" fontId="14" fillId="0" borderId="0" xfId="55" applyNumberFormat="1" applyFont="1">
      <alignment/>
      <protection/>
    </xf>
    <xf numFmtId="175" fontId="15" fillId="0" borderId="0" xfId="55" applyNumberFormat="1" applyFill="1">
      <alignment/>
      <protection/>
    </xf>
    <xf numFmtId="175" fontId="15" fillId="0" borderId="0" xfId="55" applyNumberFormat="1">
      <alignment/>
      <protection/>
    </xf>
    <xf numFmtId="9" fontId="15" fillId="0" borderId="0" xfId="55" applyNumberFormat="1">
      <alignment/>
      <protection/>
    </xf>
    <xf numFmtId="0" fontId="15" fillId="0" borderId="0" xfId="55" applyFont="1" applyAlignment="1">
      <alignment wrapText="1"/>
      <protection/>
    </xf>
    <xf numFmtId="173" fontId="15" fillId="26" borderId="0" xfId="55" applyNumberFormat="1" applyFont="1" applyFill="1" applyAlignment="1">
      <alignment wrapText="1"/>
      <protection/>
    </xf>
    <xf numFmtId="173" fontId="15" fillId="27" borderId="0" xfId="55" applyNumberFormat="1" applyFont="1" applyFill="1" applyAlignment="1">
      <alignment wrapText="1"/>
      <protection/>
    </xf>
    <xf numFmtId="173" fontId="15" fillId="0" borderId="0" xfId="55" applyNumberFormat="1" applyFont="1" applyAlignment="1">
      <alignment wrapText="1"/>
      <protection/>
    </xf>
    <xf numFmtId="186" fontId="32" fillId="0" borderId="0" xfId="55" applyNumberFormat="1" applyFont="1">
      <alignment/>
      <protection/>
    </xf>
    <xf numFmtId="187" fontId="15" fillId="0" borderId="0" xfId="55" applyNumberFormat="1" applyFont="1" applyAlignment="1">
      <alignment wrapText="1"/>
      <protection/>
    </xf>
    <xf numFmtId="0" fontId="15" fillId="0" borderId="0" xfId="55" applyFont="1" applyAlignment="1">
      <alignment horizontal="right" wrapText="1"/>
      <protection/>
    </xf>
    <xf numFmtId="173" fontId="15" fillId="27" borderId="0" xfId="55" applyNumberFormat="1" applyFill="1">
      <alignment/>
      <protection/>
    </xf>
    <xf numFmtId="0" fontId="33" fillId="0" borderId="27" xfId="55" applyFont="1" applyBorder="1" applyAlignment="1">
      <alignment horizontal="center" wrapText="1"/>
      <protection/>
    </xf>
    <xf numFmtId="0" fontId="33" fillId="0" borderId="28" xfId="55" applyFont="1" applyBorder="1" applyAlignment="1">
      <alignment horizontal="center" wrapText="1"/>
      <protection/>
    </xf>
    <xf numFmtId="0" fontId="34" fillId="0" borderId="29" xfId="55" applyFont="1" applyBorder="1" applyAlignment="1">
      <alignment wrapText="1"/>
      <protection/>
    </xf>
    <xf numFmtId="0" fontId="34" fillId="0" borderId="29" xfId="55" applyFont="1" applyBorder="1" applyAlignment="1">
      <alignment horizontal="right" wrapText="1"/>
      <protection/>
    </xf>
    <xf numFmtId="9" fontId="34" fillId="0" borderId="30" xfId="55" applyNumberFormat="1" applyFont="1" applyBorder="1" applyAlignment="1">
      <alignment horizontal="right" wrapText="1"/>
      <protection/>
    </xf>
    <xf numFmtId="0" fontId="33" fillId="0" borderId="29" xfId="55" applyFont="1" applyBorder="1" applyAlignment="1">
      <alignment wrapText="1"/>
      <protection/>
    </xf>
    <xf numFmtId="0" fontId="33" fillId="0" borderId="29" xfId="55" applyFont="1" applyBorder="1" applyAlignment="1">
      <alignment horizontal="right" wrapText="1"/>
      <protection/>
    </xf>
    <xf numFmtId="9" fontId="33" fillId="0" borderId="30" xfId="55" applyNumberFormat="1" applyFont="1" applyBorder="1" applyAlignment="1">
      <alignment horizontal="right" wrapText="1"/>
      <protection/>
    </xf>
    <xf numFmtId="0" fontId="22" fillId="0" borderId="0" xfId="45" applyAlignment="1" applyProtection="1">
      <alignment/>
      <protection/>
    </xf>
    <xf numFmtId="0" fontId="15" fillId="0" borderId="0" xfId="55" applyAlignment="1">
      <alignment horizontal="center"/>
      <protection/>
    </xf>
    <xf numFmtId="10" fontId="15" fillId="0" borderId="0" xfId="55" applyNumberFormat="1">
      <alignment/>
      <protection/>
    </xf>
    <xf numFmtId="194" fontId="15" fillId="0" borderId="0" xfId="57" applyNumberFormat="1" applyFont="1" applyAlignment="1">
      <alignment/>
    </xf>
    <xf numFmtId="9" fontId="15" fillId="0" borderId="0" xfId="57" applyFont="1" applyAlignment="1">
      <alignment/>
    </xf>
    <xf numFmtId="0" fontId="36" fillId="0" borderId="0" xfId="55" applyFont="1">
      <alignment/>
      <protection/>
    </xf>
    <xf numFmtId="0" fontId="35" fillId="0" borderId="0" xfId="55" applyFont="1">
      <alignment/>
      <protection/>
    </xf>
    <xf numFmtId="10" fontId="15" fillId="0" borderId="21" xfId="55" applyNumberFormat="1" applyBorder="1">
      <alignment/>
      <protection/>
    </xf>
    <xf numFmtId="0" fontId="15" fillId="0" borderId="31" xfId="55" applyBorder="1">
      <alignment/>
      <protection/>
    </xf>
    <xf numFmtId="0" fontId="15" fillId="0" borderId="32" xfId="55" applyBorder="1">
      <alignment/>
      <protection/>
    </xf>
    <xf numFmtId="10" fontId="15" fillId="0" borderId="23" xfId="55" applyNumberFormat="1" applyBorder="1">
      <alignment/>
      <protection/>
    </xf>
    <xf numFmtId="0" fontId="15" fillId="0" borderId="19" xfId="55" applyBorder="1">
      <alignment/>
      <protection/>
    </xf>
    <xf numFmtId="0" fontId="15" fillId="0" borderId="23" xfId="55" applyBorder="1">
      <alignment/>
      <protection/>
    </xf>
    <xf numFmtId="0" fontId="15" fillId="0" borderId="22" xfId="55" applyBorder="1">
      <alignment/>
      <protection/>
    </xf>
    <xf numFmtId="10" fontId="15" fillId="0" borderId="26" xfId="55" applyNumberFormat="1" applyBorder="1">
      <alignment/>
      <protection/>
    </xf>
    <xf numFmtId="0" fontId="15" fillId="0" borderId="24" xfId="55" applyBorder="1">
      <alignment/>
      <protection/>
    </xf>
    <xf numFmtId="0" fontId="15" fillId="0" borderId="0" xfId="55" applyAlignment="1">
      <alignment/>
      <protection/>
    </xf>
    <xf numFmtId="10" fontId="15" fillId="0" borderId="0" xfId="57" applyNumberFormat="1" applyFont="1" applyAlignment="1">
      <alignment/>
    </xf>
    <xf numFmtId="174" fontId="0" fillId="0" borderId="10" xfId="0" applyNumberFormat="1" applyFill="1" applyBorder="1" applyAlignment="1">
      <alignment horizontal="center"/>
    </xf>
    <xf numFmtId="174" fontId="0" fillId="0" borderId="10" xfId="0" applyNumberFormat="1" applyBorder="1" applyAlignment="1">
      <alignment horizontal="center"/>
    </xf>
    <xf numFmtId="174" fontId="0" fillId="16" borderId="10" xfId="0" applyNumberFormat="1" applyFill="1" applyBorder="1" applyAlignment="1">
      <alignment horizontal="center"/>
    </xf>
    <xf numFmtId="189" fontId="15" fillId="0" borderId="0" xfId="55" applyNumberFormat="1">
      <alignment/>
      <protection/>
    </xf>
    <xf numFmtId="189" fontId="6" fillId="26" borderId="33" xfId="55" applyNumberFormat="1" applyFont="1" applyFill="1" applyBorder="1">
      <alignment/>
      <protection/>
    </xf>
    <xf numFmtId="3" fontId="15" fillId="0" borderId="0" xfId="55" applyNumberFormat="1">
      <alignment/>
      <protection/>
    </xf>
    <xf numFmtId="0" fontId="15" fillId="0" borderId="0" xfId="55" applyBorder="1">
      <alignment/>
      <protection/>
    </xf>
    <xf numFmtId="189" fontId="15" fillId="0" borderId="0" xfId="55" applyNumberFormat="1" applyBorder="1">
      <alignment/>
      <protection/>
    </xf>
    <xf numFmtId="189" fontId="15" fillId="0" borderId="33" xfId="55" applyNumberFormat="1" applyBorder="1">
      <alignment/>
      <protection/>
    </xf>
    <xf numFmtId="0" fontId="6" fillId="0" borderId="34" xfId="55" applyFont="1" applyBorder="1" applyAlignment="1">
      <alignment vertical="center"/>
      <protection/>
    </xf>
    <xf numFmtId="0" fontId="6" fillId="0" borderId="0" xfId="55" applyFont="1" applyBorder="1" applyAlignment="1">
      <alignment vertical="center"/>
      <protection/>
    </xf>
    <xf numFmtId="0" fontId="15" fillId="0" borderId="0" xfId="55" applyFont="1" applyBorder="1" applyAlignment="1">
      <alignment horizontal="right" vertical="center"/>
      <protection/>
    </xf>
    <xf numFmtId="0" fontId="15" fillId="0" borderId="11" xfId="55" applyFont="1" applyBorder="1" applyAlignment="1">
      <alignment horizontal="right" vertical="center"/>
      <protection/>
    </xf>
    <xf numFmtId="10" fontId="39" fillId="26" borderId="0" xfId="57" applyNumberFormat="1" applyFont="1" applyFill="1" applyBorder="1" applyAlignment="1">
      <alignment horizontal="right" vertical="center"/>
    </xf>
    <xf numFmtId="170" fontId="40" fillId="0" borderId="11" xfId="53" applyNumberFormat="1" applyFont="1" applyBorder="1" applyAlignment="1">
      <alignment/>
    </xf>
    <xf numFmtId="170" fontId="40" fillId="0" borderId="0" xfId="53" applyNumberFormat="1" applyFont="1" applyBorder="1" applyAlignment="1">
      <alignment/>
    </xf>
    <xf numFmtId="0" fontId="6" fillId="0" borderId="35" xfId="55" applyFont="1" applyBorder="1" applyAlignment="1">
      <alignment vertical="center"/>
      <protection/>
    </xf>
    <xf numFmtId="0" fontId="6" fillId="0" borderId="36" xfId="55" applyFont="1" applyBorder="1" applyAlignment="1">
      <alignment vertical="center"/>
      <protection/>
    </xf>
    <xf numFmtId="0" fontId="15" fillId="0" borderId="36" xfId="55" applyBorder="1" applyAlignment="1">
      <alignment horizontal="right" vertical="center"/>
      <protection/>
    </xf>
    <xf numFmtId="0" fontId="15" fillId="0" borderId="36" xfId="55" applyFont="1" applyBorder="1" applyAlignment="1">
      <alignment vertical="center"/>
      <protection/>
    </xf>
    <xf numFmtId="0" fontId="15" fillId="0" borderId="37" xfId="55" applyFont="1" applyBorder="1" applyAlignment="1">
      <alignment vertical="center"/>
      <protection/>
    </xf>
    <xf numFmtId="190" fontId="15" fillId="0" borderId="0" xfId="57" applyNumberFormat="1" applyFont="1" applyAlignment="1">
      <alignment/>
    </xf>
    <xf numFmtId="0" fontId="15" fillId="0" borderId="0" xfId="55" applyFont="1" applyBorder="1" applyAlignment="1">
      <alignment vertical="center"/>
      <protection/>
    </xf>
    <xf numFmtId="0" fontId="6" fillId="0" borderId="38" xfId="55" applyFont="1" applyBorder="1" applyAlignment="1">
      <alignment horizontal="center" vertical="center"/>
      <protection/>
    </xf>
    <xf numFmtId="0" fontId="6" fillId="0" borderId="0" xfId="55" applyFont="1" applyBorder="1" applyAlignment="1">
      <alignment horizontal="center" vertical="center"/>
      <protection/>
    </xf>
    <xf numFmtId="0" fontId="15" fillId="0" borderId="10" xfId="55" applyBorder="1">
      <alignment/>
      <protection/>
    </xf>
    <xf numFmtId="174" fontId="15" fillId="0" borderId="10" xfId="55" applyNumberFormat="1" applyBorder="1">
      <alignment/>
      <protection/>
    </xf>
    <xf numFmtId="191" fontId="15" fillId="0" borderId="10" xfId="50" applyNumberFormat="1" applyFont="1" applyBorder="1" applyAlignment="1">
      <alignment/>
    </xf>
    <xf numFmtId="0" fontId="41" fillId="0" borderId="0" xfId="55" applyFont="1">
      <alignment/>
      <protection/>
    </xf>
    <xf numFmtId="174" fontId="15" fillId="0" borderId="0" xfId="55" applyNumberFormat="1" applyBorder="1">
      <alignment/>
      <protection/>
    </xf>
    <xf numFmtId="174" fontId="15" fillId="0" borderId="0" xfId="55" applyNumberFormat="1">
      <alignment/>
      <protection/>
    </xf>
    <xf numFmtId="0" fontId="44" fillId="16" borderId="39" xfId="55" applyFont="1" applyFill="1" applyBorder="1" applyAlignment="1">
      <alignment horizontal="center"/>
      <protection/>
    </xf>
    <xf numFmtId="0" fontId="44" fillId="16" borderId="40" xfId="55" applyFont="1" applyFill="1" applyBorder="1" applyAlignment="1">
      <alignment horizontal="center" wrapText="1"/>
      <protection/>
    </xf>
    <xf numFmtId="0" fontId="43" fillId="16" borderId="39" xfId="55" applyFont="1" applyFill="1" applyBorder="1" applyAlignment="1">
      <alignment horizontal="center"/>
      <protection/>
    </xf>
    <xf numFmtId="0" fontId="43" fillId="16" borderId="40" xfId="55" applyFont="1" applyFill="1" applyBorder="1" applyAlignment="1">
      <alignment horizontal="center" wrapText="1"/>
      <protection/>
    </xf>
    <xf numFmtId="0" fontId="43" fillId="16" borderId="41" xfId="55" applyFont="1" applyFill="1" applyBorder="1" applyAlignment="1">
      <alignment horizontal="center"/>
      <protection/>
    </xf>
    <xf numFmtId="0" fontId="43" fillId="16" borderId="14" xfId="55" applyFont="1" applyFill="1" applyBorder="1" applyAlignment="1">
      <alignment horizontal="center" wrapText="1"/>
      <protection/>
    </xf>
    <xf numFmtId="0" fontId="45" fillId="9" borderId="41" xfId="55" applyFont="1" applyFill="1" applyBorder="1">
      <alignment/>
      <protection/>
    </xf>
    <xf numFmtId="0" fontId="45" fillId="9" borderId="14" xfId="55" applyFont="1" applyFill="1" applyBorder="1" applyAlignment="1">
      <alignment horizontal="center" vertical="top"/>
      <protection/>
    </xf>
    <xf numFmtId="0" fontId="45" fillId="9" borderId="14" xfId="55" applyFont="1" applyFill="1" applyBorder="1" applyAlignment="1">
      <alignment wrapText="1"/>
      <protection/>
    </xf>
    <xf numFmtId="0" fontId="45" fillId="9" borderId="14" xfId="55" applyFont="1" applyFill="1" applyBorder="1" applyAlignment="1">
      <alignment horizontal="center" vertical="top" wrapText="1"/>
      <protection/>
    </xf>
    <xf numFmtId="0" fontId="45" fillId="0" borderId="41" xfId="55" applyFont="1" applyBorder="1">
      <alignment/>
      <protection/>
    </xf>
    <xf numFmtId="0" fontId="45" fillId="0" borderId="14" xfId="55" applyFont="1" applyBorder="1" applyAlignment="1">
      <alignment horizontal="center" vertical="top"/>
      <protection/>
    </xf>
    <xf numFmtId="0" fontId="45" fillId="0" borderId="14" xfId="55" applyFont="1" applyBorder="1" applyAlignment="1">
      <alignment wrapText="1"/>
      <protection/>
    </xf>
    <xf numFmtId="0" fontId="45" fillId="0" borderId="14" xfId="55" applyFont="1" applyBorder="1" applyAlignment="1">
      <alignment horizontal="center" vertical="top" wrapText="1"/>
      <protection/>
    </xf>
    <xf numFmtId="0" fontId="11" fillId="0" borderId="0" xfId="55" applyFont="1">
      <alignment/>
      <protection/>
    </xf>
    <xf numFmtId="0" fontId="10" fillId="0" borderId="15" xfId="55" applyFont="1" applyBorder="1">
      <alignment/>
      <protection/>
    </xf>
    <xf numFmtId="0" fontId="10" fillId="0" borderId="42" xfId="55" applyFont="1" applyBorder="1" applyAlignment="1">
      <alignment horizontal="center" vertical="center"/>
      <protection/>
    </xf>
    <xf numFmtId="0" fontId="10" fillId="0" borderId="43" xfId="55" applyFont="1" applyBorder="1" applyAlignment="1">
      <alignment horizontal="center" vertical="center"/>
      <protection/>
    </xf>
    <xf numFmtId="0" fontId="10" fillId="0" borderId="44" xfId="55" applyFont="1" applyBorder="1">
      <alignment/>
      <protection/>
    </xf>
    <xf numFmtId="2" fontId="11" fillId="0" borderId="45" xfId="55" applyNumberFormat="1" applyFont="1" applyBorder="1" applyAlignment="1">
      <alignment horizontal="center"/>
      <protection/>
    </xf>
    <xf numFmtId="4" fontId="11" fillId="0" borderId="46" xfId="55" applyNumberFormat="1" applyFont="1" applyBorder="1" applyAlignment="1">
      <alignment horizontal="center"/>
      <protection/>
    </xf>
    <xf numFmtId="4" fontId="11" fillId="0" borderId="47" xfId="55" applyNumberFormat="1" applyFont="1" applyBorder="1" applyAlignment="1">
      <alignment horizontal="center"/>
      <protection/>
    </xf>
    <xf numFmtId="0" fontId="11" fillId="0" borderId="39" xfId="55" applyFont="1" applyBorder="1" applyAlignment="1">
      <alignment horizontal="left"/>
      <protection/>
    </xf>
    <xf numFmtId="0" fontId="11" fillId="0" borderId="48" xfId="55" applyNumberFormat="1" applyFont="1" applyBorder="1" applyAlignment="1">
      <alignment horizontal="center"/>
      <protection/>
    </xf>
    <xf numFmtId="4" fontId="11" fillId="0" borderId="0" xfId="55" applyNumberFormat="1" applyFont="1" applyBorder="1" applyAlignment="1">
      <alignment horizontal="center"/>
      <protection/>
    </xf>
    <xf numFmtId="4" fontId="11" fillId="0" borderId="40" xfId="55" applyNumberFormat="1" applyFont="1" applyBorder="1" applyAlignment="1">
      <alignment horizontal="center"/>
      <protection/>
    </xf>
    <xf numFmtId="0" fontId="11" fillId="0" borderId="41" xfId="55" applyFont="1" applyBorder="1" applyAlignment="1">
      <alignment horizontal="left"/>
      <protection/>
    </xf>
    <xf numFmtId="0" fontId="11" fillId="0" borderId="13" xfId="55" applyNumberFormat="1" applyFont="1" applyBorder="1" applyAlignment="1">
      <alignment horizontal="center"/>
      <protection/>
    </xf>
    <xf numFmtId="4" fontId="11" fillId="0" borderId="49" xfId="55" applyNumberFormat="1" applyFont="1" applyBorder="1" applyAlignment="1">
      <alignment horizontal="center"/>
      <protection/>
    </xf>
    <xf numFmtId="0" fontId="11" fillId="0" borderId="0" xfId="55" applyNumberFormat="1" applyFont="1" applyBorder="1" applyAlignment="1">
      <alignment horizontal="center"/>
      <protection/>
    </xf>
    <xf numFmtId="0" fontId="10" fillId="0" borderId="15" xfId="55" applyFont="1" applyBorder="1" applyAlignment="1">
      <alignment horizontal="left"/>
      <protection/>
    </xf>
    <xf numFmtId="0" fontId="10" fillId="0" borderId="42" xfId="55" applyNumberFormat="1" applyFont="1" applyBorder="1" applyAlignment="1">
      <alignment horizontal="center"/>
      <protection/>
    </xf>
    <xf numFmtId="4" fontId="10" fillId="0" borderId="42" xfId="55" applyNumberFormat="1" applyFont="1" applyBorder="1" applyAlignment="1">
      <alignment horizontal="center"/>
      <protection/>
    </xf>
    <xf numFmtId="0" fontId="46" fillId="0" borderId="44" xfId="55" applyFont="1" applyBorder="1" applyAlignment="1">
      <alignment horizontal="left"/>
      <protection/>
    </xf>
    <xf numFmtId="0" fontId="11" fillId="0" borderId="45" xfId="55" applyNumberFormat="1" applyFont="1" applyBorder="1" applyAlignment="1">
      <alignment horizontal="center"/>
      <protection/>
    </xf>
    <xf numFmtId="0" fontId="11" fillId="0" borderId="39" xfId="55" applyFont="1" applyBorder="1">
      <alignment/>
      <protection/>
    </xf>
    <xf numFmtId="192" fontId="10" fillId="0" borderId="50" xfId="55" applyNumberFormat="1" applyFont="1" applyBorder="1" applyAlignment="1">
      <alignment horizontal="center"/>
      <protection/>
    </xf>
    <xf numFmtId="4" fontId="10" fillId="0" borderId="43" xfId="55" applyNumberFormat="1" applyFont="1" applyBorder="1" applyAlignment="1">
      <alignment horizontal="center"/>
      <protection/>
    </xf>
    <xf numFmtId="0" fontId="10" fillId="0" borderId="44" xfId="55" applyFont="1" applyBorder="1" applyAlignment="1">
      <alignment horizontal="left"/>
      <protection/>
    </xf>
    <xf numFmtId="4" fontId="10" fillId="0" borderId="46" xfId="55" applyNumberFormat="1" applyFont="1" applyBorder="1" applyAlignment="1">
      <alignment horizontal="center"/>
      <protection/>
    </xf>
    <xf numFmtId="4" fontId="10" fillId="0" borderId="47" xfId="55" applyNumberFormat="1" applyFont="1" applyBorder="1" applyAlignment="1">
      <alignment horizontal="center"/>
      <protection/>
    </xf>
    <xf numFmtId="0" fontId="11" fillId="0" borderId="39" xfId="55" applyFont="1" applyFill="1" applyBorder="1" applyAlignment="1">
      <alignment horizontal="left"/>
      <protection/>
    </xf>
    <xf numFmtId="0" fontId="11" fillId="0" borderId="39" xfId="55" applyFont="1" applyFill="1" applyBorder="1">
      <alignment/>
      <protection/>
    </xf>
    <xf numFmtId="0" fontId="10" fillId="0" borderId="48" xfId="55" applyNumberFormat="1" applyFont="1" applyBorder="1" applyAlignment="1">
      <alignment horizontal="center"/>
      <protection/>
    </xf>
    <xf numFmtId="192" fontId="11" fillId="0" borderId="13" xfId="55" applyNumberFormat="1" applyFont="1" applyBorder="1" applyAlignment="1">
      <alignment horizontal="center"/>
      <protection/>
    </xf>
    <xf numFmtId="4" fontId="11" fillId="0" borderId="14" xfId="55" applyNumberFormat="1" applyFont="1" applyBorder="1" applyAlignment="1">
      <alignment horizontal="center"/>
      <protection/>
    </xf>
    <xf numFmtId="0" fontId="10" fillId="0" borderId="50" xfId="55" applyNumberFormat="1" applyFont="1" applyBorder="1" applyAlignment="1">
      <alignment horizontal="center"/>
      <protection/>
    </xf>
    <xf numFmtId="0" fontId="11" fillId="0" borderId="44" xfId="55" applyFont="1" applyBorder="1">
      <alignment/>
      <protection/>
    </xf>
    <xf numFmtId="192" fontId="11" fillId="0" borderId="48" xfId="55" applyNumberFormat="1" applyFont="1" applyBorder="1" applyAlignment="1">
      <alignment horizontal="center"/>
      <protection/>
    </xf>
    <xf numFmtId="0" fontId="11" fillId="0" borderId="41" xfId="55" applyFont="1" applyBorder="1">
      <alignment/>
      <protection/>
    </xf>
    <xf numFmtId="0" fontId="11" fillId="0" borderId="13" xfId="55" applyFont="1" applyBorder="1" applyAlignment="1">
      <alignment horizontal="center"/>
      <protection/>
    </xf>
    <xf numFmtId="192" fontId="10" fillId="0" borderId="42" xfId="55" applyNumberFormat="1" applyFont="1" applyBorder="1" applyAlignment="1">
      <alignment/>
      <protection/>
    </xf>
    <xf numFmtId="4" fontId="10" fillId="0" borderId="42" xfId="55" applyNumberFormat="1" applyFont="1" applyBorder="1" applyAlignment="1">
      <alignment horizontal="right"/>
      <protection/>
    </xf>
    <xf numFmtId="4" fontId="10" fillId="0" borderId="43" xfId="55" applyNumberFormat="1" applyFont="1" applyBorder="1" applyAlignment="1">
      <alignment horizontal="right"/>
      <protection/>
    </xf>
    <xf numFmtId="0" fontId="11" fillId="0" borderId="0" xfId="55" applyFont="1" applyBorder="1" applyAlignment="1">
      <alignment horizontal="left"/>
      <protection/>
    </xf>
    <xf numFmtId="192" fontId="11" fillId="0" borderId="0" xfId="55" applyNumberFormat="1" applyFont="1" applyFill="1" applyBorder="1" applyAlignment="1">
      <alignment horizontal="center"/>
      <protection/>
    </xf>
    <xf numFmtId="4" fontId="11" fillId="0" borderId="0" xfId="55" applyNumberFormat="1" applyFont="1">
      <alignment/>
      <protection/>
    </xf>
    <xf numFmtId="192" fontId="11" fillId="0" borderId="0" xfId="55" applyNumberFormat="1" applyFont="1">
      <alignment/>
      <protection/>
    </xf>
    <xf numFmtId="9" fontId="11" fillId="0" borderId="0" xfId="55" applyNumberFormat="1" applyFont="1">
      <alignment/>
      <protection/>
    </xf>
    <xf numFmtId="0" fontId="11" fillId="0" borderId="0" xfId="55" applyFont="1" applyBorder="1">
      <alignment/>
      <protection/>
    </xf>
    <xf numFmtId="0" fontId="0" fillId="0" borderId="22" xfId="0" applyBorder="1" applyAlignment="1">
      <alignment horizontal="center"/>
    </xf>
    <xf numFmtId="4" fontId="0" fillId="0" borderId="10" xfId="0" applyNumberFormat="1" applyBorder="1" applyAlignment="1">
      <alignment horizontal="center"/>
    </xf>
    <xf numFmtId="4" fontId="0" fillId="0" borderId="10" xfId="0" applyNumberFormat="1" applyFill="1" applyBorder="1" applyAlignment="1">
      <alignment horizontal="center"/>
    </xf>
    <xf numFmtId="0" fontId="0" fillId="0" borderId="10" xfId="0" applyFill="1" applyBorder="1" applyAlignment="1">
      <alignment horizontal="center"/>
    </xf>
    <xf numFmtId="0" fontId="2" fillId="24" borderId="45" xfId="0" applyFont="1" applyFill="1" applyBorder="1" applyAlignment="1">
      <alignment horizontal="center"/>
    </xf>
    <xf numFmtId="0" fontId="0" fillId="0" borderId="23" xfId="0" applyBorder="1" applyAlignment="1">
      <alignment horizontal="center"/>
    </xf>
    <xf numFmtId="0" fontId="3" fillId="24" borderId="51" xfId="0" applyFont="1" applyFill="1" applyBorder="1" applyAlignment="1">
      <alignment horizontal="center"/>
    </xf>
    <xf numFmtId="0" fontId="3" fillId="24" borderId="52" xfId="0" applyFont="1" applyFill="1" applyBorder="1" applyAlignment="1">
      <alignment horizontal="center"/>
    </xf>
    <xf numFmtId="0" fontId="2" fillId="24" borderId="53" xfId="0" applyFont="1" applyFill="1" applyBorder="1" applyAlignment="1">
      <alignment/>
    </xf>
    <xf numFmtId="172" fontId="0" fillId="0" borderId="23" xfId="0" applyNumberFormat="1" applyBorder="1" applyAlignment="1">
      <alignment/>
    </xf>
    <xf numFmtId="0" fontId="0" fillId="0" borderId="54" xfId="0" applyBorder="1" applyAlignment="1">
      <alignment/>
    </xf>
    <xf numFmtId="0" fontId="2" fillId="24" borderId="13" xfId="0" applyFont="1" applyFill="1" applyBorder="1" applyAlignment="1">
      <alignment horizontal="center"/>
    </xf>
    <xf numFmtId="0" fontId="2" fillId="24" borderId="13" xfId="0" applyFont="1" applyFill="1" applyBorder="1" applyAlignment="1">
      <alignment horizontal="left"/>
    </xf>
    <xf numFmtId="4" fontId="50" fillId="28" borderId="55" xfId="0" applyNumberFormat="1" applyFont="1" applyFill="1" applyBorder="1" applyAlignment="1">
      <alignment/>
    </xf>
    <xf numFmtId="0" fontId="2" fillId="24" borderId="48" xfId="0" applyFont="1" applyFill="1" applyBorder="1" applyAlignment="1">
      <alignment horizontal="center"/>
    </xf>
    <xf numFmtId="0" fontId="2" fillId="24" borderId="56" xfId="0" applyFont="1" applyFill="1" applyBorder="1" applyAlignment="1">
      <alignment horizontal="center"/>
    </xf>
    <xf numFmtId="0" fontId="0" fillId="0" borderId="22" xfId="0" applyBorder="1" applyAlignment="1">
      <alignment horizontal="left"/>
    </xf>
    <xf numFmtId="172" fontId="0" fillId="0" borderId="23" xfId="0" applyNumberFormat="1" applyBorder="1" applyAlignment="1">
      <alignment horizontal="right"/>
    </xf>
    <xf numFmtId="0" fontId="2" fillId="24" borderId="51" xfId="0" applyFont="1" applyFill="1" applyBorder="1" applyAlignment="1">
      <alignment horizontal="left"/>
    </xf>
    <xf numFmtId="172" fontId="2" fillId="24" borderId="57" xfId="0" applyNumberFormat="1" applyFont="1" applyFill="1" applyBorder="1" applyAlignment="1">
      <alignment horizontal="right"/>
    </xf>
    <xf numFmtId="0" fontId="51" fillId="28" borderId="10" xfId="0" applyFont="1" applyFill="1" applyBorder="1" applyAlignment="1">
      <alignment/>
    </xf>
    <xf numFmtId="0" fontId="2" fillId="24" borderId="46" xfId="0" applyFont="1" applyFill="1" applyBorder="1" applyAlignment="1">
      <alignment horizontal="center"/>
    </xf>
    <xf numFmtId="0" fontId="0" fillId="0" borderId="22" xfId="0" applyFont="1" applyBorder="1" applyAlignment="1">
      <alignment/>
    </xf>
    <xf numFmtId="0" fontId="3" fillId="24" borderId="49" xfId="0" applyFont="1" applyFill="1" applyBorder="1" applyAlignment="1">
      <alignment horizontal="center"/>
    </xf>
    <xf numFmtId="0" fontId="2" fillId="24" borderId="58" xfId="0" applyFont="1" applyFill="1" applyBorder="1" applyAlignment="1">
      <alignment horizontal="center"/>
    </xf>
    <xf numFmtId="0" fontId="2" fillId="24" borderId="59" xfId="0" applyFont="1" applyFill="1" applyBorder="1" applyAlignment="1">
      <alignment horizontal="center"/>
    </xf>
    <xf numFmtId="172" fontId="2" fillId="24" borderId="60" xfId="0" applyNumberFormat="1" applyFont="1" applyFill="1" applyBorder="1" applyAlignment="1">
      <alignment/>
    </xf>
    <xf numFmtId="0" fontId="0" fillId="0" borderId="19" xfId="0" applyFont="1" applyBorder="1" applyAlignment="1">
      <alignment/>
    </xf>
    <xf numFmtId="0" fontId="0" fillId="0" borderId="20" xfId="0" applyBorder="1" applyAlignment="1">
      <alignment horizontal="center"/>
    </xf>
    <xf numFmtId="172" fontId="0" fillId="0" borderId="20" xfId="0" applyNumberFormat="1" applyBorder="1" applyAlignment="1">
      <alignment/>
    </xf>
    <xf numFmtId="172" fontId="0" fillId="0" borderId="21" xfId="0" applyNumberFormat="1" applyBorder="1" applyAlignment="1">
      <alignment/>
    </xf>
    <xf numFmtId="0" fontId="0" fillId="0" borderId="24" xfId="0" applyFont="1" applyBorder="1" applyAlignment="1">
      <alignment/>
    </xf>
    <xf numFmtId="0" fontId="0" fillId="0" borderId="25" xfId="0" applyBorder="1" applyAlignment="1">
      <alignment horizontal="center"/>
    </xf>
    <xf numFmtId="172" fontId="0" fillId="0" borderId="25" xfId="0" applyNumberFormat="1" applyBorder="1" applyAlignment="1">
      <alignment/>
    </xf>
    <xf numFmtId="172" fontId="0" fillId="0" borderId="26" xfId="0" applyNumberFormat="1" applyBorder="1" applyAlignment="1">
      <alignment/>
    </xf>
    <xf numFmtId="0" fontId="0" fillId="0" borderId="10" xfId="0" applyBorder="1" applyAlignment="1">
      <alignment horizontal="center" vertical="center"/>
    </xf>
    <xf numFmtId="172" fontId="0" fillId="0" borderId="10" xfId="0" applyNumberFormat="1" applyBorder="1" applyAlignment="1">
      <alignment vertical="center"/>
    </xf>
    <xf numFmtId="172" fontId="0" fillId="0" borderId="23" xfId="0" applyNumberFormat="1" applyBorder="1" applyAlignment="1">
      <alignment vertical="center"/>
    </xf>
    <xf numFmtId="0" fontId="50" fillId="24" borderId="61" xfId="0" applyFont="1" applyFill="1" applyBorder="1" applyAlignment="1">
      <alignment horizontal="center"/>
    </xf>
    <xf numFmtId="0" fontId="2" fillId="24" borderId="62" xfId="0" applyFont="1" applyFill="1" applyBorder="1" applyAlignment="1">
      <alignment horizontal="center"/>
    </xf>
    <xf numFmtId="0" fontId="52" fillId="28" borderId="13" xfId="55" applyFont="1" applyFill="1" applyBorder="1" applyAlignment="1">
      <alignment horizontal="left"/>
      <protection/>
    </xf>
    <xf numFmtId="174" fontId="52" fillId="28" borderId="63" xfId="55" applyNumberFormat="1" applyFont="1" applyFill="1" applyBorder="1">
      <alignment/>
      <protection/>
    </xf>
    <xf numFmtId="0" fontId="52" fillId="28" borderId="45" xfId="55" applyFont="1" applyFill="1" applyBorder="1" applyAlignment="1">
      <alignment horizontal="center"/>
      <protection/>
    </xf>
    <xf numFmtId="0" fontId="52" fillId="28" borderId="64" xfId="55" applyFont="1" applyFill="1" applyBorder="1" applyAlignment="1">
      <alignment horizontal="center"/>
      <protection/>
    </xf>
    <xf numFmtId="0" fontId="15" fillId="0" borderId="10" xfId="55" applyBorder="1" applyAlignment="1">
      <alignment horizontal="center"/>
      <protection/>
    </xf>
    <xf numFmtId="0" fontId="15" fillId="0" borderId="10" xfId="55" applyFill="1" applyBorder="1" applyAlignment="1">
      <alignment horizontal="center"/>
      <protection/>
    </xf>
    <xf numFmtId="0" fontId="50" fillId="28" borderId="45" xfId="55" applyFont="1" applyFill="1" applyBorder="1" applyAlignment="1">
      <alignment horizontal="center"/>
      <protection/>
    </xf>
    <xf numFmtId="0" fontId="50" fillId="28" borderId="64" xfId="55" applyFont="1" applyFill="1" applyBorder="1" applyAlignment="1">
      <alignment horizontal="center"/>
      <protection/>
    </xf>
    <xf numFmtId="0" fontId="47" fillId="0" borderId="10" xfId="55" applyFont="1" applyBorder="1" applyAlignment="1">
      <alignment horizontal="center"/>
      <protection/>
    </xf>
    <xf numFmtId="174" fontId="47" fillId="0" borderId="10" xfId="55" applyNumberFormat="1" applyFont="1" applyBorder="1">
      <alignment/>
      <protection/>
    </xf>
    <xf numFmtId="0" fontId="47" fillId="0" borderId="10" xfId="55" applyFont="1" applyFill="1" applyBorder="1" applyAlignment="1">
      <alignment horizontal="center"/>
      <protection/>
    </xf>
    <xf numFmtId="0" fontId="50" fillId="28" borderId="13" xfId="55" applyFont="1" applyFill="1" applyBorder="1" applyAlignment="1">
      <alignment horizontal="left"/>
      <protection/>
    </xf>
    <xf numFmtId="174" fontId="50" fillId="28" borderId="61" xfId="55" applyNumberFormat="1" applyFont="1" applyFill="1" applyBorder="1">
      <alignment/>
      <protection/>
    </xf>
    <xf numFmtId="192" fontId="11" fillId="0" borderId="48" xfId="55" applyNumberFormat="1" applyFont="1" applyBorder="1" applyAlignment="1">
      <alignment horizontal="right"/>
      <protection/>
    </xf>
    <xf numFmtId="192" fontId="11" fillId="0" borderId="45" xfId="55" applyNumberFormat="1" applyFont="1" applyBorder="1" applyAlignment="1">
      <alignment horizontal="left"/>
      <protection/>
    </xf>
    <xf numFmtId="192" fontId="11" fillId="0" borderId="48" xfId="55" applyNumberFormat="1" applyFont="1" applyBorder="1" applyAlignment="1">
      <alignment horizontal="left"/>
      <protection/>
    </xf>
    <xf numFmtId="0" fontId="11" fillId="0" borderId="0" xfId="55" applyFont="1" applyAlignment="1">
      <alignment horizontal="right"/>
      <protection/>
    </xf>
    <xf numFmtId="0" fontId="11" fillId="0" borderId="48" xfId="55" applyFont="1" applyBorder="1">
      <alignment/>
      <protection/>
    </xf>
    <xf numFmtId="0" fontId="10" fillId="0" borderId="50" xfId="55" applyFont="1" applyBorder="1" applyAlignment="1">
      <alignment horizontal="center" vertical="center"/>
      <protection/>
    </xf>
    <xf numFmtId="4" fontId="11" fillId="0" borderId="45" xfId="55" applyNumberFormat="1" applyFont="1" applyBorder="1" applyAlignment="1">
      <alignment horizontal="center"/>
      <protection/>
    </xf>
    <xf numFmtId="4" fontId="11" fillId="0" borderId="48" xfId="55" applyNumberFormat="1" applyFont="1" applyBorder="1" applyAlignment="1">
      <alignment horizontal="center"/>
      <protection/>
    </xf>
    <xf numFmtId="4" fontId="11" fillId="0" borderId="13" xfId="55" applyNumberFormat="1" applyFont="1" applyBorder="1" applyAlignment="1">
      <alignment horizontal="center"/>
      <protection/>
    </xf>
    <xf numFmtId="4" fontId="10" fillId="0" borderId="50" xfId="55" applyNumberFormat="1" applyFont="1" applyBorder="1" applyAlignment="1">
      <alignment horizontal="center"/>
      <protection/>
    </xf>
    <xf numFmtId="4" fontId="10" fillId="0" borderId="45" xfId="55" applyNumberFormat="1" applyFont="1" applyBorder="1" applyAlignment="1">
      <alignment horizontal="center"/>
      <protection/>
    </xf>
    <xf numFmtId="4" fontId="10" fillId="0" borderId="50" xfId="55" applyNumberFormat="1" applyFont="1" applyBorder="1" applyAlignment="1">
      <alignment horizontal="right"/>
      <protection/>
    </xf>
    <xf numFmtId="4" fontId="10" fillId="29" borderId="65" xfId="55" applyNumberFormat="1" applyFont="1" applyFill="1" applyBorder="1" applyAlignment="1">
      <alignment horizontal="center"/>
      <protection/>
    </xf>
    <xf numFmtId="10" fontId="10" fillId="29" borderId="66" xfId="55" applyNumberFormat="1" applyFont="1" applyFill="1" applyBorder="1" applyAlignment="1">
      <alignment horizontal="center"/>
      <protection/>
    </xf>
    <xf numFmtId="9" fontId="10" fillId="29" borderId="67" xfId="55" applyNumberFormat="1" applyFont="1" applyFill="1" applyBorder="1" applyAlignment="1">
      <alignment horizontal="center"/>
      <protection/>
    </xf>
    <xf numFmtId="0" fontId="10" fillId="29" borderId="68" xfId="55" applyFont="1" applyFill="1" applyBorder="1" applyAlignment="1">
      <alignment horizontal="left"/>
      <protection/>
    </xf>
    <xf numFmtId="0" fontId="10" fillId="29" borderId="69" xfId="55" applyFont="1" applyFill="1" applyBorder="1">
      <alignment/>
      <protection/>
    </xf>
    <xf numFmtId="0" fontId="10" fillId="29" borderId="70" xfId="55" applyFont="1" applyFill="1" applyBorder="1">
      <alignment/>
      <protection/>
    </xf>
    <xf numFmtId="0" fontId="0" fillId="0" borderId="10" xfId="0" applyFont="1" applyBorder="1" applyAlignment="1">
      <alignment/>
    </xf>
    <xf numFmtId="0" fontId="0" fillId="30" borderId="10" xfId="0" applyFill="1" applyBorder="1" applyAlignment="1">
      <alignment horizontal="center"/>
    </xf>
    <xf numFmtId="4" fontId="0" fillId="30" borderId="10" xfId="0" applyNumberFormat="1" applyFill="1" applyBorder="1" applyAlignment="1">
      <alignment horizontal="center"/>
    </xf>
    <xf numFmtId="0" fontId="2" fillId="24" borderId="62" xfId="0" applyFont="1" applyFill="1" applyBorder="1" applyAlignment="1">
      <alignment/>
    </xf>
    <xf numFmtId="0" fontId="0" fillId="0" borderId="0" xfId="0" applyFont="1" applyAlignment="1">
      <alignment/>
    </xf>
    <xf numFmtId="0" fontId="0" fillId="0" borderId="0" xfId="0" applyFont="1" applyAlignment="1">
      <alignment wrapText="1"/>
    </xf>
    <xf numFmtId="4" fontId="0" fillId="0" borderId="0" xfId="0" applyNumberFormat="1" applyAlignment="1">
      <alignment/>
    </xf>
    <xf numFmtId="0" fontId="1" fillId="0" borderId="31" xfId="0" applyFont="1" applyBorder="1" applyAlignment="1">
      <alignment horizontal="center" vertical="center"/>
    </xf>
    <xf numFmtId="0" fontId="1" fillId="0" borderId="71" xfId="0" applyFont="1" applyBorder="1" applyAlignment="1">
      <alignment horizontal="center" vertical="center"/>
    </xf>
    <xf numFmtId="0" fontId="1" fillId="0" borderId="71" xfId="0" applyFont="1" applyBorder="1" applyAlignment="1">
      <alignment horizontal="center" vertical="center" wrapText="1"/>
    </xf>
    <xf numFmtId="0" fontId="1" fillId="0" borderId="32" xfId="0" applyFont="1" applyBorder="1" applyAlignment="1">
      <alignment horizontal="center" vertical="center"/>
    </xf>
    <xf numFmtId="0" fontId="0" fillId="0" borderId="19" xfId="0" applyBorder="1" applyAlignment="1">
      <alignment horizontal="center"/>
    </xf>
    <xf numFmtId="4" fontId="0" fillId="0" borderId="20" xfId="0" applyNumberFormat="1" applyBorder="1" applyAlignment="1">
      <alignment horizontal="center"/>
    </xf>
    <xf numFmtId="4" fontId="0" fillId="0" borderId="21" xfId="0" applyNumberFormat="1" applyBorder="1" applyAlignment="1">
      <alignment horizontal="center"/>
    </xf>
    <xf numFmtId="4" fontId="0" fillId="0" borderId="23" xfId="0" applyNumberFormat="1" applyBorder="1" applyAlignment="1">
      <alignment horizontal="center"/>
    </xf>
    <xf numFmtId="0" fontId="0" fillId="0" borderId="24" xfId="0" applyBorder="1" applyAlignment="1">
      <alignment horizontal="center"/>
    </xf>
    <xf numFmtId="4" fontId="0" fillId="0" borderId="25" xfId="0" applyNumberFormat="1" applyBorder="1" applyAlignment="1">
      <alignment horizontal="center"/>
    </xf>
    <xf numFmtId="4" fontId="0" fillId="0" borderId="26" xfId="0" applyNumberFormat="1" applyBorder="1" applyAlignment="1">
      <alignment horizontal="center"/>
    </xf>
    <xf numFmtId="4" fontId="0" fillId="0" borderId="0" xfId="0" applyNumberFormat="1" applyBorder="1" applyAlignment="1">
      <alignment horizontal="center"/>
    </xf>
    <xf numFmtId="4" fontId="1" fillId="0" borderId="15" xfId="0" applyNumberFormat="1" applyFont="1" applyBorder="1" applyAlignment="1">
      <alignment horizontal="center"/>
    </xf>
    <xf numFmtId="0" fontId="1" fillId="0" borderId="19" xfId="0" applyFont="1" applyBorder="1" applyAlignment="1">
      <alignment horizontal="center" vertical="center" wrapText="1"/>
    </xf>
    <xf numFmtId="4" fontId="0" fillId="0" borderId="21" xfId="0" applyNumberFormat="1" applyBorder="1" applyAlignment="1">
      <alignment/>
    </xf>
    <xf numFmtId="0" fontId="1" fillId="0" borderId="24" xfId="0" applyFont="1" applyBorder="1" applyAlignment="1">
      <alignment horizontal="center" vertical="center" wrapText="1"/>
    </xf>
    <xf numFmtId="173" fontId="1" fillId="0" borderId="24" xfId="0" applyNumberFormat="1" applyFont="1" applyBorder="1" applyAlignment="1">
      <alignment horizontal="center" vertical="center" wrapText="1"/>
    </xf>
    <xf numFmtId="4" fontId="11" fillId="0" borderId="0" xfId="0" applyNumberFormat="1" applyFont="1" applyAlignment="1">
      <alignment/>
    </xf>
    <xf numFmtId="4" fontId="11" fillId="11" borderId="0" xfId="0" applyNumberFormat="1" applyFont="1" applyFill="1" applyAlignment="1">
      <alignment/>
    </xf>
    <xf numFmtId="4" fontId="10" fillId="0" borderId="0" xfId="0" applyNumberFormat="1" applyFont="1" applyAlignment="1">
      <alignment/>
    </xf>
    <xf numFmtId="0" fontId="0" fillId="28" borderId="72" xfId="0" applyFill="1" applyBorder="1" applyAlignment="1">
      <alignment/>
    </xf>
    <xf numFmtId="0" fontId="50" fillId="28" borderId="58" xfId="0" applyFont="1" applyFill="1" applyBorder="1" applyAlignment="1">
      <alignment horizontal="center"/>
    </xf>
    <xf numFmtId="0" fontId="50" fillId="28" borderId="59" xfId="0" applyFont="1" applyFill="1" applyBorder="1" applyAlignment="1">
      <alignment horizontal="center"/>
    </xf>
    <xf numFmtId="0" fontId="6" fillId="0" borderId="24" xfId="0" applyFont="1" applyBorder="1" applyAlignment="1">
      <alignment/>
    </xf>
    <xf numFmtId="173" fontId="0" fillId="0" borderId="23" xfId="0" applyNumberFormat="1" applyBorder="1" applyAlignment="1">
      <alignment/>
    </xf>
    <xf numFmtId="173" fontId="0" fillId="0" borderId="25" xfId="0" applyNumberFormat="1" applyBorder="1" applyAlignment="1">
      <alignment/>
    </xf>
    <xf numFmtId="173" fontId="0" fillId="0" borderId="26" xfId="0" applyNumberFormat="1" applyBorder="1" applyAlignment="1">
      <alignment/>
    </xf>
    <xf numFmtId="0" fontId="0" fillId="28" borderId="45" xfId="0" applyFill="1" applyBorder="1" applyAlignment="1">
      <alignment/>
    </xf>
    <xf numFmtId="0" fontId="51" fillId="28" borderId="64" xfId="0" applyFont="1" applyFill="1" applyBorder="1" applyAlignment="1">
      <alignment horizontal="center"/>
    </xf>
    <xf numFmtId="0" fontId="6" fillId="0" borderId="19" xfId="0" applyFont="1" applyBorder="1" applyAlignment="1">
      <alignment/>
    </xf>
    <xf numFmtId="173" fontId="0" fillId="0" borderId="20" xfId="0" applyNumberFormat="1" applyBorder="1" applyAlignment="1">
      <alignment/>
    </xf>
    <xf numFmtId="173" fontId="0" fillId="0" borderId="21" xfId="0" applyNumberFormat="1" applyBorder="1" applyAlignment="1">
      <alignment/>
    </xf>
    <xf numFmtId="0" fontId="0" fillId="31" borderId="0" xfId="0" applyFill="1" applyAlignment="1">
      <alignment/>
    </xf>
    <xf numFmtId="0" fontId="51" fillId="28" borderId="73" xfId="0" applyFont="1" applyFill="1" applyBorder="1" applyAlignment="1">
      <alignment horizontal="center"/>
    </xf>
    <xf numFmtId="0" fontId="1" fillId="0" borderId="10" xfId="0" applyFont="1" applyBorder="1" applyAlignment="1">
      <alignment horizontal="center" wrapText="1"/>
    </xf>
    <xf numFmtId="0" fontId="0" fillId="22" borderId="12" xfId="0" applyFill="1" applyBorder="1" applyAlignment="1">
      <alignment horizontal="center"/>
    </xf>
    <xf numFmtId="0" fontId="0" fillId="22" borderId="74" xfId="0" applyFill="1" applyBorder="1" applyAlignment="1">
      <alignment horizontal="center"/>
    </xf>
    <xf numFmtId="0" fontId="0" fillId="25" borderId="12" xfId="0" applyFill="1" applyBorder="1" applyAlignment="1">
      <alignment horizontal="center"/>
    </xf>
    <xf numFmtId="0" fontId="0" fillId="25" borderId="74" xfId="0" applyFill="1" applyBorder="1" applyAlignment="1">
      <alignment horizontal="center"/>
    </xf>
    <xf numFmtId="0" fontId="8" fillId="0" borderId="0" xfId="55" applyFont="1" applyBorder="1" applyAlignment="1">
      <alignment horizontal="center" vertical="center"/>
      <protection/>
    </xf>
    <xf numFmtId="0" fontId="15" fillId="0" borderId="0" xfId="55" applyAlignment="1">
      <alignment horizontal="center"/>
      <protection/>
    </xf>
    <xf numFmtId="0" fontId="38" fillId="0" borderId="10" xfId="55" applyFont="1" applyBorder="1" applyAlignment="1">
      <alignment horizontal="center" vertical="center"/>
      <protection/>
    </xf>
    <xf numFmtId="0" fontId="38" fillId="0" borderId="0" xfId="55" applyFont="1" applyBorder="1" applyAlignment="1">
      <alignment horizontal="center" vertical="center"/>
      <protection/>
    </xf>
    <xf numFmtId="0" fontId="43" fillId="23" borderId="13" xfId="55" applyFont="1" applyFill="1" applyBorder="1" applyAlignment="1">
      <alignment horizontal="left" indent="5"/>
      <protection/>
    </xf>
    <xf numFmtId="0" fontId="43" fillId="23" borderId="49" xfId="55" applyFont="1" applyFill="1" applyBorder="1" applyAlignment="1">
      <alignment horizontal="left" indent="5"/>
      <protection/>
    </xf>
    <xf numFmtId="0" fontId="43" fillId="23" borderId="14" xfId="55" applyFont="1" applyFill="1" applyBorder="1" applyAlignment="1">
      <alignment horizontal="left" indent="5"/>
      <protection/>
    </xf>
    <xf numFmtId="0" fontId="43" fillId="32" borderId="50" xfId="55" applyFont="1" applyFill="1" applyBorder="1" applyAlignment="1">
      <alignment horizontal="center"/>
      <protection/>
    </xf>
    <xf numFmtId="0" fontId="43" fillId="32" borderId="43" xfId="55" applyFont="1" applyFill="1" applyBorder="1" applyAlignment="1">
      <alignment horizontal="center"/>
      <protection/>
    </xf>
    <xf numFmtId="0" fontId="43" fillId="32" borderId="50" xfId="55" applyFont="1" applyFill="1" applyBorder="1" applyAlignment="1">
      <alignment horizontal="center" wrapText="1"/>
      <protection/>
    </xf>
    <xf numFmtId="0" fontId="43" fillId="32" borderId="43" xfId="55" applyFont="1" applyFill="1" applyBorder="1" applyAlignment="1">
      <alignment horizontal="center" wrapText="1"/>
      <protection/>
    </xf>
    <xf numFmtId="0" fontId="43" fillId="16" borderId="44" xfId="55" applyFont="1" applyFill="1" applyBorder="1" applyAlignment="1">
      <alignment horizontal="center"/>
      <protection/>
    </xf>
    <xf numFmtId="0" fontId="43" fillId="16" borderId="39" xfId="55" applyFont="1" applyFill="1" applyBorder="1" applyAlignment="1">
      <alignment horizontal="center"/>
      <protection/>
    </xf>
    <xf numFmtId="0" fontId="43" fillId="16" borderId="41" xfId="55" applyFont="1" applyFill="1" applyBorder="1" applyAlignment="1">
      <alignment horizontal="center"/>
      <protection/>
    </xf>
    <xf numFmtId="0" fontId="43" fillId="16" borderId="44" xfId="55" applyFont="1" applyFill="1" applyBorder="1" applyAlignment="1">
      <alignment horizontal="center" wrapText="1"/>
      <protection/>
    </xf>
    <xf numFmtId="0" fontId="43" fillId="16" borderId="39" xfId="55" applyFont="1" applyFill="1" applyBorder="1" applyAlignment="1">
      <alignment horizontal="center" wrapText="1"/>
      <protection/>
    </xf>
    <xf numFmtId="0" fontId="43" fillId="16" borderId="41" xfId="55" applyFont="1" applyFill="1" applyBorder="1" applyAlignment="1">
      <alignment horizontal="center" wrapText="1"/>
      <protection/>
    </xf>
    <xf numFmtId="0" fontId="8" fillId="0" borderId="10" xfId="55" applyFont="1" applyBorder="1" applyAlignment="1">
      <alignment horizontal="center" vertical="center"/>
      <protection/>
    </xf>
    <xf numFmtId="0" fontId="15" fillId="0" borderId="19" xfId="55" applyBorder="1" applyAlignment="1">
      <alignment/>
      <protection/>
    </xf>
    <xf numFmtId="0" fontId="15" fillId="0" borderId="20" xfId="55" applyBorder="1" applyAlignment="1">
      <alignment/>
      <protection/>
    </xf>
    <xf numFmtId="0" fontId="15" fillId="0" borderId="22" xfId="55" applyBorder="1" applyAlignment="1">
      <alignment/>
      <protection/>
    </xf>
    <xf numFmtId="0" fontId="15" fillId="0" borderId="10" xfId="55" applyBorder="1" applyAlignment="1">
      <alignment/>
      <protection/>
    </xf>
    <xf numFmtId="0" fontId="15" fillId="0" borderId="24" xfId="55" applyBorder="1" applyAlignment="1">
      <alignment/>
      <protection/>
    </xf>
    <xf numFmtId="0" fontId="15" fillId="0" borderId="25" xfId="55" applyBorder="1" applyAlignment="1">
      <alignment/>
      <protection/>
    </xf>
    <xf numFmtId="0" fontId="33" fillId="0" borderId="27" xfId="55" applyFont="1" applyBorder="1" applyAlignment="1">
      <alignment horizontal="center" wrapText="1"/>
      <protection/>
    </xf>
    <xf numFmtId="0" fontId="33" fillId="0" borderId="28" xfId="55" applyFont="1" applyBorder="1" applyAlignment="1">
      <alignment horizontal="center" wrapText="1"/>
      <protection/>
    </xf>
    <xf numFmtId="0" fontId="33" fillId="0" borderId="75" xfId="55" applyFont="1" applyBorder="1" applyAlignment="1">
      <alignment horizontal="center" wrapText="1"/>
      <protection/>
    </xf>
    <xf numFmtId="0" fontId="33" fillId="0" borderId="76" xfId="55" applyFont="1" applyBorder="1" applyAlignment="1">
      <alignment horizontal="center" wrapText="1"/>
      <protection/>
    </xf>
    <xf numFmtId="0" fontId="2" fillId="24" borderId="77" xfId="0" applyFont="1" applyFill="1" applyBorder="1" applyAlignment="1">
      <alignment horizontal="center"/>
    </xf>
    <xf numFmtId="0" fontId="2" fillId="24" borderId="78" xfId="0" applyFont="1" applyFill="1" applyBorder="1" applyAlignment="1">
      <alignment horizontal="center"/>
    </xf>
    <xf numFmtId="0" fontId="3" fillId="24" borderId="79" xfId="0" applyFont="1" applyFill="1" applyBorder="1" applyAlignment="1">
      <alignment horizontal="center"/>
    </xf>
    <xf numFmtId="0" fontId="37" fillId="0" borderId="0" xfId="0" applyFont="1" applyBorder="1" applyAlignment="1">
      <alignment horizontal="left" vertical="center"/>
    </xf>
    <xf numFmtId="0" fontId="50" fillId="28" borderId="80" xfId="0" applyFont="1" applyFill="1" applyBorder="1" applyAlignment="1">
      <alignment horizontal="center" vertical="justify" wrapText="1"/>
    </xf>
    <xf numFmtId="0" fontId="50" fillId="28" borderId="81" xfId="0" applyFont="1" applyFill="1" applyBorder="1" applyAlignment="1">
      <alignment horizontal="center" vertical="justify" wrapText="1"/>
    </xf>
    <xf numFmtId="0" fontId="50" fillId="28" borderId="82" xfId="0" applyFont="1" applyFill="1" applyBorder="1" applyAlignment="1">
      <alignment horizontal="center" vertical="justify" wrapText="1"/>
    </xf>
    <xf numFmtId="0" fontId="50" fillId="28" borderId="83" xfId="0" applyFont="1" applyFill="1" applyBorder="1" applyAlignment="1">
      <alignment horizontal="center" vertical="justify" wrapText="1"/>
    </xf>
    <xf numFmtId="0" fontId="50" fillId="28" borderId="84" xfId="0" applyFont="1" applyFill="1" applyBorder="1" applyAlignment="1">
      <alignment horizontal="center" vertical="justify" wrapText="1"/>
    </xf>
    <xf numFmtId="0" fontId="50" fillId="28" borderId="85" xfId="0" applyFont="1" applyFill="1" applyBorder="1" applyAlignment="1">
      <alignment horizontal="center" vertical="justify" wrapText="1"/>
    </xf>
    <xf numFmtId="0" fontId="50" fillId="28" borderId="65" xfId="0" applyFont="1" applyFill="1" applyBorder="1" applyAlignment="1">
      <alignment horizontal="center" vertical="justify" wrapText="1"/>
    </xf>
    <xf numFmtId="0" fontId="50" fillId="28" borderId="66" xfId="0" applyFont="1" applyFill="1" applyBorder="1" applyAlignment="1">
      <alignment horizontal="center" vertical="justify"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_arreglar flujo ultimooo" xfId="50"/>
    <cellStyle name="Currency" xfId="51"/>
    <cellStyle name="Currency [0]" xfId="52"/>
    <cellStyle name="Moneda_arreglar flujo ultimooo" xfId="53"/>
    <cellStyle name="Neutral" xfId="54"/>
    <cellStyle name="Normal_arreglar flujo ultimooo"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12</xdr:row>
      <xdr:rowOff>19050</xdr:rowOff>
    </xdr:from>
    <xdr:to>
      <xdr:col>8</xdr:col>
      <xdr:colOff>438150</xdr:colOff>
      <xdr:row>23</xdr:row>
      <xdr:rowOff>85725</xdr:rowOff>
    </xdr:to>
    <xdr:pic>
      <xdr:nvPicPr>
        <xdr:cNvPr id="1" name="Picture 21"/>
        <xdr:cNvPicPr preferRelativeResize="1">
          <a:picLocks noChangeAspect="1"/>
        </xdr:cNvPicPr>
      </xdr:nvPicPr>
      <xdr:blipFill>
        <a:blip r:embed="rId1"/>
        <a:stretch>
          <a:fillRect/>
        </a:stretch>
      </xdr:blipFill>
      <xdr:spPr>
        <a:xfrm>
          <a:off x="542925" y="2276475"/>
          <a:ext cx="6000750" cy="2162175"/>
        </a:xfrm>
        <a:prstGeom prst="rect">
          <a:avLst/>
        </a:prstGeom>
        <a:noFill/>
        <a:ln w="9525" cmpd="sng">
          <a:noFill/>
        </a:ln>
      </xdr:spPr>
    </xdr:pic>
    <xdr:clientData/>
  </xdr:twoCellAnchor>
  <xdr:twoCellAnchor editAs="oneCell">
    <xdr:from>
      <xdr:col>8</xdr:col>
      <xdr:colOff>419100</xdr:colOff>
      <xdr:row>12</xdr:row>
      <xdr:rowOff>66675</xdr:rowOff>
    </xdr:from>
    <xdr:to>
      <xdr:col>13</xdr:col>
      <xdr:colOff>276225</xdr:colOff>
      <xdr:row>24</xdr:row>
      <xdr:rowOff>180975</xdr:rowOff>
    </xdr:to>
    <xdr:pic>
      <xdr:nvPicPr>
        <xdr:cNvPr id="2" name="Picture 2"/>
        <xdr:cNvPicPr preferRelativeResize="1">
          <a:picLocks noChangeAspect="1"/>
        </xdr:cNvPicPr>
      </xdr:nvPicPr>
      <xdr:blipFill>
        <a:blip r:embed="rId2"/>
        <a:stretch>
          <a:fillRect/>
        </a:stretch>
      </xdr:blipFill>
      <xdr:spPr>
        <a:xfrm>
          <a:off x="6524625" y="2324100"/>
          <a:ext cx="3695700" cy="2400300"/>
        </a:xfrm>
        <a:prstGeom prst="rect">
          <a:avLst/>
        </a:prstGeom>
        <a:noFill/>
        <a:ln w="9525" cmpd="sng">
          <a:noFill/>
        </a:ln>
      </xdr:spPr>
    </xdr:pic>
    <xdr:clientData/>
  </xdr:twoCellAnchor>
  <xdr:twoCellAnchor editAs="oneCell">
    <xdr:from>
      <xdr:col>0</xdr:col>
      <xdr:colOff>0</xdr:colOff>
      <xdr:row>0</xdr:row>
      <xdr:rowOff>0</xdr:rowOff>
    </xdr:from>
    <xdr:to>
      <xdr:col>4</xdr:col>
      <xdr:colOff>95250</xdr:colOff>
      <xdr:row>1</xdr:row>
      <xdr:rowOff>114300</xdr:rowOff>
    </xdr:to>
    <xdr:pic>
      <xdr:nvPicPr>
        <xdr:cNvPr id="3" name="Picture 4"/>
        <xdr:cNvPicPr preferRelativeResize="1">
          <a:picLocks noChangeAspect="1"/>
        </xdr:cNvPicPr>
      </xdr:nvPicPr>
      <xdr:blipFill>
        <a:blip r:embed="rId3"/>
        <a:stretch>
          <a:fillRect/>
        </a:stretch>
      </xdr:blipFill>
      <xdr:spPr>
        <a:xfrm>
          <a:off x="0" y="0"/>
          <a:ext cx="3152775" cy="304800"/>
        </a:xfrm>
        <a:prstGeom prst="rect">
          <a:avLst/>
        </a:prstGeom>
        <a:noFill/>
        <a:ln w="9525" cmpd="sng">
          <a:noFill/>
        </a:ln>
      </xdr:spPr>
    </xdr:pic>
    <xdr:clientData/>
  </xdr:twoCellAnchor>
  <xdr:twoCellAnchor editAs="oneCell">
    <xdr:from>
      <xdr:col>0</xdr:col>
      <xdr:colOff>0</xdr:colOff>
      <xdr:row>0</xdr:row>
      <xdr:rowOff>0</xdr:rowOff>
    </xdr:from>
    <xdr:to>
      <xdr:col>4</xdr:col>
      <xdr:colOff>95250</xdr:colOff>
      <xdr:row>1</xdr:row>
      <xdr:rowOff>114300</xdr:rowOff>
    </xdr:to>
    <xdr:pic>
      <xdr:nvPicPr>
        <xdr:cNvPr id="4" name="Picture 6"/>
        <xdr:cNvPicPr preferRelativeResize="1">
          <a:picLocks noChangeAspect="1"/>
        </xdr:cNvPicPr>
      </xdr:nvPicPr>
      <xdr:blipFill>
        <a:blip r:embed="rId3"/>
        <a:stretch>
          <a:fillRect/>
        </a:stretch>
      </xdr:blipFill>
      <xdr:spPr>
        <a:xfrm>
          <a:off x="0" y="0"/>
          <a:ext cx="3152775" cy="304800"/>
        </a:xfrm>
        <a:prstGeom prst="rect">
          <a:avLst/>
        </a:prstGeom>
        <a:noFill/>
        <a:ln w="9525" cmpd="sng">
          <a:noFill/>
        </a:ln>
      </xdr:spPr>
    </xdr:pic>
    <xdr:clientData/>
  </xdr:twoCellAnchor>
  <xdr:twoCellAnchor editAs="oneCell">
    <xdr:from>
      <xdr:col>7</xdr:col>
      <xdr:colOff>485775</xdr:colOff>
      <xdr:row>11</xdr:row>
      <xdr:rowOff>76200</xdr:rowOff>
    </xdr:from>
    <xdr:to>
      <xdr:col>11</xdr:col>
      <xdr:colOff>561975</xdr:colOff>
      <xdr:row>13</xdr:row>
      <xdr:rowOff>0</xdr:rowOff>
    </xdr:to>
    <xdr:pic>
      <xdr:nvPicPr>
        <xdr:cNvPr id="5" name="Picture 12"/>
        <xdr:cNvPicPr preferRelativeResize="1">
          <a:picLocks noChangeAspect="1"/>
        </xdr:cNvPicPr>
      </xdr:nvPicPr>
      <xdr:blipFill>
        <a:blip r:embed="rId3"/>
        <a:stretch>
          <a:fillRect/>
        </a:stretch>
      </xdr:blipFill>
      <xdr:spPr>
        <a:xfrm>
          <a:off x="5829300" y="2143125"/>
          <a:ext cx="3152775" cy="304800"/>
        </a:xfrm>
        <a:prstGeom prst="rect">
          <a:avLst/>
        </a:prstGeom>
        <a:noFill/>
        <a:ln w="9525" cmpd="sng">
          <a:noFill/>
        </a:ln>
      </xdr:spPr>
    </xdr:pic>
    <xdr:clientData/>
  </xdr:twoCellAnchor>
  <xdr:twoCellAnchor editAs="oneCell">
    <xdr:from>
      <xdr:col>7</xdr:col>
      <xdr:colOff>533400</xdr:colOff>
      <xdr:row>0</xdr:row>
      <xdr:rowOff>0</xdr:rowOff>
    </xdr:from>
    <xdr:to>
      <xdr:col>11</xdr:col>
      <xdr:colOff>561975</xdr:colOff>
      <xdr:row>8</xdr:row>
      <xdr:rowOff>85725</xdr:rowOff>
    </xdr:to>
    <xdr:pic>
      <xdr:nvPicPr>
        <xdr:cNvPr id="6" name="Picture 2"/>
        <xdr:cNvPicPr preferRelativeResize="1">
          <a:picLocks noChangeAspect="1"/>
        </xdr:cNvPicPr>
      </xdr:nvPicPr>
      <xdr:blipFill>
        <a:blip r:embed="rId4"/>
        <a:stretch>
          <a:fillRect/>
        </a:stretch>
      </xdr:blipFill>
      <xdr:spPr>
        <a:xfrm>
          <a:off x="5876925" y="0"/>
          <a:ext cx="3105150" cy="1609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1104900</xdr:colOff>
      <xdr:row>18</xdr:row>
      <xdr:rowOff>9525</xdr:rowOff>
    </xdr:from>
    <xdr:to>
      <xdr:col>3</xdr:col>
      <xdr:colOff>733425</xdr:colOff>
      <xdr:row>18</xdr:row>
      <xdr:rowOff>142875</xdr:rowOff>
    </xdr:to>
    <xdr:sp>
      <xdr:nvSpPr>
        <xdr:cNvPr id="1" name="2 Conector recto de flecha"/>
        <xdr:cNvSpPr>
          <a:spLocks/>
        </xdr:cNvSpPr>
      </xdr:nvSpPr>
      <xdr:spPr>
        <a:xfrm>
          <a:off x="3657600" y="3438525"/>
          <a:ext cx="1057275" cy="133350"/>
        </a:xfrm>
        <a:prstGeom prst="straightConnector1">
          <a:avLst/>
        </a:prstGeom>
        <a:noFill/>
        <a:ln w="9525" cmpd="sng">
          <a:solidFill>
            <a:srgbClr val="0D0D0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hinojos\Escritorio\arreglar%20flujo%20ultimoo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versión"/>
      <sheetName val="Costos Variables"/>
      <sheetName val="Costos Fijos"/>
      <sheetName val="Depreciación"/>
      <sheetName val="Capital de Trabajo"/>
      <sheetName val="CAPM"/>
      <sheetName val="Préstamo"/>
      <sheetName val="Hoja1"/>
      <sheetName val="Hoja6"/>
      <sheetName val="Flujo de Caja"/>
      <sheetName val="Hoja2"/>
      <sheetName val="Hoja3"/>
      <sheetName val="Hoja4"/>
      <sheetName val="Hoja5"/>
    </sheetNames>
    <sheetDataSet>
      <sheetData sheetId="1">
        <row r="36">
          <cell r="G36">
            <v>460.2075488853334</v>
          </cell>
        </row>
      </sheetData>
      <sheetData sheetId="2">
        <row r="11">
          <cell r="B11">
            <v>9.99</v>
          </cell>
        </row>
        <row r="12">
          <cell r="A12" t="str">
            <v>HOSTING</v>
          </cell>
          <cell r="B12">
            <v>149</v>
          </cell>
        </row>
        <row r="15">
          <cell r="B15">
            <v>76021.83760000001</v>
          </cell>
        </row>
      </sheetData>
      <sheetData sheetId="5">
        <row r="11">
          <cell r="D11">
            <v>0.115702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html.rincondelvago.com/clasificacion-de-cuentas-contables.html" TargetMode="External" /><Relationship Id="rId2"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5:M42"/>
  <sheetViews>
    <sheetView zoomScalePageLayoutView="0" workbookViewId="0" topLeftCell="A11">
      <selection activeCell="B40" sqref="B40"/>
    </sheetView>
  </sheetViews>
  <sheetFormatPr defaultColWidth="11.421875" defaultRowHeight="12.75"/>
  <cols>
    <col min="1" max="1" width="1.1484375" style="164" customWidth="1"/>
    <col min="2" max="2" width="28.28125" style="164" customWidth="1"/>
    <col min="3" max="3" width="15.7109375" style="164" customWidth="1"/>
    <col min="4" max="13" width="14.421875" style="164" customWidth="1"/>
    <col min="14" max="16384" width="11.421875" style="164" customWidth="1"/>
  </cols>
  <sheetData>
    <row r="4" ht="13.5" thickBot="1"/>
    <row r="5" spans="2:13" ht="13.5" thickBot="1">
      <c r="B5" s="165" t="s">
        <v>215</v>
      </c>
      <c r="C5" s="166">
        <v>0</v>
      </c>
      <c r="D5" s="166">
        <v>1</v>
      </c>
      <c r="E5" s="166">
        <v>2</v>
      </c>
      <c r="F5" s="167">
        <v>3</v>
      </c>
      <c r="G5" s="268">
        <v>4</v>
      </c>
      <c r="H5" s="166">
        <v>5</v>
      </c>
      <c r="I5" s="166">
        <v>6</v>
      </c>
      <c r="J5" s="167">
        <v>7</v>
      </c>
      <c r="K5" s="268">
        <v>8</v>
      </c>
      <c r="L5" s="166">
        <v>9</v>
      </c>
      <c r="M5" s="167">
        <v>10</v>
      </c>
    </row>
    <row r="6" spans="2:13" ht="12.75">
      <c r="B6" s="168" t="s">
        <v>216</v>
      </c>
      <c r="C6" s="169"/>
      <c r="D6" s="170"/>
      <c r="E6" s="170"/>
      <c r="F6" s="171"/>
      <c r="G6" s="269"/>
      <c r="H6" s="170"/>
      <c r="I6" s="170"/>
      <c r="J6" s="171"/>
      <c r="K6" s="269"/>
      <c r="L6" s="170"/>
      <c r="M6" s="171"/>
    </row>
    <row r="7" spans="2:13" ht="12.75">
      <c r="B7" s="172" t="s">
        <v>217</v>
      </c>
      <c r="C7" s="173"/>
      <c r="D7" s="174">
        <f>Demanda!B17</f>
        <v>164440.017882624</v>
      </c>
      <c r="E7" s="174">
        <f>(1+Demanda!$B$18)*(Demanda!$B$14)*(Demanda!$B$15*12)</f>
        <v>167728.8182402765</v>
      </c>
      <c r="F7" s="175">
        <f>(1+Demanda!$B$18)*'Flujo de Caja (3)'!E7</f>
        <v>171083.39460508205</v>
      </c>
      <c r="G7" s="270">
        <f>(1+Demanda!$B$18)*'Flujo de Caja (3)'!F7</f>
        <v>174505.0624971837</v>
      </c>
      <c r="H7" s="174">
        <f>(1+Demanda!$B$18)*'Flujo de Caja (3)'!G7</f>
        <v>177995.1637471274</v>
      </c>
      <c r="I7" s="174">
        <f>(1+Demanda!$B$18)*'Flujo de Caja (3)'!H7</f>
        <v>181555.06702206994</v>
      </c>
      <c r="J7" s="175">
        <f>(1+Demanda!$B$18)*'Flujo de Caja (3)'!I7</f>
        <v>185186.16836251135</v>
      </c>
      <c r="K7" s="270">
        <f>(1+Demanda!$B$18)*'Flujo de Caja (3)'!J7</f>
        <v>188889.89172976158</v>
      </c>
      <c r="L7" s="174">
        <f>(1+Demanda!$B$18)*'Flujo de Caja (3)'!K7</f>
        <v>192667.6895643568</v>
      </c>
      <c r="M7" s="175">
        <f>(1+Demanda!$B$18)*'Flujo de Caja (3)'!L7</f>
        <v>196521.04335564395</v>
      </c>
    </row>
    <row r="8" spans="2:13" ht="14.25" customHeight="1" thickBot="1">
      <c r="B8" s="176" t="s">
        <v>218</v>
      </c>
      <c r="C8" s="177"/>
      <c r="D8" s="178">
        <f>D7*20%</f>
        <v>32888.0035765248</v>
      </c>
      <c r="E8" s="178">
        <f aca="true" t="shared" si="0" ref="E8:M8">E7*20%</f>
        <v>33545.763648055305</v>
      </c>
      <c r="F8" s="195">
        <f t="shared" si="0"/>
        <v>34216.67892101641</v>
      </c>
      <c r="G8" s="271">
        <f t="shared" si="0"/>
        <v>34901.01249943674</v>
      </c>
      <c r="H8" s="178">
        <f t="shared" si="0"/>
        <v>35599.03274942548</v>
      </c>
      <c r="I8" s="178">
        <f t="shared" si="0"/>
        <v>36311.01340441399</v>
      </c>
      <c r="J8" s="195">
        <f t="shared" si="0"/>
        <v>37037.23367250227</v>
      </c>
      <c r="K8" s="271">
        <f t="shared" si="0"/>
        <v>37777.97834595232</v>
      </c>
      <c r="L8" s="178">
        <f t="shared" si="0"/>
        <v>38533.53791287136</v>
      </c>
      <c r="M8" s="195">
        <f t="shared" si="0"/>
        <v>39304.20867112879</v>
      </c>
    </row>
    <row r="9" spans="2:13" ht="13.5" hidden="1" thickBot="1">
      <c r="B9" s="267"/>
      <c r="C9" s="179"/>
      <c r="D9" s="174"/>
      <c r="E9" s="174"/>
      <c r="F9" s="175"/>
      <c r="G9" s="270"/>
      <c r="H9" s="174"/>
      <c r="I9" s="174"/>
      <c r="J9" s="175"/>
      <c r="K9" s="270"/>
      <c r="L9" s="174"/>
      <c r="M9" s="175"/>
    </row>
    <row r="10" spans="2:13" ht="0.75" customHeight="1" hidden="1" thickBot="1">
      <c r="B10" s="267"/>
      <c r="C10" s="179"/>
      <c r="D10" s="174"/>
      <c r="E10" s="174"/>
      <c r="F10" s="175"/>
      <c r="G10" s="270"/>
      <c r="H10" s="174"/>
      <c r="I10" s="174"/>
      <c r="J10" s="175"/>
      <c r="K10" s="270"/>
      <c r="L10" s="174"/>
      <c r="M10" s="175"/>
    </row>
    <row r="11" spans="2:13" ht="13.5" thickBot="1">
      <c r="B11" s="180" t="s">
        <v>219</v>
      </c>
      <c r="C11" s="181"/>
      <c r="D11" s="182">
        <f aca="true" t="shared" si="1" ref="D11:M11">SUM(D7:D8)</f>
        <v>197328.0214591488</v>
      </c>
      <c r="E11" s="182">
        <f t="shared" si="1"/>
        <v>201274.5818883318</v>
      </c>
      <c r="F11" s="187">
        <f t="shared" si="1"/>
        <v>205300.07352609845</v>
      </c>
      <c r="G11" s="272">
        <f t="shared" si="1"/>
        <v>209406.07499662045</v>
      </c>
      <c r="H11" s="182">
        <f t="shared" si="1"/>
        <v>213594.19649655288</v>
      </c>
      <c r="I11" s="182">
        <f t="shared" si="1"/>
        <v>217866.08042648394</v>
      </c>
      <c r="J11" s="187">
        <f t="shared" si="1"/>
        <v>222223.40203501363</v>
      </c>
      <c r="K11" s="272">
        <f t="shared" si="1"/>
        <v>226667.8700757139</v>
      </c>
      <c r="L11" s="182">
        <f t="shared" si="1"/>
        <v>231201.22747722818</v>
      </c>
      <c r="M11" s="187">
        <f t="shared" si="1"/>
        <v>235825.25202677274</v>
      </c>
    </row>
    <row r="12" spans="2:13" ht="12.75">
      <c r="B12" s="183" t="s">
        <v>220</v>
      </c>
      <c r="C12" s="184"/>
      <c r="D12" s="170"/>
      <c r="E12" s="170"/>
      <c r="F12" s="171"/>
      <c r="G12" s="269"/>
      <c r="H12" s="170"/>
      <c r="I12" s="170"/>
      <c r="J12" s="171"/>
      <c r="K12" s="269"/>
      <c r="L12" s="170"/>
      <c r="M12" s="171"/>
    </row>
    <row r="13" spans="2:13" ht="12.75">
      <c r="B13" s="185" t="s">
        <v>221</v>
      </c>
      <c r="C13" s="173"/>
      <c r="D13" s="174">
        <f>'COSTOS VARIABLES'!$D$18</f>
        <v>62584.890586624</v>
      </c>
      <c r="E13" s="174">
        <f>(1+Demanda!$B$18)*'Flujo de Caja (3)'!D13</f>
        <v>63836.588398356485</v>
      </c>
      <c r="F13" s="175">
        <f>(1+Demanda!$B$18)*'Flujo de Caja (3)'!E13</f>
        <v>65113.32016632362</v>
      </c>
      <c r="G13" s="270">
        <f>(1+Demanda!$B$18)*'Flujo de Caja (3)'!F13</f>
        <v>66415.58656965008</v>
      </c>
      <c r="H13" s="174">
        <f>(1+Demanda!$B$18)*'Flujo de Caja (3)'!G13</f>
        <v>67743.89830104308</v>
      </c>
      <c r="I13" s="174">
        <f>(1+Demanda!$B$18)*'Flujo de Caja (3)'!H13</f>
        <v>69098.77626706395</v>
      </c>
      <c r="J13" s="175">
        <f>(1+Demanda!$B$18)*'Flujo de Caja (3)'!I13</f>
        <v>70480.75179240522</v>
      </c>
      <c r="K13" s="270">
        <f>(1+Demanda!$B$18)*'Flujo de Caja (3)'!J13</f>
        <v>71890.36682825333</v>
      </c>
      <c r="L13" s="174">
        <f>(1+Demanda!$B$18)*'Flujo de Caja (3)'!K13</f>
        <v>73328.1741648184</v>
      </c>
      <c r="M13" s="175">
        <f>(1+Demanda!$B$18)*'Flujo de Caja (3)'!L13</f>
        <v>74794.73764811477</v>
      </c>
    </row>
    <row r="14" spans="2:13" ht="13.5" thickBot="1">
      <c r="B14" s="185" t="s">
        <v>222</v>
      </c>
      <c r="C14" s="173"/>
      <c r="D14" s="174">
        <f>'COSTOS FIJOS'!$F$31</f>
        <v>78541.83760000001</v>
      </c>
      <c r="E14" s="174">
        <f>'COSTOS FIJOS'!$F$31</f>
        <v>78541.83760000001</v>
      </c>
      <c r="F14" s="175">
        <f>'COSTOS FIJOS'!$F$31</f>
        <v>78541.83760000001</v>
      </c>
      <c r="G14" s="270">
        <f>'COSTOS FIJOS'!$F$31</f>
        <v>78541.83760000001</v>
      </c>
      <c r="H14" s="174">
        <f>'COSTOS FIJOS'!$F$31</f>
        <v>78541.83760000001</v>
      </c>
      <c r="I14" s="174">
        <f>'COSTOS FIJOS'!$F$31</f>
        <v>78541.83760000001</v>
      </c>
      <c r="J14" s="175">
        <f>'COSTOS FIJOS'!$F$31</f>
        <v>78541.83760000001</v>
      </c>
      <c r="K14" s="270">
        <f>'COSTOS FIJOS'!$F$31</f>
        <v>78541.83760000001</v>
      </c>
      <c r="L14" s="174">
        <f>'COSTOS FIJOS'!$F$31</f>
        <v>78541.83760000001</v>
      </c>
      <c r="M14" s="175">
        <f>'COSTOS FIJOS'!$F$31</f>
        <v>78541.83760000001</v>
      </c>
    </row>
    <row r="15" spans="2:13" ht="13.5" thickBot="1">
      <c r="B15" s="180" t="s">
        <v>223</v>
      </c>
      <c r="C15" s="186"/>
      <c r="D15" s="182">
        <f aca="true" t="shared" si="2" ref="D15:M15">SUM(D13:D14)</f>
        <v>141126.728186624</v>
      </c>
      <c r="E15" s="182">
        <f t="shared" si="2"/>
        <v>142378.42599835648</v>
      </c>
      <c r="F15" s="187">
        <f t="shared" si="2"/>
        <v>143655.15776632362</v>
      </c>
      <c r="G15" s="272">
        <f t="shared" si="2"/>
        <v>144957.4241696501</v>
      </c>
      <c r="H15" s="182">
        <f t="shared" si="2"/>
        <v>146285.7359010431</v>
      </c>
      <c r="I15" s="182">
        <f t="shared" si="2"/>
        <v>147640.61386706395</v>
      </c>
      <c r="J15" s="187">
        <f t="shared" si="2"/>
        <v>149022.58939240524</v>
      </c>
      <c r="K15" s="272">
        <f t="shared" si="2"/>
        <v>150432.20442825335</v>
      </c>
      <c r="L15" s="182">
        <f t="shared" si="2"/>
        <v>151870.0117648184</v>
      </c>
      <c r="M15" s="187">
        <f t="shared" si="2"/>
        <v>153336.57524811476</v>
      </c>
    </row>
    <row r="16" spans="2:13" ht="12" customHeight="1">
      <c r="B16" s="188" t="s">
        <v>224</v>
      </c>
      <c r="C16" s="184"/>
      <c r="D16" s="189">
        <f aca="true" t="shared" si="3" ref="D16:M16">(D11-D15)</f>
        <v>56201.29327252478</v>
      </c>
      <c r="E16" s="189">
        <f t="shared" si="3"/>
        <v>58896.155889975314</v>
      </c>
      <c r="F16" s="190">
        <f t="shared" si="3"/>
        <v>61644.91575977483</v>
      </c>
      <c r="G16" s="273">
        <f t="shared" si="3"/>
        <v>64448.65082697035</v>
      </c>
      <c r="H16" s="189">
        <f t="shared" si="3"/>
        <v>67308.46059550976</v>
      </c>
      <c r="I16" s="189">
        <f t="shared" si="3"/>
        <v>70225.46655941999</v>
      </c>
      <c r="J16" s="190">
        <f t="shared" si="3"/>
        <v>73200.81264260839</v>
      </c>
      <c r="K16" s="273">
        <f t="shared" si="3"/>
        <v>76235.66564746056</v>
      </c>
      <c r="L16" s="189">
        <f t="shared" si="3"/>
        <v>79331.21571240979</v>
      </c>
      <c r="M16" s="190">
        <f t="shared" si="3"/>
        <v>82488.67677865797</v>
      </c>
    </row>
    <row r="17" spans="2:13" ht="12.75" hidden="1">
      <c r="B17" s="185"/>
      <c r="C17" s="173"/>
      <c r="D17" s="174"/>
      <c r="E17" s="174"/>
      <c r="F17" s="175"/>
      <c r="G17" s="270"/>
      <c r="H17" s="174"/>
      <c r="I17" s="174"/>
      <c r="J17" s="175"/>
      <c r="K17" s="270"/>
      <c r="L17" s="174"/>
      <c r="M17" s="175"/>
    </row>
    <row r="18" spans="2:13" ht="12.75">
      <c r="B18" s="191" t="s">
        <v>225</v>
      </c>
      <c r="C18" s="173"/>
      <c r="D18" s="174">
        <f>Hoja7!D19</f>
        <v>16</v>
      </c>
      <c r="E18" s="174">
        <f>Hoja7!E19</f>
        <v>16</v>
      </c>
      <c r="F18" s="175">
        <f>Hoja7!F19</f>
        <v>16</v>
      </c>
      <c r="G18" s="270">
        <f>Hoja7!G19</f>
        <v>16</v>
      </c>
      <c r="H18" s="174">
        <f>Hoja7!H19</f>
        <v>16</v>
      </c>
      <c r="I18" s="174">
        <f>Hoja7!I19</f>
        <v>16</v>
      </c>
      <c r="J18" s="175">
        <f>Hoja7!J19</f>
        <v>16</v>
      </c>
      <c r="K18" s="270">
        <f>Hoja7!K19</f>
        <v>16</v>
      </c>
      <c r="L18" s="174">
        <f>Hoja7!L19</f>
        <v>16</v>
      </c>
      <c r="M18" s="175">
        <f>Hoja7!M19</f>
        <v>16</v>
      </c>
    </row>
    <row r="19" spans="2:13" ht="12.75">
      <c r="B19" s="192" t="s">
        <v>226</v>
      </c>
      <c r="C19" s="173"/>
      <c r="D19" s="174">
        <f>Hoja7!D28</f>
        <v>15.156</v>
      </c>
      <c r="E19" s="174">
        <f>Hoja7!E28</f>
        <v>15.156</v>
      </c>
      <c r="F19" s="175">
        <f>Hoja7!F28</f>
        <v>15.156</v>
      </c>
      <c r="G19" s="270">
        <f>Hoja7!G28</f>
        <v>15.156</v>
      </c>
      <c r="H19" s="174">
        <f>Hoja7!H28</f>
        <v>15.156</v>
      </c>
      <c r="I19" s="174">
        <f>Hoja7!I28</f>
        <v>15.156</v>
      </c>
      <c r="J19" s="175">
        <f>Hoja7!J28</f>
        <v>15.156</v>
      </c>
      <c r="K19" s="270">
        <f>Hoja7!K28</f>
        <v>15.156</v>
      </c>
      <c r="L19" s="174">
        <f>Hoja7!L28</f>
        <v>15.156</v>
      </c>
      <c r="M19" s="175">
        <f>Hoja7!M28</f>
        <v>15.156</v>
      </c>
    </row>
    <row r="20" spans="2:13" ht="12.75">
      <c r="B20" s="191" t="s">
        <v>227</v>
      </c>
      <c r="C20" s="193"/>
      <c r="D20" s="174">
        <f>Préstamo!L14</f>
        <v>3182.5689637486357</v>
      </c>
      <c r="E20" s="174">
        <f>Préstamo!L15</f>
        <v>2824.7210379889752</v>
      </c>
      <c r="F20" s="175">
        <f>Préstamo!L16</f>
        <v>2427.5098403957527</v>
      </c>
      <c r="G20" s="270">
        <f>Préstamo!L17</f>
        <v>1986.6054110672756</v>
      </c>
      <c r="H20" s="174">
        <f>Préstamo!L18</f>
        <v>1497.2014945126652</v>
      </c>
      <c r="I20" s="174">
        <f>Préstamo!L19</f>
        <v>953.9631471370483</v>
      </c>
      <c r="J20" s="175">
        <f>Préstamo!L20</f>
        <v>350.9685815501134</v>
      </c>
      <c r="K20" s="270">
        <v>0</v>
      </c>
      <c r="L20" s="174">
        <v>0</v>
      </c>
      <c r="M20" s="175">
        <v>0</v>
      </c>
    </row>
    <row r="21" spans="2:13" ht="12.75" hidden="1">
      <c r="B21" s="185"/>
      <c r="C21" s="173"/>
      <c r="D21" s="174"/>
      <c r="E21" s="174"/>
      <c r="F21" s="175"/>
      <c r="G21" s="270"/>
      <c r="H21" s="174"/>
      <c r="I21" s="174"/>
      <c r="J21" s="175"/>
      <c r="K21" s="270"/>
      <c r="L21" s="174"/>
      <c r="M21" s="175"/>
    </row>
    <row r="22" spans="2:13" ht="15" customHeight="1">
      <c r="B22" s="185" t="s">
        <v>228</v>
      </c>
      <c r="C22" s="173"/>
      <c r="D22" s="174">
        <f aca="true" t="shared" si="4" ref="D22:M22">((D16-D18-D20)*$C$37)</f>
        <v>7950.408646316421</v>
      </c>
      <c r="E22" s="174">
        <f t="shared" si="4"/>
        <v>8408.315227797952</v>
      </c>
      <c r="F22" s="175">
        <f t="shared" si="4"/>
        <v>8880.21088790686</v>
      </c>
      <c r="G22" s="270">
        <f t="shared" si="4"/>
        <v>9366.90681238546</v>
      </c>
      <c r="H22" s="174">
        <f t="shared" si="4"/>
        <v>9869.288865149563</v>
      </c>
      <c r="I22" s="174">
        <f t="shared" si="4"/>
        <v>10388.32551184244</v>
      </c>
      <c r="J22" s="175">
        <f t="shared" si="4"/>
        <v>10925.076609158741</v>
      </c>
      <c r="K22" s="270">
        <f t="shared" si="4"/>
        <v>11432.949847119084</v>
      </c>
      <c r="L22" s="174">
        <f t="shared" si="4"/>
        <v>11897.282356861468</v>
      </c>
      <c r="M22" s="175">
        <f t="shared" si="4"/>
        <v>12370.901516798696</v>
      </c>
    </row>
    <row r="23" spans="2:13" ht="13.5" thickBot="1">
      <c r="B23" s="176" t="s">
        <v>229</v>
      </c>
      <c r="C23" s="194"/>
      <c r="D23" s="178">
        <f aca="true" t="shared" si="5" ref="D23:M23">(D16-D18-D19-D20-D22)*25%</f>
        <v>11259.28991561493</v>
      </c>
      <c r="E23" s="178">
        <f t="shared" si="5"/>
        <v>11907.990906047096</v>
      </c>
      <c r="F23" s="195">
        <f t="shared" si="5"/>
        <v>12576.509757868052</v>
      </c>
      <c r="G23" s="271">
        <f t="shared" si="5"/>
        <v>13265.995650879402</v>
      </c>
      <c r="H23" s="178">
        <f t="shared" si="5"/>
        <v>13977.703558961883</v>
      </c>
      <c r="I23" s="178">
        <f t="shared" si="5"/>
        <v>14713.005475110123</v>
      </c>
      <c r="J23" s="195">
        <f t="shared" si="5"/>
        <v>15473.402862974883</v>
      </c>
      <c r="K23" s="271">
        <f t="shared" si="5"/>
        <v>16192.889950085368</v>
      </c>
      <c r="L23" s="178">
        <f t="shared" si="5"/>
        <v>16850.69433888708</v>
      </c>
      <c r="M23" s="195">
        <f t="shared" si="5"/>
        <v>17521.65481546482</v>
      </c>
    </row>
    <row r="24" spans="2:13" ht="13.5" thickBot="1">
      <c r="B24" s="180" t="s">
        <v>230</v>
      </c>
      <c r="C24" s="196"/>
      <c r="D24" s="182">
        <f aca="true" t="shared" si="6" ref="D24:M24">(D16-D18-D20-D22-D23)</f>
        <v>33793.025746844796</v>
      </c>
      <c r="E24" s="182">
        <f t="shared" si="6"/>
        <v>35739.12871814129</v>
      </c>
      <c r="F24" s="187">
        <f t="shared" si="6"/>
        <v>37744.68527360416</v>
      </c>
      <c r="G24" s="272">
        <f t="shared" si="6"/>
        <v>39813.14295263821</v>
      </c>
      <c r="H24" s="182">
        <f t="shared" si="6"/>
        <v>41948.26667688565</v>
      </c>
      <c r="I24" s="182">
        <f t="shared" si="6"/>
        <v>44154.17242533037</v>
      </c>
      <c r="J24" s="187">
        <f t="shared" si="6"/>
        <v>46435.364588924655</v>
      </c>
      <c r="K24" s="272">
        <f t="shared" si="6"/>
        <v>48593.82585025611</v>
      </c>
      <c r="L24" s="182">
        <f t="shared" si="6"/>
        <v>50567.23901666124</v>
      </c>
      <c r="M24" s="187">
        <f t="shared" si="6"/>
        <v>52580.12044639446</v>
      </c>
    </row>
    <row r="25" spans="2:13" ht="12.75">
      <c r="B25" s="197" t="s">
        <v>231</v>
      </c>
      <c r="C25" s="264"/>
      <c r="D25" s="170">
        <f aca="true" t="shared" si="7" ref="D25:M25">D18</f>
        <v>16</v>
      </c>
      <c r="E25" s="170">
        <f t="shared" si="7"/>
        <v>16</v>
      </c>
      <c r="F25" s="171">
        <f t="shared" si="7"/>
        <v>16</v>
      </c>
      <c r="G25" s="269">
        <f t="shared" si="7"/>
        <v>16</v>
      </c>
      <c r="H25" s="170">
        <f t="shared" si="7"/>
        <v>16</v>
      </c>
      <c r="I25" s="170">
        <f t="shared" si="7"/>
        <v>16</v>
      </c>
      <c r="J25" s="171">
        <f t="shared" si="7"/>
        <v>16</v>
      </c>
      <c r="K25" s="269">
        <f t="shared" si="7"/>
        <v>16</v>
      </c>
      <c r="L25" s="170">
        <f t="shared" si="7"/>
        <v>16</v>
      </c>
      <c r="M25" s="171">
        <f t="shared" si="7"/>
        <v>16</v>
      </c>
    </row>
    <row r="26" spans="2:13" ht="12.75">
      <c r="B26" s="185" t="s">
        <v>232</v>
      </c>
      <c r="C26" s="265"/>
      <c r="D26" s="174">
        <f>Préstamo!L25</f>
        <v>3253.1629614514545</v>
      </c>
      <c r="E26" s="174">
        <f>Préstamo!L26</f>
        <v>3611.0108872111146</v>
      </c>
      <c r="F26" s="175">
        <f>Préstamo!L27</f>
        <v>4008.222084804337</v>
      </c>
      <c r="G26" s="270">
        <f>Préstamo!L28</f>
        <v>4449.126514132815</v>
      </c>
      <c r="H26" s="174">
        <f>Préstamo!L29</f>
        <v>4938.530430687425</v>
      </c>
      <c r="I26" s="174">
        <f>Préstamo!L30</f>
        <v>5481.768778063041</v>
      </c>
      <c r="J26" s="175">
        <f>Préstamo!L31</f>
        <v>6084.763343649978</v>
      </c>
      <c r="K26" s="270"/>
      <c r="L26" s="174"/>
      <c r="M26" s="175"/>
    </row>
    <row r="27" spans="2:13" ht="12.75">
      <c r="B27" s="185" t="s">
        <v>233</v>
      </c>
      <c r="C27" s="263"/>
      <c r="D27" s="174"/>
      <c r="E27" s="174"/>
      <c r="F27" s="175"/>
      <c r="G27" s="270"/>
      <c r="H27" s="174"/>
      <c r="I27" s="174"/>
      <c r="J27" s="175"/>
      <c r="K27" s="270"/>
      <c r="L27" s="174"/>
      <c r="M27" s="175">
        <f>Hoja7!H44</f>
        <v>32.5</v>
      </c>
    </row>
    <row r="28" spans="2:13" ht="12.75">
      <c r="B28" s="185" t="s">
        <v>234</v>
      </c>
      <c r="C28" s="198">
        <f>inversion!H40</f>
        <v>63653.17</v>
      </c>
      <c r="D28" s="174"/>
      <c r="E28" s="174"/>
      <c r="F28" s="175"/>
      <c r="G28" s="270"/>
      <c r="H28" s="174"/>
      <c r="I28" s="174"/>
      <c r="J28" s="175"/>
      <c r="K28" s="270"/>
      <c r="L28" s="174"/>
      <c r="M28" s="175"/>
    </row>
    <row r="29" spans="2:13" ht="12.75">
      <c r="B29" s="185" t="s">
        <v>235</v>
      </c>
      <c r="C29" s="198">
        <f>Préstamo!I5</f>
        <v>31826.585</v>
      </c>
      <c r="D29" s="174"/>
      <c r="E29" s="174"/>
      <c r="F29" s="175"/>
      <c r="G29" s="270"/>
      <c r="H29" s="174"/>
      <c r="I29" s="174"/>
      <c r="J29" s="175"/>
      <c r="K29" s="270"/>
      <c r="L29" s="174"/>
      <c r="M29" s="175"/>
    </row>
    <row r="30" spans="2:13" ht="13.5" thickBot="1">
      <c r="B30" s="199" t="s">
        <v>236</v>
      </c>
      <c r="C30" s="200">
        <f>Préstamo!G10</f>
        <v>31826.585</v>
      </c>
      <c r="D30" s="178"/>
      <c r="E30" s="178"/>
      <c r="F30" s="195"/>
      <c r="G30" s="271"/>
      <c r="H30" s="178"/>
      <c r="I30" s="178"/>
      <c r="J30" s="195"/>
      <c r="K30" s="271"/>
      <c r="L30" s="178"/>
      <c r="M30" s="195"/>
    </row>
    <row r="31" spans="2:13" ht="13.5" thickBot="1">
      <c r="B31" s="165" t="s">
        <v>237</v>
      </c>
      <c r="C31" s="201">
        <f>C30-C28-C29</f>
        <v>-63653.17</v>
      </c>
      <c r="D31" s="202">
        <f aca="true" t="shared" si="8" ref="D31:M31">D24+D25-D26</f>
        <v>30555.862785393343</v>
      </c>
      <c r="E31" s="202">
        <f t="shared" si="8"/>
        <v>32144.117830930176</v>
      </c>
      <c r="F31" s="203">
        <f t="shared" si="8"/>
        <v>33752.463188799826</v>
      </c>
      <c r="G31" s="274">
        <f t="shared" si="8"/>
        <v>35380.016438505394</v>
      </c>
      <c r="H31" s="202">
        <f t="shared" si="8"/>
        <v>37025.73624619823</v>
      </c>
      <c r="I31" s="202">
        <f t="shared" si="8"/>
        <v>38688.403647267325</v>
      </c>
      <c r="J31" s="203">
        <f t="shared" si="8"/>
        <v>40366.60124527468</v>
      </c>
      <c r="K31" s="274">
        <f t="shared" si="8"/>
        <v>48609.82585025611</v>
      </c>
      <c r="L31" s="202">
        <f t="shared" si="8"/>
        <v>50583.23901666124</v>
      </c>
      <c r="M31" s="203">
        <f t="shared" si="8"/>
        <v>52596.12044639446</v>
      </c>
    </row>
    <row r="32" spans="2:13" ht="13.5" thickBot="1">
      <c r="B32" s="204"/>
      <c r="C32" s="205"/>
      <c r="D32" s="206"/>
      <c r="E32" s="207"/>
      <c r="F32" s="207"/>
      <c r="G32" s="207"/>
      <c r="H32" s="207"/>
      <c r="I32" s="207"/>
      <c r="J32" s="207"/>
      <c r="K32" s="207"/>
      <c r="L32" s="207"/>
      <c r="M32" s="207"/>
    </row>
    <row r="33" spans="2:5" ht="12.75">
      <c r="B33" s="278" t="s">
        <v>238</v>
      </c>
      <c r="C33" s="275">
        <f>NPV(C35,D31:M31)+C31</f>
        <v>153653.69264025404</v>
      </c>
      <c r="E33" s="208"/>
    </row>
    <row r="34" spans="2:4" ht="12.75">
      <c r="B34" s="279" t="s">
        <v>239</v>
      </c>
      <c r="C34" s="276">
        <f>IRR(C31:M31)</f>
        <v>0.5210140509929457</v>
      </c>
      <c r="D34" s="266"/>
    </row>
    <row r="35" spans="2:3" ht="13.5" thickBot="1">
      <c r="B35" s="280" t="s">
        <v>240</v>
      </c>
      <c r="C35" s="277">
        <f>'[1]CAPM'!D11</f>
        <v>0.115702</v>
      </c>
    </row>
    <row r="36" spans="2:5" ht="12.75">
      <c r="B36" s="209"/>
      <c r="C36" s="209"/>
      <c r="E36" s="206"/>
    </row>
    <row r="37" ht="12.75">
      <c r="C37" s="208">
        <v>0.15</v>
      </c>
    </row>
    <row r="38" ht="12.75">
      <c r="B38" s="164" t="s">
        <v>241</v>
      </c>
    </row>
    <row r="40" spans="5:7" ht="12.75">
      <c r="E40" s="206"/>
      <c r="G40" s="164">
        <f>1000*12</f>
        <v>12000</v>
      </c>
    </row>
    <row r="42" ht="12.75">
      <c r="D42" s="206"/>
    </row>
  </sheetData>
  <sheetProtection/>
  <printOptions/>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E19:F31"/>
  <sheetViews>
    <sheetView zoomScalePageLayoutView="0" workbookViewId="0" topLeftCell="C7">
      <selection activeCell="E19" sqref="E19:F31"/>
    </sheetView>
  </sheetViews>
  <sheetFormatPr defaultColWidth="11.421875" defaultRowHeight="12.75"/>
  <cols>
    <col min="2" max="2" width="16.28125" style="0" customWidth="1"/>
    <col min="5" max="5" width="30.00390625" style="0" customWidth="1"/>
    <col min="6" max="6" width="23.00390625" style="0" customWidth="1"/>
  </cols>
  <sheetData>
    <row r="18" ht="13.5" thickBot="1"/>
    <row r="19" spans="5:6" ht="12.75">
      <c r="E19" s="355" t="s">
        <v>39</v>
      </c>
      <c r="F19" s="356"/>
    </row>
    <row r="20" spans="5:6" ht="12.75">
      <c r="E20" s="224" t="s">
        <v>40</v>
      </c>
      <c r="F20" s="225" t="s">
        <v>14</v>
      </c>
    </row>
    <row r="21" spans="5:6" ht="12.75">
      <c r="E21" s="226" t="str">
        <f>'DESGLOC COSTOS FIJOS'!B18</f>
        <v>SUELDO</v>
      </c>
      <c r="F21" s="227">
        <f>'DESGLOC COSTOS FIJOS'!F22</f>
        <v>58800</v>
      </c>
    </row>
    <row r="22" spans="5:6" ht="12.75">
      <c r="E22" s="226" t="str">
        <f>'DESGLOC COSTOS FIJOS'!B31</f>
        <v>ELECTRICIDAD</v>
      </c>
      <c r="F22" s="227">
        <f>'DESGLOC COSTOS FIJOS'!F35</f>
        <v>3600</v>
      </c>
    </row>
    <row r="23" spans="5:6" ht="12.75">
      <c r="E23" s="226" t="str">
        <f>'DESGLOC COSTOS FIJOS'!B40</f>
        <v>AGUA</v>
      </c>
      <c r="F23" s="227">
        <f>'DESGLOC COSTOS FIJOS'!F44</f>
        <v>720</v>
      </c>
    </row>
    <row r="24" spans="5:6" ht="12.75">
      <c r="E24" s="226" t="str">
        <f>'DESGLOC COSTOS FIJOS'!B48</f>
        <v>TELEFONO</v>
      </c>
      <c r="F24" s="227">
        <f>'DESGLOC COSTOS FIJOS'!F52</f>
        <v>600</v>
      </c>
    </row>
    <row r="25" spans="5:6" ht="12.75">
      <c r="E25" s="226" t="str">
        <f>'DESGLOC COSTOS FIJOS'!B56</f>
        <v>INTERNET</v>
      </c>
      <c r="F25" s="227">
        <f>'DESGLOC COSTOS FIJOS'!F60</f>
        <v>761.8476</v>
      </c>
    </row>
    <row r="26" spans="5:6" ht="12.75">
      <c r="E26" s="226" t="str">
        <f>'DESGLOC COSTOS FIJOS'!B66</f>
        <v>INSUMOS DE OFICINA</v>
      </c>
      <c r="F26" s="227">
        <f>'DESGLOC COSTOS FIJOS'!F70</f>
        <v>600</v>
      </c>
    </row>
    <row r="27" spans="5:6" ht="12.75">
      <c r="E27" s="226" t="str">
        <f>'DESGLOC COSTOS FIJOS'!B74</f>
        <v>INSUMOS DE LIMPIEZA</v>
      </c>
      <c r="F27" s="227">
        <f>'DESGLOC COSTOS FIJOS'!F78</f>
        <v>3480</v>
      </c>
    </row>
    <row r="28" spans="5:6" ht="12.75">
      <c r="E28" s="226" t="str">
        <f>'DESGLOC COSTOS FIJOS'!B83</f>
        <v>PAGO DE VEHICULO</v>
      </c>
      <c r="F28" s="227">
        <f>'DESGLOC COSTOS FIJOS'!C90</f>
        <v>9821</v>
      </c>
    </row>
    <row r="29" spans="5:6" ht="12.75">
      <c r="E29" s="226" t="str">
        <f>'[1]Costos Fijos'!$A$12</f>
        <v>HOSTING</v>
      </c>
      <c r="F29" s="227">
        <f>'[1]Costos Fijos'!$B$12</f>
        <v>149</v>
      </c>
    </row>
    <row r="30" spans="5:6" ht="12.75">
      <c r="E30" s="53" t="s">
        <v>59</v>
      </c>
      <c r="F30" s="227">
        <f>'[1]Costos Fijos'!$B$11</f>
        <v>9.99</v>
      </c>
    </row>
    <row r="31" spans="5:6" ht="13.5" thickBot="1">
      <c r="E31" s="228" t="s">
        <v>6</v>
      </c>
      <c r="F31" s="229">
        <f>SUM(F21:F30)</f>
        <v>78541.83760000001</v>
      </c>
    </row>
  </sheetData>
  <sheetProtection/>
  <mergeCells count="1">
    <mergeCell ref="E19:F19"/>
  </mergeCells>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dimension ref="C11:D18"/>
  <sheetViews>
    <sheetView zoomScalePageLayoutView="0" workbookViewId="0" topLeftCell="A1">
      <selection activeCell="C11" sqref="C11:D18"/>
    </sheetView>
  </sheetViews>
  <sheetFormatPr defaultColWidth="11.421875" defaultRowHeight="12.75"/>
  <cols>
    <col min="3" max="3" width="23.8515625" style="0" customWidth="1"/>
    <col min="4" max="4" width="14.421875" style="0" customWidth="1"/>
  </cols>
  <sheetData>
    <row r="11" spans="3:4" ht="12.75">
      <c r="C11" s="357" t="s">
        <v>60</v>
      </c>
      <c r="D11" s="357"/>
    </row>
    <row r="12" spans="3:4" ht="12.75">
      <c r="C12" s="7" t="s">
        <v>40</v>
      </c>
      <c r="D12" s="35" t="s">
        <v>14</v>
      </c>
    </row>
    <row r="13" spans="3:4" ht="12.75">
      <c r="C13" s="10" t="str">
        <f>'DESGLOC C VARIABLES'!B12</f>
        <v>GASTOS EN TRASPORTE</v>
      </c>
      <c r="D13" s="17">
        <f>'DESGLOC C VARIABLES'!F17</f>
        <v>18662.4</v>
      </c>
    </row>
    <row r="14" spans="3:4" ht="12.75">
      <c r="C14" s="10" t="str">
        <f>'DESGLOC C VARIABLES'!B25</f>
        <v>PUBLICIDAD</v>
      </c>
      <c r="D14" s="17">
        <f>'DESGLOC C VARIABLES'!F29</f>
        <v>12000</v>
      </c>
    </row>
    <row r="15" spans="3:4" ht="12.75">
      <c r="C15" s="10" t="str">
        <f>'DESGLOC C VARIABLES'!B33</f>
        <v>COMPRAS</v>
      </c>
      <c r="D15" s="17">
        <f>'DESGLOC C VARIABLES'!F37</f>
        <v>24000</v>
      </c>
    </row>
    <row r="16" spans="3:4" ht="12.75">
      <c r="C16" s="10" t="str">
        <f>'DESGLOC C VARIABLES'!B40</f>
        <v>PAGO PAYPAL</v>
      </c>
      <c r="D16" s="17">
        <f>'DESGLOC C VARIABLES'!F44</f>
        <v>5522.490586624001</v>
      </c>
    </row>
    <row r="17" spans="3:4" ht="12.75">
      <c r="C17" s="10" t="str">
        <f>'DESGLOC C VARIABLES'!B47</f>
        <v>MERMAS</v>
      </c>
      <c r="D17" s="17">
        <f>'DESGLOC C VARIABLES'!F51</f>
        <v>2400</v>
      </c>
    </row>
    <row r="18" spans="3:4" ht="12.75">
      <c r="C18" s="4" t="s">
        <v>6</v>
      </c>
      <c r="D18" s="28">
        <f>SUM(D13:D17)</f>
        <v>62584.890586624</v>
      </c>
    </row>
  </sheetData>
  <sheetProtection/>
  <mergeCells count="1">
    <mergeCell ref="C11:D11"/>
  </mergeCells>
  <printOptions/>
  <pageMargins left="0.75" right="0.75" top="1" bottom="1" header="0" footer="0"/>
  <pageSetup orientation="portrait" paperSize="9"/>
</worksheet>
</file>

<file path=xl/worksheets/sheet12.xml><?xml version="1.0" encoding="utf-8"?>
<worksheet xmlns="http://schemas.openxmlformats.org/spreadsheetml/2006/main" xmlns:r="http://schemas.openxmlformats.org/officeDocument/2006/relationships">
  <dimension ref="B12:F51"/>
  <sheetViews>
    <sheetView zoomScalePageLayoutView="0" workbookViewId="0" topLeftCell="A1">
      <selection activeCell="C56" sqref="C56"/>
    </sheetView>
  </sheetViews>
  <sheetFormatPr defaultColWidth="11.421875" defaultRowHeight="12.75"/>
  <cols>
    <col min="2" max="2" width="23.140625" style="0" customWidth="1"/>
    <col min="3" max="3" width="13.7109375" style="0" customWidth="1"/>
  </cols>
  <sheetData>
    <row r="12" ht="12.75">
      <c r="B12" t="s">
        <v>41</v>
      </c>
    </row>
    <row r="13" spans="2:3" ht="12.75">
      <c r="B13" s="16" t="s">
        <v>13</v>
      </c>
      <c r="C13" s="16" t="s">
        <v>14</v>
      </c>
    </row>
    <row r="14" spans="2:3" ht="13.5" thickBot="1">
      <c r="B14" s="10" t="s">
        <v>42</v>
      </c>
      <c r="C14" s="10">
        <v>2.16</v>
      </c>
    </row>
    <row r="15" spans="2:6" ht="13.5" thickBot="1">
      <c r="B15" s="10" t="s">
        <v>43</v>
      </c>
      <c r="C15" s="10">
        <v>12</v>
      </c>
      <c r="E15" s="4" t="s">
        <v>49</v>
      </c>
      <c r="F15" s="33">
        <f>C19</f>
        <v>1555.2</v>
      </c>
    </row>
    <row r="16" spans="2:3" ht="13.5" thickBot="1">
      <c r="B16" s="10" t="s">
        <v>44</v>
      </c>
      <c r="C16" s="10">
        <v>25.92</v>
      </c>
    </row>
    <row r="17" spans="2:6" ht="13.5" thickBot="1">
      <c r="B17" s="10" t="s">
        <v>45</v>
      </c>
      <c r="C17" s="10">
        <v>2</v>
      </c>
      <c r="E17" s="4" t="s">
        <v>50</v>
      </c>
      <c r="F17" s="33">
        <f>F15*12</f>
        <v>18662.4</v>
      </c>
    </row>
    <row r="18" spans="2:3" ht="12.75">
      <c r="B18" s="10" t="s">
        <v>46</v>
      </c>
      <c r="C18" s="10">
        <v>51.84</v>
      </c>
    </row>
    <row r="19" spans="2:3" ht="13.5" thickBot="1">
      <c r="B19" s="31" t="s">
        <v>47</v>
      </c>
      <c r="C19" s="32">
        <v>1555.2</v>
      </c>
    </row>
    <row r="20" spans="2:3" ht="13.5" thickBot="1">
      <c r="B20" s="31" t="s">
        <v>48</v>
      </c>
      <c r="C20" s="32">
        <v>18662.4</v>
      </c>
    </row>
    <row r="25" ht="12.75">
      <c r="B25" t="s">
        <v>51</v>
      </c>
    </row>
    <row r="27" spans="2:6" ht="12.75">
      <c r="B27" s="16" t="s">
        <v>13</v>
      </c>
      <c r="C27" s="16" t="s">
        <v>14</v>
      </c>
      <c r="E27" s="4" t="s">
        <v>49</v>
      </c>
      <c r="F27" s="17">
        <f>C28</f>
        <v>1000</v>
      </c>
    </row>
    <row r="28" spans="2:3" ht="12.75">
      <c r="B28" s="10" t="s">
        <v>52</v>
      </c>
      <c r="C28" s="10">
        <v>1000</v>
      </c>
    </row>
    <row r="29" spans="5:6" ht="12.75">
      <c r="E29" s="4" t="s">
        <v>50</v>
      </c>
      <c r="F29" s="17">
        <f>C28*12</f>
        <v>12000</v>
      </c>
    </row>
    <row r="33" ht="12.75">
      <c r="B33" t="s">
        <v>53</v>
      </c>
    </row>
    <row r="35" spans="2:6" ht="12.75">
      <c r="B35" s="16" t="s">
        <v>13</v>
      </c>
      <c r="C35" s="16" t="s">
        <v>14</v>
      </c>
      <c r="E35" s="4" t="s">
        <v>49</v>
      </c>
      <c r="F35" s="17">
        <f>C36</f>
        <v>2000</v>
      </c>
    </row>
    <row r="36" spans="2:3" ht="12.75">
      <c r="B36" s="10" t="s">
        <v>54</v>
      </c>
      <c r="C36" s="10">
        <v>2000</v>
      </c>
    </row>
    <row r="37" spans="5:6" ht="12.75">
      <c r="E37" s="4" t="s">
        <v>50</v>
      </c>
      <c r="F37" s="17">
        <f>C36*12</f>
        <v>24000</v>
      </c>
    </row>
    <row r="40" ht="12.75">
      <c r="B40" t="s">
        <v>55</v>
      </c>
    </row>
    <row r="42" spans="2:6" ht="12.75">
      <c r="B42" s="16" t="s">
        <v>13</v>
      </c>
      <c r="C42" s="16" t="s">
        <v>14</v>
      </c>
      <c r="E42" s="4" t="s">
        <v>49</v>
      </c>
      <c r="F42" s="17">
        <f>C43</f>
        <v>460.2075488853334</v>
      </c>
    </row>
    <row r="43" spans="2:3" ht="12.75">
      <c r="B43" s="10" t="s">
        <v>58</v>
      </c>
      <c r="C43" s="34">
        <f>'[1]Costos Variables'!$G$36</f>
        <v>460.2075488853334</v>
      </c>
    </row>
    <row r="44" spans="5:6" ht="12.75">
      <c r="E44" s="4" t="s">
        <v>50</v>
      </c>
      <c r="F44" s="17">
        <f>F42*12</f>
        <v>5522.490586624001</v>
      </c>
    </row>
    <row r="47" ht="12.75">
      <c r="B47" t="s">
        <v>56</v>
      </c>
    </row>
    <row r="49" spans="2:6" ht="12.75">
      <c r="B49" s="16" t="s">
        <v>13</v>
      </c>
      <c r="C49" s="16" t="s">
        <v>14</v>
      </c>
      <c r="E49" s="4" t="s">
        <v>49</v>
      </c>
      <c r="F49" s="17">
        <f>C50</f>
        <v>200</v>
      </c>
    </row>
    <row r="50" spans="2:3" ht="12.75">
      <c r="B50" s="10" t="s">
        <v>57</v>
      </c>
      <c r="C50" s="34">
        <f>C36*10%</f>
        <v>200</v>
      </c>
    </row>
    <row r="51" spans="5:6" ht="12.75">
      <c r="E51" s="4" t="s">
        <v>50</v>
      </c>
      <c r="F51" s="17">
        <f>C50*12</f>
        <v>2400</v>
      </c>
    </row>
  </sheetData>
  <sheetProtection/>
  <printOptions/>
  <pageMargins left="0.75" right="0.75" top="1" bottom="1" header="0" footer="0"/>
  <pageSetup orientation="portrait" paperSize="9"/>
</worksheet>
</file>

<file path=xl/worksheets/sheet13.xml><?xml version="1.0" encoding="utf-8"?>
<worksheet xmlns="http://schemas.openxmlformats.org/spreadsheetml/2006/main" xmlns:r="http://schemas.openxmlformats.org/officeDocument/2006/relationships">
  <dimension ref="A7:G91"/>
  <sheetViews>
    <sheetView zoomScalePageLayoutView="0" workbookViewId="0" topLeftCell="A4">
      <selection activeCell="H18" sqref="H18"/>
    </sheetView>
  </sheetViews>
  <sheetFormatPr defaultColWidth="11.421875" defaultRowHeight="12.75"/>
  <cols>
    <col min="1" max="1" width="9.421875" style="0" customWidth="1"/>
    <col min="2" max="2" width="30.8515625" style="0" customWidth="1"/>
    <col min="5" max="5" width="17.28125" style="0" customWidth="1"/>
  </cols>
  <sheetData>
    <row r="6" ht="13.5" thickBot="1"/>
    <row r="7" spans="2:3" ht="12.75">
      <c r="B7" s="214" t="s">
        <v>4</v>
      </c>
      <c r="C7" s="284" t="s">
        <v>5</v>
      </c>
    </row>
    <row r="8" spans="2:3" ht="12.75">
      <c r="B8" s="210" t="s">
        <v>1</v>
      </c>
      <c r="C8" s="215">
        <v>1</v>
      </c>
    </row>
    <row r="9" spans="2:3" ht="12.75">
      <c r="B9" s="210" t="s">
        <v>0</v>
      </c>
      <c r="C9" s="215">
        <v>1</v>
      </c>
    </row>
    <row r="10" spans="2:3" ht="12.75">
      <c r="B10" s="210" t="s">
        <v>2</v>
      </c>
      <c r="C10" s="215">
        <v>2</v>
      </c>
    </row>
    <row r="11" spans="2:3" ht="12.75">
      <c r="B11" s="210" t="s">
        <v>3</v>
      </c>
      <c r="C11" s="215">
        <v>1</v>
      </c>
    </row>
    <row r="12" spans="2:3" ht="12.75">
      <c r="B12" s="210" t="s">
        <v>17</v>
      </c>
      <c r="C12" s="215">
        <v>2</v>
      </c>
    </row>
    <row r="13" spans="2:3" ht="13.5" thickBot="1">
      <c r="B13" s="216" t="s">
        <v>6</v>
      </c>
      <c r="C13" s="217">
        <f>SUM(C8:C12)</f>
        <v>7</v>
      </c>
    </row>
    <row r="18" ht="13.5" thickBot="1">
      <c r="B18" s="9" t="s">
        <v>7</v>
      </c>
    </row>
    <row r="19" spans="2:3" ht="12.75">
      <c r="B19" s="214" t="s">
        <v>13</v>
      </c>
      <c r="C19" s="218" t="s">
        <v>14</v>
      </c>
    </row>
    <row r="20" spans="2:6" ht="12.75">
      <c r="B20" s="53" t="s">
        <v>0</v>
      </c>
      <c r="C20" s="219">
        <v>1200</v>
      </c>
      <c r="E20" s="7" t="s">
        <v>15</v>
      </c>
      <c r="F20" s="15">
        <f>C27</f>
        <v>4900</v>
      </c>
    </row>
    <row r="21" spans="2:6" ht="12.75">
      <c r="B21" s="53" t="s">
        <v>8</v>
      </c>
      <c r="C21" s="219">
        <v>800</v>
      </c>
      <c r="F21" s="6"/>
    </row>
    <row r="22" spans="1:6" ht="12.75">
      <c r="A22" s="6" t="s">
        <v>11</v>
      </c>
      <c r="B22" s="53" t="s">
        <v>9</v>
      </c>
      <c r="C22" s="219">
        <v>700</v>
      </c>
      <c r="E22" s="14" t="s">
        <v>16</v>
      </c>
      <c r="F22" s="15">
        <f>F20*12</f>
        <v>58800</v>
      </c>
    </row>
    <row r="23" spans="1:3" ht="12.75">
      <c r="A23" s="6" t="s">
        <v>11</v>
      </c>
      <c r="B23" s="53" t="s">
        <v>10</v>
      </c>
      <c r="C23" s="219">
        <v>600</v>
      </c>
    </row>
    <row r="24" spans="1:3" ht="12.75">
      <c r="A24" s="6"/>
      <c r="B24" s="220" t="s">
        <v>12</v>
      </c>
      <c r="C24" s="219">
        <v>600</v>
      </c>
    </row>
    <row r="25" spans="1:3" ht="12.75">
      <c r="A25" s="6"/>
      <c r="B25" s="53" t="s">
        <v>19</v>
      </c>
      <c r="C25" s="219">
        <v>600</v>
      </c>
    </row>
    <row r="26" spans="2:3" ht="12.75">
      <c r="B26" s="53" t="s">
        <v>18</v>
      </c>
      <c r="C26" s="219">
        <v>400</v>
      </c>
    </row>
    <row r="27" spans="2:3" ht="13.5" thickBot="1">
      <c r="B27" s="222" t="s">
        <v>6</v>
      </c>
      <c r="C27" s="223">
        <f>SUM(C20:C26)</f>
        <v>4900</v>
      </c>
    </row>
    <row r="28" spans="3:7" ht="12.75">
      <c r="C28" s="12"/>
      <c r="D28" s="12"/>
      <c r="E28" s="13"/>
      <c r="G28" s="11"/>
    </row>
    <row r="29" spans="3:5" ht="12.75">
      <c r="C29" s="12"/>
      <c r="D29" s="12"/>
      <c r="E29" s="12"/>
    </row>
    <row r="30" spans="3:5" ht="12.75">
      <c r="C30" s="12"/>
      <c r="D30" s="12"/>
      <c r="E30" s="12"/>
    </row>
    <row r="31" spans="2:5" ht="12.75">
      <c r="B31" s="1" t="s">
        <v>20</v>
      </c>
      <c r="C31" s="13"/>
      <c r="D31" s="13"/>
      <c r="E31" s="13"/>
    </row>
    <row r="32" spans="3:5" ht="12.75">
      <c r="C32" s="13"/>
      <c r="D32" s="13"/>
      <c r="E32" s="13"/>
    </row>
    <row r="33" spans="2:6" ht="12.75">
      <c r="B33" s="2" t="s">
        <v>13</v>
      </c>
      <c r="C33" s="2" t="s">
        <v>21</v>
      </c>
      <c r="E33" s="7" t="s">
        <v>15</v>
      </c>
      <c r="F33" s="10">
        <f>C34</f>
        <v>300</v>
      </c>
    </row>
    <row r="34" spans="2:3" ht="12.75">
      <c r="B34" s="10" t="s">
        <v>22</v>
      </c>
      <c r="C34" s="10">
        <v>300</v>
      </c>
    </row>
    <row r="35" spans="5:6" ht="12.75">
      <c r="E35" s="7" t="s">
        <v>16</v>
      </c>
      <c r="F35" s="10">
        <f>F33*12</f>
        <v>3600</v>
      </c>
    </row>
    <row r="40" ht="12.75">
      <c r="B40" s="1" t="s">
        <v>23</v>
      </c>
    </row>
    <row r="42" spans="2:6" ht="12.75">
      <c r="B42" s="2" t="s">
        <v>13</v>
      </c>
      <c r="C42" s="2" t="s">
        <v>21</v>
      </c>
      <c r="E42" s="7" t="s">
        <v>15</v>
      </c>
      <c r="F42" s="10">
        <f>C43</f>
        <v>60</v>
      </c>
    </row>
    <row r="43" spans="2:3" ht="12.75">
      <c r="B43" s="10" t="s">
        <v>22</v>
      </c>
      <c r="C43" s="10">
        <v>60</v>
      </c>
    </row>
    <row r="44" spans="5:6" ht="12.75">
      <c r="E44" s="7" t="s">
        <v>16</v>
      </c>
      <c r="F44" s="10">
        <f>F42*12</f>
        <v>720</v>
      </c>
    </row>
    <row r="48" ht="12.75">
      <c r="B48" t="s">
        <v>24</v>
      </c>
    </row>
    <row r="50" spans="2:6" ht="12.75">
      <c r="B50" s="2" t="s">
        <v>13</v>
      </c>
      <c r="C50" s="2" t="s">
        <v>21</v>
      </c>
      <c r="E50" s="7" t="s">
        <v>15</v>
      </c>
      <c r="F50" s="10">
        <f>C51</f>
        <v>50</v>
      </c>
    </row>
    <row r="51" spans="2:3" ht="12.75">
      <c r="B51" s="10" t="s">
        <v>22</v>
      </c>
      <c r="C51" s="10">
        <v>50</v>
      </c>
    </row>
    <row r="52" spans="5:6" ht="12.75">
      <c r="E52" s="7" t="s">
        <v>16</v>
      </c>
      <c r="F52" s="10">
        <f>F50*12</f>
        <v>600</v>
      </c>
    </row>
    <row r="56" ht="12.75">
      <c r="B56" t="s">
        <v>25</v>
      </c>
    </row>
    <row r="58" spans="2:6" ht="12.75">
      <c r="B58" s="2" t="s">
        <v>13</v>
      </c>
      <c r="C58" s="2" t="s">
        <v>21</v>
      </c>
      <c r="E58" s="7" t="s">
        <v>15</v>
      </c>
      <c r="F58" s="23">
        <f>C62</f>
        <v>63.487300000000005</v>
      </c>
    </row>
    <row r="59" spans="2:3" ht="12.75">
      <c r="B59" s="10" t="s">
        <v>25</v>
      </c>
      <c r="C59" s="19">
        <v>49.99</v>
      </c>
    </row>
    <row r="60" spans="2:6" ht="12.75">
      <c r="B60" s="10" t="s">
        <v>26</v>
      </c>
      <c r="C60" s="19">
        <f>C59*0.12</f>
        <v>5.9988</v>
      </c>
      <c r="E60" s="7" t="s">
        <v>16</v>
      </c>
      <c r="F60" s="23">
        <f>C62*12</f>
        <v>761.8476</v>
      </c>
    </row>
    <row r="61" spans="2:3" ht="12.75">
      <c r="B61" s="10" t="s">
        <v>27</v>
      </c>
      <c r="C61" s="19">
        <f>C59*0.15</f>
        <v>7.4985</v>
      </c>
    </row>
    <row r="62" spans="2:3" ht="15">
      <c r="B62" s="21" t="s">
        <v>22</v>
      </c>
      <c r="C62" s="22">
        <f>SUM(C59:C61)</f>
        <v>63.487300000000005</v>
      </c>
    </row>
    <row r="65" spans="2:3" ht="12.75">
      <c r="B65" s="24"/>
      <c r="C65" s="24"/>
    </row>
    <row r="66" spans="2:3" ht="12.75">
      <c r="B66" s="25" t="s">
        <v>28</v>
      </c>
      <c r="C66" s="25"/>
    </row>
    <row r="68" spans="2:6" ht="12.75">
      <c r="B68" s="5" t="s">
        <v>13</v>
      </c>
      <c r="C68" s="5" t="s">
        <v>21</v>
      </c>
      <c r="E68" s="7" t="s">
        <v>15</v>
      </c>
      <c r="F68" s="23">
        <f>C69</f>
        <v>50</v>
      </c>
    </row>
    <row r="69" spans="2:3" ht="12.75">
      <c r="B69" s="10" t="s">
        <v>22</v>
      </c>
      <c r="C69" s="10">
        <v>50</v>
      </c>
    </row>
    <row r="70" spans="5:6" ht="12.75">
      <c r="E70" s="7" t="s">
        <v>16</v>
      </c>
      <c r="F70" s="10">
        <f>C69*12</f>
        <v>600</v>
      </c>
    </row>
    <row r="74" ht="12.75">
      <c r="B74" t="s">
        <v>29</v>
      </c>
    </row>
    <row r="76" spans="2:6" ht="12.75">
      <c r="B76" s="26" t="s">
        <v>13</v>
      </c>
      <c r="C76" s="26" t="s">
        <v>21</v>
      </c>
      <c r="E76" s="7" t="s">
        <v>15</v>
      </c>
      <c r="F76" s="23">
        <f>C79</f>
        <v>290</v>
      </c>
    </row>
    <row r="77" spans="2:3" ht="12.75">
      <c r="B77" s="10" t="s">
        <v>31</v>
      </c>
      <c r="C77" s="10">
        <v>30</v>
      </c>
    </row>
    <row r="78" spans="2:6" ht="12.75">
      <c r="B78" s="27" t="s">
        <v>30</v>
      </c>
      <c r="C78" s="10">
        <v>260</v>
      </c>
      <c r="E78" s="7" t="s">
        <v>16</v>
      </c>
      <c r="F78" s="23">
        <f>C79*12</f>
        <v>3480</v>
      </c>
    </row>
    <row r="79" spans="2:3" ht="12.75">
      <c r="B79" s="4" t="s">
        <v>6</v>
      </c>
      <c r="C79" s="28">
        <f>SUM(C77:C78)</f>
        <v>290</v>
      </c>
    </row>
    <row r="83" ht="12.75">
      <c r="B83" t="s">
        <v>38</v>
      </c>
    </row>
    <row r="85" spans="2:3" ht="12.75">
      <c r="B85" s="26" t="s">
        <v>13</v>
      </c>
      <c r="C85" s="26" t="s">
        <v>21</v>
      </c>
    </row>
    <row r="86" spans="2:3" ht="12.75">
      <c r="B86" s="29" t="s">
        <v>32</v>
      </c>
      <c r="C86" s="10">
        <v>21350</v>
      </c>
    </row>
    <row r="87" spans="2:3" ht="12.75">
      <c r="B87" s="30" t="s">
        <v>33</v>
      </c>
      <c r="C87" s="10">
        <f>C86*0.15</f>
        <v>3202.5</v>
      </c>
    </row>
    <row r="88" spans="2:3" ht="12.75">
      <c r="B88" s="29" t="s">
        <v>34</v>
      </c>
      <c r="C88" s="10">
        <f>C86+C87</f>
        <v>24552.5</v>
      </c>
    </row>
    <row r="89" spans="2:3" ht="12.75">
      <c r="B89" s="30" t="s">
        <v>35</v>
      </c>
      <c r="C89" s="10">
        <f>C88*2</f>
        <v>49105</v>
      </c>
    </row>
    <row r="90" spans="2:3" ht="15">
      <c r="B90" s="20" t="s">
        <v>36</v>
      </c>
      <c r="C90" s="10">
        <f>C89/5</f>
        <v>9821</v>
      </c>
    </row>
    <row r="91" spans="2:3" ht="15">
      <c r="B91" s="20" t="s">
        <v>37</v>
      </c>
      <c r="C91" s="10">
        <f>C89/60</f>
        <v>818.4166666666666</v>
      </c>
    </row>
  </sheetData>
  <sheetProtection/>
  <printOptions/>
  <pageMargins left="0.75" right="0.75" top="1" bottom="1" header="0" footer="0"/>
  <pageSetup orientation="portrait" paperSize="9"/>
</worksheet>
</file>

<file path=xl/worksheets/sheet14.xml><?xml version="1.0" encoding="utf-8"?>
<worksheet xmlns="http://schemas.openxmlformats.org/spreadsheetml/2006/main" xmlns:r="http://schemas.openxmlformats.org/officeDocument/2006/relationships">
  <dimension ref="C8:M41"/>
  <sheetViews>
    <sheetView zoomScalePageLayoutView="0" workbookViewId="0" topLeftCell="A19">
      <selection activeCell="H40" sqref="H40"/>
    </sheetView>
  </sheetViews>
  <sheetFormatPr defaultColWidth="11.421875" defaultRowHeight="12.75"/>
  <cols>
    <col min="3" max="3" width="27.140625" style="0" customWidth="1"/>
    <col min="9" max="9" width="16.140625" style="0" customWidth="1"/>
    <col min="10" max="10" width="11.7109375" style="0" customWidth="1"/>
  </cols>
  <sheetData>
    <row r="8" spans="3:10" ht="12.75">
      <c r="C8" s="7" t="s">
        <v>61</v>
      </c>
      <c r="D8" s="7" t="s">
        <v>62</v>
      </c>
      <c r="E8" s="7" t="s">
        <v>63</v>
      </c>
      <c r="F8" s="7" t="s">
        <v>64</v>
      </c>
      <c r="I8" s="7" t="s">
        <v>13</v>
      </c>
      <c r="J8" s="7" t="s">
        <v>14</v>
      </c>
    </row>
    <row r="9" spans="3:10" ht="12.75">
      <c r="C9" s="10" t="s">
        <v>65</v>
      </c>
      <c r="D9" s="8">
        <v>6</v>
      </c>
      <c r="E9" s="17">
        <v>269</v>
      </c>
      <c r="F9" s="17">
        <f>E9*D9</f>
        <v>1614</v>
      </c>
      <c r="G9">
        <v>10</v>
      </c>
      <c r="I9" s="281" t="s">
        <v>255</v>
      </c>
      <c r="J9" s="19">
        <v>40000</v>
      </c>
    </row>
    <row r="10" spans="3:7" ht="12.75">
      <c r="C10" s="10" t="s">
        <v>66</v>
      </c>
      <c r="D10" s="8">
        <v>1</v>
      </c>
      <c r="E10" s="17">
        <v>2720</v>
      </c>
      <c r="F10" s="17">
        <f>E10*D10</f>
        <v>2720</v>
      </c>
      <c r="G10" s="57">
        <v>5</v>
      </c>
    </row>
    <row r="11" spans="3:7" ht="12.75">
      <c r="C11" s="10" t="s">
        <v>67</v>
      </c>
      <c r="D11" s="8">
        <v>1</v>
      </c>
      <c r="E11" s="17">
        <v>300</v>
      </c>
      <c r="F11" s="17">
        <f>E11*D11</f>
        <v>300</v>
      </c>
      <c r="G11" s="57">
        <v>5</v>
      </c>
    </row>
    <row r="12" spans="3:7" ht="12.75">
      <c r="C12" s="10" t="s">
        <v>68</v>
      </c>
      <c r="D12" s="8">
        <v>2</v>
      </c>
      <c r="E12" s="17">
        <v>100</v>
      </c>
      <c r="F12" s="17">
        <f>E12*D12</f>
        <v>200</v>
      </c>
      <c r="G12">
        <v>10</v>
      </c>
    </row>
    <row r="13" spans="3:7" ht="12.75">
      <c r="C13" s="10" t="s">
        <v>69</v>
      </c>
      <c r="D13" s="8">
        <v>6</v>
      </c>
      <c r="E13" s="17">
        <v>144</v>
      </c>
      <c r="F13" s="17">
        <f aca="true" t="shared" si="0" ref="F13:F18">E13*D13</f>
        <v>864</v>
      </c>
      <c r="G13">
        <v>10</v>
      </c>
    </row>
    <row r="14" spans="3:7" ht="14.25" customHeight="1" hidden="1">
      <c r="C14" s="10"/>
      <c r="D14" s="8"/>
      <c r="E14" s="17"/>
      <c r="F14" s="17"/>
      <c r="G14">
        <v>10</v>
      </c>
    </row>
    <row r="15" spans="3:7" ht="12.75">
      <c r="C15" s="10" t="s">
        <v>70</v>
      </c>
      <c r="D15" s="8">
        <v>4</v>
      </c>
      <c r="E15" s="17">
        <v>600</v>
      </c>
      <c r="F15" s="17">
        <f t="shared" si="0"/>
        <v>2400</v>
      </c>
      <c r="G15" s="57">
        <v>5</v>
      </c>
    </row>
    <row r="16" spans="3:7" ht="12.75">
      <c r="C16" s="10" t="s">
        <v>71</v>
      </c>
      <c r="D16" s="8">
        <v>1</v>
      </c>
      <c r="E16" s="17">
        <v>425</v>
      </c>
      <c r="F16" s="17">
        <f t="shared" si="0"/>
        <v>425</v>
      </c>
      <c r="G16" s="57">
        <v>5</v>
      </c>
    </row>
    <row r="17" spans="3:7" ht="12.75">
      <c r="C17" s="10" t="s">
        <v>72</v>
      </c>
      <c r="D17" s="8">
        <v>2</v>
      </c>
      <c r="E17" s="17">
        <v>250</v>
      </c>
      <c r="F17" s="17">
        <f t="shared" si="0"/>
        <v>500</v>
      </c>
      <c r="G17">
        <v>10</v>
      </c>
    </row>
    <row r="18" spans="3:7" ht="12.75">
      <c r="C18" s="10" t="s">
        <v>73</v>
      </c>
      <c r="D18" s="8">
        <v>2</v>
      </c>
      <c r="E18" s="17">
        <v>70</v>
      </c>
      <c r="F18" s="17">
        <f t="shared" si="0"/>
        <v>140</v>
      </c>
      <c r="G18">
        <v>10</v>
      </c>
    </row>
    <row r="19" spans="3:6" ht="12.75">
      <c r="C19" s="7" t="s">
        <v>6</v>
      </c>
      <c r="D19" s="3"/>
      <c r="E19" s="36"/>
      <c r="F19" s="37">
        <f>SUM(F9:F18)</f>
        <v>9163</v>
      </c>
    </row>
    <row r="23" ht="13.5" thickBot="1"/>
    <row r="24" spans="3:6" ht="13.5" thickBot="1">
      <c r="C24" s="214" t="s">
        <v>13</v>
      </c>
      <c r="D24" s="234" t="s">
        <v>76</v>
      </c>
      <c r="E24" s="231" t="s">
        <v>77</v>
      </c>
      <c r="F24" s="235" t="s">
        <v>78</v>
      </c>
    </row>
    <row r="25" spans="3:7" ht="12.75">
      <c r="C25" s="237" t="s">
        <v>247</v>
      </c>
      <c r="D25" s="238">
        <v>1</v>
      </c>
      <c r="E25" s="239">
        <v>1008</v>
      </c>
      <c r="F25" s="240">
        <f aca="true" t="shared" si="1" ref="F25:F30">E25*D25</f>
        <v>1008</v>
      </c>
      <c r="G25">
        <v>10</v>
      </c>
    </row>
    <row r="26" spans="3:7" ht="12.75">
      <c r="C26" s="232" t="s">
        <v>248</v>
      </c>
      <c r="D26" s="245">
        <v>1</v>
      </c>
      <c r="E26" s="246">
        <v>1136</v>
      </c>
      <c r="F26" s="247">
        <f t="shared" si="1"/>
        <v>1136</v>
      </c>
      <c r="G26">
        <v>10</v>
      </c>
    </row>
    <row r="27" spans="3:7" ht="12.75">
      <c r="C27" s="232" t="s">
        <v>249</v>
      </c>
      <c r="D27" s="8">
        <v>9</v>
      </c>
      <c r="E27" s="17">
        <v>90</v>
      </c>
      <c r="F27" s="219">
        <f t="shared" si="1"/>
        <v>810</v>
      </c>
      <c r="G27">
        <v>10</v>
      </c>
    </row>
    <row r="28" spans="3:7" ht="12.75">
      <c r="C28" s="232" t="s">
        <v>250</v>
      </c>
      <c r="D28" s="8">
        <v>3</v>
      </c>
      <c r="E28" s="17">
        <v>105</v>
      </c>
      <c r="F28" s="219">
        <f t="shared" si="1"/>
        <v>315</v>
      </c>
      <c r="G28">
        <v>10</v>
      </c>
    </row>
    <row r="29" spans="3:7" ht="12.75">
      <c r="C29" s="232" t="s">
        <v>251</v>
      </c>
      <c r="D29" s="8">
        <v>1</v>
      </c>
      <c r="E29" s="17">
        <v>1200</v>
      </c>
      <c r="F29" s="219">
        <f t="shared" si="1"/>
        <v>1200</v>
      </c>
      <c r="G29">
        <v>10</v>
      </c>
    </row>
    <row r="30" spans="3:7" ht="13.5" thickBot="1">
      <c r="C30" s="241" t="s">
        <v>252</v>
      </c>
      <c r="D30" s="242">
        <v>1</v>
      </c>
      <c r="E30" s="243">
        <v>9150</v>
      </c>
      <c r="F30" s="244">
        <f t="shared" si="1"/>
        <v>9150</v>
      </c>
      <c r="G30" s="57">
        <v>5</v>
      </c>
    </row>
    <row r="31" spans="3:6" ht="13.5" thickBot="1">
      <c r="C31" s="222" t="s">
        <v>6</v>
      </c>
      <c r="D31" s="233"/>
      <c r="E31" s="233"/>
      <c r="F31" s="236">
        <f>SUM(F25:F30)</f>
        <v>13619</v>
      </c>
    </row>
    <row r="34" spans="3:6" ht="12.75">
      <c r="C34" s="7" t="s">
        <v>13</v>
      </c>
      <c r="D34" s="7" t="s">
        <v>76</v>
      </c>
      <c r="E34" s="7" t="s">
        <v>77</v>
      </c>
      <c r="F34" s="7" t="s">
        <v>78</v>
      </c>
    </row>
    <row r="35" spans="3:6" ht="25.5">
      <c r="C35" s="38" t="s">
        <v>74</v>
      </c>
      <c r="D35" s="8">
        <v>18</v>
      </c>
      <c r="E35" s="19">
        <v>11.3</v>
      </c>
      <c r="F35" s="19">
        <f>E35*D35</f>
        <v>203.4</v>
      </c>
    </row>
    <row r="36" spans="3:6" ht="12.75">
      <c r="C36" s="10" t="s">
        <v>75</v>
      </c>
      <c r="D36" s="8">
        <v>9</v>
      </c>
      <c r="E36" s="19">
        <v>7.53</v>
      </c>
      <c r="F36" s="19">
        <f>E36*D36</f>
        <v>67.77</v>
      </c>
    </row>
    <row r="37" spans="3:6" ht="12.75">
      <c r="C37" s="39" t="s">
        <v>6</v>
      </c>
      <c r="D37" s="39"/>
      <c r="E37" s="40"/>
      <c r="F37" s="40">
        <f>F35+F36</f>
        <v>271.17</v>
      </c>
    </row>
    <row r="38" spans="3:13" ht="18.75">
      <c r="C38" s="13"/>
      <c r="D38" s="13"/>
      <c r="E38" s="41"/>
      <c r="F38" s="41"/>
      <c r="L38" s="358" t="s">
        <v>180</v>
      </c>
      <c r="M38" s="358"/>
    </row>
    <row r="39" spans="3:13" ht="15">
      <c r="C39" s="25"/>
      <c r="D39" s="13"/>
      <c r="E39" s="41"/>
      <c r="F39" s="42"/>
      <c r="L39" s="27"/>
      <c r="M39" s="119"/>
    </row>
    <row r="40" spans="6:13" ht="12.75">
      <c r="F40" s="4" t="s">
        <v>182</v>
      </c>
      <c r="H40" s="23">
        <f>F37+F31+F19+M40+J9</f>
        <v>63653.17</v>
      </c>
      <c r="L40" s="27" t="s">
        <v>181</v>
      </c>
      <c r="M40" s="120">
        <v>600</v>
      </c>
    </row>
    <row r="41" spans="12:13" ht="12.75">
      <c r="L41" s="10" t="s">
        <v>6</v>
      </c>
      <c r="M41" s="121">
        <f>SUM(M39:M41)</f>
        <v>600</v>
      </c>
    </row>
  </sheetData>
  <sheetProtection/>
  <mergeCells count="1">
    <mergeCell ref="L38:M38"/>
  </mergeCells>
  <printOptions/>
  <pageMargins left="0.75" right="0.75" top="1" bottom="1" header="0" footer="0"/>
  <pageSetup orientation="portrait" paperSize="9"/>
</worksheet>
</file>

<file path=xl/worksheets/sheet15.xml><?xml version="1.0" encoding="utf-8"?>
<worksheet xmlns="http://schemas.openxmlformats.org/spreadsheetml/2006/main" xmlns:r="http://schemas.openxmlformats.org/officeDocument/2006/relationships">
  <dimension ref="B13:O39"/>
  <sheetViews>
    <sheetView tabSelected="1" zoomScalePageLayoutView="0" workbookViewId="0" topLeftCell="A1">
      <selection activeCell="G41" sqref="G41"/>
    </sheetView>
  </sheetViews>
  <sheetFormatPr defaultColWidth="11.421875" defaultRowHeight="12.75"/>
  <cols>
    <col min="3" max="3" width="19.140625" style="0" customWidth="1"/>
    <col min="4" max="7" width="13.28125" style="0" bestFit="1" customWidth="1"/>
    <col min="8" max="8" width="14.140625" style="0" customWidth="1"/>
    <col min="9" max="9" width="13.00390625" style="0" customWidth="1"/>
    <col min="10" max="10" width="12.421875" style="0" customWidth="1"/>
    <col min="11" max="11" width="12.8515625" style="0" customWidth="1"/>
    <col min="12" max="12" width="12.57421875" style="0" customWidth="1"/>
    <col min="13" max="13" width="13.28125" style="0" customWidth="1"/>
    <col min="14" max="14" width="12.8515625" style="0" customWidth="1"/>
    <col min="15" max="15" width="13.28125" style="0" customWidth="1"/>
  </cols>
  <sheetData>
    <row r="13" spans="3:15" ht="15">
      <c r="C13" s="18"/>
      <c r="D13" s="61" t="s">
        <v>96</v>
      </c>
      <c r="E13" s="61" t="s">
        <v>97</v>
      </c>
      <c r="F13" s="61" t="s">
        <v>98</v>
      </c>
      <c r="G13" s="61" t="s">
        <v>99</v>
      </c>
      <c r="H13" s="61" t="s">
        <v>100</v>
      </c>
      <c r="I13" s="61" t="s">
        <v>101</v>
      </c>
      <c r="J13" s="61" t="s">
        <v>102</v>
      </c>
      <c r="K13" s="61" t="s">
        <v>103</v>
      </c>
      <c r="L13" s="61" t="s">
        <v>104</v>
      </c>
      <c r="M13" s="61" t="s">
        <v>105</v>
      </c>
      <c r="N13" s="61" t="s">
        <v>106</v>
      </c>
      <c r="O13" s="61" t="s">
        <v>107</v>
      </c>
    </row>
    <row r="14" spans="3:15" ht="15">
      <c r="C14" s="18" t="s">
        <v>108</v>
      </c>
      <c r="D14" s="305">
        <f>'COSTOS VARIABLES'!$D$18/12</f>
        <v>5215.407548885333</v>
      </c>
      <c r="E14" s="305">
        <f>'COSTOS VARIABLES'!$D$18/12</f>
        <v>5215.407548885333</v>
      </c>
      <c r="F14" s="305">
        <f>'COSTOS VARIABLES'!$D$18/12</f>
        <v>5215.407548885333</v>
      </c>
      <c r="G14" s="305">
        <f>'COSTOS VARIABLES'!$D$18/12</f>
        <v>5215.407548885333</v>
      </c>
      <c r="H14" s="305">
        <f>'COSTOS VARIABLES'!$D$18/12</f>
        <v>5215.407548885333</v>
      </c>
      <c r="I14" s="305">
        <f>'COSTOS VARIABLES'!$D$18/12</f>
        <v>5215.407548885333</v>
      </c>
      <c r="J14" s="305">
        <f>'COSTOS VARIABLES'!$D$18/12</f>
        <v>5215.407548885333</v>
      </c>
      <c r="K14" s="305">
        <f>'COSTOS VARIABLES'!$D$18/12</f>
        <v>5215.407548885333</v>
      </c>
      <c r="L14" s="305">
        <f>'COSTOS VARIABLES'!$D$18/12</f>
        <v>5215.407548885333</v>
      </c>
      <c r="M14" s="305">
        <f>'COSTOS VARIABLES'!$D$18/12</f>
        <v>5215.407548885333</v>
      </c>
      <c r="N14" s="305">
        <f>'COSTOS VARIABLES'!$D$18/12</f>
        <v>5215.407548885333</v>
      </c>
      <c r="O14" s="305">
        <f>'COSTOS VARIABLES'!$D$18/12</f>
        <v>5215.407548885333</v>
      </c>
    </row>
    <row r="15" spans="3:15" ht="15">
      <c r="C15" s="18" t="s">
        <v>109</v>
      </c>
      <c r="D15" s="305">
        <f>'COSTOS FIJOS'!$F$31/12</f>
        <v>6545.153133333334</v>
      </c>
      <c r="E15" s="305">
        <f>'[1]Costos Fijos'!$B$15/12</f>
        <v>6335.153133333334</v>
      </c>
      <c r="F15" s="305">
        <f>'[1]Costos Fijos'!$B$15/12</f>
        <v>6335.153133333334</v>
      </c>
      <c r="G15" s="305">
        <f>'[1]Costos Fijos'!$B$15/12</f>
        <v>6335.153133333334</v>
      </c>
      <c r="H15" s="305">
        <f>'[1]Costos Fijos'!$B$15/12</f>
        <v>6335.153133333334</v>
      </c>
      <c r="I15" s="305">
        <f>'[1]Costos Fijos'!$B$15/12</f>
        <v>6335.153133333334</v>
      </c>
      <c r="J15" s="305">
        <f>'[1]Costos Fijos'!$B$15/12</f>
        <v>6335.153133333334</v>
      </c>
      <c r="K15" s="305">
        <f>'[1]Costos Fijos'!$B$15/12</f>
        <v>6335.153133333334</v>
      </c>
      <c r="L15" s="305">
        <f>'[1]Costos Fijos'!$B$15/12</f>
        <v>6335.153133333334</v>
      </c>
      <c r="M15" s="305">
        <f>'[1]Costos Fijos'!$B$15/12</f>
        <v>6335.153133333334</v>
      </c>
      <c r="N15" s="305">
        <f>'[1]Costos Fijos'!$B$15/12</f>
        <v>6335.153133333334</v>
      </c>
      <c r="O15" s="305">
        <f>'[1]Costos Fijos'!$B$15/12</f>
        <v>6335.153133333334</v>
      </c>
    </row>
    <row r="16" spans="3:15" ht="15">
      <c r="C16" s="18" t="s">
        <v>110</v>
      </c>
      <c r="D16" s="306">
        <f>D14+D15</f>
        <v>11760.560682218667</v>
      </c>
      <c r="E16" s="305">
        <f aca="true" t="shared" si="0" ref="E16:O16">E14+E15</f>
        <v>11550.560682218667</v>
      </c>
      <c r="F16" s="305">
        <f t="shared" si="0"/>
        <v>11550.560682218667</v>
      </c>
      <c r="G16" s="305">
        <f t="shared" si="0"/>
        <v>11550.560682218667</v>
      </c>
      <c r="H16" s="305">
        <f t="shared" si="0"/>
        <v>11550.560682218667</v>
      </c>
      <c r="I16" s="305">
        <f t="shared" si="0"/>
        <v>11550.560682218667</v>
      </c>
      <c r="J16" s="305">
        <f t="shared" si="0"/>
        <v>11550.560682218667</v>
      </c>
      <c r="K16" s="305">
        <f t="shared" si="0"/>
        <v>11550.560682218667</v>
      </c>
      <c r="L16" s="305">
        <f t="shared" si="0"/>
        <v>11550.560682218667</v>
      </c>
      <c r="M16" s="305">
        <f t="shared" si="0"/>
        <v>11550.560682218667</v>
      </c>
      <c r="N16" s="305">
        <f t="shared" si="0"/>
        <v>11550.560682218667</v>
      </c>
      <c r="O16" s="305">
        <f t="shared" si="0"/>
        <v>11550.560682218667</v>
      </c>
    </row>
    <row r="17" spans="3:15" ht="15">
      <c r="C17" s="18" t="s">
        <v>111</v>
      </c>
      <c r="D17" s="305"/>
      <c r="E17" s="305">
        <f>E18-E16</f>
        <v>378314.8074341464</v>
      </c>
      <c r="F17" s="305">
        <f aca="true" t="shared" si="1" ref="F17:O17">F18-F16+E17</f>
        <v>757273.50922054</v>
      </c>
      <c r="G17" s="305">
        <f t="shared" si="1"/>
        <v>1136877.1688030534</v>
      </c>
      <c r="H17" s="305">
        <f t="shared" si="1"/>
        <v>1517126.8513819233</v>
      </c>
      <c r="I17" s="305">
        <f t="shared" si="1"/>
        <v>1898023.623916651</v>
      </c>
      <c r="J17" s="305">
        <f t="shared" si="1"/>
        <v>2279568.555128908</v>
      </c>
      <c r="K17" s="305">
        <f t="shared" si="1"/>
        <v>2661762.7155054472</v>
      </c>
      <c r="L17" s="305">
        <f t="shared" si="1"/>
        <v>3044607.1773010166</v>
      </c>
      <c r="M17" s="305">
        <f t="shared" si="1"/>
        <v>3428103.014541281</v>
      </c>
      <c r="N17" s="305">
        <f t="shared" si="1"/>
        <v>3812251.303025745</v>
      </c>
      <c r="O17" s="305">
        <f t="shared" si="1"/>
        <v>4197053.120330684</v>
      </c>
    </row>
    <row r="18" spans="3:15" ht="15">
      <c r="C18" s="18" t="s">
        <v>112</v>
      </c>
      <c r="D18" s="307">
        <f>Demanda!B16</f>
        <v>13703.334823552</v>
      </c>
      <c r="E18" s="305">
        <f>Demanda!$B$16*Demanda!$B$14*(1+Demanda!$B$21)</f>
        <v>389865.36811636505</v>
      </c>
      <c r="F18" s="305">
        <f>(1+Demanda!$B$21)*COOOOOOO!E18</f>
        <v>390509.2624686123</v>
      </c>
      <c r="G18" s="305">
        <f>(1+Demanda!$B$21)*COOOOOOO!F18</f>
        <v>391154.2202647321</v>
      </c>
      <c r="H18" s="305">
        <f>(1+Demanda!$B$21)*COOOOOOO!G18</f>
        <v>391800.2432610885</v>
      </c>
      <c r="I18" s="305">
        <f>(1+Demanda!$B$21)*COOOOOOO!H18</f>
        <v>392447.3332169463</v>
      </c>
      <c r="J18" s="305">
        <f>(1+Demanda!$B$21)*COOOOOOO!I18</f>
        <v>393095.4918944758</v>
      </c>
      <c r="K18" s="305">
        <f>(1+Demanda!$B$21)*COOOOOOO!J18</f>
        <v>393744.72105875786</v>
      </c>
      <c r="L18" s="305">
        <f>(1+Demanda!$B$21)*COOOOOOO!K18</f>
        <v>394395.0224777883</v>
      </c>
      <c r="M18" s="305">
        <f>(1+Demanda!$B$21)*COOOOOOO!L18</f>
        <v>395046.39792248304</v>
      </c>
      <c r="N18" s="305">
        <f>(1+Demanda!$B$21)*COOOOOOO!M18</f>
        <v>395698.84916668275</v>
      </c>
      <c r="O18" s="305">
        <f>(1+Demanda!$B$21)*COOOOOOO!N18</f>
        <v>396352.3779871578</v>
      </c>
    </row>
    <row r="21" spans="2:9" ht="12.75">
      <c r="B21" s="320"/>
      <c r="C21" s="320"/>
      <c r="D21" s="320"/>
      <c r="E21" s="320"/>
      <c r="F21" s="320"/>
      <c r="G21" s="320"/>
      <c r="H21" s="320"/>
      <c r="I21" s="320"/>
    </row>
    <row r="22" spans="2:9" ht="13.5" thickBot="1">
      <c r="B22" s="320"/>
      <c r="C22" s="320"/>
      <c r="D22" s="320"/>
      <c r="E22" s="320"/>
      <c r="F22" s="320"/>
      <c r="G22" s="320"/>
      <c r="H22" s="320"/>
      <c r="I22" s="320"/>
    </row>
    <row r="23" spans="2:9" ht="12.75">
      <c r="B23" s="320"/>
      <c r="C23" s="308"/>
      <c r="D23" s="309" t="s">
        <v>101</v>
      </c>
      <c r="E23" s="309" t="s">
        <v>102</v>
      </c>
      <c r="F23" s="309" t="s">
        <v>103</v>
      </c>
      <c r="G23" s="309" t="s">
        <v>104</v>
      </c>
      <c r="H23" s="310" t="s">
        <v>105</v>
      </c>
      <c r="I23" s="320"/>
    </row>
    <row r="24" spans="2:9" ht="15">
      <c r="B24" s="320"/>
      <c r="C24" s="46" t="s">
        <v>108</v>
      </c>
      <c r="D24" s="19">
        <v>5215.407548885333</v>
      </c>
      <c r="E24" s="19">
        <v>5215.407548885333</v>
      </c>
      <c r="F24" s="19">
        <v>5215.407548885333</v>
      </c>
      <c r="G24" s="19">
        <v>5215.407548885333</v>
      </c>
      <c r="H24" s="312">
        <v>5215.407548885333</v>
      </c>
      <c r="I24" s="320"/>
    </row>
    <row r="25" spans="2:9" ht="15">
      <c r="B25" s="320"/>
      <c r="C25" s="46" t="s">
        <v>109</v>
      </c>
      <c r="D25" s="19">
        <v>6335.153133333334</v>
      </c>
      <c r="E25" s="19">
        <v>6335.153133333334</v>
      </c>
      <c r="F25" s="19">
        <v>6335.153133333334</v>
      </c>
      <c r="G25" s="19">
        <v>6335.153133333334</v>
      </c>
      <c r="H25" s="312">
        <v>6335.153133333334</v>
      </c>
      <c r="I25" s="320"/>
    </row>
    <row r="26" spans="2:9" ht="15">
      <c r="B26" s="320"/>
      <c r="C26" s="46" t="s">
        <v>110</v>
      </c>
      <c r="D26" s="19">
        <v>11550.560682218667</v>
      </c>
      <c r="E26" s="19">
        <v>11550.560682218667</v>
      </c>
      <c r="F26" s="19">
        <v>11550.560682218667</v>
      </c>
      <c r="G26" s="19">
        <v>11550.560682218667</v>
      </c>
      <c r="H26" s="312">
        <v>11550.560682218667</v>
      </c>
      <c r="I26" s="320"/>
    </row>
    <row r="27" spans="2:9" ht="15">
      <c r="B27" s="320"/>
      <c r="C27" s="46" t="s">
        <v>111</v>
      </c>
      <c r="D27" s="19">
        <v>1898023.623916651</v>
      </c>
      <c r="E27" s="19">
        <v>2279568.555128908</v>
      </c>
      <c r="F27" s="19">
        <v>2661762.7155054472</v>
      </c>
      <c r="G27" s="19">
        <v>3044607.1773010166</v>
      </c>
      <c r="H27" s="312">
        <v>3428103.014541281</v>
      </c>
      <c r="I27" s="320"/>
    </row>
    <row r="28" spans="2:9" ht="15.75" thickBot="1">
      <c r="B28" s="320"/>
      <c r="C28" s="311" t="s">
        <v>112</v>
      </c>
      <c r="D28" s="313">
        <v>392447.3332169463</v>
      </c>
      <c r="E28" s="313">
        <v>393095.4918944758</v>
      </c>
      <c r="F28" s="313">
        <v>393744.72105875786</v>
      </c>
      <c r="G28" s="313">
        <v>394395.0224777883</v>
      </c>
      <c r="H28" s="314">
        <v>395046.39792248304</v>
      </c>
      <c r="I28" s="320"/>
    </row>
    <row r="29" spans="2:9" ht="12.75">
      <c r="B29" s="320"/>
      <c r="C29" s="320"/>
      <c r="D29" s="320"/>
      <c r="E29" s="320"/>
      <c r="F29" s="320"/>
      <c r="G29" s="320"/>
      <c r="H29" s="320"/>
      <c r="I29" s="320"/>
    </row>
    <row r="30" spans="2:9" ht="13.5" thickBot="1">
      <c r="B30" s="320"/>
      <c r="C30" s="320"/>
      <c r="D30" s="320"/>
      <c r="E30" s="320"/>
      <c r="F30" s="320"/>
      <c r="G30" s="320"/>
      <c r="H30" s="320"/>
      <c r="I30" s="320"/>
    </row>
    <row r="31" spans="2:9" ht="13.5" thickBot="1">
      <c r="B31" s="320"/>
      <c r="C31" s="315"/>
      <c r="D31" s="321" t="s">
        <v>106</v>
      </c>
      <c r="E31" s="316" t="s">
        <v>107</v>
      </c>
      <c r="F31" s="320"/>
      <c r="G31" s="320"/>
      <c r="H31" s="320"/>
      <c r="I31" s="320"/>
    </row>
    <row r="32" spans="2:9" ht="15">
      <c r="B32" s="320"/>
      <c r="C32" s="317" t="s">
        <v>108</v>
      </c>
      <c r="D32" s="318">
        <v>5215.407548885333</v>
      </c>
      <c r="E32" s="319">
        <v>5215.407548885333</v>
      </c>
      <c r="F32" s="320"/>
      <c r="G32" s="320"/>
      <c r="H32" s="320"/>
      <c r="I32" s="320"/>
    </row>
    <row r="33" spans="2:9" ht="15">
      <c r="B33" s="320"/>
      <c r="C33" s="46" t="s">
        <v>109</v>
      </c>
      <c r="D33" s="19">
        <v>6335.153133333334</v>
      </c>
      <c r="E33" s="312">
        <v>6335.153133333334</v>
      </c>
      <c r="F33" s="320"/>
      <c r="G33" s="320"/>
      <c r="H33" s="320"/>
      <c r="I33" s="320"/>
    </row>
    <row r="34" spans="2:9" ht="15">
      <c r="B34" s="320"/>
      <c r="C34" s="46" t="s">
        <v>110</v>
      </c>
      <c r="D34" s="19">
        <v>11550.560682218667</v>
      </c>
      <c r="E34" s="312">
        <v>11550.560682218667</v>
      </c>
      <c r="F34" s="320"/>
      <c r="G34" s="320"/>
      <c r="H34" s="320"/>
      <c r="I34" s="320"/>
    </row>
    <row r="35" spans="2:9" ht="15">
      <c r="B35" s="320"/>
      <c r="C35" s="46" t="s">
        <v>111</v>
      </c>
      <c r="D35" s="19">
        <v>3812251.303025745</v>
      </c>
      <c r="E35" s="312">
        <v>4197053.120330684</v>
      </c>
      <c r="F35" s="320"/>
      <c r="G35" s="320"/>
      <c r="H35" s="320"/>
      <c r="I35" s="320"/>
    </row>
    <row r="36" spans="2:9" ht="15.75" thickBot="1">
      <c r="B36" s="320"/>
      <c r="C36" s="311" t="s">
        <v>112</v>
      </c>
      <c r="D36" s="313">
        <v>395698.84916668275</v>
      </c>
      <c r="E36" s="314">
        <v>396352.3779871578</v>
      </c>
      <c r="F36" s="320"/>
      <c r="G36" s="320"/>
      <c r="H36" s="320"/>
      <c r="I36" s="320"/>
    </row>
    <row r="37" spans="2:9" ht="12.75">
      <c r="B37" s="320"/>
      <c r="C37" s="320"/>
      <c r="D37" s="320"/>
      <c r="E37" s="320"/>
      <c r="F37" s="320"/>
      <c r="G37" s="320"/>
      <c r="H37" s="320"/>
      <c r="I37" s="320"/>
    </row>
    <row r="38" spans="2:9" ht="12.75">
      <c r="B38" s="320"/>
      <c r="C38" s="320"/>
      <c r="D38" s="320"/>
      <c r="E38" s="320"/>
      <c r="F38" s="320"/>
      <c r="G38" s="320"/>
      <c r="H38" s="320"/>
      <c r="I38" s="320"/>
    </row>
    <row r="39" spans="2:9" ht="12.75">
      <c r="B39" s="320"/>
      <c r="C39" s="320"/>
      <c r="D39" s="320"/>
      <c r="E39" s="320"/>
      <c r="F39" s="320"/>
      <c r="G39" s="320"/>
      <c r="H39" s="320"/>
      <c r="I39" s="320"/>
    </row>
  </sheetData>
  <sheetProtection/>
  <printOptions/>
  <pageMargins left="0.75" right="0.75" top="1" bottom="1" header="0" footer="0"/>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B4:G22"/>
  <sheetViews>
    <sheetView zoomScalePageLayoutView="0" workbookViewId="0" topLeftCell="A1">
      <selection activeCell="F21" sqref="F21"/>
    </sheetView>
  </sheetViews>
  <sheetFormatPr defaultColWidth="11.421875" defaultRowHeight="12.75"/>
  <cols>
    <col min="2" max="2" width="17.421875" style="0" customWidth="1"/>
    <col min="3" max="3" width="11.421875" style="0" customWidth="1"/>
    <col min="4" max="4" width="13.8515625" style="0" customWidth="1"/>
    <col min="8" max="8" width="11.421875" style="0" customWidth="1"/>
  </cols>
  <sheetData>
    <row r="3" ht="13.5" thickBot="1"/>
    <row r="4" spans="3:7" ht="12.75">
      <c r="C4" s="359" t="s">
        <v>242</v>
      </c>
      <c r="D4" s="361" t="s">
        <v>243</v>
      </c>
      <c r="E4" s="363" t="s">
        <v>244</v>
      </c>
      <c r="F4" s="361" t="s">
        <v>245</v>
      </c>
      <c r="G4" s="365" t="s">
        <v>246</v>
      </c>
    </row>
    <row r="5" spans="3:7" ht="12.75">
      <c r="C5" s="360"/>
      <c r="D5" s="362"/>
      <c r="E5" s="364"/>
      <c r="F5" s="362"/>
      <c r="G5" s="366"/>
    </row>
    <row r="6" spans="3:7" ht="12.75">
      <c r="C6" s="8">
        <v>1</v>
      </c>
      <c r="D6" s="211">
        <f>Préstamo!G10</f>
        <v>31826.585</v>
      </c>
      <c r="E6" s="211">
        <f>'Flujo expancion'!D31</f>
        <v>43135.52415341411</v>
      </c>
      <c r="F6" s="211">
        <f>$E6*'Flujo expancion'!$C$35</f>
        <v>4990.86641559832</v>
      </c>
      <c r="G6" s="211">
        <f>+E6-F6</f>
        <v>38144.65773781579</v>
      </c>
    </row>
    <row r="7" spans="3:7" ht="12.75">
      <c r="C7" s="8">
        <v>2</v>
      </c>
      <c r="D7" s="211">
        <f>D6-G6</f>
        <v>-6318.07273781579</v>
      </c>
      <c r="E7" s="211">
        <f>'Flujo expancion'!E31</f>
        <v>44975.37242631135</v>
      </c>
      <c r="F7" s="211">
        <f>$E7*'Flujo expancion'!$C$35</f>
        <v>5203.740540469075</v>
      </c>
      <c r="G7" s="211">
        <f>+E7-F7</f>
        <v>39771.631885842275</v>
      </c>
    </row>
    <row r="8" spans="3:7" ht="12.75">
      <c r="C8" s="8">
        <v>3</v>
      </c>
      <c r="D8" s="211">
        <f>+$D7-$G7</f>
        <v>-46089.704623658065</v>
      </c>
      <c r="E8" s="211">
        <f>'Flujo expancion'!F31</f>
        <v>46840.3428760886</v>
      </c>
      <c r="F8" s="211">
        <f>$E8*'Flujo expancion'!$C$35</f>
        <v>5419.521351449203</v>
      </c>
      <c r="G8" s="211">
        <f aca="true" t="shared" si="0" ref="G8:G15">+E8-F8</f>
        <v>41420.821524639396</v>
      </c>
    </row>
    <row r="9" spans="3:7" ht="12.75">
      <c r="C9" s="8">
        <v>4</v>
      </c>
      <c r="D9" s="211">
        <f aca="true" t="shared" si="1" ref="D9:D15">+$D8-$G8</f>
        <v>-87510.52614829746</v>
      </c>
      <c r="E9" s="211">
        <f>'Flujo expancion'!G31</f>
        <v>48729.65371953993</v>
      </c>
      <c r="F9" s="211">
        <f>$E9*'Flujo expancion'!$C$35</f>
        <v>5638.118394658209</v>
      </c>
      <c r="G9" s="211">
        <f t="shared" si="0"/>
        <v>43091.53532488172</v>
      </c>
    </row>
    <row r="10" spans="3:7" ht="12.75">
      <c r="C10" s="282">
        <v>5</v>
      </c>
      <c r="D10" s="283">
        <f t="shared" si="1"/>
        <v>-130602.06147317917</v>
      </c>
      <c r="E10" s="283">
        <f>'Flujo expancion'!H31</f>
        <v>50642.36627285343</v>
      </c>
      <c r="F10" s="283">
        <f>$E10*'Flujo expancion'!$C$35</f>
        <v>5859.423062501688</v>
      </c>
      <c r="G10" s="283">
        <f t="shared" si="0"/>
        <v>44782.94321035175</v>
      </c>
    </row>
    <row r="11" spans="3:7" ht="12.75">
      <c r="C11" s="8">
        <v>6</v>
      </c>
      <c r="D11" s="211">
        <f t="shared" si="1"/>
        <v>-175385.00468353092</v>
      </c>
      <c r="E11" s="211">
        <f>'Flujo expancion'!I31</f>
        <v>52577.366274455664</v>
      </c>
      <c r="F11" s="211">
        <f>$E11*'Flujo expancion'!$C$35</f>
        <v>6083.306432687069</v>
      </c>
      <c r="G11" s="211">
        <f t="shared" si="0"/>
        <v>46494.0598417686</v>
      </c>
    </row>
    <row r="12" spans="3:7" ht="12.75">
      <c r="C12" s="8">
        <v>7</v>
      </c>
      <c r="D12" s="211">
        <f t="shared" si="1"/>
        <v>-221879.06452529953</v>
      </c>
      <c r="E12" s="211">
        <f>'Flujo expancion'!J31</f>
        <v>54533.343125006766</v>
      </c>
      <c r="F12" s="211">
        <f>$E12*'Flujo expancion'!$C$35</f>
        <v>6309.616866249533</v>
      </c>
      <c r="G12" s="211">
        <f t="shared" si="0"/>
        <v>48223.72625875723</v>
      </c>
    </row>
    <row r="13" spans="3:7" ht="12.75">
      <c r="C13" s="213">
        <v>8</v>
      </c>
      <c r="D13" s="211">
        <f t="shared" si="1"/>
        <v>-270102.79078405676</v>
      </c>
      <c r="E13" s="212">
        <f>'Flujo expancion'!K31</f>
        <v>63059.902567582845</v>
      </c>
      <c r="F13" s="211">
        <f>$E13*'Flujo expancion'!$C$35</f>
        <v>7296.15684687447</v>
      </c>
      <c r="G13" s="211">
        <f t="shared" si="0"/>
        <v>55763.74572070838</v>
      </c>
    </row>
    <row r="14" spans="3:7" ht="12.75">
      <c r="C14" s="213">
        <v>9</v>
      </c>
      <c r="D14" s="211">
        <f t="shared" si="1"/>
        <v>-325866.53650476516</v>
      </c>
      <c r="E14" s="212">
        <f>'Flujo expancion'!L31</f>
        <v>65322.317268334504</v>
      </c>
      <c r="F14" s="211">
        <f>$E14*'Flujo expancion'!$C$35</f>
        <v>7557.922752580838</v>
      </c>
      <c r="G14" s="211">
        <f t="shared" si="0"/>
        <v>57764.394515753665</v>
      </c>
    </row>
    <row r="15" spans="2:7" ht="12.75">
      <c r="B15" s="63"/>
      <c r="C15" s="8">
        <v>10</v>
      </c>
      <c r="D15" s="211">
        <f t="shared" si="1"/>
        <v>-383630.9310205188</v>
      </c>
      <c r="E15" s="211">
        <f>'Flujo expancion'!M31</f>
        <v>67629.9802631012</v>
      </c>
      <c r="F15" s="211">
        <f>$E15*'Flujo expancion'!$C$35</f>
        <v>7824.923976401335</v>
      </c>
      <c r="G15" s="211">
        <f t="shared" si="0"/>
        <v>59805.056286699866</v>
      </c>
    </row>
    <row r="16" spans="2:3" ht="15">
      <c r="B16" s="18"/>
      <c r="C16" s="64"/>
    </row>
    <row r="17" ht="12.75">
      <c r="C17" s="65"/>
    </row>
    <row r="18" ht="12.75">
      <c r="C18" s="62"/>
    </row>
    <row r="19" ht="12.75">
      <c r="C19" s="66"/>
    </row>
    <row r="20" ht="12.75">
      <c r="C20" s="67"/>
    </row>
    <row r="21" ht="12.75">
      <c r="C21" s="67"/>
    </row>
    <row r="22" ht="12.75">
      <c r="C22" s="68"/>
    </row>
  </sheetData>
  <sheetProtection/>
  <mergeCells count="5">
    <mergeCell ref="C4:C5"/>
    <mergeCell ref="D4:D5"/>
    <mergeCell ref="E4:E5"/>
    <mergeCell ref="F4:F5"/>
    <mergeCell ref="G4:G5"/>
  </mergeCells>
  <printOptions/>
  <pageMargins left="0.75" right="0.75" top="1" bottom="1" header="0" footer="0"/>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5:M42"/>
  <sheetViews>
    <sheetView zoomScalePageLayoutView="0" workbookViewId="0" topLeftCell="A8">
      <selection activeCell="F7" sqref="F7"/>
    </sheetView>
  </sheetViews>
  <sheetFormatPr defaultColWidth="11.421875" defaultRowHeight="12.75"/>
  <cols>
    <col min="1" max="1" width="1.1484375" style="164" customWidth="1"/>
    <col min="2" max="2" width="28.28125" style="164" customWidth="1"/>
    <col min="3" max="3" width="15.7109375" style="164" customWidth="1"/>
    <col min="4" max="13" width="14.421875" style="164" customWidth="1"/>
    <col min="14" max="16384" width="11.421875" style="164" customWidth="1"/>
  </cols>
  <sheetData>
    <row r="4" ht="13.5" thickBot="1"/>
    <row r="5" spans="2:13" ht="13.5" thickBot="1">
      <c r="B5" s="165" t="s">
        <v>215</v>
      </c>
      <c r="C5" s="166">
        <v>0</v>
      </c>
      <c r="D5" s="166">
        <v>1</v>
      </c>
      <c r="E5" s="166">
        <v>2</v>
      </c>
      <c r="F5" s="167">
        <v>3</v>
      </c>
      <c r="G5" s="268">
        <v>4</v>
      </c>
      <c r="H5" s="166">
        <v>5</v>
      </c>
      <c r="I5" s="166">
        <v>6</v>
      </c>
      <c r="J5" s="167">
        <v>7</v>
      </c>
      <c r="K5" s="268">
        <v>8</v>
      </c>
      <c r="L5" s="166">
        <v>9</v>
      </c>
      <c r="M5" s="167">
        <v>10</v>
      </c>
    </row>
    <row r="6" spans="2:13" ht="12.75">
      <c r="B6" s="168" t="s">
        <v>216</v>
      </c>
      <c r="C6" s="169"/>
      <c r="D6" s="170"/>
      <c r="E6" s="170"/>
      <c r="F6" s="171"/>
      <c r="G6" s="269"/>
      <c r="H6" s="170"/>
      <c r="I6" s="170"/>
      <c r="J6" s="171"/>
      <c r="K6" s="269"/>
      <c r="L6" s="170"/>
      <c r="M6" s="171"/>
    </row>
    <row r="7" spans="2:13" ht="12.75">
      <c r="B7" s="172" t="s">
        <v>217</v>
      </c>
      <c r="C7" s="173"/>
      <c r="D7" s="174">
        <f>Demanda!B17*(1-0.1)</f>
        <v>147996.0160943616</v>
      </c>
      <c r="E7" s="174">
        <f>(1+Demanda!$B$18)*(Demanda!$B$14)*(Demanda!$B$15*12)*(1-0.1)</f>
        <v>150955.93641624885</v>
      </c>
      <c r="F7" s="175">
        <f>(1+Demanda!$B$18)*'flujo recesion '!E7</f>
        <v>153975.05514457382</v>
      </c>
      <c r="G7" s="270">
        <f>(1+Demanda!$B$18)*'flujo recesion '!F7</f>
        <v>157054.5562474653</v>
      </c>
      <c r="H7" s="174">
        <f>(1+Demanda!$B$18)*'flujo recesion '!G7</f>
        <v>160195.64737241462</v>
      </c>
      <c r="I7" s="174">
        <f>(1+Demanda!$B$18)*'flujo recesion '!H7</f>
        <v>163399.5603198629</v>
      </c>
      <c r="J7" s="175">
        <f>(1+Demanda!$B$18)*'flujo recesion '!I7</f>
        <v>166667.55152626018</v>
      </c>
      <c r="K7" s="270">
        <f>(1+Demanda!$B$18)*'flujo recesion '!J7</f>
        <v>170000.90255678538</v>
      </c>
      <c r="L7" s="174">
        <f>(1+Demanda!$B$18)*'flujo recesion '!K7</f>
        <v>173400.92060792109</v>
      </c>
      <c r="M7" s="175">
        <f>(1+Demanda!$B$18)*'flujo recesion '!L7</f>
        <v>176868.9390200795</v>
      </c>
    </row>
    <row r="8" spans="2:13" ht="14.25" customHeight="1" thickBot="1">
      <c r="B8" s="176" t="s">
        <v>218</v>
      </c>
      <c r="C8" s="177"/>
      <c r="D8" s="178">
        <f>D7*20%</f>
        <v>29599.203218872324</v>
      </c>
      <c r="E8" s="178">
        <f aca="true" t="shared" si="0" ref="E8:M8">E7*20%</f>
        <v>30191.187283249772</v>
      </c>
      <c r="F8" s="195">
        <f t="shared" si="0"/>
        <v>30795.011028914767</v>
      </c>
      <c r="G8" s="271">
        <f t="shared" si="0"/>
        <v>31410.911249493063</v>
      </c>
      <c r="H8" s="178">
        <f t="shared" si="0"/>
        <v>32039.129474482925</v>
      </c>
      <c r="I8" s="178">
        <f t="shared" si="0"/>
        <v>32679.912063972584</v>
      </c>
      <c r="J8" s="195">
        <f t="shared" si="0"/>
        <v>33333.510305252035</v>
      </c>
      <c r="K8" s="271">
        <f t="shared" si="0"/>
        <v>34000.18051135708</v>
      </c>
      <c r="L8" s="178">
        <f t="shared" si="0"/>
        <v>34680.18412158422</v>
      </c>
      <c r="M8" s="195">
        <f t="shared" si="0"/>
        <v>35373.787804015905</v>
      </c>
    </row>
    <row r="9" spans="2:13" ht="13.5" hidden="1" thickBot="1">
      <c r="B9" s="267"/>
      <c r="C9" s="179"/>
      <c r="D9" s="174"/>
      <c r="E9" s="174"/>
      <c r="F9" s="175"/>
      <c r="G9" s="270"/>
      <c r="H9" s="174"/>
      <c r="I9" s="174"/>
      <c r="J9" s="175"/>
      <c r="K9" s="270"/>
      <c r="L9" s="174"/>
      <c r="M9" s="175"/>
    </row>
    <row r="10" spans="2:13" ht="0.75" customHeight="1" hidden="1" thickBot="1">
      <c r="B10" s="267"/>
      <c r="C10" s="179"/>
      <c r="D10" s="174"/>
      <c r="E10" s="174"/>
      <c r="F10" s="175"/>
      <c r="G10" s="270"/>
      <c r="H10" s="174"/>
      <c r="I10" s="174"/>
      <c r="J10" s="175"/>
      <c r="K10" s="270"/>
      <c r="L10" s="174"/>
      <c r="M10" s="175"/>
    </row>
    <row r="11" spans="2:13" ht="13.5" thickBot="1">
      <c r="B11" s="180" t="s">
        <v>219</v>
      </c>
      <c r="C11" s="181"/>
      <c r="D11" s="182">
        <f aca="true" t="shared" si="1" ref="D11:M11">SUM(D7:D8)</f>
        <v>177595.21931323392</v>
      </c>
      <c r="E11" s="182">
        <f t="shared" si="1"/>
        <v>181147.12369949862</v>
      </c>
      <c r="F11" s="187">
        <f t="shared" si="1"/>
        <v>184770.0661734886</v>
      </c>
      <c r="G11" s="272">
        <f t="shared" si="1"/>
        <v>188465.4674969584</v>
      </c>
      <c r="H11" s="182">
        <f t="shared" si="1"/>
        <v>192234.77684689756</v>
      </c>
      <c r="I11" s="182">
        <f t="shared" si="1"/>
        <v>196079.4723838355</v>
      </c>
      <c r="J11" s="187">
        <f t="shared" si="1"/>
        <v>200001.06183151223</v>
      </c>
      <c r="K11" s="272">
        <f t="shared" si="1"/>
        <v>204001.08306814247</v>
      </c>
      <c r="L11" s="182">
        <f t="shared" si="1"/>
        <v>208081.1047295053</v>
      </c>
      <c r="M11" s="187">
        <f t="shared" si="1"/>
        <v>212242.7268240954</v>
      </c>
    </row>
    <row r="12" spans="2:13" ht="12.75">
      <c r="B12" s="183" t="s">
        <v>220</v>
      </c>
      <c r="C12" s="184"/>
      <c r="D12" s="170"/>
      <c r="E12" s="170"/>
      <c r="F12" s="171"/>
      <c r="G12" s="269"/>
      <c r="H12" s="170"/>
      <c r="I12" s="170"/>
      <c r="J12" s="171"/>
      <c r="K12" s="269"/>
      <c r="L12" s="170"/>
      <c r="M12" s="171"/>
    </row>
    <row r="13" spans="2:13" ht="12.75">
      <c r="B13" s="185" t="s">
        <v>221</v>
      </c>
      <c r="C13" s="173"/>
      <c r="D13" s="174">
        <f>'COSTOS VARIABLES'!$D$18</f>
        <v>62584.890586624</v>
      </c>
      <c r="E13" s="174">
        <f>(1+Demanda!$B$18)*'flujo recesion '!D13</f>
        <v>63836.588398356485</v>
      </c>
      <c r="F13" s="175">
        <f>(1+Demanda!$B$18)*'flujo recesion '!E13</f>
        <v>65113.32016632362</v>
      </c>
      <c r="G13" s="270">
        <f>(1+Demanda!$B$18)*'flujo recesion '!F13</f>
        <v>66415.58656965008</v>
      </c>
      <c r="H13" s="174">
        <f>(1+Demanda!$B$18)*'flujo recesion '!G13</f>
        <v>67743.89830104308</v>
      </c>
      <c r="I13" s="174">
        <f>(1+Demanda!$B$18)*'flujo recesion '!H13</f>
        <v>69098.77626706395</v>
      </c>
      <c r="J13" s="175">
        <f>(1+Demanda!$B$18)*'flujo recesion '!I13</f>
        <v>70480.75179240522</v>
      </c>
      <c r="K13" s="270">
        <f>(1+Demanda!$B$18)*'flujo recesion '!J13</f>
        <v>71890.36682825333</v>
      </c>
      <c r="L13" s="174">
        <f>(1+Demanda!$B$18)*'flujo recesion '!K13</f>
        <v>73328.1741648184</v>
      </c>
      <c r="M13" s="175">
        <f>(1+Demanda!$B$18)*'flujo recesion '!L13</f>
        <v>74794.73764811477</v>
      </c>
    </row>
    <row r="14" spans="2:13" ht="13.5" thickBot="1">
      <c r="B14" s="185" t="s">
        <v>222</v>
      </c>
      <c r="C14" s="173"/>
      <c r="D14" s="174">
        <f>'COSTOS FIJOS'!$F$31</f>
        <v>78541.83760000001</v>
      </c>
      <c r="E14" s="174">
        <f>'COSTOS FIJOS'!$F$31</f>
        <v>78541.83760000001</v>
      </c>
      <c r="F14" s="175">
        <f>'COSTOS FIJOS'!$F$31</f>
        <v>78541.83760000001</v>
      </c>
      <c r="G14" s="270">
        <f>'COSTOS FIJOS'!$F$31</f>
        <v>78541.83760000001</v>
      </c>
      <c r="H14" s="174">
        <f>'COSTOS FIJOS'!$F$31</f>
        <v>78541.83760000001</v>
      </c>
      <c r="I14" s="174">
        <f>'COSTOS FIJOS'!$F$31</f>
        <v>78541.83760000001</v>
      </c>
      <c r="J14" s="175">
        <f>'COSTOS FIJOS'!$F$31</f>
        <v>78541.83760000001</v>
      </c>
      <c r="K14" s="270">
        <f>'COSTOS FIJOS'!$F$31</f>
        <v>78541.83760000001</v>
      </c>
      <c r="L14" s="174">
        <f>'COSTOS FIJOS'!$F$31</f>
        <v>78541.83760000001</v>
      </c>
      <c r="M14" s="175">
        <f>'COSTOS FIJOS'!$F$31</f>
        <v>78541.83760000001</v>
      </c>
    </row>
    <row r="15" spans="2:13" ht="13.5" thickBot="1">
      <c r="B15" s="180" t="s">
        <v>223</v>
      </c>
      <c r="C15" s="186"/>
      <c r="D15" s="182">
        <f aca="true" t="shared" si="2" ref="D15:M15">SUM(D13:D14)</f>
        <v>141126.728186624</v>
      </c>
      <c r="E15" s="182">
        <f t="shared" si="2"/>
        <v>142378.42599835648</v>
      </c>
      <c r="F15" s="187">
        <f t="shared" si="2"/>
        <v>143655.15776632362</v>
      </c>
      <c r="G15" s="272">
        <f t="shared" si="2"/>
        <v>144957.4241696501</v>
      </c>
      <c r="H15" s="182">
        <f t="shared" si="2"/>
        <v>146285.7359010431</v>
      </c>
      <c r="I15" s="182">
        <f t="shared" si="2"/>
        <v>147640.61386706395</v>
      </c>
      <c r="J15" s="187">
        <f t="shared" si="2"/>
        <v>149022.58939240524</v>
      </c>
      <c r="K15" s="272">
        <f t="shared" si="2"/>
        <v>150432.20442825335</v>
      </c>
      <c r="L15" s="182">
        <f t="shared" si="2"/>
        <v>151870.0117648184</v>
      </c>
      <c r="M15" s="187">
        <f t="shared" si="2"/>
        <v>153336.57524811476</v>
      </c>
    </row>
    <row r="16" spans="2:13" ht="12" customHeight="1">
      <c r="B16" s="188" t="s">
        <v>224</v>
      </c>
      <c r="C16" s="184"/>
      <c r="D16" s="189">
        <f aca="true" t="shared" si="3" ref="D16:M16">(D11-D15)</f>
        <v>36468.49112660991</v>
      </c>
      <c r="E16" s="189">
        <f t="shared" si="3"/>
        <v>38768.69770114214</v>
      </c>
      <c r="F16" s="190">
        <f t="shared" si="3"/>
        <v>41114.90840716497</v>
      </c>
      <c r="G16" s="273">
        <f t="shared" si="3"/>
        <v>43508.04332730829</v>
      </c>
      <c r="H16" s="189">
        <f t="shared" si="3"/>
        <v>45949.040945854445</v>
      </c>
      <c r="I16" s="189">
        <f t="shared" si="3"/>
        <v>48438.85851677155</v>
      </c>
      <c r="J16" s="190">
        <f t="shared" si="3"/>
        <v>50978.47243910699</v>
      </c>
      <c r="K16" s="273">
        <f t="shared" si="3"/>
        <v>53568.878639889124</v>
      </c>
      <c r="L16" s="189">
        <f t="shared" si="3"/>
        <v>56211.09296468692</v>
      </c>
      <c r="M16" s="190">
        <f t="shared" si="3"/>
        <v>58906.15157598065</v>
      </c>
    </row>
    <row r="17" spans="2:13" ht="12.75" hidden="1">
      <c r="B17" s="185"/>
      <c r="C17" s="173"/>
      <c r="D17" s="174"/>
      <c r="E17" s="174"/>
      <c r="F17" s="175"/>
      <c r="G17" s="270"/>
      <c r="H17" s="174"/>
      <c r="I17" s="174"/>
      <c r="J17" s="175"/>
      <c r="K17" s="270"/>
      <c r="L17" s="174"/>
      <c r="M17" s="175"/>
    </row>
    <row r="18" spans="2:13" ht="12.75">
      <c r="B18" s="191" t="s">
        <v>225</v>
      </c>
      <c r="C18" s="173"/>
      <c r="D18" s="174">
        <f>Hoja7!D19</f>
        <v>16</v>
      </c>
      <c r="E18" s="174">
        <f>Hoja7!E19</f>
        <v>16</v>
      </c>
      <c r="F18" s="175">
        <f>Hoja7!F19</f>
        <v>16</v>
      </c>
      <c r="G18" s="270">
        <f>Hoja7!G19</f>
        <v>16</v>
      </c>
      <c r="H18" s="174">
        <f>Hoja7!H19</f>
        <v>16</v>
      </c>
      <c r="I18" s="174">
        <f>Hoja7!I19</f>
        <v>16</v>
      </c>
      <c r="J18" s="175">
        <f>Hoja7!J19</f>
        <v>16</v>
      </c>
      <c r="K18" s="270">
        <f>Hoja7!K19</f>
        <v>16</v>
      </c>
      <c r="L18" s="174">
        <f>Hoja7!L19</f>
        <v>16</v>
      </c>
      <c r="M18" s="175">
        <f>Hoja7!M19</f>
        <v>16</v>
      </c>
    </row>
    <row r="19" spans="2:13" ht="12.75">
      <c r="B19" s="192" t="s">
        <v>226</v>
      </c>
      <c r="C19" s="173"/>
      <c r="D19" s="174">
        <f>Hoja7!D28</f>
        <v>15.156</v>
      </c>
      <c r="E19" s="174">
        <f>Hoja7!E28</f>
        <v>15.156</v>
      </c>
      <c r="F19" s="175">
        <f>Hoja7!F28</f>
        <v>15.156</v>
      </c>
      <c r="G19" s="270">
        <f>Hoja7!G28</f>
        <v>15.156</v>
      </c>
      <c r="H19" s="174">
        <f>Hoja7!H28</f>
        <v>15.156</v>
      </c>
      <c r="I19" s="174">
        <f>Hoja7!I28</f>
        <v>15.156</v>
      </c>
      <c r="J19" s="175">
        <f>Hoja7!J28</f>
        <v>15.156</v>
      </c>
      <c r="K19" s="270">
        <f>Hoja7!K28</f>
        <v>15.156</v>
      </c>
      <c r="L19" s="174">
        <f>Hoja7!L28</f>
        <v>15.156</v>
      </c>
      <c r="M19" s="175">
        <f>Hoja7!M28</f>
        <v>15.156</v>
      </c>
    </row>
    <row r="20" spans="2:13" ht="12.75">
      <c r="B20" s="191" t="s">
        <v>227</v>
      </c>
      <c r="C20" s="193"/>
      <c r="D20" s="174">
        <f>Préstamo!L14</f>
        <v>3182.5689637486357</v>
      </c>
      <c r="E20" s="174">
        <f>Préstamo!L15</f>
        <v>2824.7210379889752</v>
      </c>
      <c r="F20" s="175">
        <f>Préstamo!L16</f>
        <v>2427.5098403957527</v>
      </c>
      <c r="G20" s="270">
        <f>Préstamo!L17</f>
        <v>1986.6054110672756</v>
      </c>
      <c r="H20" s="174">
        <f>Préstamo!L18</f>
        <v>1497.2014945126652</v>
      </c>
      <c r="I20" s="174">
        <f>Préstamo!L19</f>
        <v>953.9631471370483</v>
      </c>
      <c r="J20" s="175">
        <f>Préstamo!L20</f>
        <v>350.9685815501134</v>
      </c>
      <c r="K20" s="270">
        <v>0</v>
      </c>
      <c r="L20" s="174">
        <v>0</v>
      </c>
      <c r="M20" s="175">
        <v>0</v>
      </c>
    </row>
    <row r="21" spans="2:13" ht="12.75" hidden="1">
      <c r="B21" s="185"/>
      <c r="C21" s="173"/>
      <c r="D21" s="174"/>
      <c r="E21" s="174"/>
      <c r="F21" s="175"/>
      <c r="G21" s="270"/>
      <c r="H21" s="174"/>
      <c r="I21" s="174"/>
      <c r="J21" s="175"/>
      <c r="K21" s="270"/>
      <c r="L21" s="174"/>
      <c r="M21" s="175"/>
    </row>
    <row r="22" spans="2:13" ht="15" customHeight="1">
      <c r="B22" s="185" t="s">
        <v>228</v>
      </c>
      <c r="C22" s="173"/>
      <c r="D22" s="174">
        <f aca="true" t="shared" si="4" ref="D22:M22">((D16-D18-D20)*$C$37)</f>
        <v>4990.4883244291905</v>
      </c>
      <c r="E22" s="174">
        <f t="shared" si="4"/>
        <v>5389.196499472975</v>
      </c>
      <c r="F22" s="175">
        <f t="shared" si="4"/>
        <v>5800.709785015382</v>
      </c>
      <c r="G22" s="270">
        <f t="shared" si="4"/>
        <v>6225.815687436151</v>
      </c>
      <c r="H22" s="174">
        <f t="shared" si="4"/>
        <v>6665.375917701267</v>
      </c>
      <c r="I22" s="174">
        <f t="shared" si="4"/>
        <v>7120.334305445175</v>
      </c>
      <c r="J22" s="175">
        <f t="shared" si="4"/>
        <v>7591.725578633531</v>
      </c>
      <c r="K22" s="270">
        <f t="shared" si="4"/>
        <v>8032.931795983368</v>
      </c>
      <c r="L22" s="174">
        <f t="shared" si="4"/>
        <v>8429.263944703038</v>
      </c>
      <c r="M22" s="175">
        <f t="shared" si="4"/>
        <v>8833.522736397097</v>
      </c>
    </row>
    <row r="23" spans="2:13" ht="13.5" thickBot="1">
      <c r="B23" s="176" t="s">
        <v>229</v>
      </c>
      <c r="C23" s="194"/>
      <c r="D23" s="178">
        <f aca="true" t="shared" si="5" ref="D23:M23">(D16-D18-D19-D20-D22)*25%</f>
        <v>7066.069459608019</v>
      </c>
      <c r="E23" s="178">
        <f t="shared" si="5"/>
        <v>7630.906040920047</v>
      </c>
      <c r="F23" s="195">
        <f t="shared" si="5"/>
        <v>8213.883195438459</v>
      </c>
      <c r="G23" s="271">
        <f t="shared" si="5"/>
        <v>8816.116557201214</v>
      </c>
      <c r="H23" s="178">
        <f t="shared" si="5"/>
        <v>9438.826883410127</v>
      </c>
      <c r="I23" s="178">
        <f t="shared" si="5"/>
        <v>10083.351266047332</v>
      </c>
      <c r="J23" s="195">
        <f t="shared" si="5"/>
        <v>10751.155569730836</v>
      </c>
      <c r="K23" s="271">
        <f t="shared" si="5"/>
        <v>11376.197710976438</v>
      </c>
      <c r="L23" s="178">
        <f t="shared" si="5"/>
        <v>11937.66825499597</v>
      </c>
      <c r="M23" s="195">
        <f t="shared" si="5"/>
        <v>12510.368209895887</v>
      </c>
    </row>
    <row r="24" spans="2:13" ht="13.5" thickBot="1">
      <c r="B24" s="180" t="s">
        <v>230</v>
      </c>
      <c r="C24" s="196"/>
      <c r="D24" s="182">
        <f aca="true" t="shared" si="6" ref="D24:M24">(D16-D18-D20-D22-D23)</f>
        <v>21213.36437882406</v>
      </c>
      <c r="E24" s="182">
        <f t="shared" si="6"/>
        <v>22907.874122760146</v>
      </c>
      <c r="F24" s="187">
        <f t="shared" si="6"/>
        <v>24656.80558631538</v>
      </c>
      <c r="G24" s="272">
        <f t="shared" si="6"/>
        <v>26463.505671603645</v>
      </c>
      <c r="H24" s="182">
        <f t="shared" si="6"/>
        <v>28331.636650230386</v>
      </c>
      <c r="I24" s="182">
        <f t="shared" si="6"/>
        <v>30265.209798141997</v>
      </c>
      <c r="J24" s="187">
        <f t="shared" si="6"/>
        <v>32268.62270919251</v>
      </c>
      <c r="K24" s="272">
        <f t="shared" si="6"/>
        <v>34143.74913292931</v>
      </c>
      <c r="L24" s="182">
        <f t="shared" si="6"/>
        <v>35828.160764987915</v>
      </c>
      <c r="M24" s="187">
        <f t="shared" si="6"/>
        <v>37546.26062968766</v>
      </c>
    </row>
    <row r="25" spans="2:13" ht="12.75">
      <c r="B25" s="197" t="s">
        <v>231</v>
      </c>
      <c r="C25" s="264"/>
      <c r="D25" s="170">
        <f aca="true" t="shared" si="7" ref="D25:M25">D18</f>
        <v>16</v>
      </c>
      <c r="E25" s="170">
        <f t="shared" si="7"/>
        <v>16</v>
      </c>
      <c r="F25" s="171">
        <f t="shared" si="7"/>
        <v>16</v>
      </c>
      <c r="G25" s="269">
        <f t="shared" si="7"/>
        <v>16</v>
      </c>
      <c r="H25" s="170">
        <f t="shared" si="7"/>
        <v>16</v>
      </c>
      <c r="I25" s="170">
        <f t="shared" si="7"/>
        <v>16</v>
      </c>
      <c r="J25" s="171">
        <f t="shared" si="7"/>
        <v>16</v>
      </c>
      <c r="K25" s="269">
        <f t="shared" si="7"/>
        <v>16</v>
      </c>
      <c r="L25" s="170">
        <f t="shared" si="7"/>
        <v>16</v>
      </c>
      <c r="M25" s="171">
        <f t="shared" si="7"/>
        <v>16</v>
      </c>
    </row>
    <row r="26" spans="2:13" ht="12.75">
      <c r="B26" s="185" t="s">
        <v>232</v>
      </c>
      <c r="C26" s="265"/>
      <c r="D26" s="174">
        <f>Préstamo!L25</f>
        <v>3253.1629614514545</v>
      </c>
      <c r="E26" s="174">
        <f>Préstamo!L26</f>
        <v>3611.0108872111146</v>
      </c>
      <c r="F26" s="175">
        <f>Préstamo!L27</f>
        <v>4008.222084804337</v>
      </c>
      <c r="G26" s="270">
        <f>Préstamo!L28</f>
        <v>4449.126514132815</v>
      </c>
      <c r="H26" s="174">
        <f>Préstamo!L29</f>
        <v>4938.530430687425</v>
      </c>
      <c r="I26" s="174">
        <f>Préstamo!L30</f>
        <v>5481.768778063041</v>
      </c>
      <c r="J26" s="175">
        <f>Préstamo!L31</f>
        <v>6084.763343649978</v>
      </c>
      <c r="K26" s="270"/>
      <c r="L26" s="174"/>
      <c r="M26" s="175"/>
    </row>
    <row r="27" spans="2:13" ht="12.75">
      <c r="B27" s="185" t="s">
        <v>233</v>
      </c>
      <c r="C27" s="263"/>
      <c r="D27" s="174"/>
      <c r="E27" s="174"/>
      <c r="F27" s="175"/>
      <c r="G27" s="270"/>
      <c r="H27" s="174"/>
      <c r="I27" s="174"/>
      <c r="J27" s="175"/>
      <c r="K27" s="270"/>
      <c r="L27" s="174"/>
      <c r="M27" s="175">
        <f>Hoja7!H44</f>
        <v>32.5</v>
      </c>
    </row>
    <row r="28" spans="2:13" ht="12.75">
      <c r="B28" s="185" t="s">
        <v>234</v>
      </c>
      <c r="C28" s="198">
        <f>inversion!H40</f>
        <v>63653.17</v>
      </c>
      <c r="D28" s="174"/>
      <c r="E28" s="174"/>
      <c r="F28" s="175"/>
      <c r="G28" s="270"/>
      <c r="H28" s="174"/>
      <c r="I28" s="174"/>
      <c r="J28" s="175"/>
      <c r="K28" s="270"/>
      <c r="L28" s="174"/>
      <c r="M28" s="175"/>
    </row>
    <row r="29" spans="2:13" ht="12.75">
      <c r="B29" s="185" t="s">
        <v>235</v>
      </c>
      <c r="C29" s="198">
        <f>Préstamo!I5</f>
        <v>31826.585</v>
      </c>
      <c r="D29" s="174"/>
      <c r="E29" s="174"/>
      <c r="F29" s="175"/>
      <c r="G29" s="270"/>
      <c r="H29" s="174"/>
      <c r="I29" s="174"/>
      <c r="J29" s="175"/>
      <c r="K29" s="270"/>
      <c r="L29" s="174"/>
      <c r="M29" s="175"/>
    </row>
    <row r="30" spans="2:13" ht="13.5" thickBot="1">
      <c r="B30" s="199" t="s">
        <v>236</v>
      </c>
      <c r="C30" s="200">
        <f>Préstamo!G10</f>
        <v>31826.585</v>
      </c>
      <c r="D30" s="178"/>
      <c r="E30" s="178"/>
      <c r="F30" s="195"/>
      <c r="G30" s="271"/>
      <c r="H30" s="178"/>
      <c r="I30" s="178"/>
      <c r="J30" s="195"/>
      <c r="K30" s="271"/>
      <c r="L30" s="178"/>
      <c r="M30" s="195"/>
    </row>
    <row r="31" spans="2:13" ht="13.5" thickBot="1">
      <c r="B31" s="165" t="s">
        <v>237</v>
      </c>
      <c r="C31" s="201">
        <f>C30-C28-C29</f>
        <v>-63653.17</v>
      </c>
      <c r="D31" s="202">
        <f aca="true" t="shared" si="8" ref="D31:M31">D24+D25-D26</f>
        <v>17976.201417372606</v>
      </c>
      <c r="E31" s="202">
        <f t="shared" si="8"/>
        <v>19312.86323554903</v>
      </c>
      <c r="F31" s="203">
        <f t="shared" si="8"/>
        <v>20664.583501511042</v>
      </c>
      <c r="G31" s="274">
        <f t="shared" si="8"/>
        <v>22030.37915747083</v>
      </c>
      <c r="H31" s="202">
        <f t="shared" si="8"/>
        <v>23409.106219542962</v>
      </c>
      <c r="I31" s="202">
        <f t="shared" si="8"/>
        <v>24799.441020078957</v>
      </c>
      <c r="J31" s="203">
        <f t="shared" si="8"/>
        <v>26199.859365542532</v>
      </c>
      <c r="K31" s="274">
        <f t="shared" si="8"/>
        <v>34159.74913292931</v>
      </c>
      <c r="L31" s="202">
        <f t="shared" si="8"/>
        <v>35844.160764987915</v>
      </c>
      <c r="M31" s="203">
        <f t="shared" si="8"/>
        <v>37562.26062968766</v>
      </c>
    </row>
    <row r="32" spans="2:13" ht="13.5" thickBot="1">
      <c r="B32" s="204"/>
      <c r="C32" s="205"/>
      <c r="D32" s="206"/>
      <c r="E32" s="207"/>
      <c r="F32" s="207"/>
      <c r="G32" s="207"/>
      <c r="H32" s="207"/>
      <c r="I32" s="207"/>
      <c r="J32" s="207"/>
      <c r="K32" s="207"/>
      <c r="L32" s="207"/>
      <c r="M32" s="207"/>
    </row>
    <row r="33" spans="2:5" ht="12.75">
      <c r="B33" s="278" t="s">
        <v>238</v>
      </c>
      <c r="C33" s="275">
        <f>NPV(C35,D31:M31)+C31</f>
        <v>75820.20516033874</v>
      </c>
      <c r="E33" s="208"/>
    </row>
    <row r="34" spans="2:4" ht="12.75">
      <c r="B34" s="279" t="s">
        <v>239</v>
      </c>
      <c r="C34" s="276">
        <f>IRR(C31:M31)</f>
        <v>0.3229386104856219</v>
      </c>
      <c r="D34" s="266"/>
    </row>
    <row r="35" spans="2:3" ht="13.5" thickBot="1">
      <c r="B35" s="280" t="s">
        <v>240</v>
      </c>
      <c r="C35" s="277">
        <f>'[1]CAPM'!D11</f>
        <v>0.115702</v>
      </c>
    </row>
    <row r="36" spans="2:5" ht="12.75">
      <c r="B36" s="209"/>
      <c r="C36" s="209"/>
      <c r="E36" s="206"/>
    </row>
    <row r="37" ht="12.75">
      <c r="C37" s="208">
        <v>0.15</v>
      </c>
    </row>
    <row r="38" ht="12.75">
      <c r="B38" s="164" t="s">
        <v>241</v>
      </c>
    </row>
    <row r="40" spans="5:7" ht="12.75">
      <c r="E40" s="206"/>
      <c r="G40" s="164">
        <f>1000*12</f>
        <v>12000</v>
      </c>
    </row>
    <row r="42" ht="12.75">
      <c r="D42" s="206"/>
    </row>
  </sheetData>
  <sheetProtection/>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8:G36"/>
  <sheetViews>
    <sheetView zoomScalePageLayoutView="0" workbookViewId="0" topLeftCell="A13">
      <selection activeCell="C25" sqref="C25"/>
    </sheetView>
  </sheetViews>
  <sheetFormatPr defaultColWidth="11.421875" defaultRowHeight="12.75"/>
  <cols>
    <col min="2" max="2" width="14.7109375" style="0" customWidth="1"/>
    <col min="3" max="3" width="9.28125" style="0" customWidth="1"/>
    <col min="4" max="4" width="11.140625" style="0" customWidth="1"/>
    <col min="5" max="5" width="12.7109375" style="0" customWidth="1"/>
    <col min="6" max="6" width="20.8515625" style="0" customWidth="1"/>
    <col min="7" max="7" width="15.28125" style="0" bestFit="1" customWidth="1"/>
  </cols>
  <sheetData>
    <row r="8" spans="2:5" ht="25.5">
      <c r="B8" s="285" t="s">
        <v>256</v>
      </c>
      <c r="C8" s="285" t="s">
        <v>257</v>
      </c>
      <c r="D8" s="286" t="s">
        <v>262</v>
      </c>
      <c r="E8" s="285" t="s">
        <v>258</v>
      </c>
    </row>
    <row r="9" spans="2:5" ht="12.75">
      <c r="B9" s="285" t="s">
        <v>259</v>
      </c>
      <c r="C9">
        <v>0.1</v>
      </c>
      <c r="D9" s="287">
        <f>'Flujo expancion'!C33</f>
        <v>231487.18012016924</v>
      </c>
      <c r="E9">
        <f>C9*D9</f>
        <v>23148.718012016925</v>
      </c>
    </row>
    <row r="10" spans="2:5" ht="12.75">
      <c r="B10" s="285" t="s">
        <v>260</v>
      </c>
      <c r="C10">
        <v>0.8</v>
      </c>
      <c r="D10" s="287">
        <f>'Flujo de Caja (3)'!C33</f>
        <v>153653.69264025404</v>
      </c>
      <c r="E10">
        <f>C10*D10</f>
        <v>122922.95411220324</v>
      </c>
    </row>
    <row r="11" spans="2:5" ht="12.75">
      <c r="B11" s="285" t="s">
        <v>261</v>
      </c>
      <c r="C11">
        <v>0.1</v>
      </c>
      <c r="D11" s="287">
        <f>'flujo recesion '!C33</f>
        <v>75820.20516033874</v>
      </c>
      <c r="E11">
        <f>C11*D11</f>
        <v>7582.020516033874</v>
      </c>
    </row>
    <row r="13" ht="12.75">
      <c r="E13">
        <f>SUM(E9:E11)</f>
        <v>153653.69264025404</v>
      </c>
    </row>
    <row r="16" spans="2:4" ht="12.75">
      <c r="B16" s="285" t="s">
        <v>264</v>
      </c>
      <c r="C16" s="285" t="s">
        <v>265</v>
      </c>
      <c r="D16" s="285" t="s">
        <v>266</v>
      </c>
    </row>
    <row r="17" spans="2:4" ht="12.75">
      <c r="B17" s="287">
        <f>D9-E13</f>
        <v>77833.4874799152</v>
      </c>
      <c r="C17" s="287">
        <f>POWER(B17,2)</f>
        <v>6058051773.286117</v>
      </c>
      <c r="D17" s="287">
        <f>C17*C9</f>
        <v>605805177.3286117</v>
      </c>
    </row>
    <row r="18" spans="2:4" ht="12.75">
      <c r="B18" s="287">
        <f>D10-E13</f>
        <v>0</v>
      </c>
      <c r="C18">
        <f>POWER(B18,2)</f>
        <v>0</v>
      </c>
      <c r="D18" s="287">
        <f>C18*C10</f>
        <v>0</v>
      </c>
    </row>
    <row r="19" spans="2:4" ht="12.75">
      <c r="B19" s="287">
        <f>D11-E15</f>
        <v>75820.20516033874</v>
      </c>
      <c r="C19">
        <f>POWER(B19,2)</f>
        <v>5748703510.555857</v>
      </c>
      <c r="D19" s="287">
        <f>C19*C11</f>
        <v>574870351.0555857</v>
      </c>
    </row>
    <row r="21" spans="4:5" ht="12.75">
      <c r="D21" s="285" t="s">
        <v>267</v>
      </c>
      <c r="E21" s="287">
        <f>SUM(D17:D19)</f>
        <v>1180675528.3841975</v>
      </c>
    </row>
    <row r="22" spans="4:5" ht="12.75">
      <c r="D22" s="285" t="s">
        <v>268</v>
      </c>
      <c r="E22">
        <f>SQRT(E21)</f>
        <v>34360.95936355965</v>
      </c>
    </row>
    <row r="25" ht="12.75">
      <c r="C25">
        <f>E22/E13</f>
        <v>0.22362599149509665</v>
      </c>
    </row>
    <row r="28" ht="13.5" thickBot="1"/>
    <row r="29" spans="2:7" ht="26.25" thickBot="1">
      <c r="B29" s="288" t="str">
        <f>B8</f>
        <v>ESCENARIO</v>
      </c>
      <c r="C29" s="289" t="s">
        <v>257</v>
      </c>
      <c r="D29" s="289" t="s">
        <v>269</v>
      </c>
      <c r="E29" s="289" t="s">
        <v>258</v>
      </c>
      <c r="F29" s="290" t="s">
        <v>270</v>
      </c>
      <c r="G29" s="291" t="s">
        <v>266</v>
      </c>
    </row>
    <row r="30" spans="2:7" ht="12.75">
      <c r="B30" s="292" t="str">
        <f>B9</f>
        <v>EXPANSIÓN</v>
      </c>
      <c r="C30" s="238">
        <f aca="true" t="shared" si="0" ref="C30:E32">C9</f>
        <v>0.1</v>
      </c>
      <c r="D30" s="293">
        <f t="shared" si="0"/>
        <v>231487.18012016924</v>
      </c>
      <c r="E30" s="293">
        <f t="shared" si="0"/>
        <v>23148.718012016925</v>
      </c>
      <c r="F30" s="293">
        <f aca="true" t="shared" si="1" ref="F30:G32">C17</f>
        <v>6058051773.286117</v>
      </c>
      <c r="G30" s="294">
        <f t="shared" si="1"/>
        <v>605805177.3286117</v>
      </c>
    </row>
    <row r="31" spans="2:7" ht="12.75">
      <c r="B31" s="210" t="str">
        <f>B10</f>
        <v>NORMAL</v>
      </c>
      <c r="C31" s="8">
        <f t="shared" si="0"/>
        <v>0.8</v>
      </c>
      <c r="D31" s="211">
        <f t="shared" si="0"/>
        <v>153653.69264025404</v>
      </c>
      <c r="E31" s="211">
        <f t="shared" si="0"/>
        <v>122922.95411220324</v>
      </c>
      <c r="F31" s="8">
        <f t="shared" si="1"/>
        <v>0</v>
      </c>
      <c r="G31" s="295">
        <f t="shared" si="1"/>
        <v>0</v>
      </c>
    </row>
    <row r="32" spans="2:7" ht="13.5" thickBot="1">
      <c r="B32" s="296" t="str">
        <f>B11</f>
        <v>RECESION</v>
      </c>
      <c r="C32" s="242">
        <f t="shared" si="0"/>
        <v>0.1</v>
      </c>
      <c r="D32" s="297">
        <f t="shared" si="0"/>
        <v>75820.20516033874</v>
      </c>
      <c r="E32" s="297">
        <f t="shared" si="0"/>
        <v>7582.020516033874</v>
      </c>
      <c r="F32" s="242">
        <f t="shared" si="1"/>
        <v>5748703510.555857</v>
      </c>
      <c r="G32" s="298">
        <f t="shared" si="1"/>
        <v>574870351.0555857</v>
      </c>
    </row>
    <row r="33" spans="4:5" ht="13.5" thickBot="1">
      <c r="D33" s="299"/>
      <c r="E33" s="300">
        <f>SUM(E30:E32)</f>
        <v>153653.69264025404</v>
      </c>
    </row>
    <row r="34" ht="13.5" thickBot="1"/>
    <row r="35" spans="6:7" ht="12.75">
      <c r="F35" s="301" t="s">
        <v>264</v>
      </c>
      <c r="G35" s="302">
        <f>E21</f>
        <v>1180675528.3841975</v>
      </c>
    </row>
    <row r="36" spans="6:7" ht="26.25" thickBot="1">
      <c r="F36" s="303" t="s">
        <v>268</v>
      </c>
      <c r="G36" s="304">
        <f>E22</f>
        <v>34360.95936355965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5:M42"/>
  <sheetViews>
    <sheetView zoomScalePageLayoutView="0" workbookViewId="0" topLeftCell="A7">
      <selection activeCell="B22" sqref="B22"/>
    </sheetView>
  </sheetViews>
  <sheetFormatPr defaultColWidth="11.421875" defaultRowHeight="12.75"/>
  <cols>
    <col min="1" max="1" width="1.1484375" style="164" customWidth="1"/>
    <col min="2" max="2" width="28.28125" style="164" customWidth="1"/>
    <col min="3" max="3" width="15.7109375" style="164" customWidth="1"/>
    <col min="4" max="13" width="14.421875" style="164" customWidth="1"/>
    <col min="14" max="16384" width="11.421875" style="164" customWidth="1"/>
  </cols>
  <sheetData>
    <row r="4" ht="13.5" thickBot="1"/>
    <row r="5" spans="2:13" ht="13.5" thickBot="1">
      <c r="B5" s="165" t="s">
        <v>215</v>
      </c>
      <c r="C5" s="166">
        <v>0</v>
      </c>
      <c r="D5" s="166">
        <v>1</v>
      </c>
      <c r="E5" s="166">
        <v>2</v>
      </c>
      <c r="F5" s="167">
        <v>3</v>
      </c>
      <c r="G5" s="268">
        <v>4</v>
      </c>
      <c r="H5" s="166">
        <v>5</v>
      </c>
      <c r="I5" s="166">
        <v>6</v>
      </c>
      <c r="J5" s="167">
        <v>7</v>
      </c>
      <c r="K5" s="268">
        <v>8</v>
      </c>
      <c r="L5" s="166">
        <v>9</v>
      </c>
      <c r="M5" s="167">
        <v>10</v>
      </c>
    </row>
    <row r="6" spans="2:13" ht="12.75">
      <c r="B6" s="168" t="s">
        <v>216</v>
      </c>
      <c r="C6" s="169"/>
      <c r="D6" s="170"/>
      <c r="E6" s="170"/>
      <c r="F6" s="171"/>
      <c r="G6" s="269"/>
      <c r="H6" s="170"/>
      <c r="I6" s="170"/>
      <c r="J6" s="171"/>
      <c r="K6" s="269"/>
      <c r="L6" s="170"/>
      <c r="M6" s="171"/>
    </row>
    <row r="7" spans="2:13" ht="12.75">
      <c r="B7" s="172" t="s">
        <v>217</v>
      </c>
      <c r="C7" s="173"/>
      <c r="D7" s="174">
        <f>Demanda!B17*(1+0.1)</f>
        <v>180884.01967088642</v>
      </c>
      <c r="E7" s="174">
        <f>(1+Demanda!$B$18)*(Demanda!$B$14)*(Demanda!$B$15*12)*(1+0.1)</f>
        <v>184501.70006430417</v>
      </c>
      <c r="F7" s="175">
        <f>(1+Demanda!$B$18)*'Flujo expancion'!E7</f>
        <v>188191.73406559025</v>
      </c>
      <c r="G7" s="270">
        <f>(1+Demanda!$B$18)*'Flujo expancion'!F7</f>
        <v>191955.56874690205</v>
      </c>
      <c r="H7" s="174">
        <f>(1+Demanda!$B$18)*'Flujo expancion'!G7</f>
        <v>195794.6801218401</v>
      </c>
      <c r="I7" s="174">
        <f>(1+Demanda!$B$18)*'Flujo expancion'!H7</f>
        <v>199710.5737242769</v>
      </c>
      <c r="J7" s="175">
        <f>(1+Demanda!$B$18)*'Flujo expancion'!I7</f>
        <v>203704.78519876246</v>
      </c>
      <c r="K7" s="270">
        <f>(1+Demanda!$B$18)*'Flujo expancion'!J7</f>
        <v>207778.8809027377</v>
      </c>
      <c r="L7" s="174">
        <f>(1+Demanda!$B$18)*'Flujo expancion'!K7</f>
        <v>211934.45852079245</v>
      </c>
      <c r="M7" s="175">
        <f>(1+Demanda!$B$18)*'Flujo expancion'!L7</f>
        <v>216173.14769120832</v>
      </c>
    </row>
    <row r="8" spans="2:13" ht="14.25" customHeight="1" thickBot="1">
      <c r="B8" s="176" t="s">
        <v>218</v>
      </c>
      <c r="C8" s="177"/>
      <c r="D8" s="178">
        <f>D7*20%</f>
        <v>36176.80393417729</v>
      </c>
      <c r="E8" s="178">
        <f aca="true" t="shared" si="0" ref="E8:M8">E7*20%</f>
        <v>36900.340012860834</v>
      </c>
      <c r="F8" s="195">
        <f t="shared" si="0"/>
        <v>37638.34681311805</v>
      </c>
      <c r="G8" s="271">
        <f t="shared" si="0"/>
        <v>38391.11374938041</v>
      </c>
      <c r="H8" s="178">
        <f t="shared" si="0"/>
        <v>39158.93602436802</v>
      </c>
      <c r="I8" s="178">
        <f t="shared" si="0"/>
        <v>39942.11474485538</v>
      </c>
      <c r="J8" s="195">
        <f t="shared" si="0"/>
        <v>40740.957039752495</v>
      </c>
      <c r="K8" s="271">
        <f t="shared" si="0"/>
        <v>41555.776180547546</v>
      </c>
      <c r="L8" s="178">
        <f t="shared" si="0"/>
        <v>42386.891704158494</v>
      </c>
      <c r="M8" s="195">
        <f t="shared" si="0"/>
        <v>43234.629538241665</v>
      </c>
    </row>
    <row r="9" spans="2:13" ht="12.75" hidden="1">
      <c r="B9" s="267"/>
      <c r="C9" s="179"/>
      <c r="D9" s="174"/>
      <c r="E9" s="174"/>
      <c r="F9" s="175"/>
      <c r="G9" s="270"/>
      <c r="H9" s="174"/>
      <c r="I9" s="174"/>
      <c r="J9" s="175"/>
      <c r="K9" s="270"/>
      <c r="L9" s="174"/>
      <c r="M9" s="175"/>
    </row>
    <row r="10" spans="2:13" ht="0.75" customHeight="1" hidden="1" thickBot="1">
      <c r="B10" s="267"/>
      <c r="C10" s="179"/>
      <c r="D10" s="174"/>
      <c r="E10" s="174"/>
      <c r="F10" s="175"/>
      <c r="G10" s="270"/>
      <c r="H10" s="174"/>
      <c r="I10" s="174"/>
      <c r="J10" s="175"/>
      <c r="K10" s="270"/>
      <c r="L10" s="174"/>
      <c r="M10" s="175"/>
    </row>
    <row r="11" spans="2:13" ht="13.5" thickBot="1">
      <c r="B11" s="180" t="s">
        <v>219</v>
      </c>
      <c r="C11" s="181"/>
      <c r="D11" s="182">
        <f aca="true" t="shared" si="1" ref="D11:M11">SUM(D7:D8)</f>
        <v>217060.82360506372</v>
      </c>
      <c r="E11" s="182">
        <f t="shared" si="1"/>
        <v>221402.040077165</v>
      </c>
      <c r="F11" s="187">
        <f t="shared" si="1"/>
        <v>225830.0808787083</v>
      </c>
      <c r="G11" s="272">
        <f t="shared" si="1"/>
        <v>230346.68249628245</v>
      </c>
      <c r="H11" s="182">
        <f t="shared" si="1"/>
        <v>234953.6161462081</v>
      </c>
      <c r="I11" s="182">
        <f t="shared" si="1"/>
        <v>239652.6884691323</v>
      </c>
      <c r="J11" s="187">
        <f t="shared" si="1"/>
        <v>244445.74223851494</v>
      </c>
      <c r="K11" s="272">
        <f t="shared" si="1"/>
        <v>249334.65708328524</v>
      </c>
      <c r="L11" s="182">
        <f t="shared" si="1"/>
        <v>254321.35022495093</v>
      </c>
      <c r="M11" s="187">
        <f t="shared" si="1"/>
        <v>259407.77722944997</v>
      </c>
    </row>
    <row r="12" spans="2:13" ht="12.75">
      <c r="B12" s="183" t="s">
        <v>220</v>
      </c>
      <c r="C12" s="184"/>
      <c r="D12" s="170"/>
      <c r="E12" s="170"/>
      <c r="F12" s="171"/>
      <c r="G12" s="269"/>
      <c r="H12" s="170"/>
      <c r="I12" s="170"/>
      <c r="J12" s="171"/>
      <c r="K12" s="269"/>
      <c r="L12" s="170"/>
      <c r="M12" s="171"/>
    </row>
    <row r="13" spans="2:13" ht="12.75">
      <c r="B13" s="185" t="s">
        <v>221</v>
      </c>
      <c r="C13" s="173"/>
      <c r="D13" s="174">
        <f>'COSTOS VARIABLES'!$D$18</f>
        <v>62584.890586624</v>
      </c>
      <c r="E13" s="174">
        <f>(1+Demanda!$B$18)*'Flujo expancion'!D13</f>
        <v>63836.588398356485</v>
      </c>
      <c r="F13" s="175">
        <f>(1+Demanda!$B$18)*'Flujo expancion'!E13</f>
        <v>65113.32016632362</v>
      </c>
      <c r="G13" s="270">
        <f>(1+Demanda!$B$18)*'Flujo expancion'!F13</f>
        <v>66415.58656965008</v>
      </c>
      <c r="H13" s="174">
        <f>(1+Demanda!$B$18)*'Flujo expancion'!G13</f>
        <v>67743.89830104308</v>
      </c>
      <c r="I13" s="174">
        <f>(1+Demanda!$B$18)*'Flujo expancion'!H13</f>
        <v>69098.77626706395</v>
      </c>
      <c r="J13" s="175">
        <f>(1+Demanda!$B$18)*'Flujo expancion'!I13</f>
        <v>70480.75179240522</v>
      </c>
      <c r="K13" s="270">
        <f>(1+Demanda!$B$18)*'Flujo expancion'!J13</f>
        <v>71890.36682825333</v>
      </c>
      <c r="L13" s="174">
        <f>(1+Demanda!$B$18)*'Flujo expancion'!K13</f>
        <v>73328.1741648184</v>
      </c>
      <c r="M13" s="175">
        <f>(1+Demanda!$B$18)*'Flujo expancion'!L13</f>
        <v>74794.73764811477</v>
      </c>
    </row>
    <row r="14" spans="2:13" ht="13.5" thickBot="1">
      <c r="B14" s="185" t="s">
        <v>222</v>
      </c>
      <c r="C14" s="173"/>
      <c r="D14" s="174">
        <f>'COSTOS FIJOS'!$F$31</f>
        <v>78541.83760000001</v>
      </c>
      <c r="E14" s="174">
        <f>'COSTOS FIJOS'!$F$31</f>
        <v>78541.83760000001</v>
      </c>
      <c r="F14" s="175">
        <f>'COSTOS FIJOS'!$F$31</f>
        <v>78541.83760000001</v>
      </c>
      <c r="G14" s="270">
        <f>'COSTOS FIJOS'!$F$31</f>
        <v>78541.83760000001</v>
      </c>
      <c r="H14" s="174">
        <f>'COSTOS FIJOS'!$F$31</f>
        <v>78541.83760000001</v>
      </c>
      <c r="I14" s="174">
        <f>'COSTOS FIJOS'!$F$31</f>
        <v>78541.83760000001</v>
      </c>
      <c r="J14" s="175">
        <f>'COSTOS FIJOS'!$F$31</f>
        <v>78541.83760000001</v>
      </c>
      <c r="K14" s="270">
        <f>'COSTOS FIJOS'!$F$31</f>
        <v>78541.83760000001</v>
      </c>
      <c r="L14" s="174">
        <f>'COSTOS FIJOS'!$F$31</f>
        <v>78541.83760000001</v>
      </c>
      <c r="M14" s="175">
        <f>'COSTOS FIJOS'!$F$31</f>
        <v>78541.83760000001</v>
      </c>
    </row>
    <row r="15" spans="2:13" ht="13.5" thickBot="1">
      <c r="B15" s="180" t="s">
        <v>223</v>
      </c>
      <c r="C15" s="186"/>
      <c r="D15" s="182">
        <f aca="true" t="shared" si="2" ref="D15:M15">SUM(D13:D14)</f>
        <v>141126.728186624</v>
      </c>
      <c r="E15" s="182">
        <f t="shared" si="2"/>
        <v>142378.42599835648</v>
      </c>
      <c r="F15" s="187">
        <f t="shared" si="2"/>
        <v>143655.15776632362</v>
      </c>
      <c r="G15" s="272">
        <f t="shared" si="2"/>
        <v>144957.4241696501</v>
      </c>
      <c r="H15" s="182">
        <f t="shared" si="2"/>
        <v>146285.7359010431</v>
      </c>
      <c r="I15" s="182">
        <f t="shared" si="2"/>
        <v>147640.61386706395</v>
      </c>
      <c r="J15" s="187">
        <f t="shared" si="2"/>
        <v>149022.58939240524</v>
      </c>
      <c r="K15" s="272">
        <f t="shared" si="2"/>
        <v>150432.20442825335</v>
      </c>
      <c r="L15" s="182">
        <f t="shared" si="2"/>
        <v>151870.0117648184</v>
      </c>
      <c r="M15" s="187">
        <f t="shared" si="2"/>
        <v>153336.57524811476</v>
      </c>
    </row>
    <row r="16" spans="2:13" ht="12" customHeight="1">
      <c r="B16" s="188" t="s">
        <v>224</v>
      </c>
      <c r="C16" s="184"/>
      <c r="D16" s="189">
        <f aca="true" t="shared" si="3" ref="D16:M16">(D11-D15)</f>
        <v>75934.09541843971</v>
      </c>
      <c r="E16" s="189">
        <f t="shared" si="3"/>
        <v>79023.61407880852</v>
      </c>
      <c r="F16" s="190">
        <f t="shared" si="3"/>
        <v>82174.92311238468</v>
      </c>
      <c r="G16" s="273">
        <f t="shared" si="3"/>
        <v>85389.25832663235</v>
      </c>
      <c r="H16" s="189">
        <f t="shared" si="3"/>
        <v>88667.880245165</v>
      </c>
      <c r="I16" s="189">
        <f t="shared" si="3"/>
        <v>92012.07460206834</v>
      </c>
      <c r="J16" s="190">
        <f t="shared" si="3"/>
        <v>95423.1528461097</v>
      </c>
      <c r="K16" s="273">
        <f t="shared" si="3"/>
        <v>98902.4526550319</v>
      </c>
      <c r="L16" s="189">
        <f t="shared" si="3"/>
        <v>102451.33846013254</v>
      </c>
      <c r="M16" s="190">
        <f t="shared" si="3"/>
        <v>106071.20198133521</v>
      </c>
    </row>
    <row r="17" spans="2:13" ht="12.75" hidden="1">
      <c r="B17" s="185"/>
      <c r="C17" s="173"/>
      <c r="D17" s="174"/>
      <c r="E17" s="174"/>
      <c r="F17" s="175"/>
      <c r="G17" s="270"/>
      <c r="H17" s="174"/>
      <c r="I17" s="174"/>
      <c r="J17" s="175"/>
      <c r="K17" s="270"/>
      <c r="L17" s="174"/>
      <c r="M17" s="175"/>
    </row>
    <row r="18" spans="2:13" ht="12.75">
      <c r="B18" s="191" t="s">
        <v>225</v>
      </c>
      <c r="C18" s="173"/>
      <c r="D18" s="174">
        <f>Hoja7!D19</f>
        <v>16</v>
      </c>
      <c r="E18" s="174">
        <f>Hoja7!E19</f>
        <v>16</v>
      </c>
      <c r="F18" s="175">
        <f>Hoja7!F19</f>
        <v>16</v>
      </c>
      <c r="G18" s="270">
        <f>Hoja7!G19</f>
        <v>16</v>
      </c>
      <c r="H18" s="174">
        <f>Hoja7!H19</f>
        <v>16</v>
      </c>
      <c r="I18" s="174">
        <f>Hoja7!I19</f>
        <v>16</v>
      </c>
      <c r="J18" s="175">
        <f>Hoja7!J19</f>
        <v>16</v>
      </c>
      <c r="K18" s="270">
        <f>Hoja7!K19</f>
        <v>16</v>
      </c>
      <c r="L18" s="174">
        <f>Hoja7!L19</f>
        <v>16</v>
      </c>
      <c r="M18" s="175">
        <f>Hoja7!M19</f>
        <v>16</v>
      </c>
    </row>
    <row r="19" spans="2:13" ht="12.75">
      <c r="B19" s="192" t="s">
        <v>226</v>
      </c>
      <c r="C19" s="173"/>
      <c r="D19" s="174">
        <f>Hoja7!D28</f>
        <v>15.156</v>
      </c>
      <c r="E19" s="174">
        <f>Hoja7!E28</f>
        <v>15.156</v>
      </c>
      <c r="F19" s="175">
        <f>Hoja7!F28</f>
        <v>15.156</v>
      </c>
      <c r="G19" s="270">
        <f>Hoja7!G28</f>
        <v>15.156</v>
      </c>
      <c r="H19" s="174">
        <f>Hoja7!H28</f>
        <v>15.156</v>
      </c>
      <c r="I19" s="174">
        <f>Hoja7!I28</f>
        <v>15.156</v>
      </c>
      <c r="J19" s="175">
        <f>Hoja7!J28</f>
        <v>15.156</v>
      </c>
      <c r="K19" s="270">
        <f>Hoja7!K28</f>
        <v>15.156</v>
      </c>
      <c r="L19" s="174">
        <f>Hoja7!L28</f>
        <v>15.156</v>
      </c>
      <c r="M19" s="175">
        <f>Hoja7!M28</f>
        <v>15.156</v>
      </c>
    </row>
    <row r="20" spans="2:13" ht="12.75">
      <c r="B20" s="191" t="s">
        <v>227</v>
      </c>
      <c r="C20" s="193"/>
      <c r="D20" s="174">
        <f>Préstamo!L14</f>
        <v>3182.5689637486357</v>
      </c>
      <c r="E20" s="174">
        <f>Préstamo!L15</f>
        <v>2824.7210379889752</v>
      </c>
      <c r="F20" s="175">
        <f>Préstamo!L16</f>
        <v>2427.5098403957527</v>
      </c>
      <c r="G20" s="270">
        <f>Préstamo!L17</f>
        <v>1986.6054110672756</v>
      </c>
      <c r="H20" s="174">
        <f>Préstamo!L18</f>
        <v>1497.2014945126652</v>
      </c>
      <c r="I20" s="174">
        <f>Préstamo!L19</f>
        <v>953.9631471370483</v>
      </c>
      <c r="J20" s="175">
        <f>Préstamo!L20</f>
        <v>350.9685815501134</v>
      </c>
      <c r="K20" s="270">
        <v>0</v>
      </c>
      <c r="L20" s="174">
        <v>0</v>
      </c>
      <c r="M20" s="175">
        <v>0</v>
      </c>
    </row>
    <row r="21" spans="2:13" ht="12.75" hidden="1">
      <c r="B21" s="185"/>
      <c r="C21" s="173"/>
      <c r="D21" s="174"/>
      <c r="E21" s="174"/>
      <c r="F21" s="175"/>
      <c r="G21" s="270"/>
      <c r="H21" s="174"/>
      <c r="I21" s="174"/>
      <c r="J21" s="175"/>
      <c r="K21" s="270"/>
      <c r="L21" s="174"/>
      <c r="M21" s="175"/>
    </row>
    <row r="22" spans="2:13" ht="15" customHeight="1">
      <c r="B22" s="185" t="s">
        <v>228</v>
      </c>
      <c r="C22" s="173"/>
      <c r="D22" s="174">
        <f aca="true" t="shared" si="4" ref="D22:M22">((D16-D18-D20)*$C$37)</f>
        <v>10910.328968203661</v>
      </c>
      <c r="E22" s="174">
        <f t="shared" si="4"/>
        <v>11427.433956122932</v>
      </c>
      <c r="F22" s="175">
        <f t="shared" si="4"/>
        <v>11959.71199079834</v>
      </c>
      <c r="G22" s="270">
        <f t="shared" si="4"/>
        <v>12507.997937334761</v>
      </c>
      <c r="H22" s="174">
        <f t="shared" si="4"/>
        <v>13073.201812597848</v>
      </c>
      <c r="I22" s="174">
        <f t="shared" si="4"/>
        <v>13656.316718239694</v>
      </c>
      <c r="J22" s="175">
        <f t="shared" si="4"/>
        <v>14258.427639683938</v>
      </c>
      <c r="K22" s="270">
        <f t="shared" si="4"/>
        <v>14832.967898254785</v>
      </c>
      <c r="L22" s="174">
        <f t="shared" si="4"/>
        <v>15365.30076901988</v>
      </c>
      <c r="M22" s="175">
        <f t="shared" si="4"/>
        <v>15908.280297200281</v>
      </c>
    </row>
    <row r="23" spans="2:13" ht="13.5" thickBot="1">
      <c r="B23" s="176" t="s">
        <v>229</v>
      </c>
      <c r="C23" s="194"/>
      <c r="D23" s="178">
        <f aca="true" t="shared" si="5" ref="D23:M23">(D16-D18-D19-D20-D22)*25%</f>
        <v>15452.510371621853</v>
      </c>
      <c r="E23" s="178">
        <f t="shared" si="5"/>
        <v>16185.075771174153</v>
      </c>
      <c r="F23" s="195">
        <f t="shared" si="5"/>
        <v>16939.136320297646</v>
      </c>
      <c r="G23" s="271">
        <f t="shared" si="5"/>
        <v>17715.87474455758</v>
      </c>
      <c r="H23" s="178">
        <f t="shared" si="5"/>
        <v>18516.580234513618</v>
      </c>
      <c r="I23" s="178">
        <f t="shared" si="5"/>
        <v>19342.659684172897</v>
      </c>
      <c r="J23" s="195">
        <f t="shared" si="5"/>
        <v>20195.65015621891</v>
      </c>
      <c r="K23" s="271">
        <f t="shared" si="5"/>
        <v>21009.582189194276</v>
      </c>
      <c r="L23" s="178">
        <f t="shared" si="5"/>
        <v>21763.720422778162</v>
      </c>
      <c r="M23" s="195">
        <f t="shared" si="5"/>
        <v>22532.94142103373</v>
      </c>
    </row>
    <row r="24" spans="2:13" ht="13.5" thickBot="1">
      <c r="B24" s="180" t="s">
        <v>230</v>
      </c>
      <c r="C24" s="196"/>
      <c r="D24" s="182">
        <f aca="true" t="shared" si="6" ref="D24:M24">(D16-D18-D20-D22-D23)</f>
        <v>46372.68711486556</v>
      </c>
      <c r="E24" s="182">
        <f t="shared" si="6"/>
        <v>48570.38331352246</v>
      </c>
      <c r="F24" s="187">
        <f t="shared" si="6"/>
        <v>50832.56496089294</v>
      </c>
      <c r="G24" s="272">
        <f t="shared" si="6"/>
        <v>53162.78023367274</v>
      </c>
      <c r="H24" s="182">
        <f t="shared" si="6"/>
        <v>55564.89670354086</v>
      </c>
      <c r="I24" s="182">
        <f t="shared" si="6"/>
        <v>58043.13505251871</v>
      </c>
      <c r="J24" s="187">
        <f t="shared" si="6"/>
        <v>60602.10646865674</v>
      </c>
      <c r="K24" s="272">
        <f t="shared" si="6"/>
        <v>63043.902567582845</v>
      </c>
      <c r="L24" s="182">
        <f t="shared" si="6"/>
        <v>65306.317268334504</v>
      </c>
      <c r="M24" s="187">
        <f t="shared" si="6"/>
        <v>67613.9802631012</v>
      </c>
    </row>
    <row r="25" spans="2:13" ht="12.75">
      <c r="B25" s="197" t="s">
        <v>231</v>
      </c>
      <c r="C25" s="264"/>
      <c r="D25" s="170">
        <f aca="true" t="shared" si="7" ref="D25:M25">D18</f>
        <v>16</v>
      </c>
      <c r="E25" s="170">
        <f t="shared" si="7"/>
        <v>16</v>
      </c>
      <c r="F25" s="171">
        <f t="shared" si="7"/>
        <v>16</v>
      </c>
      <c r="G25" s="269">
        <f t="shared" si="7"/>
        <v>16</v>
      </c>
      <c r="H25" s="170">
        <f t="shared" si="7"/>
        <v>16</v>
      </c>
      <c r="I25" s="170">
        <f t="shared" si="7"/>
        <v>16</v>
      </c>
      <c r="J25" s="171">
        <f t="shared" si="7"/>
        <v>16</v>
      </c>
      <c r="K25" s="269">
        <f t="shared" si="7"/>
        <v>16</v>
      </c>
      <c r="L25" s="170">
        <f t="shared" si="7"/>
        <v>16</v>
      </c>
      <c r="M25" s="171">
        <f t="shared" si="7"/>
        <v>16</v>
      </c>
    </row>
    <row r="26" spans="2:13" ht="12.75">
      <c r="B26" s="185" t="s">
        <v>232</v>
      </c>
      <c r="C26" s="265"/>
      <c r="D26" s="174">
        <f>Préstamo!L25</f>
        <v>3253.1629614514545</v>
      </c>
      <c r="E26" s="174">
        <f>Préstamo!L26</f>
        <v>3611.0108872111146</v>
      </c>
      <c r="F26" s="175">
        <f>Préstamo!L27</f>
        <v>4008.222084804337</v>
      </c>
      <c r="G26" s="270">
        <f>Préstamo!L28</f>
        <v>4449.126514132815</v>
      </c>
      <c r="H26" s="174">
        <f>Préstamo!L29</f>
        <v>4938.530430687425</v>
      </c>
      <c r="I26" s="174">
        <f>Préstamo!L30</f>
        <v>5481.768778063041</v>
      </c>
      <c r="J26" s="175">
        <f>Préstamo!L31</f>
        <v>6084.763343649978</v>
      </c>
      <c r="K26" s="270"/>
      <c r="L26" s="174"/>
      <c r="M26" s="175"/>
    </row>
    <row r="27" spans="2:13" ht="12.75">
      <c r="B27" s="185" t="s">
        <v>233</v>
      </c>
      <c r="C27" s="263"/>
      <c r="D27" s="174"/>
      <c r="E27" s="174"/>
      <c r="F27" s="175"/>
      <c r="G27" s="270"/>
      <c r="H27" s="174"/>
      <c r="I27" s="174"/>
      <c r="J27" s="175"/>
      <c r="K27" s="270"/>
      <c r="L27" s="174"/>
      <c r="M27" s="175">
        <f>Hoja7!H44</f>
        <v>32.5</v>
      </c>
    </row>
    <row r="28" spans="2:13" ht="12.75">
      <c r="B28" s="185" t="s">
        <v>234</v>
      </c>
      <c r="C28" s="198">
        <f>inversion!H40</f>
        <v>63653.17</v>
      </c>
      <c r="D28" s="174"/>
      <c r="E28" s="174"/>
      <c r="F28" s="175"/>
      <c r="G28" s="270"/>
      <c r="H28" s="174"/>
      <c r="I28" s="174"/>
      <c r="J28" s="175"/>
      <c r="K28" s="270"/>
      <c r="L28" s="174"/>
      <c r="M28" s="175"/>
    </row>
    <row r="29" spans="2:13" ht="12.75">
      <c r="B29" s="185" t="s">
        <v>235</v>
      </c>
      <c r="C29" s="198">
        <f>Préstamo!I5</f>
        <v>31826.585</v>
      </c>
      <c r="D29" s="174"/>
      <c r="E29" s="174"/>
      <c r="F29" s="175"/>
      <c r="G29" s="270"/>
      <c r="H29" s="174"/>
      <c r="I29" s="174"/>
      <c r="J29" s="175"/>
      <c r="K29" s="270"/>
      <c r="L29" s="174"/>
      <c r="M29" s="175"/>
    </row>
    <row r="30" spans="2:13" ht="13.5" thickBot="1">
      <c r="B30" s="199" t="s">
        <v>236</v>
      </c>
      <c r="C30" s="200">
        <f>Préstamo!G10</f>
        <v>31826.585</v>
      </c>
      <c r="D30" s="178"/>
      <c r="E30" s="178"/>
      <c r="F30" s="195"/>
      <c r="G30" s="271"/>
      <c r="H30" s="178"/>
      <c r="I30" s="178"/>
      <c r="J30" s="195"/>
      <c r="K30" s="271"/>
      <c r="L30" s="178"/>
      <c r="M30" s="195"/>
    </row>
    <row r="31" spans="2:13" ht="13.5" thickBot="1">
      <c r="B31" s="165" t="s">
        <v>237</v>
      </c>
      <c r="C31" s="201">
        <f>C30-C28-C29</f>
        <v>-63653.17</v>
      </c>
      <c r="D31" s="202">
        <f aca="true" t="shared" si="8" ref="D31:M31">D24+D25-D26</f>
        <v>43135.52415341411</v>
      </c>
      <c r="E31" s="202">
        <f t="shared" si="8"/>
        <v>44975.37242631135</v>
      </c>
      <c r="F31" s="203">
        <f t="shared" si="8"/>
        <v>46840.3428760886</v>
      </c>
      <c r="G31" s="274">
        <f t="shared" si="8"/>
        <v>48729.65371953993</v>
      </c>
      <c r="H31" s="202">
        <f t="shared" si="8"/>
        <v>50642.36627285343</v>
      </c>
      <c r="I31" s="202">
        <f t="shared" si="8"/>
        <v>52577.366274455664</v>
      </c>
      <c r="J31" s="203">
        <f t="shared" si="8"/>
        <v>54533.343125006766</v>
      </c>
      <c r="K31" s="274">
        <f t="shared" si="8"/>
        <v>63059.902567582845</v>
      </c>
      <c r="L31" s="202">
        <f t="shared" si="8"/>
        <v>65322.317268334504</v>
      </c>
      <c r="M31" s="203">
        <f t="shared" si="8"/>
        <v>67629.9802631012</v>
      </c>
    </row>
    <row r="32" spans="2:13" ht="13.5" thickBot="1">
      <c r="B32" s="204"/>
      <c r="C32" s="205"/>
      <c r="D32" s="206"/>
      <c r="E32" s="207"/>
      <c r="F32" s="207"/>
      <c r="G32" s="207"/>
      <c r="H32" s="207"/>
      <c r="I32" s="207"/>
      <c r="J32" s="207"/>
      <c r="K32" s="207"/>
      <c r="L32" s="207"/>
      <c r="M32" s="207"/>
    </row>
    <row r="33" spans="2:5" ht="12.75">
      <c r="B33" s="278" t="s">
        <v>238</v>
      </c>
      <c r="C33" s="275">
        <f>NPV(C35,D31:M31)+C31</f>
        <v>231487.18012016924</v>
      </c>
      <c r="E33" s="208"/>
    </row>
    <row r="34" spans="2:4" ht="12.75">
      <c r="B34" s="279" t="s">
        <v>239</v>
      </c>
      <c r="C34" s="276">
        <f>IRR(C31:M31)</f>
        <v>0.7160547148671015</v>
      </c>
      <c r="D34" s="266"/>
    </row>
    <row r="35" spans="2:3" ht="13.5" thickBot="1">
      <c r="B35" s="280" t="s">
        <v>240</v>
      </c>
      <c r="C35" s="277">
        <f>'[1]CAPM'!D11</f>
        <v>0.115702</v>
      </c>
    </row>
    <row r="36" spans="2:5" ht="12.75">
      <c r="B36" s="209"/>
      <c r="C36" s="209"/>
      <c r="E36" s="206"/>
    </row>
    <row r="37" ht="12.75">
      <c r="C37" s="208">
        <v>0.15</v>
      </c>
    </row>
    <row r="38" ht="12.75">
      <c r="B38" s="164" t="s">
        <v>241</v>
      </c>
    </row>
    <row r="40" spans="5:7" ht="12.75">
      <c r="E40" s="206"/>
      <c r="G40" s="164">
        <f>1000*12</f>
        <v>12000</v>
      </c>
    </row>
    <row r="42" ht="12.75">
      <c r="D42" s="206"/>
    </row>
  </sheetData>
  <sheetProtection/>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10:M44"/>
  <sheetViews>
    <sheetView zoomScalePageLayoutView="0" workbookViewId="0" topLeftCell="A7">
      <selection activeCell="H31" sqref="H31"/>
    </sheetView>
  </sheetViews>
  <sheetFormatPr defaultColWidth="11.421875" defaultRowHeight="12.75"/>
  <cols>
    <col min="2" max="2" width="26.7109375" style="0" customWidth="1"/>
  </cols>
  <sheetData>
    <row r="9" ht="13.5" thickBot="1"/>
    <row r="10" spans="2:13" ht="15">
      <c r="B10" s="43"/>
      <c r="C10" s="44">
        <v>0</v>
      </c>
      <c r="D10" s="44">
        <v>1</v>
      </c>
      <c r="E10" s="44">
        <v>2</v>
      </c>
      <c r="F10" s="44">
        <v>3</v>
      </c>
      <c r="G10" s="44">
        <v>4</v>
      </c>
      <c r="H10" s="44">
        <v>5</v>
      </c>
      <c r="I10" s="44">
        <v>6</v>
      </c>
      <c r="J10" s="44">
        <v>7</v>
      </c>
      <c r="K10" s="44">
        <v>8</v>
      </c>
      <c r="L10" s="44">
        <v>9</v>
      </c>
      <c r="M10" s="45">
        <v>10</v>
      </c>
    </row>
    <row r="11" spans="2:13" ht="15">
      <c r="B11" s="46" t="s">
        <v>79</v>
      </c>
      <c r="C11" s="47">
        <f>inversion!G10+inversion!G11+inversion!G15+inversion!G16+inversion!G30</f>
        <v>25</v>
      </c>
      <c r="D11" s="10"/>
      <c r="E11" s="10"/>
      <c r="F11" s="10"/>
      <c r="G11" s="10"/>
      <c r="H11" s="10"/>
      <c r="I11" s="10"/>
      <c r="J11" s="10"/>
      <c r="K11" s="10"/>
      <c r="L11" s="10"/>
      <c r="M11" s="48"/>
    </row>
    <row r="12" spans="2:13" ht="15">
      <c r="B12" s="49"/>
      <c r="C12" s="47"/>
      <c r="D12" s="50">
        <f>$C$11/5</f>
        <v>5</v>
      </c>
      <c r="E12" s="50">
        <f aca="true" t="shared" si="0" ref="E12:M12">$C$11/5</f>
        <v>5</v>
      </c>
      <c r="F12" s="50">
        <f t="shared" si="0"/>
        <v>5</v>
      </c>
      <c r="G12" s="50">
        <f t="shared" si="0"/>
        <v>5</v>
      </c>
      <c r="H12" s="50">
        <f t="shared" si="0"/>
        <v>5</v>
      </c>
      <c r="I12" s="50">
        <f t="shared" si="0"/>
        <v>5</v>
      </c>
      <c r="J12" s="50">
        <f t="shared" si="0"/>
        <v>5</v>
      </c>
      <c r="K12" s="50">
        <f t="shared" si="0"/>
        <v>5</v>
      </c>
      <c r="L12" s="50">
        <f t="shared" si="0"/>
        <v>5</v>
      </c>
      <c r="M12" s="50">
        <f t="shared" si="0"/>
        <v>5</v>
      </c>
    </row>
    <row r="13" spans="2:13" ht="15">
      <c r="B13" s="46" t="s">
        <v>80</v>
      </c>
      <c r="C13" s="47">
        <f>inversion!G9+inversion!G12+inversion!G13+inversion!G14+inversion!G17+inversion!G18+inversion!G25+inversion!G26+inversion!G27+inversion!G28+inversion!G29</f>
        <v>110</v>
      </c>
      <c r="D13" s="10"/>
      <c r="E13" s="10"/>
      <c r="F13" s="10"/>
      <c r="G13" s="10"/>
      <c r="H13" s="10"/>
      <c r="I13" s="10"/>
      <c r="J13" s="10"/>
      <c r="K13" s="10"/>
      <c r="L13" s="10"/>
      <c r="M13" s="48"/>
    </row>
    <row r="14" spans="2:13" ht="15">
      <c r="B14" s="49"/>
      <c r="C14" s="47"/>
      <c r="D14" s="51">
        <f>$C$13/10</f>
        <v>11</v>
      </c>
      <c r="E14" s="51">
        <f aca="true" t="shared" si="1" ref="E14:M14">$C$13/10</f>
        <v>11</v>
      </c>
      <c r="F14" s="51">
        <f t="shared" si="1"/>
        <v>11</v>
      </c>
      <c r="G14" s="51">
        <f t="shared" si="1"/>
        <v>11</v>
      </c>
      <c r="H14" s="51">
        <f t="shared" si="1"/>
        <v>11</v>
      </c>
      <c r="I14" s="51">
        <f t="shared" si="1"/>
        <v>11</v>
      </c>
      <c r="J14" s="51">
        <f t="shared" si="1"/>
        <v>11</v>
      </c>
      <c r="K14" s="51">
        <f t="shared" si="1"/>
        <v>11</v>
      </c>
      <c r="L14" s="51">
        <f t="shared" si="1"/>
        <v>11</v>
      </c>
      <c r="M14" s="51">
        <f t="shared" si="1"/>
        <v>11</v>
      </c>
    </row>
    <row r="15" spans="2:13" ht="15">
      <c r="B15" s="46"/>
      <c r="C15" s="47"/>
      <c r="D15" s="10"/>
      <c r="E15" s="10"/>
      <c r="F15" s="10"/>
      <c r="G15" s="10"/>
      <c r="H15" s="10"/>
      <c r="I15" s="10"/>
      <c r="J15" s="10"/>
      <c r="K15" s="10"/>
      <c r="L15" s="10"/>
      <c r="M15" s="48"/>
    </row>
    <row r="16" spans="2:13" ht="15">
      <c r="B16" s="49"/>
      <c r="C16" s="50"/>
      <c r="D16" s="50"/>
      <c r="E16" s="50"/>
      <c r="F16" s="50"/>
      <c r="G16" s="50"/>
      <c r="H16" s="50"/>
      <c r="I16" s="50"/>
      <c r="J16" s="50"/>
      <c r="K16" s="50"/>
      <c r="L16" s="50"/>
      <c r="M16" s="52"/>
    </row>
    <row r="17" spans="2:13" ht="12.75">
      <c r="B17" s="53"/>
      <c r="C17" s="10"/>
      <c r="D17" s="10"/>
      <c r="E17" s="10"/>
      <c r="F17" s="10"/>
      <c r="G17" s="10"/>
      <c r="H17" s="10"/>
      <c r="I17" s="10"/>
      <c r="J17" s="10"/>
      <c r="K17" s="10"/>
      <c r="L17" s="10"/>
      <c r="M17" s="48"/>
    </row>
    <row r="18" spans="2:13" ht="12.75">
      <c r="B18" s="53"/>
      <c r="C18" s="10"/>
      <c r="D18" s="10"/>
      <c r="E18" s="10"/>
      <c r="F18" s="10"/>
      <c r="G18" s="10"/>
      <c r="H18" s="10"/>
      <c r="I18" s="10"/>
      <c r="J18" s="10"/>
      <c r="K18" s="10"/>
      <c r="L18" s="10"/>
      <c r="M18" s="48"/>
    </row>
    <row r="19" spans="2:13" ht="15">
      <c r="B19" s="46" t="s">
        <v>81</v>
      </c>
      <c r="C19" s="47">
        <f>SUM(C11+C13)</f>
        <v>135</v>
      </c>
      <c r="D19" s="47">
        <f>D12+D14</f>
        <v>16</v>
      </c>
      <c r="E19" s="47">
        <f aca="true" t="shared" si="2" ref="E19:M19">E12+E14</f>
        <v>16</v>
      </c>
      <c r="F19" s="47">
        <f t="shared" si="2"/>
        <v>16</v>
      </c>
      <c r="G19" s="47">
        <f t="shared" si="2"/>
        <v>16</v>
      </c>
      <c r="H19" s="47">
        <f t="shared" si="2"/>
        <v>16</v>
      </c>
      <c r="I19" s="47">
        <f t="shared" si="2"/>
        <v>16</v>
      </c>
      <c r="J19" s="47">
        <f t="shared" si="2"/>
        <v>16</v>
      </c>
      <c r="K19" s="47">
        <f t="shared" si="2"/>
        <v>16</v>
      </c>
      <c r="L19" s="47">
        <f t="shared" si="2"/>
        <v>16</v>
      </c>
      <c r="M19" s="47">
        <f t="shared" si="2"/>
        <v>16</v>
      </c>
    </row>
    <row r="20" spans="2:13" ht="13.5" thickBot="1">
      <c r="B20" s="54"/>
      <c r="C20" s="55"/>
      <c r="D20" s="55"/>
      <c r="E20" s="55"/>
      <c r="F20" s="55"/>
      <c r="G20" s="55"/>
      <c r="H20" s="55"/>
      <c r="I20" s="55"/>
      <c r="J20" s="55"/>
      <c r="K20" s="55"/>
      <c r="L20" s="55"/>
      <c r="M20" s="56"/>
    </row>
    <row r="25" ht="12.75">
      <c r="B25" t="s">
        <v>95</v>
      </c>
    </row>
    <row r="27" spans="2:13" ht="12.75">
      <c r="B27" s="10" t="s">
        <v>82</v>
      </c>
      <c r="C27" s="10">
        <v>151.56</v>
      </c>
      <c r="D27" s="10">
        <v>15.156</v>
      </c>
      <c r="E27" s="10">
        <v>15.156</v>
      </c>
      <c r="F27" s="10">
        <v>15.156</v>
      </c>
      <c r="G27" s="10">
        <v>15.156</v>
      </c>
      <c r="H27" s="10">
        <v>15.156</v>
      </c>
      <c r="I27" s="10">
        <v>15.156</v>
      </c>
      <c r="J27" s="10">
        <v>15.156</v>
      </c>
      <c r="K27" s="10">
        <v>15.156</v>
      </c>
      <c r="L27" s="10">
        <v>15.156</v>
      </c>
      <c r="M27" s="10">
        <v>15.156</v>
      </c>
    </row>
    <row r="28" spans="2:13" ht="12.75">
      <c r="B28" s="10" t="s">
        <v>83</v>
      </c>
      <c r="C28" s="230">
        <f>C27</f>
        <v>151.56</v>
      </c>
      <c r="D28" s="230">
        <f aca="true" t="shared" si="3" ref="D28:M28">D27</f>
        <v>15.156</v>
      </c>
      <c r="E28" s="230">
        <f t="shared" si="3"/>
        <v>15.156</v>
      </c>
      <c r="F28" s="230">
        <f t="shared" si="3"/>
        <v>15.156</v>
      </c>
      <c r="G28" s="230">
        <f t="shared" si="3"/>
        <v>15.156</v>
      </c>
      <c r="H28" s="230">
        <f t="shared" si="3"/>
        <v>15.156</v>
      </c>
      <c r="I28" s="230">
        <f t="shared" si="3"/>
        <v>15.156</v>
      </c>
      <c r="J28" s="230">
        <f t="shared" si="3"/>
        <v>15.156</v>
      </c>
      <c r="K28" s="230">
        <f t="shared" si="3"/>
        <v>15.156</v>
      </c>
      <c r="L28" s="230">
        <f t="shared" si="3"/>
        <v>15.156</v>
      </c>
      <c r="M28" s="230">
        <f t="shared" si="3"/>
        <v>15.156</v>
      </c>
    </row>
    <row r="39" spans="2:8" ht="12.75">
      <c r="B39" s="322" t="s">
        <v>87</v>
      </c>
      <c r="C39" s="322" t="s">
        <v>88</v>
      </c>
      <c r="D39" s="322" t="s">
        <v>89</v>
      </c>
      <c r="E39" s="322" t="s">
        <v>90</v>
      </c>
      <c r="F39" s="322" t="s">
        <v>91</v>
      </c>
      <c r="G39" s="322" t="s">
        <v>92</v>
      </c>
      <c r="H39" s="322" t="s">
        <v>93</v>
      </c>
    </row>
    <row r="40" spans="2:8" ht="12.75">
      <c r="B40" s="322"/>
      <c r="C40" s="322"/>
      <c r="D40" s="322"/>
      <c r="E40" s="322"/>
      <c r="F40" s="322"/>
      <c r="G40" s="322"/>
      <c r="H40" s="322"/>
    </row>
    <row r="41" spans="2:8" ht="15">
      <c r="B41" s="10" t="s">
        <v>94</v>
      </c>
      <c r="C41" s="58">
        <f>C13</f>
        <v>110</v>
      </c>
      <c r="D41" s="8">
        <v>10</v>
      </c>
      <c r="E41" s="34">
        <f>+C41/D41</f>
        <v>11</v>
      </c>
      <c r="F41" s="8">
        <v>5</v>
      </c>
      <c r="G41" s="34">
        <f>+E41*F41</f>
        <v>55</v>
      </c>
      <c r="H41" s="34">
        <f>C41-G41</f>
        <v>55</v>
      </c>
    </row>
    <row r="42" spans="2:8" ht="15">
      <c r="B42" s="10" t="s">
        <v>84</v>
      </c>
      <c r="C42" s="58">
        <f>C11</f>
        <v>25</v>
      </c>
      <c r="D42" s="8">
        <v>5</v>
      </c>
      <c r="E42" s="34">
        <f>+C42/D42</f>
        <v>5</v>
      </c>
      <c r="F42" s="8">
        <v>3</v>
      </c>
      <c r="G42" s="34">
        <f>+E42*F42</f>
        <v>15</v>
      </c>
      <c r="H42" s="34">
        <f>C42-G42</f>
        <v>10</v>
      </c>
    </row>
    <row r="43" spans="2:8" ht="15">
      <c r="B43" s="10"/>
      <c r="C43" s="58"/>
      <c r="D43" s="8"/>
      <c r="E43" s="34"/>
      <c r="F43" s="8"/>
      <c r="G43" s="34"/>
      <c r="H43" s="34"/>
    </row>
    <row r="44" spans="2:8" ht="12.75">
      <c r="B44" s="10"/>
      <c r="C44" s="323" t="s">
        <v>85</v>
      </c>
      <c r="D44" s="324"/>
      <c r="E44" s="59">
        <f>SUM(E41:E43)</f>
        <v>16</v>
      </c>
      <c r="F44" s="325" t="s">
        <v>86</v>
      </c>
      <c r="G44" s="326"/>
      <c r="H44" s="60">
        <f>(SUM(H41:H43))*50%</f>
        <v>32.5</v>
      </c>
    </row>
  </sheetData>
  <sheetProtection/>
  <mergeCells count="9">
    <mergeCell ref="H39:H40"/>
    <mergeCell ref="C44:D44"/>
    <mergeCell ref="F44:G44"/>
    <mergeCell ref="B39:B40"/>
    <mergeCell ref="C39:C40"/>
    <mergeCell ref="D39:D40"/>
    <mergeCell ref="E39:E40"/>
    <mergeCell ref="F39:F40"/>
    <mergeCell ref="G39:G40"/>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M112"/>
  <sheetViews>
    <sheetView zoomScalePageLayoutView="0" workbookViewId="0" topLeftCell="C1">
      <selection activeCell="L24" sqref="L24"/>
    </sheetView>
  </sheetViews>
  <sheetFormatPr defaultColWidth="11.421875" defaultRowHeight="12.75"/>
  <cols>
    <col min="1" max="6" width="11.421875" style="70" customWidth="1"/>
    <col min="7" max="7" width="12.7109375" style="70" customWidth="1"/>
    <col min="8" max="9" width="11.421875" style="70" customWidth="1"/>
    <col min="10" max="10" width="13.8515625" style="70" customWidth="1"/>
    <col min="11" max="16384" width="11.421875" style="70" customWidth="1"/>
  </cols>
  <sheetData>
    <row r="1" ht="15">
      <c r="F1" s="70" t="s">
        <v>183</v>
      </c>
    </row>
    <row r="2" spans="2:10" ht="15">
      <c r="B2" s="328" t="s">
        <v>184</v>
      </c>
      <c r="C2" s="328"/>
      <c r="D2" s="122"/>
      <c r="F2" s="123">
        <f>inversion!H40</f>
        <v>63653.17</v>
      </c>
      <c r="G2" s="118"/>
      <c r="I2" s="124"/>
      <c r="J2" s="84"/>
    </row>
    <row r="3" spans="2:13" ht="15">
      <c r="B3" s="328"/>
      <c r="C3" s="328"/>
      <c r="D3" s="122"/>
      <c r="F3" s="122"/>
      <c r="G3" s="118"/>
      <c r="I3" s="125"/>
      <c r="J3" s="126"/>
      <c r="K3" s="125"/>
      <c r="L3" s="125"/>
      <c r="M3" s="125"/>
    </row>
    <row r="4" spans="2:13" ht="15">
      <c r="B4" s="328"/>
      <c r="C4" s="328"/>
      <c r="D4" s="127"/>
      <c r="F4" s="122"/>
      <c r="I4" s="125"/>
      <c r="J4" s="125"/>
      <c r="K4" s="125"/>
      <c r="L4" s="125"/>
      <c r="M4" s="125"/>
    </row>
    <row r="5" spans="9:13" ht="15">
      <c r="I5" s="125">
        <f>50%*inversion!H40</f>
        <v>31826.585</v>
      </c>
      <c r="J5" s="125"/>
      <c r="K5" s="125"/>
      <c r="L5" s="125"/>
      <c r="M5" s="125"/>
    </row>
    <row r="6" spans="9:13" ht="15">
      <c r="I6" s="125"/>
      <c r="J6" s="125"/>
      <c r="K6" s="125"/>
      <c r="L6" s="125"/>
      <c r="M6" s="125"/>
    </row>
    <row r="7" spans="3:13" ht="18.75">
      <c r="C7" s="329"/>
      <c r="D7" s="329"/>
      <c r="E7" s="329"/>
      <c r="F7" s="329"/>
      <c r="G7" s="329"/>
      <c r="I7" s="330"/>
      <c r="J7" s="330"/>
      <c r="K7" s="330"/>
      <c r="L7" s="330"/>
      <c r="M7" s="330"/>
    </row>
    <row r="8" spans="3:13" ht="15.75">
      <c r="C8" s="344" t="s">
        <v>185</v>
      </c>
      <c r="D8" s="344"/>
      <c r="E8" s="344"/>
      <c r="F8" s="344"/>
      <c r="G8" s="344"/>
      <c r="I8" s="327"/>
      <c r="J8" s="327"/>
      <c r="K8" s="327"/>
      <c r="L8" s="327"/>
      <c r="M8" s="327"/>
    </row>
    <row r="9" spans="3:13" ht="15">
      <c r="C9" s="128" t="s">
        <v>186</v>
      </c>
      <c r="D9" s="129"/>
      <c r="E9" s="130"/>
      <c r="F9" s="129" t="s">
        <v>187</v>
      </c>
      <c r="G9" s="131">
        <v>84</v>
      </c>
      <c r="I9" s="129"/>
      <c r="J9" s="129"/>
      <c r="K9" s="130"/>
      <c r="L9" s="129"/>
      <c r="M9" s="130"/>
    </row>
    <row r="10" spans="1:13" ht="15.75">
      <c r="A10" s="70" t="s">
        <v>188</v>
      </c>
      <c r="C10" s="128" t="s">
        <v>189</v>
      </c>
      <c r="D10" s="129"/>
      <c r="E10" s="132">
        <v>0.11</v>
      </c>
      <c r="F10" s="129" t="s">
        <v>190</v>
      </c>
      <c r="G10" s="133">
        <f>I5</f>
        <v>31826.585</v>
      </c>
      <c r="I10" s="70" t="s">
        <v>191</v>
      </c>
      <c r="J10" s="118">
        <f>E10</f>
        <v>0.11</v>
      </c>
      <c r="M10" s="134"/>
    </row>
    <row r="11" spans="3:13" ht="15">
      <c r="C11" s="135" t="s">
        <v>192</v>
      </c>
      <c r="D11" s="136"/>
      <c r="E11" s="137" t="s">
        <v>193</v>
      </c>
      <c r="F11" s="138"/>
      <c r="G11" s="139"/>
      <c r="I11" s="70" t="s">
        <v>194</v>
      </c>
      <c r="J11" s="140">
        <f>(1+J10)^(1/12)-1</f>
        <v>0.008734593823551906</v>
      </c>
      <c r="M11" s="141"/>
    </row>
    <row r="12" spans="3:13" ht="15.75" thickBot="1">
      <c r="C12" s="142" t="s">
        <v>195</v>
      </c>
      <c r="D12" s="142" t="s">
        <v>196</v>
      </c>
      <c r="E12" s="142" t="s">
        <v>197</v>
      </c>
      <c r="F12" s="142" t="s">
        <v>198</v>
      </c>
      <c r="G12" s="142" t="s">
        <v>199</v>
      </c>
      <c r="M12" s="143"/>
    </row>
    <row r="13" spans="3:13" ht="15">
      <c r="C13" s="144">
        <v>0</v>
      </c>
      <c r="D13" s="145"/>
      <c r="E13" s="145"/>
      <c r="F13" s="145"/>
      <c r="G13" s="146">
        <f>G10</f>
        <v>31826.585</v>
      </c>
      <c r="K13" s="252" t="s">
        <v>253</v>
      </c>
      <c r="L13" s="253" t="s">
        <v>254</v>
      </c>
      <c r="M13" s="126"/>
    </row>
    <row r="14" spans="3:13" ht="15">
      <c r="C14" s="144">
        <v>1</v>
      </c>
      <c r="D14" s="145">
        <f aca="true" t="shared" si="0" ref="D14:D45">+F14-E14</f>
        <v>258.3187010009245</v>
      </c>
      <c r="E14" s="145">
        <f aca="true" t="shared" si="1" ref="E14:E45">G13*$J$11</f>
        <v>277.9922927657497</v>
      </c>
      <c r="F14" s="145">
        <f aca="true" t="shared" si="2" ref="F14:F45">PMT($J$11,$G$9,-$G$10)</f>
        <v>536.3109937666742</v>
      </c>
      <c r="G14" s="145">
        <f aca="true" t="shared" si="3" ref="G14:G45">G13-D14</f>
        <v>31568.266298999075</v>
      </c>
      <c r="I14" s="147" t="s">
        <v>200</v>
      </c>
      <c r="K14" s="254">
        <v>1</v>
      </c>
      <c r="L14" s="145">
        <f>SUM(E14:E25)</f>
        <v>3182.5689637486357</v>
      </c>
      <c r="M14" s="148"/>
    </row>
    <row r="15" spans="3:13" ht="15">
      <c r="C15" s="144">
        <v>2</v>
      </c>
      <c r="D15" s="145">
        <f t="shared" si="0"/>
        <v>260.5750099311951</v>
      </c>
      <c r="E15" s="145">
        <f t="shared" si="1"/>
        <v>275.7359838354791</v>
      </c>
      <c r="F15" s="145">
        <f t="shared" si="2"/>
        <v>536.3109937666742</v>
      </c>
      <c r="G15" s="145">
        <f t="shared" si="3"/>
        <v>31307.69128906788</v>
      </c>
      <c r="K15" s="254">
        <v>2</v>
      </c>
      <c r="L15" s="145">
        <f>SUM(E26:E37)</f>
        <v>2824.7210379889752</v>
      </c>
      <c r="M15" s="148"/>
    </row>
    <row r="16" spans="3:13" ht="15">
      <c r="C16" s="144">
        <v>3</v>
      </c>
      <c r="D16" s="145">
        <f t="shared" si="0"/>
        <v>262.85102680351207</v>
      </c>
      <c r="E16" s="145">
        <f t="shared" si="1"/>
        <v>273.4599669631621</v>
      </c>
      <c r="F16" s="145">
        <f t="shared" si="2"/>
        <v>536.3109937666742</v>
      </c>
      <c r="G16" s="145">
        <f t="shared" si="3"/>
        <v>31044.840262264366</v>
      </c>
      <c r="K16" s="254">
        <v>3</v>
      </c>
      <c r="L16" s="145">
        <f>SUM(E38:E49)</f>
        <v>2427.5098403957527</v>
      </c>
      <c r="M16" s="148"/>
    </row>
    <row r="17" spans="3:13" ht="15">
      <c r="C17" s="144">
        <v>4</v>
      </c>
      <c r="D17" s="145">
        <f t="shared" si="0"/>
        <v>265.1469237587443</v>
      </c>
      <c r="E17" s="145">
        <f t="shared" si="1"/>
        <v>271.16407000792987</v>
      </c>
      <c r="F17" s="145">
        <f t="shared" si="2"/>
        <v>536.3109937666742</v>
      </c>
      <c r="G17" s="145">
        <f t="shared" si="3"/>
        <v>30779.69333850562</v>
      </c>
      <c r="K17" s="255">
        <v>4</v>
      </c>
      <c r="L17" s="145">
        <f>SUM(E50:E61)</f>
        <v>1986.6054110672756</v>
      </c>
      <c r="M17" s="125"/>
    </row>
    <row r="18" spans="3:12" ht="15">
      <c r="C18" s="144">
        <v>5</v>
      </c>
      <c r="D18" s="145">
        <f t="shared" si="0"/>
        <v>267.4628744413412</v>
      </c>
      <c r="E18" s="145">
        <f t="shared" si="1"/>
        <v>268.84811932533296</v>
      </c>
      <c r="F18" s="145">
        <f t="shared" si="2"/>
        <v>536.3109937666742</v>
      </c>
      <c r="G18" s="145">
        <f t="shared" si="3"/>
        <v>30512.23046406428</v>
      </c>
      <c r="K18" s="255">
        <v>5</v>
      </c>
      <c r="L18" s="145">
        <f>SUM(E62:E73)</f>
        <v>1497.2014945126652</v>
      </c>
    </row>
    <row r="19" spans="3:12" ht="15">
      <c r="C19" s="144">
        <v>6</v>
      </c>
      <c r="D19" s="145">
        <f t="shared" si="0"/>
        <v>269.799054012466</v>
      </c>
      <c r="E19" s="145">
        <f t="shared" si="1"/>
        <v>266.5119397542082</v>
      </c>
      <c r="F19" s="145">
        <f t="shared" si="2"/>
        <v>536.3109937666742</v>
      </c>
      <c r="G19" s="145">
        <f t="shared" si="3"/>
        <v>30242.431410051813</v>
      </c>
      <c r="K19" s="255">
        <v>6</v>
      </c>
      <c r="L19" s="145">
        <f>SUM(E74:E85)</f>
        <v>953.9631471370483</v>
      </c>
    </row>
    <row r="20" spans="3:12" ht="15">
      <c r="C20" s="144">
        <v>7</v>
      </c>
      <c r="D20" s="145">
        <f t="shared" si="0"/>
        <v>272.15563916324345</v>
      </c>
      <c r="E20" s="145">
        <f t="shared" si="1"/>
        <v>264.15535460343074</v>
      </c>
      <c r="F20" s="145">
        <f t="shared" si="2"/>
        <v>536.3109937666742</v>
      </c>
      <c r="G20" s="145">
        <f t="shared" si="3"/>
        <v>29970.27577088857</v>
      </c>
      <c r="K20" s="255">
        <v>7</v>
      </c>
      <c r="L20" s="145">
        <f>SUM(E86:E97)</f>
        <v>350.9685815501134</v>
      </c>
    </row>
    <row r="21" spans="3:12" ht="15.75" thickBot="1">
      <c r="C21" s="144">
        <v>8</v>
      </c>
      <c r="D21" s="145">
        <f t="shared" si="0"/>
        <v>274.5328081281236</v>
      </c>
      <c r="E21" s="145">
        <f t="shared" si="1"/>
        <v>261.7781856385506</v>
      </c>
      <c r="F21" s="145">
        <f t="shared" si="2"/>
        <v>536.3109937666742</v>
      </c>
      <c r="G21" s="145">
        <f t="shared" si="3"/>
        <v>29695.742962760447</v>
      </c>
      <c r="K21" s="250" t="s">
        <v>6</v>
      </c>
      <c r="L21" s="251">
        <f>SUM(L14:L20)</f>
        <v>13223.538476400467</v>
      </c>
    </row>
    <row r="22" spans="3:7" ht="15">
      <c r="C22" s="144">
        <v>9</v>
      </c>
      <c r="D22" s="145">
        <f t="shared" si="0"/>
        <v>276.93074069836183</v>
      </c>
      <c r="E22" s="145">
        <f t="shared" si="1"/>
        <v>259.38025306831236</v>
      </c>
      <c r="F22" s="145">
        <f t="shared" si="2"/>
        <v>536.3109937666742</v>
      </c>
      <c r="G22" s="145">
        <f t="shared" si="3"/>
        <v>29418.812222062086</v>
      </c>
    </row>
    <row r="23" spans="3:7" ht="15.75" thickBot="1">
      <c r="C23" s="144">
        <v>10</v>
      </c>
      <c r="D23" s="145">
        <f t="shared" si="0"/>
        <v>279.34961823561736</v>
      </c>
      <c r="E23" s="145">
        <f t="shared" si="1"/>
        <v>256.96137553105683</v>
      </c>
      <c r="F23" s="145">
        <f t="shared" si="2"/>
        <v>536.3109937666742</v>
      </c>
      <c r="G23" s="145">
        <f t="shared" si="3"/>
        <v>29139.46260382647</v>
      </c>
    </row>
    <row r="24" spans="3:12" ht="15">
      <c r="C24" s="144">
        <v>11</v>
      </c>
      <c r="D24" s="145">
        <f t="shared" si="0"/>
        <v>281.78962368566977</v>
      </c>
      <c r="E24" s="145">
        <f t="shared" si="1"/>
        <v>254.52137008100442</v>
      </c>
      <c r="F24" s="145">
        <f t="shared" si="2"/>
        <v>536.3109937666742</v>
      </c>
      <c r="G24" s="145">
        <f t="shared" si="3"/>
        <v>28857.6729801408</v>
      </c>
      <c r="K24" s="256" t="s">
        <v>253</v>
      </c>
      <c r="L24" s="257" t="s">
        <v>263</v>
      </c>
    </row>
    <row r="25" spans="3:12" ht="15">
      <c r="C25" s="144">
        <v>12</v>
      </c>
      <c r="D25" s="145">
        <f t="shared" si="0"/>
        <v>284.25094159225563</v>
      </c>
      <c r="E25" s="145">
        <f t="shared" si="1"/>
        <v>252.06005217441856</v>
      </c>
      <c r="F25" s="145">
        <f t="shared" si="2"/>
        <v>536.3109937666742</v>
      </c>
      <c r="G25" s="145">
        <f t="shared" si="3"/>
        <v>28573.422038548546</v>
      </c>
      <c r="I25" s="147" t="s">
        <v>201</v>
      </c>
      <c r="K25" s="258">
        <v>1</v>
      </c>
      <c r="L25" s="259">
        <f>SUM(D14:D25)</f>
        <v>3253.1629614514545</v>
      </c>
    </row>
    <row r="26" spans="3:12" ht="15">
      <c r="C26" s="144">
        <v>13</v>
      </c>
      <c r="D26" s="145">
        <f t="shared" si="0"/>
        <v>286.73375811102613</v>
      </c>
      <c r="E26" s="145">
        <f t="shared" si="1"/>
        <v>249.57723565564805</v>
      </c>
      <c r="F26" s="145">
        <f t="shared" si="2"/>
        <v>536.3109937666742</v>
      </c>
      <c r="G26" s="145">
        <f t="shared" si="3"/>
        <v>28286.68828043752</v>
      </c>
      <c r="K26" s="258">
        <v>2</v>
      </c>
      <c r="L26" s="259">
        <f>SUM(D26:D37)</f>
        <v>3611.0108872111146</v>
      </c>
    </row>
    <row r="27" spans="3:12" ht="15">
      <c r="C27" s="144">
        <v>14</v>
      </c>
      <c r="D27" s="145">
        <f t="shared" si="0"/>
        <v>289.23826102362654</v>
      </c>
      <c r="E27" s="145">
        <f t="shared" si="1"/>
        <v>247.07273274304765</v>
      </c>
      <c r="F27" s="145">
        <f t="shared" si="2"/>
        <v>536.3109937666742</v>
      </c>
      <c r="G27" s="145">
        <f t="shared" si="3"/>
        <v>27997.450019413893</v>
      </c>
      <c r="K27" s="258">
        <v>3</v>
      </c>
      <c r="L27" s="259">
        <f>SUM(D38:D49)</f>
        <v>4008.222084804337</v>
      </c>
    </row>
    <row r="28" spans="3:12" ht="15">
      <c r="C28" s="144">
        <v>15</v>
      </c>
      <c r="D28" s="145">
        <f t="shared" si="0"/>
        <v>291.7646397518984</v>
      </c>
      <c r="E28" s="145">
        <f t="shared" si="1"/>
        <v>244.54635401477577</v>
      </c>
      <c r="F28" s="145">
        <f t="shared" si="2"/>
        <v>536.3109937666742</v>
      </c>
      <c r="G28" s="145">
        <f t="shared" si="3"/>
        <v>27705.685379661994</v>
      </c>
      <c r="K28" s="260">
        <v>4</v>
      </c>
      <c r="L28" s="259">
        <f>SUM(D50:D61)</f>
        <v>4449.126514132815</v>
      </c>
    </row>
    <row r="29" spans="3:12" ht="15">
      <c r="C29" s="144">
        <v>16</v>
      </c>
      <c r="D29" s="145">
        <f t="shared" si="0"/>
        <v>294.31308537220616</v>
      </c>
      <c r="E29" s="145">
        <f t="shared" si="1"/>
        <v>241.997908394468</v>
      </c>
      <c r="F29" s="145">
        <f t="shared" si="2"/>
        <v>536.3109937666742</v>
      </c>
      <c r="G29" s="145">
        <f t="shared" si="3"/>
        <v>27411.372294289788</v>
      </c>
      <c r="K29" s="260">
        <v>5</v>
      </c>
      <c r="L29" s="259">
        <f>SUM(D62:D73)</f>
        <v>4938.530430687425</v>
      </c>
    </row>
    <row r="30" spans="3:12" ht="15">
      <c r="C30" s="144">
        <v>17</v>
      </c>
      <c r="D30" s="145">
        <f t="shared" si="0"/>
        <v>296.8837906298888</v>
      </c>
      <c r="E30" s="145">
        <f t="shared" si="1"/>
        <v>239.4272031367854</v>
      </c>
      <c r="F30" s="145">
        <f t="shared" si="2"/>
        <v>536.3109937666742</v>
      </c>
      <c r="G30" s="145">
        <f t="shared" si="3"/>
        <v>27114.488503659897</v>
      </c>
      <c r="K30" s="260">
        <v>6</v>
      </c>
      <c r="L30" s="259">
        <f>SUM(D74:D85)</f>
        <v>5481.768778063041</v>
      </c>
    </row>
    <row r="31" spans="3:12" ht="15">
      <c r="C31" s="144">
        <v>18</v>
      </c>
      <c r="D31" s="145">
        <f t="shared" si="0"/>
        <v>299.4769499538373</v>
      </c>
      <c r="E31" s="145">
        <f t="shared" si="1"/>
        <v>236.8340438128369</v>
      </c>
      <c r="F31" s="145">
        <f t="shared" si="2"/>
        <v>536.3109937666742</v>
      </c>
      <c r="G31" s="145">
        <f t="shared" si="3"/>
        <v>26815.01155370606</v>
      </c>
      <c r="K31" s="260">
        <v>7</v>
      </c>
      <c r="L31" s="259">
        <f>SUM(D86:D97)</f>
        <v>6084.763343649978</v>
      </c>
    </row>
    <row r="32" spans="3:12" ht="15.75" thickBot="1">
      <c r="C32" s="144">
        <v>19</v>
      </c>
      <c r="D32" s="145">
        <f t="shared" si="0"/>
        <v>302.0927594712002</v>
      </c>
      <c r="E32" s="145">
        <f t="shared" si="1"/>
        <v>234.21823429547393</v>
      </c>
      <c r="F32" s="145">
        <f t="shared" si="2"/>
        <v>536.3109937666742</v>
      </c>
      <c r="G32" s="145">
        <f t="shared" si="3"/>
        <v>26512.918794234858</v>
      </c>
      <c r="K32" s="261" t="s">
        <v>6</v>
      </c>
      <c r="L32" s="262">
        <f>SUM(L25:L31)</f>
        <v>31826.585000000163</v>
      </c>
    </row>
    <row r="33" spans="3:7" ht="15">
      <c r="C33" s="144">
        <v>20</v>
      </c>
      <c r="D33" s="145">
        <f t="shared" si="0"/>
        <v>304.73141702221716</v>
      </c>
      <c r="E33" s="145">
        <f t="shared" si="1"/>
        <v>231.57957674445703</v>
      </c>
      <c r="F33" s="145">
        <f t="shared" si="2"/>
        <v>536.3109937666742</v>
      </c>
      <c r="G33" s="145">
        <f t="shared" si="3"/>
        <v>26208.187377212642</v>
      </c>
    </row>
    <row r="34" spans="3:7" ht="15">
      <c r="C34" s="144">
        <v>21</v>
      </c>
      <c r="D34" s="145">
        <f t="shared" si="0"/>
        <v>307.3931221751816</v>
      </c>
      <c r="E34" s="145">
        <f t="shared" si="1"/>
        <v>228.91787159149257</v>
      </c>
      <c r="F34" s="145">
        <f t="shared" si="2"/>
        <v>536.3109937666742</v>
      </c>
      <c r="G34" s="145">
        <f t="shared" si="3"/>
        <v>25900.79425503746</v>
      </c>
    </row>
    <row r="35" spans="3:7" ht="15">
      <c r="C35" s="144">
        <v>22</v>
      </c>
      <c r="D35" s="145">
        <f t="shared" si="0"/>
        <v>310.0780762415353</v>
      </c>
      <c r="E35" s="145">
        <f t="shared" si="1"/>
        <v>226.2329175251389</v>
      </c>
      <c r="F35" s="145">
        <f t="shared" si="2"/>
        <v>536.3109937666742</v>
      </c>
      <c r="G35" s="145">
        <f t="shared" si="3"/>
        <v>25590.716178795927</v>
      </c>
    </row>
    <row r="36" spans="3:7" ht="15">
      <c r="C36" s="144">
        <v>23</v>
      </c>
      <c r="D36" s="145">
        <f t="shared" si="0"/>
        <v>312.7864822910934</v>
      </c>
      <c r="E36" s="145">
        <f t="shared" si="1"/>
        <v>223.52451147558074</v>
      </c>
      <c r="F36" s="145">
        <f t="shared" si="2"/>
        <v>536.3109937666742</v>
      </c>
      <c r="G36" s="145">
        <f t="shared" si="3"/>
        <v>25277.929696504834</v>
      </c>
    </row>
    <row r="37" spans="3:7" ht="15">
      <c r="C37" s="144">
        <v>24</v>
      </c>
      <c r="D37" s="145">
        <f t="shared" si="0"/>
        <v>315.5185451674038</v>
      </c>
      <c r="E37" s="145">
        <f t="shared" si="1"/>
        <v>220.79244859927044</v>
      </c>
      <c r="F37" s="145">
        <f t="shared" si="2"/>
        <v>536.3109937666742</v>
      </c>
      <c r="G37" s="145">
        <f t="shared" si="3"/>
        <v>24962.41115133743</v>
      </c>
    </row>
    <row r="38" spans="3:7" ht="15">
      <c r="C38" s="144">
        <v>25</v>
      </c>
      <c r="D38" s="145">
        <f t="shared" si="0"/>
        <v>318.27447150323906</v>
      </c>
      <c r="E38" s="145">
        <f t="shared" si="1"/>
        <v>218.03652226343513</v>
      </c>
      <c r="F38" s="145">
        <f t="shared" si="2"/>
        <v>536.3109937666742</v>
      </c>
      <c r="G38" s="145">
        <f t="shared" si="3"/>
        <v>24644.13667983419</v>
      </c>
    </row>
    <row r="39" spans="3:7" ht="15">
      <c r="C39" s="144">
        <v>26</v>
      </c>
      <c r="D39" s="145">
        <f t="shared" si="0"/>
        <v>321.0544697362255</v>
      </c>
      <c r="E39" s="145">
        <f t="shared" si="1"/>
        <v>215.2565240304487</v>
      </c>
      <c r="F39" s="145">
        <f t="shared" si="2"/>
        <v>536.3109937666742</v>
      </c>
      <c r="G39" s="145">
        <f t="shared" si="3"/>
        <v>24323.082210097968</v>
      </c>
    </row>
    <row r="40" spans="3:7" ht="15">
      <c r="C40" s="144">
        <v>27</v>
      </c>
      <c r="D40" s="145">
        <f t="shared" si="0"/>
        <v>323.85875012460724</v>
      </c>
      <c r="E40" s="145">
        <f t="shared" si="1"/>
        <v>212.45224364206695</v>
      </c>
      <c r="F40" s="145">
        <f t="shared" si="2"/>
        <v>536.3109937666742</v>
      </c>
      <c r="G40" s="145">
        <f t="shared" si="3"/>
        <v>23999.22345997336</v>
      </c>
    </row>
    <row r="41" spans="3:7" ht="15">
      <c r="C41" s="144">
        <v>28</v>
      </c>
      <c r="D41" s="145">
        <f t="shared" si="0"/>
        <v>326.6875247631489</v>
      </c>
      <c r="E41" s="145">
        <f t="shared" si="1"/>
        <v>209.62346900352532</v>
      </c>
      <c r="F41" s="145">
        <f t="shared" si="2"/>
        <v>536.3109937666742</v>
      </c>
      <c r="G41" s="145">
        <f t="shared" si="3"/>
        <v>23672.53593521021</v>
      </c>
    </row>
    <row r="42" spans="3:7" ht="15">
      <c r="C42" s="144">
        <v>29</v>
      </c>
      <c r="D42" s="145">
        <f t="shared" si="0"/>
        <v>329.5410075991765</v>
      </c>
      <c r="E42" s="145">
        <f t="shared" si="1"/>
        <v>206.76998616749765</v>
      </c>
      <c r="F42" s="145">
        <f t="shared" si="2"/>
        <v>536.3109937666742</v>
      </c>
      <c r="G42" s="145">
        <f t="shared" si="3"/>
        <v>23342.994927611035</v>
      </c>
    </row>
    <row r="43" spans="3:7" ht="15">
      <c r="C43" s="144">
        <v>30</v>
      </c>
      <c r="D43" s="145">
        <f t="shared" si="0"/>
        <v>332.41941444875937</v>
      </c>
      <c r="E43" s="145">
        <f t="shared" si="1"/>
        <v>203.89157931791482</v>
      </c>
      <c r="F43" s="145">
        <f t="shared" si="2"/>
        <v>536.3109937666742</v>
      </c>
      <c r="G43" s="145">
        <f t="shared" si="3"/>
        <v>23010.575513162275</v>
      </c>
    </row>
    <row r="44" spans="3:7" ht="15">
      <c r="C44" s="144">
        <v>31</v>
      </c>
      <c r="D44" s="145">
        <f t="shared" si="0"/>
        <v>335.3229630130322</v>
      </c>
      <c r="E44" s="145">
        <f t="shared" si="1"/>
        <v>200.98803075364194</v>
      </c>
      <c r="F44" s="145">
        <f t="shared" si="2"/>
        <v>536.3109937666742</v>
      </c>
      <c r="G44" s="145">
        <f t="shared" si="3"/>
        <v>22675.252550149242</v>
      </c>
    </row>
    <row r="45" spans="3:7" ht="15">
      <c r="C45" s="144">
        <v>32</v>
      </c>
      <c r="D45" s="145">
        <f t="shared" si="0"/>
        <v>338.251872894661</v>
      </c>
      <c r="E45" s="145">
        <f t="shared" si="1"/>
        <v>198.05912087201318</v>
      </c>
      <c r="F45" s="145">
        <f t="shared" si="2"/>
        <v>536.3109937666742</v>
      </c>
      <c r="G45" s="145">
        <f t="shared" si="3"/>
        <v>22337.000677254582</v>
      </c>
    </row>
    <row r="46" spans="3:7" ht="15">
      <c r="C46" s="144">
        <v>33</v>
      </c>
      <c r="D46" s="145">
        <f aca="true" t="shared" si="4" ref="D46:D77">+F46-E46</f>
        <v>341.20636561445156</v>
      </c>
      <c r="E46" s="145">
        <f aca="true" t="shared" si="5" ref="E46:E77">G45*$J$11</f>
        <v>195.1046281522226</v>
      </c>
      <c r="F46" s="145">
        <f aca="true" t="shared" si="6" ref="F46:F77">PMT($J$11,$G$9,-$G$10)</f>
        <v>536.3109937666742</v>
      </c>
      <c r="G46" s="145">
        <f aca="true" t="shared" si="7" ref="G46:G77">G45-D46</f>
        <v>21995.79431164013</v>
      </c>
    </row>
    <row r="47" spans="3:7" ht="15">
      <c r="C47" s="144">
        <v>34</v>
      </c>
      <c r="D47" s="145">
        <f t="shared" si="4"/>
        <v>344.18666462810415</v>
      </c>
      <c r="E47" s="145">
        <f t="shared" si="5"/>
        <v>192.12432913857003</v>
      </c>
      <c r="F47" s="145">
        <f t="shared" si="6"/>
        <v>536.3109937666742</v>
      </c>
      <c r="G47" s="145">
        <f t="shared" si="7"/>
        <v>21651.607647012024</v>
      </c>
    </row>
    <row r="48" spans="3:7" ht="15">
      <c r="C48" s="144">
        <v>35</v>
      </c>
      <c r="D48" s="145">
        <f t="shared" si="4"/>
        <v>347.19299534311375</v>
      </c>
      <c r="E48" s="145">
        <f t="shared" si="5"/>
        <v>189.11799842356044</v>
      </c>
      <c r="F48" s="145">
        <f t="shared" si="6"/>
        <v>536.3109937666742</v>
      </c>
      <c r="G48" s="145">
        <f t="shared" si="7"/>
        <v>21304.41465166891</v>
      </c>
    </row>
    <row r="49" spans="3:7" ht="15">
      <c r="C49" s="144">
        <v>36</v>
      </c>
      <c r="D49" s="145">
        <f t="shared" si="4"/>
        <v>350.22558513581816</v>
      </c>
      <c r="E49" s="145">
        <f t="shared" si="5"/>
        <v>186.085408630856</v>
      </c>
      <c r="F49" s="145">
        <f t="shared" si="6"/>
        <v>536.3109937666742</v>
      </c>
      <c r="G49" s="145">
        <f t="shared" si="7"/>
        <v>20954.189066533094</v>
      </c>
    </row>
    <row r="50" spans="3:7" ht="15">
      <c r="C50" s="144">
        <v>37</v>
      </c>
      <c r="D50" s="145">
        <f t="shared" si="4"/>
        <v>353.2846633685954</v>
      </c>
      <c r="E50" s="145">
        <f t="shared" si="5"/>
        <v>183.02633039807884</v>
      </c>
      <c r="F50" s="145">
        <f t="shared" si="6"/>
        <v>536.3109937666742</v>
      </c>
      <c r="G50" s="145">
        <f t="shared" si="7"/>
        <v>20600.9044031645</v>
      </c>
    </row>
    <row r="51" spans="3:7" ht="15">
      <c r="C51" s="144">
        <v>38</v>
      </c>
      <c r="D51" s="145">
        <f t="shared" si="4"/>
        <v>356.3704614072103</v>
      </c>
      <c r="E51" s="145">
        <f t="shared" si="5"/>
        <v>179.9405323594639</v>
      </c>
      <c r="F51" s="145">
        <f t="shared" si="6"/>
        <v>536.3109937666742</v>
      </c>
      <c r="G51" s="145">
        <f t="shared" si="7"/>
        <v>20244.53394175729</v>
      </c>
    </row>
    <row r="52" spans="3:7" ht="15">
      <c r="C52" s="144">
        <v>39</v>
      </c>
      <c r="D52" s="145">
        <f t="shared" si="4"/>
        <v>359.48321263831406</v>
      </c>
      <c r="E52" s="145">
        <f t="shared" si="5"/>
        <v>176.82778112836016</v>
      </c>
      <c r="F52" s="145">
        <f t="shared" si="6"/>
        <v>536.3109937666742</v>
      </c>
      <c r="G52" s="145">
        <f t="shared" si="7"/>
        <v>19885.050729118975</v>
      </c>
    </row>
    <row r="53" spans="3:7" ht="15">
      <c r="C53" s="144">
        <v>40</v>
      </c>
      <c r="D53" s="145">
        <f t="shared" si="4"/>
        <v>362.62315248709524</v>
      </c>
      <c r="E53" s="145">
        <f t="shared" si="5"/>
        <v>173.68784127957892</v>
      </c>
      <c r="F53" s="145">
        <f t="shared" si="6"/>
        <v>536.3109937666742</v>
      </c>
      <c r="G53" s="145">
        <f t="shared" si="7"/>
        <v>19522.42757663188</v>
      </c>
    </row>
    <row r="54" spans="3:7" ht="15">
      <c r="C54" s="144">
        <v>41</v>
      </c>
      <c r="D54" s="145">
        <f t="shared" si="4"/>
        <v>365.79051843508597</v>
      </c>
      <c r="E54" s="145">
        <f t="shared" si="5"/>
        <v>170.52047533158822</v>
      </c>
      <c r="F54" s="145">
        <f t="shared" si="6"/>
        <v>536.3109937666742</v>
      </c>
      <c r="G54" s="145">
        <f t="shared" si="7"/>
        <v>19156.637058196793</v>
      </c>
    </row>
    <row r="55" spans="3:7" ht="15">
      <c r="C55" s="144">
        <v>42</v>
      </c>
      <c r="D55" s="145">
        <f t="shared" si="4"/>
        <v>368.98555003812294</v>
      </c>
      <c r="E55" s="145">
        <f t="shared" si="5"/>
        <v>167.32544372855128</v>
      </c>
      <c r="F55" s="145">
        <f t="shared" si="6"/>
        <v>536.3109937666742</v>
      </c>
      <c r="G55" s="145">
        <f t="shared" si="7"/>
        <v>18787.65150815867</v>
      </c>
    </row>
    <row r="56" spans="3:7" ht="15">
      <c r="C56" s="144">
        <v>43</v>
      </c>
      <c r="D56" s="145">
        <f t="shared" si="4"/>
        <v>372.2084889444658</v>
      </c>
      <c r="E56" s="145">
        <f t="shared" si="5"/>
        <v>164.10250482220837</v>
      </c>
      <c r="F56" s="145">
        <f t="shared" si="6"/>
        <v>536.3109937666742</v>
      </c>
      <c r="G56" s="145">
        <f t="shared" si="7"/>
        <v>18415.443019214203</v>
      </c>
    </row>
    <row r="57" spans="3:7" ht="15">
      <c r="C57" s="144">
        <v>44</v>
      </c>
      <c r="D57" s="145">
        <f t="shared" si="4"/>
        <v>375.45957891307376</v>
      </c>
      <c r="E57" s="145">
        <f t="shared" si="5"/>
        <v>160.85141485360043</v>
      </c>
      <c r="F57" s="145">
        <f t="shared" si="6"/>
        <v>536.3109937666742</v>
      </c>
      <c r="G57" s="145">
        <f t="shared" si="7"/>
        <v>18039.98344030113</v>
      </c>
    </row>
    <row r="58" spans="3:7" ht="15">
      <c r="C58" s="144">
        <v>45</v>
      </c>
      <c r="D58" s="145">
        <f t="shared" si="4"/>
        <v>378.73906583204126</v>
      </c>
      <c r="E58" s="145">
        <f t="shared" si="5"/>
        <v>157.57192793463292</v>
      </c>
      <c r="F58" s="145">
        <f t="shared" si="6"/>
        <v>536.3109937666742</v>
      </c>
      <c r="G58" s="145">
        <f t="shared" si="7"/>
        <v>17661.24437446909</v>
      </c>
    </row>
    <row r="59" spans="3:7" ht="15">
      <c r="C59" s="144">
        <v>46</v>
      </c>
      <c r="D59" s="145">
        <f t="shared" si="4"/>
        <v>382.04719773719563</v>
      </c>
      <c r="E59" s="145">
        <f t="shared" si="5"/>
        <v>154.26379602947856</v>
      </c>
      <c r="F59" s="145">
        <f t="shared" si="6"/>
        <v>536.3109937666742</v>
      </c>
      <c r="G59" s="145">
        <f t="shared" si="7"/>
        <v>17279.197176731894</v>
      </c>
    </row>
    <row r="60" spans="3:7" ht="15">
      <c r="C60" s="144">
        <v>47</v>
      </c>
      <c r="D60" s="145">
        <f t="shared" si="4"/>
        <v>385.3842248308563</v>
      </c>
      <c r="E60" s="145">
        <f t="shared" si="5"/>
        <v>150.92676893581793</v>
      </c>
      <c r="F60" s="145">
        <f t="shared" si="6"/>
        <v>536.3109937666742</v>
      </c>
      <c r="G60" s="145">
        <f t="shared" si="7"/>
        <v>16893.812951901036</v>
      </c>
    </row>
    <row r="61" spans="3:7" ht="15">
      <c r="C61" s="144">
        <v>48</v>
      </c>
      <c r="D61" s="145">
        <f t="shared" si="4"/>
        <v>388.7503995007582</v>
      </c>
      <c r="E61" s="145">
        <f t="shared" si="5"/>
        <v>147.560594265916</v>
      </c>
      <c r="F61" s="145">
        <f t="shared" si="6"/>
        <v>536.3109937666742</v>
      </c>
      <c r="G61" s="145">
        <f t="shared" si="7"/>
        <v>16505.06255240028</v>
      </c>
    </row>
    <row r="62" spans="3:7" ht="15">
      <c r="C62" s="144">
        <v>49</v>
      </c>
      <c r="D62" s="145">
        <f t="shared" si="4"/>
        <v>392.1459763391408</v>
      </c>
      <c r="E62" s="145">
        <f t="shared" si="5"/>
        <v>144.16501742753334</v>
      </c>
      <c r="F62" s="145">
        <f t="shared" si="6"/>
        <v>536.3109937666742</v>
      </c>
      <c r="G62" s="145">
        <f t="shared" si="7"/>
        <v>16112.916576061138</v>
      </c>
    </row>
    <row r="63" spans="3:7" ht="15">
      <c r="C63" s="144">
        <v>50</v>
      </c>
      <c r="D63" s="145">
        <f t="shared" si="4"/>
        <v>395.57121216200346</v>
      </c>
      <c r="E63" s="145">
        <f t="shared" si="5"/>
        <v>140.73978160467072</v>
      </c>
      <c r="F63" s="145">
        <f t="shared" si="6"/>
        <v>536.3109937666742</v>
      </c>
      <c r="G63" s="145">
        <f t="shared" si="7"/>
        <v>15717.345363899134</v>
      </c>
    </row>
    <row r="64" spans="3:7" ht="15">
      <c r="C64" s="144">
        <v>51</v>
      </c>
      <c r="D64" s="145">
        <f t="shared" si="4"/>
        <v>399.0263660285286</v>
      </c>
      <c r="E64" s="145">
        <f t="shared" si="5"/>
        <v>137.28462773814556</v>
      </c>
      <c r="F64" s="145">
        <f t="shared" si="6"/>
        <v>536.3109937666742</v>
      </c>
      <c r="G64" s="145">
        <f t="shared" si="7"/>
        <v>15318.318997870605</v>
      </c>
    </row>
    <row r="65" spans="3:7" ht="15">
      <c r="C65" s="144">
        <v>52</v>
      </c>
      <c r="D65" s="145">
        <f t="shared" si="4"/>
        <v>402.51169926067575</v>
      </c>
      <c r="E65" s="145">
        <f t="shared" si="5"/>
        <v>133.7992945059984</v>
      </c>
      <c r="F65" s="145">
        <f t="shared" si="6"/>
        <v>536.3109937666742</v>
      </c>
      <c r="G65" s="145">
        <f t="shared" si="7"/>
        <v>14915.807298609929</v>
      </c>
    </row>
    <row r="66" spans="3:7" ht="15">
      <c r="C66" s="144">
        <v>53</v>
      </c>
      <c r="D66" s="145">
        <f t="shared" si="4"/>
        <v>406.02747546294546</v>
      </c>
      <c r="E66" s="145">
        <f t="shared" si="5"/>
        <v>130.28351830372873</v>
      </c>
      <c r="F66" s="145">
        <f t="shared" si="6"/>
        <v>536.3109937666742</v>
      </c>
      <c r="G66" s="145">
        <f t="shared" si="7"/>
        <v>14509.779823146982</v>
      </c>
    </row>
    <row r="67" spans="3:7" ht="15">
      <c r="C67" s="144">
        <v>54</v>
      </c>
      <c r="D67" s="145">
        <f t="shared" si="4"/>
        <v>409.5739605423165</v>
      </c>
      <c r="E67" s="145">
        <f t="shared" si="5"/>
        <v>126.7370332243577</v>
      </c>
      <c r="F67" s="145">
        <f t="shared" si="6"/>
        <v>536.3109937666742</v>
      </c>
      <c r="G67" s="145">
        <f t="shared" si="7"/>
        <v>14100.205862604666</v>
      </c>
    </row>
    <row r="68" spans="3:7" ht="15">
      <c r="C68" s="144">
        <v>55</v>
      </c>
      <c r="D68" s="145">
        <f t="shared" si="4"/>
        <v>413.1514227283571</v>
      </c>
      <c r="E68" s="145">
        <f t="shared" si="5"/>
        <v>123.15957103831708</v>
      </c>
      <c r="F68" s="145">
        <f t="shared" si="6"/>
        <v>536.3109937666742</v>
      </c>
      <c r="G68" s="145">
        <f t="shared" si="7"/>
        <v>13687.054439876309</v>
      </c>
    </row>
    <row r="69" spans="3:7" ht="15">
      <c r="C69" s="144">
        <v>56</v>
      </c>
      <c r="D69" s="145">
        <f t="shared" si="4"/>
        <v>416.7601325935119</v>
      </c>
      <c r="E69" s="145">
        <f t="shared" si="5"/>
        <v>119.5508611731623</v>
      </c>
      <c r="F69" s="145">
        <f t="shared" si="6"/>
        <v>536.3109937666742</v>
      </c>
      <c r="G69" s="145">
        <f t="shared" si="7"/>
        <v>13270.294307282797</v>
      </c>
    </row>
    <row r="70" spans="3:7" ht="15">
      <c r="C70" s="144">
        <v>57</v>
      </c>
      <c r="D70" s="145">
        <f t="shared" si="4"/>
        <v>420.40036307356587</v>
      </c>
      <c r="E70" s="145">
        <f t="shared" si="5"/>
        <v>115.91063069310833</v>
      </c>
      <c r="F70" s="145">
        <f t="shared" si="6"/>
        <v>536.3109937666742</v>
      </c>
      <c r="G70" s="145">
        <f t="shared" si="7"/>
        <v>12849.89394420923</v>
      </c>
    </row>
    <row r="71" spans="3:7" ht="15">
      <c r="C71" s="144">
        <v>58</v>
      </c>
      <c r="D71" s="145">
        <f t="shared" si="4"/>
        <v>424.0723894882872</v>
      </c>
      <c r="E71" s="145">
        <f t="shared" si="5"/>
        <v>112.23860427838699</v>
      </c>
      <c r="F71" s="145">
        <f t="shared" si="6"/>
        <v>536.3109937666742</v>
      </c>
      <c r="G71" s="145">
        <f t="shared" si="7"/>
        <v>12425.821554720944</v>
      </c>
    </row>
    <row r="72" spans="3:7" ht="15">
      <c r="C72" s="144">
        <v>59</v>
      </c>
      <c r="D72" s="145">
        <f t="shared" si="4"/>
        <v>427.7764895622505</v>
      </c>
      <c r="E72" s="145">
        <f t="shared" si="5"/>
        <v>108.5345042044237</v>
      </c>
      <c r="F72" s="145">
        <f t="shared" si="6"/>
        <v>536.3109937666742</v>
      </c>
      <c r="G72" s="145">
        <f t="shared" si="7"/>
        <v>11998.045065158693</v>
      </c>
    </row>
    <row r="73" spans="3:7" ht="15">
      <c r="C73" s="144">
        <v>60</v>
      </c>
      <c r="D73" s="145">
        <f t="shared" si="4"/>
        <v>431.51294344584164</v>
      </c>
      <c r="E73" s="145">
        <f t="shared" si="5"/>
        <v>104.79805032083254</v>
      </c>
      <c r="F73" s="145">
        <f t="shared" si="6"/>
        <v>536.3109937666742</v>
      </c>
      <c r="G73" s="145">
        <f t="shared" si="7"/>
        <v>11566.532121712851</v>
      </c>
    </row>
    <row r="74" spans="3:7" ht="15">
      <c r="C74" s="144">
        <v>61</v>
      </c>
      <c r="D74" s="145">
        <f t="shared" si="4"/>
        <v>435.2820337364464</v>
      </c>
      <c r="E74" s="145">
        <f t="shared" si="5"/>
        <v>101.0289600302278</v>
      </c>
      <c r="F74" s="145">
        <f t="shared" si="6"/>
        <v>536.3109937666742</v>
      </c>
      <c r="G74" s="145">
        <f t="shared" si="7"/>
        <v>11131.250087976405</v>
      </c>
    </row>
    <row r="75" spans="3:7" ht="15">
      <c r="C75" s="144">
        <v>62</v>
      </c>
      <c r="D75" s="145">
        <f t="shared" si="4"/>
        <v>439.0840454998239</v>
      </c>
      <c r="E75" s="145">
        <f t="shared" si="5"/>
        <v>97.22694826685031</v>
      </c>
      <c r="F75" s="145">
        <f t="shared" si="6"/>
        <v>536.3109937666742</v>
      </c>
      <c r="G75" s="145">
        <f t="shared" si="7"/>
        <v>10692.166042476581</v>
      </c>
    </row>
    <row r="76" spans="3:7" ht="15">
      <c r="C76" s="144">
        <v>63</v>
      </c>
      <c r="D76" s="145">
        <f t="shared" si="4"/>
        <v>442.9192662916668</v>
      </c>
      <c r="E76" s="145">
        <f t="shared" si="5"/>
        <v>93.39172747500737</v>
      </c>
      <c r="F76" s="145">
        <f t="shared" si="6"/>
        <v>536.3109937666742</v>
      </c>
      <c r="G76" s="145">
        <f t="shared" si="7"/>
        <v>10249.246776184915</v>
      </c>
    </row>
    <row r="77" spans="3:7" ht="15">
      <c r="C77" s="144">
        <v>64</v>
      </c>
      <c r="D77" s="145">
        <f t="shared" si="4"/>
        <v>446.7879861793501</v>
      </c>
      <c r="E77" s="145">
        <f t="shared" si="5"/>
        <v>89.52300758732405</v>
      </c>
      <c r="F77" s="145">
        <f t="shared" si="6"/>
        <v>536.3109937666742</v>
      </c>
      <c r="G77" s="145">
        <f t="shared" si="7"/>
        <v>9802.458790005565</v>
      </c>
    </row>
    <row r="78" spans="3:7" ht="15">
      <c r="C78" s="144">
        <v>65</v>
      </c>
      <c r="D78" s="145">
        <f aca="true" t="shared" si="8" ref="D78:D97">+F78-E78</f>
        <v>450.6904977638695</v>
      </c>
      <c r="E78" s="145">
        <f aca="true" t="shared" si="9" ref="E78:E97">G77*$J$11</f>
        <v>85.6204960028047</v>
      </c>
      <c r="F78" s="145">
        <f aca="true" t="shared" si="10" ref="F78:F97">PMT($J$11,$G$9,-$G$10)</f>
        <v>536.3109937666742</v>
      </c>
      <c r="G78" s="145">
        <f aca="true" t="shared" si="11" ref="G78:G97">G77-D78</f>
        <v>9351.768292241695</v>
      </c>
    </row>
    <row r="79" spans="3:7" ht="15">
      <c r="C79" s="144">
        <v>66</v>
      </c>
      <c r="D79" s="145">
        <f t="shared" si="8"/>
        <v>454.6270962019713</v>
      </c>
      <c r="E79" s="145">
        <f t="shared" si="9"/>
        <v>81.68389756470287</v>
      </c>
      <c r="F79" s="145">
        <f t="shared" si="10"/>
        <v>536.3109937666742</v>
      </c>
      <c r="G79" s="145">
        <f t="shared" si="11"/>
        <v>8897.141196039724</v>
      </c>
    </row>
    <row r="80" spans="3:7" ht="15">
      <c r="C80" s="144">
        <v>67</v>
      </c>
      <c r="D80" s="145">
        <f t="shared" si="8"/>
        <v>458.5980792284764</v>
      </c>
      <c r="E80" s="145">
        <f t="shared" si="9"/>
        <v>77.7129145381978</v>
      </c>
      <c r="F80" s="145">
        <f t="shared" si="10"/>
        <v>536.3109937666742</v>
      </c>
      <c r="G80" s="145">
        <f t="shared" si="11"/>
        <v>8438.543116811246</v>
      </c>
    </row>
    <row r="81" spans="3:7" ht="15">
      <c r="C81" s="144">
        <v>68</v>
      </c>
      <c r="D81" s="145">
        <f t="shared" si="8"/>
        <v>462.60374717879824</v>
      </c>
      <c r="E81" s="145">
        <f t="shared" si="9"/>
        <v>73.70724658787596</v>
      </c>
      <c r="F81" s="145">
        <f t="shared" si="10"/>
        <v>536.3109937666742</v>
      </c>
      <c r="G81" s="145">
        <f t="shared" si="11"/>
        <v>7975.939369632448</v>
      </c>
    </row>
    <row r="82" spans="3:7" ht="15">
      <c r="C82" s="144">
        <v>69</v>
      </c>
      <c r="D82" s="145">
        <f t="shared" si="8"/>
        <v>466.64440301165814</v>
      </c>
      <c r="E82" s="145">
        <f t="shared" si="9"/>
        <v>69.66659075501606</v>
      </c>
      <c r="F82" s="145">
        <f t="shared" si="10"/>
        <v>536.3109937666742</v>
      </c>
      <c r="G82" s="145">
        <f t="shared" si="11"/>
        <v>7509.29496662079</v>
      </c>
    </row>
    <row r="83" spans="3:7" ht="15">
      <c r="C83" s="144">
        <v>70</v>
      </c>
      <c r="D83" s="145">
        <f t="shared" si="8"/>
        <v>470.7203523319988</v>
      </c>
      <c r="E83" s="145">
        <f t="shared" si="9"/>
        <v>65.59064143467536</v>
      </c>
      <c r="F83" s="145">
        <f t="shared" si="10"/>
        <v>536.3109937666742</v>
      </c>
      <c r="G83" s="145">
        <f t="shared" si="11"/>
        <v>7038.574614288791</v>
      </c>
    </row>
    <row r="84" spans="3:7" ht="15">
      <c r="C84" s="144">
        <v>71</v>
      </c>
      <c r="D84" s="145">
        <f t="shared" si="8"/>
        <v>474.83190341409806</v>
      </c>
      <c r="E84" s="145">
        <f t="shared" si="9"/>
        <v>61.479090352576115</v>
      </c>
      <c r="F84" s="145">
        <f t="shared" si="10"/>
        <v>536.3109937666742</v>
      </c>
      <c r="G84" s="145">
        <f t="shared" si="11"/>
        <v>6563.742710874693</v>
      </c>
    </row>
    <row r="85" spans="3:7" ht="15">
      <c r="C85" s="144">
        <v>72</v>
      </c>
      <c r="D85" s="145">
        <f t="shared" si="8"/>
        <v>478.97936722488424</v>
      </c>
      <c r="E85" s="145">
        <f t="shared" si="9"/>
        <v>57.33162654178994</v>
      </c>
      <c r="F85" s="145">
        <f t="shared" si="10"/>
        <v>536.3109937666742</v>
      </c>
      <c r="G85" s="145">
        <f t="shared" si="11"/>
        <v>6084.763343649809</v>
      </c>
    </row>
    <row r="86" spans="3:7" ht="15">
      <c r="C86" s="144">
        <v>73</v>
      </c>
      <c r="D86" s="145">
        <f t="shared" si="8"/>
        <v>483.1630574474555</v>
      </c>
      <c r="E86" s="145">
        <f t="shared" si="9"/>
        <v>53.147936319218665</v>
      </c>
      <c r="F86" s="145">
        <f t="shared" si="10"/>
        <v>536.3109937666742</v>
      </c>
      <c r="G86" s="145">
        <f t="shared" si="11"/>
        <v>5601.600286202353</v>
      </c>
    </row>
    <row r="87" spans="3:7" ht="15">
      <c r="C87" s="144">
        <v>74</v>
      </c>
      <c r="D87" s="145">
        <f t="shared" si="8"/>
        <v>487.3832905048045</v>
      </c>
      <c r="E87" s="145">
        <f t="shared" si="9"/>
        <v>48.92770326186967</v>
      </c>
      <c r="F87" s="145">
        <f t="shared" si="10"/>
        <v>536.3109937666742</v>
      </c>
      <c r="G87" s="145">
        <f t="shared" si="11"/>
        <v>5114.216995697549</v>
      </c>
    </row>
    <row r="88" spans="3:7" ht="15">
      <c r="C88" s="144">
        <v>75</v>
      </c>
      <c r="D88" s="145">
        <f t="shared" si="8"/>
        <v>491.6403855837502</v>
      </c>
      <c r="E88" s="145">
        <f t="shared" si="9"/>
        <v>44.67060818292399</v>
      </c>
      <c r="F88" s="145">
        <f t="shared" si="10"/>
        <v>536.3109937666742</v>
      </c>
      <c r="G88" s="145">
        <f t="shared" si="11"/>
        <v>4622.576610113799</v>
      </c>
    </row>
    <row r="89" spans="3:7" ht="15">
      <c r="C89" s="144">
        <v>76</v>
      </c>
      <c r="D89" s="145">
        <f t="shared" si="8"/>
        <v>495.9346646590787</v>
      </c>
      <c r="E89" s="145">
        <f t="shared" si="9"/>
        <v>40.376329107595495</v>
      </c>
      <c r="F89" s="145">
        <f t="shared" si="10"/>
        <v>536.3109937666742</v>
      </c>
      <c r="G89" s="145">
        <f t="shared" si="11"/>
        <v>4126.64194545472</v>
      </c>
    </row>
    <row r="90" spans="3:7" ht="15">
      <c r="C90" s="144">
        <v>77</v>
      </c>
      <c r="D90" s="145">
        <f t="shared" si="8"/>
        <v>500.2664525178952</v>
      </c>
      <c r="E90" s="145">
        <f t="shared" si="9"/>
        <v>36.04454124877902</v>
      </c>
      <c r="F90" s="145">
        <f t="shared" si="10"/>
        <v>536.3109937666742</v>
      </c>
      <c r="G90" s="145">
        <f t="shared" si="11"/>
        <v>3626.375492936825</v>
      </c>
    </row>
    <row r="91" spans="3:7" ht="15">
      <c r="C91" s="144">
        <v>78</v>
      </c>
      <c r="D91" s="145">
        <f t="shared" si="8"/>
        <v>504.6360767841882</v>
      </c>
      <c r="E91" s="145">
        <f t="shared" si="9"/>
        <v>31.674916982485993</v>
      </c>
      <c r="F91" s="145">
        <f t="shared" si="10"/>
        <v>536.3109937666742</v>
      </c>
      <c r="G91" s="145">
        <f t="shared" si="11"/>
        <v>3121.7394161526367</v>
      </c>
    </row>
    <row r="92" spans="3:7" ht="15">
      <c r="C92" s="144">
        <v>79</v>
      </c>
      <c r="D92" s="145">
        <f t="shared" si="8"/>
        <v>509.04386794360886</v>
      </c>
      <c r="E92" s="145">
        <f t="shared" si="9"/>
        <v>27.267125823065353</v>
      </c>
      <c r="F92" s="145">
        <f t="shared" si="10"/>
        <v>536.3109937666742</v>
      </c>
      <c r="G92" s="145">
        <f t="shared" si="11"/>
        <v>2612.695548209028</v>
      </c>
    </row>
    <row r="93" spans="3:7" ht="15">
      <c r="C93" s="144">
        <v>80</v>
      </c>
      <c r="D93" s="145">
        <f t="shared" si="8"/>
        <v>513.490159368466</v>
      </c>
      <c r="E93" s="145">
        <f t="shared" si="9"/>
        <v>22.820834398208138</v>
      </c>
      <c r="F93" s="145">
        <f t="shared" si="10"/>
        <v>536.3109937666742</v>
      </c>
      <c r="G93" s="145">
        <f t="shared" si="11"/>
        <v>2099.2053888405617</v>
      </c>
    </row>
    <row r="94" spans="3:7" ht="15">
      <c r="C94" s="144">
        <v>81</v>
      </c>
      <c r="D94" s="145">
        <f t="shared" si="8"/>
        <v>517.9752873429405</v>
      </c>
      <c r="E94" s="145">
        <f t="shared" si="9"/>
        <v>18.335706423733647</v>
      </c>
      <c r="F94" s="145">
        <f t="shared" si="10"/>
        <v>536.3109937666742</v>
      </c>
      <c r="G94" s="145">
        <f t="shared" si="11"/>
        <v>1581.230101497621</v>
      </c>
    </row>
    <row r="95" spans="3:7" ht="15">
      <c r="C95" s="144">
        <v>82</v>
      </c>
      <c r="D95" s="145">
        <f t="shared" si="8"/>
        <v>522.4995910885187</v>
      </c>
      <c r="E95" s="145">
        <f t="shared" si="9"/>
        <v>13.811402678155474</v>
      </c>
      <c r="F95" s="145">
        <f t="shared" si="10"/>
        <v>536.3109937666742</v>
      </c>
      <c r="G95" s="145">
        <f t="shared" si="11"/>
        <v>1058.7305104091024</v>
      </c>
    </row>
    <row r="96" spans="3:7" ht="15">
      <c r="C96" s="144">
        <v>83</v>
      </c>
      <c r="D96" s="145">
        <f t="shared" si="8"/>
        <v>527.0634127896489</v>
      </c>
      <c r="E96" s="145">
        <f t="shared" si="9"/>
        <v>9.247580977025303</v>
      </c>
      <c r="F96" s="145">
        <f t="shared" si="10"/>
        <v>536.3109937666742</v>
      </c>
      <c r="G96" s="145">
        <f t="shared" si="11"/>
        <v>531.6670976194536</v>
      </c>
    </row>
    <row r="97" spans="3:7" ht="15">
      <c r="C97" s="144">
        <v>84</v>
      </c>
      <c r="D97" s="145">
        <f t="shared" si="8"/>
        <v>531.6670976196216</v>
      </c>
      <c r="E97" s="145">
        <f t="shared" si="9"/>
        <v>4.643896147052647</v>
      </c>
      <c r="F97" s="145">
        <f t="shared" si="10"/>
        <v>536.3109937666742</v>
      </c>
      <c r="G97" s="145">
        <f t="shared" si="11"/>
        <v>-1.680291461525485E-10</v>
      </c>
    </row>
    <row r="98" spans="4:6" ht="15">
      <c r="D98" s="149">
        <f>SUM(D14:D97)</f>
        <v>31826.585000000156</v>
      </c>
      <c r="E98" s="149">
        <f>SUM(E14:E97)</f>
        <v>13223.538476400465</v>
      </c>
      <c r="F98" s="149">
        <f>SUM(F14:F97)</f>
        <v>45050.12347640063</v>
      </c>
    </row>
    <row r="106" spans="2:5" ht="15.75" thickBot="1">
      <c r="B106" s="331" t="s">
        <v>214</v>
      </c>
      <c r="C106" s="332"/>
      <c r="D106" s="332"/>
      <c r="E106" s="333"/>
    </row>
    <row r="107" spans="2:5" ht="15.75" thickBot="1">
      <c r="B107" s="334" t="s">
        <v>202</v>
      </c>
      <c r="C107" s="335"/>
      <c r="D107" s="336" t="s">
        <v>203</v>
      </c>
      <c r="E107" s="337"/>
    </row>
    <row r="108" spans="2:5" ht="15">
      <c r="B108" s="150"/>
      <c r="C108" s="338" t="s">
        <v>204</v>
      </c>
      <c r="D108" s="151"/>
      <c r="E108" s="341" t="s">
        <v>204</v>
      </c>
    </row>
    <row r="109" spans="2:5" ht="46.5">
      <c r="B109" s="152" t="s">
        <v>205</v>
      </c>
      <c r="C109" s="339"/>
      <c r="D109" s="153" t="s">
        <v>206</v>
      </c>
      <c r="E109" s="342"/>
    </row>
    <row r="110" spans="2:5" ht="24.75" thickBot="1">
      <c r="B110" s="154" t="s">
        <v>207</v>
      </c>
      <c r="C110" s="340"/>
      <c r="D110" s="155" t="s">
        <v>207</v>
      </c>
      <c r="E110" s="343"/>
    </row>
    <row r="111" spans="2:7" ht="25.5" thickBot="1">
      <c r="B111" s="156" t="s">
        <v>208</v>
      </c>
      <c r="C111" s="157" t="s">
        <v>209</v>
      </c>
      <c r="D111" s="158" t="s">
        <v>208</v>
      </c>
      <c r="E111" s="159" t="s">
        <v>210</v>
      </c>
      <c r="G111" s="70">
        <f>9.92+10.21</f>
        <v>20.130000000000003</v>
      </c>
    </row>
    <row r="112" spans="2:7" ht="25.5" thickBot="1">
      <c r="B112" s="160" t="s">
        <v>211</v>
      </c>
      <c r="C112" s="161" t="s">
        <v>212</v>
      </c>
      <c r="D112" s="162" t="s">
        <v>211</v>
      </c>
      <c r="E112" s="163" t="s">
        <v>213</v>
      </c>
      <c r="G112" s="74">
        <f>G111/2</f>
        <v>10.065000000000001</v>
      </c>
    </row>
  </sheetData>
  <sheetProtection/>
  <mergeCells count="12">
    <mergeCell ref="B106:E106"/>
    <mergeCell ref="B107:C107"/>
    <mergeCell ref="D107:E107"/>
    <mergeCell ref="C108:C110"/>
    <mergeCell ref="E108:E110"/>
    <mergeCell ref="C8:G8"/>
    <mergeCell ref="I8:M8"/>
    <mergeCell ref="B2:C2"/>
    <mergeCell ref="B3:C3"/>
    <mergeCell ref="B4:C4"/>
    <mergeCell ref="C7:G7"/>
    <mergeCell ref="I7:M7"/>
  </mergeCell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L42"/>
  <sheetViews>
    <sheetView zoomScalePageLayoutView="0" workbookViewId="0" topLeftCell="A1">
      <selection activeCell="D11" sqref="D11"/>
    </sheetView>
  </sheetViews>
  <sheetFormatPr defaultColWidth="11.421875" defaultRowHeight="12.75"/>
  <cols>
    <col min="1" max="3" width="11.421875" style="70" customWidth="1"/>
    <col min="4" max="4" width="11.57421875" style="70" bestFit="1" customWidth="1"/>
    <col min="5" max="10" width="11.421875" style="70" customWidth="1"/>
    <col min="11" max="11" width="11.8515625" style="70" bestFit="1" customWidth="1"/>
    <col min="12" max="16384" width="11.421875" style="70" customWidth="1"/>
  </cols>
  <sheetData>
    <row r="1" ht="15">
      <c r="A1" s="101" t="s">
        <v>147</v>
      </c>
    </row>
    <row r="2" ht="15"/>
    <row r="3" ht="15"/>
    <row r="4" ht="15"/>
    <row r="5" spans="1:5" ht="15">
      <c r="A5" s="72" t="s">
        <v>148</v>
      </c>
      <c r="B5" s="72"/>
      <c r="C5" s="72"/>
      <c r="D5" s="72"/>
      <c r="E5" s="84">
        <v>0.0366</v>
      </c>
    </row>
    <row r="6" spans="1:5" ht="15">
      <c r="A6" s="72" t="s">
        <v>149</v>
      </c>
      <c r="B6" s="72"/>
      <c r="C6" s="72"/>
      <c r="D6" s="72"/>
      <c r="E6" s="102" t="s">
        <v>150</v>
      </c>
    </row>
    <row r="7" spans="1:6" ht="15">
      <c r="A7" s="72" t="s">
        <v>151</v>
      </c>
      <c r="B7" s="72"/>
      <c r="C7" s="72"/>
      <c r="D7" s="72"/>
      <c r="E7" s="79">
        <v>0.26</v>
      </c>
      <c r="F7" s="70" t="s">
        <v>152</v>
      </c>
    </row>
    <row r="8" spans="1:6" ht="15">
      <c r="A8" s="72" t="s">
        <v>153</v>
      </c>
      <c r="B8" s="72"/>
      <c r="C8" s="72"/>
      <c r="D8" s="72"/>
      <c r="E8" s="103">
        <v>0.0293</v>
      </c>
      <c r="F8" s="70" t="s">
        <v>154</v>
      </c>
    </row>
    <row r="9" spans="1:7" ht="15">
      <c r="A9" s="72" t="s">
        <v>155</v>
      </c>
      <c r="B9" s="72"/>
      <c r="C9" s="72"/>
      <c r="D9" s="72"/>
      <c r="E9" s="104">
        <v>0.081</v>
      </c>
      <c r="F9" s="70">
        <v>7.16</v>
      </c>
      <c r="G9" s="70" t="s">
        <v>156</v>
      </c>
    </row>
    <row r="11" spans="3:7" ht="15">
      <c r="C11" s="72" t="s">
        <v>157</v>
      </c>
      <c r="D11" s="105">
        <f>E5+E7*(E8-E5)+E9</f>
        <v>0.115702</v>
      </c>
      <c r="G11" s="70" t="s">
        <v>158</v>
      </c>
    </row>
    <row r="12" spans="4:5" ht="15">
      <c r="D12" s="72" t="s">
        <v>159</v>
      </c>
      <c r="E12" s="103">
        <f>(E8-12%)/100</f>
        <v>-0.000907</v>
      </c>
    </row>
    <row r="13" ht="15"/>
    <row r="14" ht="15"/>
    <row r="15" ht="15"/>
    <row r="16" ht="15"/>
    <row r="17" ht="15"/>
    <row r="18" ht="15"/>
    <row r="19" spans="11:12" ht="15">
      <c r="K19" s="70">
        <v>55.01</v>
      </c>
      <c r="L19" s="70">
        <v>52.88</v>
      </c>
    </row>
    <row r="20" ht="15">
      <c r="K20" s="70">
        <f>(L19-K19)/(L19)</f>
        <v>-0.04027987897125559</v>
      </c>
    </row>
    <row r="21" ht="15">
      <c r="K21" s="70">
        <v>2010</v>
      </c>
    </row>
    <row r="22" ht="15">
      <c r="K22" s="70">
        <v>53.43</v>
      </c>
    </row>
    <row r="23" ht="15"/>
    <row r="24" ht="15"/>
    <row r="25" spans="2:5" ht="15">
      <c r="B25" s="70" t="s">
        <v>160</v>
      </c>
      <c r="E25" s="70" t="s">
        <v>161</v>
      </c>
    </row>
    <row r="27" ht="15.75">
      <c r="A27" s="106" t="s">
        <v>179</v>
      </c>
    </row>
    <row r="28" ht="15.75">
      <c r="A28" s="107" t="s">
        <v>162</v>
      </c>
    </row>
    <row r="29" ht="15.75">
      <c r="A29" s="107" t="s">
        <v>163</v>
      </c>
    </row>
    <row r="30" ht="15.75">
      <c r="A30" s="107" t="s">
        <v>164</v>
      </c>
    </row>
    <row r="31" ht="15.75">
      <c r="A31" s="107" t="s">
        <v>165</v>
      </c>
    </row>
    <row r="32" ht="15.75">
      <c r="A32" s="107" t="s">
        <v>166</v>
      </c>
    </row>
    <row r="34" ht="15.75" thickBot="1"/>
    <row r="35" spans="2:8" ht="15.75" thickBot="1">
      <c r="B35" s="345" t="s">
        <v>167</v>
      </c>
      <c r="C35" s="346"/>
      <c r="D35" s="108">
        <v>0.0438</v>
      </c>
      <c r="G35" s="109" t="s">
        <v>168</v>
      </c>
      <c r="H35" s="110"/>
    </row>
    <row r="36" spans="2:8" ht="15">
      <c r="B36" s="347" t="s">
        <v>169</v>
      </c>
      <c r="C36" s="348"/>
      <c r="D36" s="111">
        <v>0.134</v>
      </c>
      <c r="G36" s="112" t="s">
        <v>170</v>
      </c>
      <c r="H36" s="108">
        <f>D35</f>
        <v>0.0438</v>
      </c>
    </row>
    <row r="37" spans="2:8" ht="15">
      <c r="B37" s="347" t="s">
        <v>171</v>
      </c>
      <c r="C37" s="348"/>
      <c r="D37" s="113">
        <v>1.275</v>
      </c>
      <c r="G37" s="114" t="s">
        <v>172</v>
      </c>
      <c r="H37" s="111">
        <f>D36</f>
        <v>0.134</v>
      </c>
    </row>
    <row r="38" spans="2:8" ht="15.75" thickBot="1">
      <c r="B38" s="349" t="s">
        <v>173</v>
      </c>
      <c r="C38" s="350"/>
      <c r="D38" s="115">
        <v>0.0716</v>
      </c>
      <c r="G38" s="114" t="s">
        <v>174</v>
      </c>
      <c r="H38" s="113">
        <f>D37</f>
        <v>1.275</v>
      </c>
    </row>
    <row r="39" spans="7:8" ht="15.75" thickBot="1">
      <c r="G39" s="116" t="s">
        <v>175</v>
      </c>
      <c r="H39" s="115">
        <v>0.081</v>
      </c>
    </row>
    <row r="41" spans="2:8" ht="15">
      <c r="B41" s="117" t="s">
        <v>176</v>
      </c>
      <c r="G41" s="70" t="s">
        <v>177</v>
      </c>
      <c r="H41" s="118">
        <f>H36+H38*(H37-H36)+H39</f>
        <v>0.239805</v>
      </c>
    </row>
    <row r="42" ht="15">
      <c r="B42" s="70" t="s">
        <v>178</v>
      </c>
    </row>
  </sheetData>
  <sheetProtection/>
  <mergeCells count="4">
    <mergeCell ref="B35:C35"/>
    <mergeCell ref="B36:C36"/>
    <mergeCell ref="B37:C37"/>
    <mergeCell ref="B38:C38"/>
  </mergeCells>
  <hyperlinks>
    <hyperlink ref="A1" r:id="rId1" display="http://html.rincondelvago.com/clasificacion-de-cuentas-contables.html"/>
  </hyperlinks>
  <printOptions/>
  <pageMargins left="0.7" right="0.7" top="0.75" bottom="0.75" header="0.3" footer="0.3"/>
  <pageSetup orientation="portrait" paperSize="9"/>
  <drawing r:id="rId2"/>
</worksheet>
</file>

<file path=xl/worksheets/sheet8.xml><?xml version="1.0" encoding="utf-8"?>
<worksheet xmlns="http://schemas.openxmlformats.org/spreadsheetml/2006/main" xmlns:r="http://schemas.openxmlformats.org/officeDocument/2006/relationships">
  <dimension ref="A2:J53"/>
  <sheetViews>
    <sheetView zoomScalePageLayoutView="0" workbookViewId="0" topLeftCell="A1">
      <selection activeCell="B22" sqref="B22"/>
    </sheetView>
  </sheetViews>
  <sheetFormatPr defaultColWidth="11.421875" defaultRowHeight="12.75"/>
  <cols>
    <col min="1" max="1" width="38.28125" style="70" customWidth="1"/>
    <col min="2" max="2" width="16.7109375" style="70" customWidth="1"/>
    <col min="3" max="3" width="4.7109375" style="70" customWidth="1"/>
    <col min="4" max="6" width="11.421875" style="70" customWidth="1"/>
    <col min="7" max="7" width="10.57421875" style="70" customWidth="1"/>
    <col min="8" max="8" width="26.7109375" style="70" customWidth="1"/>
    <col min="9" max="9" width="14.7109375" style="70" bestFit="1" customWidth="1"/>
    <col min="10" max="13" width="8.7109375" style="70" customWidth="1"/>
    <col min="14" max="14" width="9.140625" style="70" customWidth="1"/>
    <col min="15" max="15" width="8.421875" style="70" customWidth="1"/>
    <col min="16" max="16384" width="11.421875" style="70" customWidth="1"/>
  </cols>
  <sheetData>
    <row r="2" spans="1:4" ht="15">
      <c r="A2" s="69" t="s">
        <v>113</v>
      </c>
      <c r="D2" s="69" t="s">
        <v>114</v>
      </c>
    </row>
    <row r="3" spans="1:2" ht="15">
      <c r="A3" s="70" t="s">
        <v>115</v>
      </c>
      <c r="B3" s="71">
        <v>0.94</v>
      </c>
    </row>
    <row r="4" spans="1:7" ht="15">
      <c r="A4" s="70" t="s">
        <v>116</v>
      </c>
      <c r="B4" s="71">
        <v>3328534</v>
      </c>
      <c r="D4" s="72" t="s">
        <v>117</v>
      </c>
      <c r="E4" s="72" t="s">
        <v>118</v>
      </c>
      <c r="F4" s="72"/>
      <c r="G4" s="72" t="s">
        <v>119</v>
      </c>
    </row>
    <row r="5" spans="1:7" ht="15">
      <c r="A5" s="70" t="s">
        <v>120</v>
      </c>
      <c r="B5" s="71">
        <f>6.4%*B4</f>
        <v>213026.176</v>
      </c>
      <c r="D5" s="73">
        <v>330</v>
      </c>
      <c r="E5" s="74">
        <v>187.5</v>
      </c>
      <c r="F5" s="70">
        <f>E5/$E$8</f>
        <v>0.625</v>
      </c>
      <c r="G5" s="73">
        <f>F5*D5</f>
        <v>206.25</v>
      </c>
    </row>
    <row r="6" spans="1:7" ht="15">
      <c r="A6" s="70" t="s">
        <v>121</v>
      </c>
      <c r="B6" s="71">
        <f>B5/4.5</f>
        <v>47339.150222222226</v>
      </c>
      <c r="D6" s="73">
        <v>640</v>
      </c>
      <c r="E6" s="70">
        <v>75</v>
      </c>
      <c r="F6" s="70">
        <f>E6/$E$8</f>
        <v>0.25</v>
      </c>
      <c r="G6" s="73">
        <f>F6*D6</f>
        <v>160</v>
      </c>
    </row>
    <row r="7" spans="1:7" ht="15">
      <c r="A7" s="70" t="s">
        <v>122</v>
      </c>
      <c r="B7" s="71">
        <v>0.06</v>
      </c>
      <c r="D7" s="73">
        <v>800</v>
      </c>
      <c r="E7" s="74">
        <v>37.5</v>
      </c>
      <c r="F7" s="70">
        <f>E7/$E$8</f>
        <v>0.125</v>
      </c>
      <c r="G7" s="73">
        <f>F7*D7</f>
        <v>100</v>
      </c>
    </row>
    <row r="8" spans="1:7" ht="15">
      <c r="A8" s="70" t="s">
        <v>123</v>
      </c>
      <c r="B8" s="71">
        <f>B7*B6</f>
        <v>2840.3490133333335</v>
      </c>
      <c r="E8" s="72">
        <f>SUM(E5:E7)</f>
        <v>300</v>
      </c>
      <c r="G8" s="75">
        <f>SUM(G5:G7)</f>
        <v>466.25</v>
      </c>
    </row>
    <row r="9" spans="7:8" ht="15">
      <c r="G9" s="70">
        <f>((466.25*3.4)/100)+0.35</f>
        <v>16.2025</v>
      </c>
      <c r="H9" s="70" t="s">
        <v>124</v>
      </c>
    </row>
    <row r="10" spans="6:7" ht="15">
      <c r="F10" s="73">
        <f>G8+G9</f>
        <v>482.4525</v>
      </c>
      <c r="G10" s="76"/>
    </row>
    <row r="11" spans="1:5" ht="15">
      <c r="A11" s="77" t="s">
        <v>125</v>
      </c>
      <c r="B11" s="72" t="s">
        <v>126</v>
      </c>
      <c r="E11" s="70" t="s">
        <v>127</v>
      </c>
    </row>
    <row r="12" spans="1:5" ht="15">
      <c r="A12" s="72" t="s">
        <v>125</v>
      </c>
      <c r="B12" s="78">
        <f>B8</f>
        <v>2840.3490133333335</v>
      </c>
      <c r="E12" s="79">
        <f>B12</f>
        <v>2840.3490133333335</v>
      </c>
    </row>
    <row r="13" spans="1:9" ht="15">
      <c r="A13" s="70" t="s">
        <v>128</v>
      </c>
      <c r="B13" s="80">
        <v>0.01</v>
      </c>
      <c r="E13" s="80">
        <f>B13</f>
        <v>0.01</v>
      </c>
      <c r="H13" s="81"/>
      <c r="I13" s="71"/>
    </row>
    <row r="14" spans="1:5" ht="15">
      <c r="A14" s="70" t="s">
        <v>129</v>
      </c>
      <c r="B14" s="74">
        <f>B12*B13</f>
        <v>28.403490133333335</v>
      </c>
      <c r="E14" s="74">
        <f>B14</f>
        <v>28.403490133333335</v>
      </c>
    </row>
    <row r="15" spans="1:8" ht="15" customHeight="1">
      <c r="A15" s="70" t="s">
        <v>130</v>
      </c>
      <c r="B15" s="82">
        <f>$F$10</f>
        <v>482.4525</v>
      </c>
      <c r="E15" s="73">
        <f>G8</f>
        <v>466.25</v>
      </c>
      <c r="H15" s="81"/>
    </row>
    <row r="16" spans="1:7" ht="15">
      <c r="A16" s="70" t="s">
        <v>112</v>
      </c>
      <c r="B16" s="83">
        <f>B14*B15</f>
        <v>13703.334823552</v>
      </c>
      <c r="E16" s="70">
        <f>E14*E15</f>
        <v>13243.127274666667</v>
      </c>
      <c r="G16" s="83">
        <f>B16-E16</f>
        <v>460.2075488853334</v>
      </c>
    </row>
    <row r="17" spans="1:7" ht="15">
      <c r="A17" s="70" t="s">
        <v>131</v>
      </c>
      <c r="B17" s="83">
        <f>B16*12</f>
        <v>164440.017882624</v>
      </c>
      <c r="E17" s="70">
        <f>E16*12</f>
        <v>158917.52729600001</v>
      </c>
      <c r="G17" s="83">
        <f>B17-E17</f>
        <v>5522.490586623986</v>
      </c>
    </row>
    <row r="18" spans="1:2" ht="15">
      <c r="A18" s="70" t="s">
        <v>132</v>
      </c>
      <c r="B18" s="84">
        <v>0.02</v>
      </c>
    </row>
    <row r="19" ht="15">
      <c r="E19" s="70" t="s">
        <v>133</v>
      </c>
    </row>
    <row r="21" ht="15">
      <c r="B21" s="70">
        <f>(1+B18)^(1/12)-1</f>
        <v>0.0016515813019202241</v>
      </c>
    </row>
    <row r="26" ht="15">
      <c r="F26" s="70">
        <v>8</v>
      </c>
    </row>
    <row r="27" spans="1:2" ht="15">
      <c r="A27" s="85">
        <v>300</v>
      </c>
      <c r="B27" s="86">
        <v>300</v>
      </c>
    </row>
    <row r="28" spans="1:7" ht="15">
      <c r="A28" s="85">
        <v>600</v>
      </c>
      <c r="B28" s="87">
        <v>600</v>
      </c>
      <c r="D28" s="70">
        <v>5</v>
      </c>
      <c r="G28" s="70">
        <f>D28/F26</f>
        <v>0.625</v>
      </c>
    </row>
    <row r="29" spans="1:2" ht="15">
      <c r="A29" s="85">
        <v>300</v>
      </c>
      <c r="B29" s="86">
        <v>300</v>
      </c>
    </row>
    <row r="30" spans="1:10" ht="15">
      <c r="A30" s="85">
        <v>500</v>
      </c>
      <c r="D30" s="70">
        <f>MODE(B27:B45)</f>
        <v>300</v>
      </c>
      <c r="E30" s="88">
        <v>250</v>
      </c>
      <c r="F30" s="88">
        <v>320</v>
      </c>
      <c r="G30" s="88">
        <v>350</v>
      </c>
      <c r="H30" s="88">
        <v>350</v>
      </c>
      <c r="I30" s="73">
        <v>400</v>
      </c>
      <c r="J30" s="89">
        <f>SUM(D30:I30)/6</f>
        <v>328.3333333333333</v>
      </c>
    </row>
    <row r="31" spans="1:2" ht="15">
      <c r="A31" s="90">
        <v>300</v>
      </c>
      <c r="B31" s="86">
        <v>300</v>
      </c>
    </row>
    <row r="32" spans="1:7" ht="15">
      <c r="A32" s="90">
        <v>150</v>
      </c>
      <c r="C32" s="88">
        <v>150</v>
      </c>
      <c r="D32" s="70">
        <v>2</v>
      </c>
      <c r="G32" s="70">
        <f>D32/F26</f>
        <v>0.25</v>
      </c>
    </row>
    <row r="33" spans="1:7" ht="15">
      <c r="A33" s="90">
        <v>320</v>
      </c>
      <c r="D33" s="70">
        <f>MODE(B28,E33,C32,F30,C34,G30,F33,B38,E30,C41,C43,H30,B44,I30)</f>
        <v>600</v>
      </c>
      <c r="E33" s="88">
        <v>500</v>
      </c>
      <c r="F33" s="88">
        <v>800</v>
      </c>
      <c r="G33" s="89">
        <f>(D33+E33+F33)/3</f>
        <v>633.3333333333334</v>
      </c>
    </row>
    <row r="34" spans="1:3" ht="15">
      <c r="A34" s="85">
        <v>150</v>
      </c>
      <c r="C34" s="88">
        <v>150</v>
      </c>
    </row>
    <row r="35" ht="15">
      <c r="A35" s="85">
        <v>350</v>
      </c>
    </row>
    <row r="36" spans="1:7" ht="15">
      <c r="A36" s="90">
        <v>300</v>
      </c>
      <c r="B36" s="86">
        <v>300</v>
      </c>
      <c r="D36" s="70">
        <v>1</v>
      </c>
      <c r="G36" s="70">
        <f>D36/F26</f>
        <v>0.125</v>
      </c>
    </row>
    <row r="37" ht="15">
      <c r="A37" s="85">
        <v>800</v>
      </c>
    </row>
    <row r="38" spans="1:2" ht="15">
      <c r="A38" s="91" t="s">
        <v>134</v>
      </c>
      <c r="B38" s="73">
        <f>AVERAGE(1200+1500)/2</f>
        <v>1350</v>
      </c>
    </row>
    <row r="39" spans="1:6" ht="15">
      <c r="A39" s="90">
        <v>250</v>
      </c>
      <c r="F39" s="73">
        <f>B38-G33</f>
        <v>716.6666666666666</v>
      </c>
    </row>
    <row r="40" spans="1:2" ht="15">
      <c r="A40" s="90">
        <v>300</v>
      </c>
      <c r="B40" s="86">
        <v>300</v>
      </c>
    </row>
    <row r="41" spans="1:3" ht="15">
      <c r="A41" s="85">
        <v>200</v>
      </c>
      <c r="C41" s="88">
        <v>200</v>
      </c>
    </row>
    <row r="42" ht="15">
      <c r="A42" s="85">
        <v>350</v>
      </c>
    </row>
    <row r="43" spans="1:3" ht="15">
      <c r="A43" s="70">
        <v>200</v>
      </c>
      <c r="C43" s="73">
        <v>200</v>
      </c>
    </row>
    <row r="44" spans="1:2" ht="15">
      <c r="A44" s="70">
        <v>600</v>
      </c>
      <c r="B44" s="92">
        <v>600</v>
      </c>
    </row>
    <row r="45" spans="1:9" ht="33">
      <c r="A45" s="70">
        <v>400</v>
      </c>
      <c r="F45" s="351" t="s">
        <v>135</v>
      </c>
      <c r="G45" s="93" t="s">
        <v>136</v>
      </c>
      <c r="H45" s="351" t="s">
        <v>137</v>
      </c>
      <c r="I45" s="353" t="s">
        <v>138</v>
      </c>
    </row>
    <row r="46" spans="6:9" ht="66">
      <c r="F46" s="352"/>
      <c r="G46" s="94" t="s">
        <v>139</v>
      </c>
      <c r="H46" s="352"/>
      <c r="I46" s="354"/>
    </row>
    <row r="47" spans="6:9" ht="33">
      <c r="F47" s="95" t="s">
        <v>140</v>
      </c>
      <c r="G47" s="96">
        <v>30.262</v>
      </c>
      <c r="H47" s="96">
        <v>7.233</v>
      </c>
      <c r="I47" s="97">
        <v>0.24</v>
      </c>
    </row>
    <row r="48" spans="6:9" ht="16.5">
      <c r="F48" s="95" t="s">
        <v>141</v>
      </c>
      <c r="G48" s="96">
        <v>141.843</v>
      </c>
      <c r="H48" s="96">
        <v>15.849</v>
      </c>
      <c r="I48" s="97">
        <v>0.11</v>
      </c>
    </row>
    <row r="49" spans="6:9" ht="16.5">
      <c r="F49" s="95" t="s">
        <v>142</v>
      </c>
      <c r="G49" s="96">
        <v>12.353</v>
      </c>
      <c r="H49" s="96">
        <v>5.593</v>
      </c>
      <c r="I49" s="97">
        <v>0.45</v>
      </c>
    </row>
    <row r="50" spans="6:9" ht="33">
      <c r="F50" s="95" t="s">
        <v>143</v>
      </c>
      <c r="G50" s="96">
        <v>31.144</v>
      </c>
      <c r="H50" s="96">
        <v>2.708</v>
      </c>
      <c r="I50" s="97">
        <v>0.09</v>
      </c>
    </row>
    <row r="51" spans="6:9" ht="16.5">
      <c r="F51" s="95" t="s">
        <v>144</v>
      </c>
      <c r="G51" s="96">
        <v>75.993</v>
      </c>
      <c r="H51" s="96">
        <v>10.731</v>
      </c>
      <c r="I51" s="97">
        <v>0.14</v>
      </c>
    </row>
    <row r="52" spans="6:9" ht="33">
      <c r="F52" s="95" t="s">
        <v>145</v>
      </c>
      <c r="G52" s="96">
        <v>3.118</v>
      </c>
      <c r="H52" s="96">
        <v>809</v>
      </c>
      <c r="I52" s="97">
        <v>0.26</v>
      </c>
    </row>
    <row r="53" spans="6:9" ht="49.5">
      <c r="F53" s="98" t="s">
        <v>146</v>
      </c>
      <c r="G53" s="99">
        <v>407.424</v>
      </c>
      <c r="H53" s="99">
        <v>53.664</v>
      </c>
      <c r="I53" s="100">
        <v>0.13</v>
      </c>
    </row>
  </sheetData>
  <sheetProtection/>
  <mergeCells count="3">
    <mergeCell ref="F45:F46"/>
    <mergeCell ref="H45:H46"/>
    <mergeCell ref="I45:I46"/>
  </mergeCells>
  <printOptions/>
  <pageMargins left="0.7" right="0.7" top="0.75" bottom="0.75" header="0.3" footer="0.3"/>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B2:C7"/>
  <sheetViews>
    <sheetView zoomScalePageLayoutView="0" workbookViewId="0" topLeftCell="A1">
      <selection activeCell="C6" sqref="C6"/>
    </sheetView>
  </sheetViews>
  <sheetFormatPr defaultColWidth="11.421875" defaultRowHeight="12.75"/>
  <cols>
    <col min="2" max="2" width="22.57421875" style="0" customWidth="1"/>
    <col min="3" max="3" width="14.140625" style="0" customWidth="1"/>
  </cols>
  <sheetData>
    <row r="1" ht="13.5" thickBot="1"/>
    <row r="2" spans="2:3" ht="12.75">
      <c r="B2" s="214" t="s">
        <v>4</v>
      </c>
      <c r="C2" s="249" t="s">
        <v>5</v>
      </c>
    </row>
    <row r="3" spans="2:3" ht="12.75">
      <c r="B3" s="210" t="s">
        <v>1</v>
      </c>
      <c r="C3" s="215">
        <v>1</v>
      </c>
    </row>
    <row r="4" spans="2:3" ht="12.75">
      <c r="B4" s="210" t="s">
        <v>0</v>
      </c>
      <c r="C4" s="215">
        <v>1</v>
      </c>
    </row>
    <row r="5" spans="2:3" ht="12.75">
      <c r="B5" s="210" t="s">
        <v>2</v>
      </c>
      <c r="C5" s="215">
        <v>2</v>
      </c>
    </row>
    <row r="6" spans="2:3" ht="12.75">
      <c r="B6" s="210" t="s">
        <v>3</v>
      </c>
      <c r="C6" s="215">
        <v>1</v>
      </c>
    </row>
    <row r="7" spans="2:3" ht="13.5" thickBot="1">
      <c r="B7" s="221" t="s">
        <v>6</v>
      </c>
      <c r="C7" s="248">
        <f>SUM(C3:C6)</f>
        <v>5</v>
      </c>
    </row>
  </sheetData>
  <sheetProtection/>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Banco del Pacifico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Bco. del Pacifico</dc:creator>
  <cp:keywords/>
  <dc:description/>
  <cp:lastModifiedBy>sistemas</cp:lastModifiedBy>
  <dcterms:created xsi:type="dcterms:W3CDTF">2010-02-27T05:07:48Z</dcterms:created>
  <dcterms:modified xsi:type="dcterms:W3CDTF">2010-05-03T21:44:33Z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