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6855" tabRatio="926" firstSheet="8" activeTab="14"/>
  </bookViews>
  <sheets>
    <sheet name="Inv. total" sheetId="1" r:id="rId1"/>
    <sheet name="Inv. Act. Fijo" sheetId="2" r:id="rId2"/>
    <sheet name="Demanda y part mercado" sheetId="3" r:id="rId3"/>
    <sheet name="Ingresos" sheetId="4" r:id="rId4"/>
    <sheet name="Gastos" sheetId="5" r:id="rId5"/>
    <sheet name="Capital de Trabajo" sheetId="6" r:id="rId6"/>
    <sheet name="Depreciaciones" sheetId="7" r:id="rId7"/>
    <sheet name="Amortizaciones" sheetId="8" r:id="rId8"/>
    <sheet name="Estado de Resultado" sheetId="9" r:id="rId9"/>
    <sheet name="FC Accionistas" sheetId="10" r:id="rId10"/>
    <sheet name="FC Proyecto" sheetId="11" r:id="rId11"/>
    <sheet name="TMAR" sheetId="12" r:id="rId12"/>
    <sheet name="PayBack" sheetId="13" r:id="rId13"/>
    <sheet name="Calendario de Inversiones" sheetId="14" r:id="rId14"/>
    <sheet name="Punto de equilibrio" sheetId="15" r:id="rId15"/>
    <sheet name="Escenarios de Sensibilidad" sheetId="16" r:id="rId16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"YX66GHIGSQ5B9PKV2G5DJ6GV"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5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fullCalcOnLoad="1"/>
</workbook>
</file>

<file path=xl/comments12.xml><?xml version="1.0" encoding="utf-8"?>
<comments xmlns="http://schemas.openxmlformats.org/spreadsheetml/2006/main">
  <authors>
    <author>Owner</author>
    <author>Usuario</author>
  </authors>
  <commentList>
    <comment ref="F5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Referencia de un negocio similara al nuestro, sacado de una tesis similar
</t>
        </r>
      </text>
    </comment>
    <comment ref="F6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Tasa rent. Mercado hotelero según bce
</t>
        </r>
      </text>
    </comment>
    <comment ref="F3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Tasa libre de riesgo</t>
        </r>
      </text>
    </comment>
    <comment ref="C13" authorId="1">
      <text>
        <r>
          <rPr>
            <b/>
            <sz val="8"/>
            <rFont val="Tahoma"/>
            <family val="2"/>
          </rPr>
          <t>Usuario:</t>
        </r>
        <r>
          <rPr>
            <sz val="8"/>
            <rFont val="Tahoma"/>
            <family val="2"/>
          </rPr>
          <t xml:space="preserve">
Rentabiliada q exigen los accionistas</t>
        </r>
      </text>
    </comment>
  </commentList>
</comments>
</file>

<file path=xl/comments3.xml><?xml version="1.0" encoding="utf-8"?>
<comments xmlns="http://schemas.openxmlformats.org/spreadsheetml/2006/main">
  <authors>
    <author>Owner</author>
  </authors>
  <commentList>
    <comment ref="M20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Cantidad de personas que entran en el hostal</t>
        </r>
      </text>
    </comment>
    <comment ref="C12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216 persona hospedan en hostale
</t>
        </r>
      </text>
    </comment>
    <comment ref="L16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Cnt. De personas q entran en una habitacion</t>
        </r>
      </text>
    </comment>
  </commentList>
</comments>
</file>

<file path=xl/comments7.xml><?xml version="1.0" encoding="utf-8"?>
<comments xmlns="http://schemas.openxmlformats.org/spreadsheetml/2006/main">
  <authors>
    <author>LUIS VASQUEZ</author>
  </authors>
  <commentList>
    <comment ref="G2" authorId="0">
      <text>
        <r>
          <rPr>
            <sz val="8"/>
            <rFont val="Tahoma"/>
            <family val="2"/>
          </rPr>
          <t xml:space="preserve">
Al Momento de la Culminación del Proyecto</t>
        </r>
      </text>
    </comment>
    <comment ref="H2" authorId="0">
      <text>
        <r>
          <rPr>
            <sz val="8"/>
            <rFont val="Tahoma"/>
            <family val="2"/>
          </rPr>
          <t xml:space="preserve">
Al Momento de Culminación del Proyecto</t>
        </r>
      </text>
    </comment>
  </commentList>
</comments>
</file>

<file path=xl/sharedStrings.xml><?xml version="1.0" encoding="utf-8"?>
<sst xmlns="http://schemas.openxmlformats.org/spreadsheetml/2006/main" count="437" uniqueCount="298">
  <si>
    <t>INVERSION DE ACTIVOS FIJOS</t>
  </si>
  <si>
    <t>DESCRIPCION</t>
  </si>
  <si>
    <t>CANTIDAD</t>
  </si>
  <si>
    <t>VALOR UNIT.</t>
  </si>
  <si>
    <t>VALOR TOTAL</t>
  </si>
  <si>
    <t>EQUIPO DE OFICINA</t>
  </si>
  <si>
    <t>Telefonos</t>
  </si>
  <si>
    <t>Aires Acondicionados</t>
  </si>
  <si>
    <t>EQUIPOS DE COMPUTACION</t>
  </si>
  <si>
    <t>Computadora</t>
  </si>
  <si>
    <t>Fax</t>
  </si>
  <si>
    <t>MUEBLES Y ENSERES</t>
  </si>
  <si>
    <t>Impresora</t>
  </si>
  <si>
    <t>Escritorio</t>
  </si>
  <si>
    <t>Sillas de oficina</t>
  </si>
  <si>
    <t>Extintores</t>
  </si>
  <si>
    <t>Camas de 2 plazas</t>
  </si>
  <si>
    <t>Literas</t>
  </si>
  <si>
    <t>Camas sencillas plaza 1 1/2</t>
  </si>
  <si>
    <t>Veladores</t>
  </si>
  <si>
    <t>Varillas para closet</t>
  </si>
  <si>
    <t xml:space="preserve">Lavamanos </t>
  </si>
  <si>
    <t>Sanitarios</t>
  </si>
  <si>
    <t>Duchas</t>
  </si>
  <si>
    <t>Casilleros</t>
  </si>
  <si>
    <t>Varillas para baño</t>
  </si>
  <si>
    <t>Juegos de accesorios para baño</t>
  </si>
  <si>
    <t>Espejos</t>
  </si>
  <si>
    <t>Cortinas de baño</t>
  </si>
  <si>
    <t>Alfombras</t>
  </si>
  <si>
    <t>Cortinas de dormitorio</t>
  </si>
  <si>
    <t>Televisores</t>
  </si>
  <si>
    <t>Lamparas de techo</t>
  </si>
  <si>
    <t>Lamparas de pared</t>
  </si>
  <si>
    <t>Descripcion</t>
  </si>
  <si>
    <t>Ingresos</t>
  </si>
  <si>
    <t>Utilidad antes de impuestos</t>
  </si>
  <si>
    <t>VAN</t>
  </si>
  <si>
    <t>TIR</t>
  </si>
  <si>
    <t>Detalle</t>
  </si>
  <si>
    <t>SUELDOS</t>
  </si>
  <si>
    <t>SUMINISTROS DE OFICINA</t>
  </si>
  <si>
    <t>OTROS GASTOS</t>
  </si>
  <si>
    <t>Aspiradoras</t>
  </si>
  <si>
    <t>Administrador</t>
  </si>
  <si>
    <t>Jefe Financiero</t>
  </si>
  <si>
    <t>Jefe de Marketing</t>
  </si>
  <si>
    <t>Jefe de Logistica</t>
  </si>
  <si>
    <t>Conserje</t>
  </si>
  <si>
    <t>Agua</t>
  </si>
  <si>
    <t>Luz electrica</t>
  </si>
  <si>
    <t>Perforadoras</t>
  </si>
  <si>
    <t>Sacagrapas</t>
  </si>
  <si>
    <t>Cajas de grapas</t>
  </si>
  <si>
    <t>Facturas</t>
  </si>
  <si>
    <t>Papel carbon</t>
  </si>
  <si>
    <t>Papel Higenico</t>
  </si>
  <si>
    <t>Desinfectante</t>
  </si>
  <si>
    <t>Cloro</t>
  </si>
  <si>
    <t>Escobas</t>
  </si>
  <si>
    <t>Trapeadores</t>
  </si>
  <si>
    <t>Fundas de basura</t>
  </si>
  <si>
    <t>TOTAL EQ.DE OFICINA</t>
  </si>
  <si>
    <t>TOTAL EQ.DE COMP</t>
  </si>
  <si>
    <t>TOTAL MUEBLES Y ENSERES</t>
  </si>
  <si>
    <t>TOTAL ACTIVOS FIJOS</t>
  </si>
  <si>
    <t>CUADRO DE INVERSIONES</t>
  </si>
  <si>
    <t>Terreno</t>
  </si>
  <si>
    <t>Ventiladores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</si>
  <si>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</si>
  <si>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</si>
  <si>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</si>
  <si>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</si>
  <si>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</si>
  <si>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</si>
  <si>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</si>
  <si>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</si>
  <si>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</si>
  <si>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</si>
  <si>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</si>
  <si>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</si>
  <si>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Mucama 1</t>
  </si>
  <si>
    <t>Mucama 2</t>
  </si>
  <si>
    <t>GASTOS DE PUBLICIDAD</t>
  </si>
  <si>
    <t>Internet -Pag web</t>
  </si>
  <si>
    <t>GASTOS SERVICIOS BASICOS</t>
  </si>
  <si>
    <t>TOTAL DE GASTOS</t>
  </si>
  <si>
    <t>vallas publicitarias</t>
  </si>
  <si>
    <t>ojos de buey</t>
  </si>
  <si>
    <t>Llaves de lavamanos - griferia</t>
  </si>
  <si>
    <t>Candados</t>
  </si>
  <si>
    <t>Key ID</t>
  </si>
  <si>
    <t>Puertas</t>
  </si>
  <si>
    <t>Cerradura de baño</t>
  </si>
  <si>
    <t>Armadores</t>
  </si>
  <si>
    <t>Aceite para antorcha</t>
  </si>
  <si>
    <t>Equipos de Oficina</t>
  </si>
  <si>
    <t>Equipos de Computacion</t>
  </si>
  <si>
    <t>Inversion</t>
  </si>
  <si>
    <t>Edificio</t>
  </si>
  <si>
    <t>Valor de Salvamento</t>
  </si>
  <si>
    <t>INGRESOS</t>
  </si>
  <si>
    <t>TOTAL DE INVERSIONES</t>
  </si>
  <si>
    <t>Muebles y enseres</t>
  </si>
  <si>
    <t>I. Inversión Fija</t>
  </si>
  <si>
    <t>Valor Toral</t>
  </si>
  <si>
    <t>Part (%)</t>
  </si>
  <si>
    <t>Subtotal</t>
  </si>
  <si>
    <t>Imprevistos (2%)</t>
  </si>
  <si>
    <t>II. Inversión Diferida</t>
  </si>
  <si>
    <t>Proyecto arquitectónico</t>
  </si>
  <si>
    <t xml:space="preserve">Gasto de puesta en marcha </t>
  </si>
  <si>
    <t>Gasto de Constitución  Super Cía</t>
  </si>
  <si>
    <t>Total inversión Diferida</t>
  </si>
  <si>
    <t>Total inversión fija</t>
  </si>
  <si>
    <t xml:space="preserve">IV. Financiamiento </t>
  </si>
  <si>
    <t>Capital Propio</t>
  </si>
  <si>
    <t xml:space="preserve">Crédito CFN </t>
  </si>
  <si>
    <t>Grupos de Turistas</t>
  </si>
  <si>
    <t>Familiares</t>
  </si>
  <si>
    <t xml:space="preserve">Matrimoniales </t>
  </si>
  <si>
    <t xml:space="preserve">Individual </t>
  </si>
  <si>
    <t>Amigos</t>
  </si>
  <si>
    <t>Encuesta</t>
  </si>
  <si>
    <t>Resultado</t>
  </si>
  <si>
    <t xml:space="preserve">Intención </t>
  </si>
  <si>
    <t>Usuarios Esperados</t>
  </si>
  <si>
    <t>Turistas que se hospedan en Hostales</t>
  </si>
  <si>
    <t>Demanda Esperada</t>
  </si>
  <si>
    <t>Capacidad</t>
  </si>
  <si>
    <t>(%)Demanda Esperada</t>
  </si>
  <si>
    <t>Participación de Mercado anual</t>
  </si>
  <si>
    <t xml:space="preserve">Santa Elena </t>
  </si>
  <si>
    <t>Extranjeros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</si>
  <si>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</si>
  <si>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</si>
  <si>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</si>
  <si>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</si>
  <si>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</si>
  <si>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</si>
  <si>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</si>
  <si>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</si>
  <si>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</si>
  <si>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</si>
  <si>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</si>
  <si>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</si>
  <si>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Estacionalidades y temporadas turísticas</t>
  </si>
  <si>
    <t>Principales Ciudades Nacionales</t>
  </si>
  <si>
    <t xml:space="preserve">Detergente </t>
  </si>
  <si>
    <t>Turistas que vistan anualmente  Olón</t>
  </si>
  <si>
    <t xml:space="preserve">Cálculo de la demanda y participación de mercado </t>
  </si>
  <si>
    <t xml:space="preserve">Método </t>
  </si>
  <si>
    <t xml:space="preserve">Tasas en cadenas </t>
  </si>
  <si>
    <t xml:space="preserve">total turistas que visitan anualmente Olón </t>
  </si>
  <si>
    <t xml:space="preserve">Alta </t>
  </si>
  <si>
    <t xml:space="preserve">Costa </t>
  </si>
  <si>
    <t>Baja</t>
  </si>
  <si>
    <t>Alta</t>
  </si>
  <si>
    <t>Sierra</t>
  </si>
  <si>
    <t xml:space="preserve">Baja </t>
  </si>
  <si>
    <t>Total Acumulado</t>
  </si>
  <si>
    <t>Participación de mercado</t>
  </si>
  <si>
    <t xml:space="preserve">Cantidad de clientes potenciales/Ocupación </t>
  </si>
  <si>
    <t>Precios por habitaciones</t>
  </si>
  <si>
    <t xml:space="preserve">Ocupación de habitaciones al mes </t>
  </si>
  <si>
    <t>Papel (resmas)</t>
  </si>
  <si>
    <t>Grapadoras(caja)</t>
  </si>
  <si>
    <t>Leitz 5</t>
  </si>
  <si>
    <t>BTL</t>
  </si>
  <si>
    <t>Telefono (2)</t>
  </si>
  <si>
    <t>Recogedores(2)</t>
  </si>
  <si>
    <t xml:space="preserve">Antorchas </t>
  </si>
  <si>
    <t>Lavandería</t>
  </si>
  <si>
    <t>Tachos de basura (15)</t>
  </si>
  <si>
    <t>Varios</t>
  </si>
  <si>
    <t>Eventos y Operativos</t>
  </si>
  <si>
    <t>TIPO</t>
  </si>
  <si>
    <t>Fijo</t>
  </si>
  <si>
    <t>Variables</t>
  </si>
  <si>
    <t>Total gastos fijos</t>
  </si>
  <si>
    <t>Total de gastos Variables</t>
  </si>
  <si>
    <t>GASTOS OPERATIVOS MENSUALES</t>
  </si>
  <si>
    <t>DÉFICIT ACUMULADO MÁXIMO</t>
  </si>
  <si>
    <t>Egresos</t>
  </si>
  <si>
    <t>Gatos Fijos</t>
  </si>
  <si>
    <t>Gastos Variables</t>
  </si>
  <si>
    <t>Saldo Mensual</t>
  </si>
  <si>
    <t>Saldo Acumulado</t>
  </si>
  <si>
    <t>Hostal Las Hamacas</t>
  </si>
  <si>
    <t xml:space="preserve">Estado de Resultado </t>
  </si>
  <si>
    <t>( + )</t>
  </si>
  <si>
    <t>( - )</t>
  </si>
  <si>
    <t>Fijos</t>
  </si>
  <si>
    <t xml:space="preserve">( - ) </t>
  </si>
  <si>
    <t>( = )</t>
  </si>
  <si>
    <t>Utilidad Operativa</t>
  </si>
  <si>
    <t>Utilidad antes Impuestos</t>
  </si>
  <si>
    <t>Participación Trabajadores</t>
  </si>
  <si>
    <t>Utilidad Participación Trabajadores</t>
  </si>
  <si>
    <t>IR</t>
  </si>
  <si>
    <t>Utilidad Neta</t>
  </si>
  <si>
    <t>Crecimiento anual</t>
  </si>
  <si>
    <t>Parámetros de Proyección</t>
  </si>
  <si>
    <t>Depreciaciones</t>
  </si>
  <si>
    <t>Horizonte de Planeación</t>
  </si>
  <si>
    <t>Años</t>
  </si>
  <si>
    <t>Descripción</t>
  </si>
  <si>
    <t>Valor Total $</t>
  </si>
  <si>
    <t>Vida Útil (Años)</t>
  </si>
  <si>
    <t>Depreciación Anual</t>
  </si>
  <si>
    <t>Años de Uso</t>
  </si>
  <si>
    <t>Depreciación Acumulada</t>
  </si>
  <si>
    <t>Valor Libros</t>
  </si>
  <si>
    <t>ACTIVOS FIJOS</t>
  </si>
  <si>
    <t>Equipos de Computación</t>
  </si>
  <si>
    <t>Muebles y Enseres</t>
  </si>
  <si>
    <t>Tasa Interés</t>
  </si>
  <si>
    <t>Período</t>
  </si>
  <si>
    <t>Pago</t>
  </si>
  <si>
    <t>Interés</t>
  </si>
  <si>
    <t>Capital</t>
  </si>
  <si>
    <t>Saldo</t>
  </si>
  <si>
    <t>Total Préstamo</t>
  </si>
  <si>
    <t>Préstamo Activo Fijo</t>
  </si>
  <si>
    <t>Préstamo Capital de Trabajo</t>
  </si>
  <si>
    <t>Financieros ( Pagos de Intereses)</t>
  </si>
  <si>
    <t>Año  1</t>
  </si>
  <si>
    <t>Cerradura de cuatro</t>
  </si>
  <si>
    <t>Aporte patronal</t>
  </si>
  <si>
    <t>Decimo Cuarto Sueldo</t>
  </si>
  <si>
    <t>Décimo Tercer Sueldo</t>
  </si>
  <si>
    <t>Fondo De Reserva</t>
  </si>
  <si>
    <t>Iece - Secap</t>
  </si>
  <si>
    <t>Vacaciones</t>
  </si>
  <si>
    <t>FLUJO DE CAJA</t>
  </si>
  <si>
    <t>HORIZONTE DE PLANEACIÓN</t>
  </si>
  <si>
    <t>Incremento de Gastos Fijos</t>
  </si>
  <si>
    <t>Inflación</t>
  </si>
  <si>
    <t>Amortizaciones</t>
  </si>
  <si>
    <t>Hamacas</t>
  </si>
  <si>
    <t>Impuesto a la Renta (25%)</t>
  </si>
  <si>
    <t>Participación trabajadores (15%)</t>
  </si>
  <si>
    <t>Utilidad neta</t>
  </si>
  <si>
    <t>Depreciaciones y Amortizaciones</t>
  </si>
  <si>
    <t>Inversión Inicial</t>
  </si>
  <si>
    <t>Capital de Trabajo</t>
  </si>
  <si>
    <t>Recuperación de capital de trabajo</t>
  </si>
  <si>
    <t>Amortización de deuda</t>
  </si>
  <si>
    <t>Prestamo</t>
  </si>
  <si>
    <t>Flujo neto del accionista</t>
  </si>
  <si>
    <t>Flujo neto del proyecto</t>
  </si>
  <si>
    <t>TMAR (CAPM)</t>
  </si>
  <si>
    <t>WACC</t>
  </si>
  <si>
    <t>PERIODO</t>
  </si>
  <si>
    <t>SALDO INVERSIÓN</t>
  </si>
  <si>
    <t>RENTABILIDAD EXIGIDA</t>
  </si>
  <si>
    <t>RECUPERACIÓN INVERSIÓN</t>
  </si>
  <si>
    <t>Re</t>
  </si>
  <si>
    <t>Rp</t>
  </si>
  <si>
    <t>Rd</t>
  </si>
  <si>
    <t>Rm</t>
  </si>
  <si>
    <t>Rf</t>
  </si>
  <si>
    <t>Beta</t>
  </si>
  <si>
    <t>L = (D/V)</t>
  </si>
  <si>
    <t>CCPP</t>
  </si>
  <si>
    <t>Tasa Ponderada</t>
  </si>
  <si>
    <t>AÑOS</t>
  </si>
  <si>
    <t>Total</t>
  </si>
  <si>
    <t>Riesgo Pais</t>
  </si>
  <si>
    <t>Re= (rf +B (rm-rf))+ riesgo país</t>
  </si>
  <si>
    <t>Re =</t>
  </si>
  <si>
    <t>L= (D/V)</t>
  </si>
  <si>
    <t>TMAR</t>
  </si>
  <si>
    <t>Pago de medidores</t>
  </si>
  <si>
    <t>III. Capital de Operacion</t>
  </si>
  <si>
    <t>Capital de trabajo</t>
  </si>
  <si>
    <t>    </t>
  </si>
  <si>
    <t>CF</t>
  </si>
  <si>
    <t>CVT</t>
  </si>
  <si>
    <t>VT</t>
  </si>
  <si>
    <t>PE =</t>
  </si>
  <si>
    <t>Escenarios</t>
  </si>
  <si>
    <t>Variación</t>
  </si>
  <si>
    <t>OPTIMISTAS</t>
  </si>
  <si>
    <t>NORMAL</t>
  </si>
  <si>
    <t>PESIMISTA</t>
  </si>
  <si>
    <t>-</t>
  </si>
  <si>
    <t xml:space="preserve">Incremento de la demanda </t>
  </si>
  <si>
    <t>Disminución de gastos</t>
  </si>
  <si>
    <t>Incremento de gastos</t>
  </si>
  <si>
    <t>Disminución de la demanda</t>
  </si>
  <si>
    <t>Peso</t>
  </si>
  <si>
    <t>Acumulado</t>
  </si>
  <si>
    <t>FLUJO DE CAJA ACCIONISTA</t>
  </si>
  <si>
    <t>CAPM</t>
  </si>
  <si>
    <t>B</t>
  </si>
  <si>
    <t>Factible</t>
  </si>
  <si>
    <t>No Factible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</si>
</sst>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_ ;\-0.00\ "/>
    <numFmt numFmtId="187" formatCode="[$$-300A]\ #,##0.00"/>
    <numFmt numFmtId="188" formatCode="0.0"/>
    <numFmt numFmtId="189" formatCode="_(* #,##0.0_);_(* \(#,##0.0\);_(* &quot;-&quot;??_);_(@_)"/>
    <numFmt numFmtId="190" formatCode="_(* #,##0_);_(* \(#,##0\);_(* &quot;-&quot;??_);_(@_)"/>
    <numFmt numFmtId="191" formatCode="0.0%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00%"/>
    <numFmt numFmtId="198" formatCode="_ * #,##0.0_ ;_ * \-#,##0.0_ ;_ * &quot;-&quot;?_ ;_ @_ "/>
    <numFmt numFmtId="199" formatCode="_ * #,##0.0_ ;_ * \-#,##0.0_ ;_ * &quot;-&quot;??_ ;_ @_ "/>
    <numFmt numFmtId="200" formatCode="_ * #,##0_ ;_ * \-#,##0_ ;_ * &quot;-&quot;??_ ;_ @_ "/>
    <numFmt numFmtId="201" formatCode="_ * #,##0.000_ ;_ * \-#,##0.000_ ;_ * &quot;-&quot;??_ ;_ @_ "/>
    <numFmt numFmtId="202" formatCode="_ * #,##0.0000_ ;_ * \-#,##0.0000_ ;_ * &quot;-&quot;??_ ;_ @_ "/>
    <numFmt numFmtId="203" formatCode="_ * #,##0.00000_ ;_ * \-#,##0.00000_ ;_ * &quot;-&quot;??_ ;_ @_ "/>
    <numFmt numFmtId="204" formatCode="0.0000000000000000%"/>
    <numFmt numFmtId="205" formatCode="0.000000000000000%"/>
    <numFmt numFmtId="206" formatCode="_(* #,##0.000_);_(* \(#,##0.000\);_(* &quot;-&quot;??_);_(@_)"/>
    <numFmt numFmtId="207" formatCode="_(* #,##0.0000_);_(* \(#,##0.0000\);_(* &quot;-&quot;??_);_(@_)"/>
    <numFmt numFmtId="208" formatCode="_(* #,##0.00000_);_(* \(#,##0.00000\);_(* &quot;-&quot;??_);_(@_)"/>
    <numFmt numFmtId="209" formatCode="_ * #,##0.000_ ;_ * \-#,##0.000_ ;_ * &quot;-&quot;???_ ;_ @_ "/>
    <numFmt numFmtId="210" formatCode="_ * #,##0.0000_ ;_ * \-#,##0.0000_ ;_ * &quot;-&quot;????_ ;_ @_ "/>
    <numFmt numFmtId="211" formatCode="_ * #,##0.00000_ ;_ * \-#,##0.00000_ ;_ * &quot;-&quot;?????_ ;_ @_ "/>
    <numFmt numFmtId="212" formatCode="0.0000000000%"/>
    <numFmt numFmtId="213" formatCode="_(* #,##0.000000_);_(* \(#,##0.000000\);_(* &quot;-&quot;??_);_(@_)"/>
    <numFmt numFmtId="214" formatCode="_(* #,##0.0000000_);_(* \(#,##0.0000000\);_(* &quot;-&quot;??_);_(@_)"/>
    <numFmt numFmtId="215" formatCode="_(* #,##0.00000000_);_(* \(#,##0.00000000\);_(* &quot;-&quot;??_);_(@_)"/>
    <numFmt numFmtId="216" formatCode="_(* #,##0.000000000_);_(* \(#,##0.000000000\);_(* &quot;-&quot;??_);_(@_)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22"/>
      <name val="Calibri"/>
      <family val="2"/>
    </font>
    <font>
      <b/>
      <i/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31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0"/>
      <name val="Trebuchet MS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8"/>
      <name val="Verdan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99"/>
      <name val="Verdana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5" fillId="35" borderId="11" xfId="0" applyFont="1" applyFill="1" applyBorder="1" applyAlignment="1">
      <alignment/>
    </xf>
    <xf numFmtId="0" fontId="5" fillId="35" borderId="0" xfId="0" applyFont="1" applyFill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90" fontId="0" fillId="0" borderId="0" xfId="48" applyNumberFormat="1" applyFont="1" applyAlignment="1">
      <alignment/>
    </xf>
    <xf numFmtId="19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9" fontId="0" fillId="0" borderId="0" xfId="55" applyFont="1" applyAlignment="1">
      <alignment/>
    </xf>
    <xf numFmtId="191" fontId="0" fillId="0" borderId="0" xfId="55" applyNumberFormat="1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85" fontId="0" fillId="0" borderId="0" xfId="0" applyNumberFormat="1" applyAlignment="1">
      <alignment/>
    </xf>
    <xf numFmtId="200" fontId="0" fillId="0" borderId="0" xfId="0" applyNumberFormat="1" applyAlignment="1">
      <alignment/>
    </xf>
    <xf numFmtId="190" fontId="0" fillId="0" borderId="0" xfId="48" applyNumberFormat="1" applyFont="1" applyAlignment="1">
      <alignment/>
    </xf>
    <xf numFmtId="191" fontId="0" fillId="0" borderId="0" xfId="0" applyNumberFormat="1" applyAlignment="1">
      <alignment/>
    </xf>
    <xf numFmtId="10" fontId="0" fillId="0" borderId="0" xfId="55" applyNumberFormat="1" applyFont="1" applyAlignment="1">
      <alignment/>
    </xf>
    <xf numFmtId="208" fontId="0" fillId="0" borderId="0" xfId="48" applyNumberFormat="1" applyFont="1" applyAlignment="1">
      <alignment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6" borderId="0" xfId="0" applyFill="1" applyAlignment="1">
      <alignment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/>
    </xf>
    <xf numFmtId="0" fontId="4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190" fontId="3" fillId="0" borderId="0" xfId="48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90" fontId="0" fillId="0" borderId="0" xfId="48" applyNumberFormat="1" applyFont="1" applyFill="1" applyBorder="1" applyAlignment="1">
      <alignment/>
    </xf>
    <xf numFmtId="190" fontId="14" fillId="0" borderId="0" xfId="48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2" fontId="18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190" fontId="0" fillId="0" borderId="0" xfId="48" applyNumberFormat="1" applyFont="1" applyAlignment="1">
      <alignment horizontal="center"/>
    </xf>
    <xf numFmtId="191" fontId="0" fillId="0" borderId="0" xfId="55" applyNumberFormat="1" applyFont="1" applyAlignment="1">
      <alignment/>
    </xf>
    <xf numFmtId="0" fontId="17" fillId="0" borderId="12" xfId="0" applyFont="1" applyBorder="1" applyAlignment="1">
      <alignment horizontal="center" vertical="center"/>
    </xf>
    <xf numFmtId="1" fontId="17" fillId="0" borderId="1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190" fontId="1" fillId="0" borderId="0" xfId="48" applyNumberFormat="1" applyFont="1" applyFill="1" applyBorder="1" applyAlignment="1">
      <alignment/>
    </xf>
    <xf numFmtId="190" fontId="17" fillId="0" borderId="0" xfId="48" applyNumberFormat="1" applyFont="1" applyAlignment="1">
      <alignment horizontal="center" vertical="center"/>
    </xf>
    <xf numFmtId="189" fontId="18" fillId="0" borderId="0" xfId="48" applyNumberFormat="1" applyFont="1" applyAlignment="1">
      <alignment horizontal="center" vertical="center"/>
    </xf>
    <xf numFmtId="190" fontId="18" fillId="0" borderId="0" xfId="48" applyNumberFormat="1" applyFont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90" fontId="0" fillId="0" borderId="0" xfId="48" applyNumberFormat="1" applyFont="1" applyFill="1" applyBorder="1" applyAlignment="1">
      <alignment horizontal="center"/>
    </xf>
    <xf numFmtId="190" fontId="0" fillId="0" borderId="0" xfId="48" applyNumberFormat="1" applyFont="1" applyFill="1" applyBorder="1" applyAlignment="1">
      <alignment horizontal="center"/>
    </xf>
    <xf numFmtId="190" fontId="1" fillId="0" borderId="0" xfId="48" applyNumberFormat="1" applyFont="1" applyFill="1" applyBorder="1" applyAlignment="1">
      <alignment horizontal="center"/>
    </xf>
    <xf numFmtId="208" fontId="1" fillId="0" borderId="0" xfId="48" applyNumberFormat="1" applyFont="1" applyAlignment="1">
      <alignment/>
    </xf>
    <xf numFmtId="190" fontId="1" fillId="0" borderId="0" xfId="48" applyNumberFormat="1" applyFont="1" applyAlignment="1">
      <alignment/>
    </xf>
    <xf numFmtId="190" fontId="1" fillId="0" borderId="0" xfId="48" applyNumberFormat="1" applyFont="1" applyFill="1" applyBorder="1" applyAlignment="1">
      <alignment/>
    </xf>
    <xf numFmtId="10" fontId="4" fillId="0" borderId="13" xfId="55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9" fontId="0" fillId="0" borderId="15" xfId="55" applyFont="1" applyFill="1" applyBorder="1" applyAlignment="1">
      <alignment/>
    </xf>
    <xf numFmtId="0" fontId="0" fillId="0" borderId="16" xfId="0" applyFill="1" applyBorder="1" applyAlignment="1">
      <alignment/>
    </xf>
    <xf numFmtId="9" fontId="0" fillId="0" borderId="17" xfId="55" applyFont="1" applyFill="1" applyBorder="1" applyAlignment="1">
      <alignment/>
    </xf>
    <xf numFmtId="0" fontId="0" fillId="0" borderId="18" xfId="0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3" fillId="0" borderId="10" xfId="53" applyFont="1" applyFill="1" applyBorder="1" applyAlignment="1">
      <alignment horizontal="center"/>
      <protection/>
    </xf>
    <xf numFmtId="190" fontId="3" fillId="0" borderId="10" xfId="48" applyNumberFormat="1" applyFont="1" applyFill="1" applyBorder="1" applyAlignment="1">
      <alignment horizontal="center"/>
    </xf>
    <xf numFmtId="10" fontId="0" fillId="0" borderId="17" xfId="0" applyNumberFormat="1" applyFill="1" applyBorder="1" applyAlignment="1">
      <alignment/>
    </xf>
    <xf numFmtId="0" fontId="1" fillId="0" borderId="0" xfId="0" applyFont="1" applyAlignment="1">
      <alignment/>
    </xf>
    <xf numFmtId="0" fontId="55" fillId="0" borderId="0" xfId="0" applyFont="1" applyAlignment="1">
      <alignment/>
    </xf>
    <xf numFmtId="196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10" fontId="0" fillId="39" borderId="0" xfId="0" applyNumberFormat="1" applyFill="1" applyAlignment="1">
      <alignment/>
    </xf>
    <xf numFmtId="9" fontId="0" fillId="40" borderId="17" xfId="55" applyFont="1" applyFill="1" applyBorder="1" applyAlignment="1">
      <alignment/>
    </xf>
    <xf numFmtId="190" fontId="0" fillId="0" borderId="0" xfId="48" applyNumberFormat="1" applyFont="1" applyAlignment="1">
      <alignment/>
    </xf>
    <xf numFmtId="9" fontId="0" fillId="0" borderId="0" xfId="55" applyFont="1" applyAlignment="1">
      <alignment/>
    </xf>
    <xf numFmtId="0" fontId="56" fillId="0" borderId="0" xfId="0" applyFont="1" applyAlignment="1">
      <alignment/>
    </xf>
    <xf numFmtId="0" fontId="55" fillId="41" borderId="20" xfId="0" applyFont="1" applyFill="1" applyBorder="1" applyAlignment="1">
      <alignment/>
    </xf>
    <xf numFmtId="190" fontId="55" fillId="41" borderId="13" xfId="48" applyNumberFormat="1" applyFont="1" applyFill="1" applyBorder="1" applyAlignment="1">
      <alignment/>
    </xf>
    <xf numFmtId="10" fontId="0" fillId="0" borderId="0" xfId="55" applyNumberFormat="1" applyFont="1" applyAlignment="1">
      <alignment/>
    </xf>
    <xf numFmtId="0" fontId="0" fillId="0" borderId="10" xfId="0" applyFill="1" applyBorder="1" applyAlignment="1">
      <alignment/>
    </xf>
    <xf numFmtId="0" fontId="8" fillId="42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90" fontId="0" fillId="0" borderId="10" xfId="48" applyNumberFormat="1" applyFont="1" applyFill="1" applyBorder="1" applyAlignment="1">
      <alignment/>
    </xf>
    <xf numFmtId="191" fontId="0" fillId="0" borderId="10" xfId="55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90" fontId="2" fillId="0" borderId="10" xfId="48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90" fontId="1" fillId="0" borderId="10" xfId="48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43" borderId="10" xfId="0" applyFont="1" applyFill="1" applyBorder="1" applyAlignment="1">
      <alignment/>
    </xf>
    <xf numFmtId="190" fontId="0" fillId="43" borderId="10" xfId="48" applyNumberFormat="1" applyFont="1" applyFill="1" applyBorder="1" applyAlignment="1">
      <alignment/>
    </xf>
    <xf numFmtId="9" fontId="0" fillId="0" borderId="10" xfId="55" applyFont="1" applyBorder="1" applyAlignment="1">
      <alignment/>
    </xf>
    <xf numFmtId="9" fontId="0" fillId="0" borderId="0" xfId="55" applyFont="1" applyAlignment="1">
      <alignment/>
    </xf>
    <xf numFmtId="190" fontId="0" fillId="0" borderId="10" xfId="48" applyNumberFormat="1" applyFont="1" applyBorder="1" applyAlignment="1">
      <alignment/>
    </xf>
    <xf numFmtId="0" fontId="55" fillId="0" borderId="10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Border="1" applyAlignment="1">
      <alignment horizontal="center"/>
    </xf>
    <xf numFmtId="10" fontId="0" fillId="0" borderId="10" xfId="55" applyNumberFormat="1" applyFont="1" applyBorder="1" applyAlignment="1">
      <alignment/>
    </xf>
    <xf numFmtId="9" fontId="0" fillId="0" borderId="10" xfId="0" applyNumberFormat="1" applyBorder="1" applyAlignment="1">
      <alignment horizontal="center"/>
    </xf>
    <xf numFmtId="0" fontId="3" fillId="44" borderId="10" xfId="53" applyFont="1" applyFill="1" applyBorder="1" applyAlignment="1">
      <alignment horizontal="center"/>
      <protection/>
    </xf>
    <xf numFmtId="190" fontId="3" fillId="44" borderId="10" xfId="48" applyNumberFormat="1" applyFont="1" applyFill="1" applyBorder="1" applyAlignment="1">
      <alignment horizontal="center"/>
    </xf>
    <xf numFmtId="0" fontId="4" fillId="12" borderId="10" xfId="53" applyFont="1" applyFill="1" applyBorder="1" applyAlignment="1">
      <alignment horizontal="center" vertical="center" wrapText="1"/>
      <protection/>
    </xf>
    <xf numFmtId="3" fontId="3" fillId="0" borderId="10" xfId="53" applyNumberFormat="1" applyFont="1" applyFill="1" applyBorder="1" applyAlignment="1">
      <alignment horizontal="center"/>
      <protection/>
    </xf>
    <xf numFmtId="3" fontId="3" fillId="44" borderId="10" xfId="53" applyNumberFormat="1" applyFont="1" applyFill="1" applyBorder="1" applyAlignment="1">
      <alignment horizontal="center"/>
      <protection/>
    </xf>
    <xf numFmtId="0" fontId="0" fillId="44" borderId="10" xfId="0" applyFill="1" applyBorder="1" applyAlignment="1">
      <alignment/>
    </xf>
    <xf numFmtId="0" fontId="0" fillId="18" borderId="10" xfId="0" applyFill="1" applyBorder="1" applyAlignment="1">
      <alignment/>
    </xf>
    <xf numFmtId="0" fontId="39" fillId="44" borderId="10" xfId="0" applyFont="1" applyFill="1" applyBorder="1" applyAlignment="1">
      <alignment/>
    </xf>
    <xf numFmtId="0" fontId="39" fillId="44" borderId="10" xfId="0" applyFont="1" applyFill="1" applyBorder="1" applyAlignment="1">
      <alignment horizontal="center"/>
    </xf>
    <xf numFmtId="9" fontId="0" fillId="0" borderId="0" xfId="55" applyFont="1" applyFill="1" applyBorder="1" applyAlignment="1">
      <alignment/>
    </xf>
    <xf numFmtId="0" fontId="0" fillId="0" borderId="0" xfId="0" applyBorder="1" applyAlignment="1">
      <alignment/>
    </xf>
    <xf numFmtId="0" fontId="8" fillId="43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7" fillId="45" borderId="0" xfId="0" applyFont="1" applyFill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0" fillId="44" borderId="22" xfId="0" applyFill="1" applyBorder="1" applyAlignment="1">
      <alignment horizontal="center" vertical="center"/>
    </xf>
    <xf numFmtId="0" fontId="0" fillId="44" borderId="23" xfId="0" applyFill="1" applyBorder="1" applyAlignment="1">
      <alignment horizontal="center" vertical="center"/>
    </xf>
    <xf numFmtId="9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0" fontId="4" fillId="0" borderId="0" xfId="55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19</xdr:row>
      <xdr:rowOff>0</xdr:rowOff>
    </xdr:from>
    <xdr:to>
      <xdr:col>6</xdr:col>
      <xdr:colOff>685800</xdr:colOff>
      <xdr:row>27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648075"/>
          <a:ext cx="44862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5</xdr:col>
      <xdr:colOff>0</xdr:colOff>
      <xdr:row>3</xdr:row>
      <xdr:rowOff>85725</xdr:rowOff>
    </xdr:to>
    <xdr:pic>
      <xdr:nvPicPr>
        <xdr:cNvPr id="1" name="Picture 1" descr="http://www.pymesfuturo.com/punto_3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90500"/>
          <a:ext cx="1524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536"/>
  <sheetViews>
    <sheetView zoomScale="80" zoomScaleNormal="80" zoomScalePageLayoutView="0" workbookViewId="0" topLeftCell="A3">
      <selection activeCell="C22" sqref="C22"/>
    </sheetView>
  </sheetViews>
  <sheetFormatPr defaultColWidth="11.421875" defaultRowHeight="15"/>
  <cols>
    <col min="3" max="3" width="32.140625" style="0" customWidth="1"/>
    <col min="4" max="4" width="13.8515625" style="0" customWidth="1"/>
  </cols>
  <sheetData>
    <row r="1" spans="3:5" ht="21" customHeight="1">
      <c r="C1" s="126" t="s">
        <v>66</v>
      </c>
      <c r="D1" s="126"/>
      <c r="E1" s="94"/>
    </row>
    <row r="2" spans="3:5" ht="15.75">
      <c r="C2" s="95" t="s">
        <v>34</v>
      </c>
      <c r="D2" s="95" t="s">
        <v>98</v>
      </c>
      <c r="E2" s="1"/>
    </row>
    <row r="3" spans="1:5" ht="15.75">
      <c r="A3" s="9"/>
      <c r="B3" s="9"/>
      <c r="C3" s="96" t="s">
        <v>104</v>
      </c>
      <c r="D3" s="96" t="s">
        <v>105</v>
      </c>
      <c r="E3" s="97" t="s">
        <v>106</v>
      </c>
    </row>
    <row r="4" spans="3:7" ht="15">
      <c r="C4" s="97" t="s">
        <v>67</v>
      </c>
      <c r="D4" s="98">
        <v>100000</v>
      </c>
      <c r="E4" s="99">
        <f aca="true" t="shared" si="0" ref="E4:E11">D4/$D$20</f>
        <v>0.4376069858276899</v>
      </c>
      <c r="G4" s="17"/>
    </row>
    <row r="5" spans="3:7" ht="15">
      <c r="C5" s="97" t="s">
        <v>99</v>
      </c>
      <c r="D5" s="98">
        <v>90000</v>
      </c>
      <c r="E5" s="99">
        <f t="shared" si="0"/>
        <v>0.39384628724492093</v>
      </c>
      <c r="G5" s="15"/>
    </row>
    <row r="6" spans="3:7" ht="15">
      <c r="C6" s="97" t="s">
        <v>96</v>
      </c>
      <c r="D6" s="98">
        <f>'Inv. Act. Fijo'!F9</f>
        <v>2794</v>
      </c>
      <c r="E6" s="99">
        <f t="shared" si="0"/>
        <v>0.012226739184025656</v>
      </c>
      <c r="G6" s="18"/>
    </row>
    <row r="7" spans="3:7" ht="15">
      <c r="C7" s="97" t="s">
        <v>97</v>
      </c>
      <c r="D7" s="98">
        <f>'Inv. Act. Fijo'!F14</f>
        <v>880</v>
      </c>
      <c r="E7" s="99">
        <f t="shared" si="0"/>
        <v>0.0038509414752836714</v>
      </c>
      <c r="G7" s="18"/>
    </row>
    <row r="8" spans="3:7" ht="15">
      <c r="C8" s="97" t="s">
        <v>103</v>
      </c>
      <c r="D8" s="98">
        <f>'Inv. Act. Fijo'!F44</f>
        <v>16915.43</v>
      </c>
      <c r="E8" s="99">
        <f t="shared" si="0"/>
        <v>0.07402310336279282</v>
      </c>
      <c r="G8" s="18"/>
    </row>
    <row r="9" spans="3:5" ht="15">
      <c r="C9" s="100" t="s">
        <v>107</v>
      </c>
      <c r="D9" s="101">
        <f>SUM(D4:D8)</f>
        <v>210589.43</v>
      </c>
      <c r="E9" s="99">
        <f t="shared" si="0"/>
        <v>0.9215540570947129</v>
      </c>
    </row>
    <row r="10" spans="3:5" ht="15">
      <c r="C10" s="102" t="s">
        <v>108</v>
      </c>
      <c r="D10" s="103">
        <f>D9*0.02</f>
        <v>4211.7886</v>
      </c>
      <c r="E10" s="99">
        <f t="shared" si="0"/>
        <v>0.01843108114189426</v>
      </c>
    </row>
    <row r="11" spans="3:5" ht="15">
      <c r="C11" s="100" t="s">
        <v>114</v>
      </c>
      <c r="D11" s="101">
        <f>D9+D10</f>
        <v>214801.2186</v>
      </c>
      <c r="E11" s="99">
        <f t="shared" si="0"/>
        <v>0.9399851382366072</v>
      </c>
    </row>
    <row r="12" spans="3:5" ht="15">
      <c r="C12" s="104" t="s">
        <v>109</v>
      </c>
      <c r="D12" s="98"/>
      <c r="E12" s="99"/>
    </row>
    <row r="13" spans="3:5" ht="15">
      <c r="C13" s="97" t="s">
        <v>110</v>
      </c>
      <c r="D13" s="98">
        <f>D5*0.12</f>
        <v>10800</v>
      </c>
      <c r="E13" s="99">
        <f>D13/$D$20</f>
        <v>0.04726155446939051</v>
      </c>
    </row>
    <row r="14" spans="3:5" ht="15">
      <c r="C14" s="102" t="s">
        <v>111</v>
      </c>
      <c r="D14" s="103">
        <v>1000</v>
      </c>
      <c r="E14" s="99">
        <f>D14/$D$20</f>
        <v>0.004376069858276899</v>
      </c>
    </row>
    <row r="15" spans="3:5" ht="15">
      <c r="C15" s="97" t="s">
        <v>112</v>
      </c>
      <c r="D15" s="98">
        <v>800</v>
      </c>
      <c r="E15" s="99">
        <f>D15/$D$20</f>
        <v>0.0035008558866215195</v>
      </c>
    </row>
    <row r="16" spans="3:5" ht="15">
      <c r="C16" s="100" t="s">
        <v>113</v>
      </c>
      <c r="D16" s="101">
        <f>SUM(D13:D15)</f>
        <v>12600</v>
      </c>
      <c r="E16" s="99">
        <f>D16/$D$20</f>
        <v>0.05513848021428893</v>
      </c>
    </row>
    <row r="17" spans="3:5" ht="15">
      <c r="C17" s="100"/>
      <c r="D17" s="101"/>
      <c r="E17" s="99"/>
    </row>
    <row r="18" spans="3:5" ht="15">
      <c r="C18" s="100" t="s">
        <v>274</v>
      </c>
      <c r="D18" s="98"/>
      <c r="E18" s="99"/>
    </row>
    <row r="19" spans="3:5" ht="15">
      <c r="C19" s="102" t="s">
        <v>275</v>
      </c>
      <c r="D19" s="98">
        <f>-'Capital de Trabajo'!B10</f>
        <v>1114.3290000000015</v>
      </c>
      <c r="E19" s="99">
        <f>D19/$D$20</f>
        <v>0.004876381549103846</v>
      </c>
    </row>
    <row r="20" spans="3:5" ht="15">
      <c r="C20" s="105" t="s">
        <v>102</v>
      </c>
      <c r="D20" s="106">
        <f>D11+D16+D19</f>
        <v>228515.5476</v>
      </c>
      <c r="E20" s="107">
        <f>D20/$D$20</f>
        <v>1</v>
      </c>
    </row>
    <row r="22" spans="3:5" ht="15">
      <c r="C22" s="110" t="s">
        <v>115</v>
      </c>
      <c r="D22" s="1"/>
      <c r="E22" s="1"/>
    </row>
    <row r="23" spans="3:5" ht="15">
      <c r="C23" s="1"/>
      <c r="D23" s="1"/>
      <c r="E23" s="1"/>
    </row>
    <row r="24" spans="3:5" ht="15">
      <c r="C24" s="1" t="s">
        <v>116</v>
      </c>
      <c r="D24" s="109">
        <v>100000</v>
      </c>
      <c r="E24" s="99">
        <f>D24/$D$20</f>
        <v>0.4376069858276899</v>
      </c>
    </row>
    <row r="25" spans="3:5" ht="15">
      <c r="C25" s="1" t="s">
        <v>117</v>
      </c>
      <c r="D25" s="109">
        <f>D20-D24</f>
        <v>128515.54759999999</v>
      </c>
      <c r="E25" s="99">
        <f>D25/$D$20</f>
        <v>0.56239301417231</v>
      </c>
    </row>
    <row r="65536" ht="15">
      <c r="E65536">
        <f>D65536/$D$20</f>
        <v>0</v>
      </c>
    </row>
  </sheetData>
  <sheetProtection/>
  <mergeCells count="1">
    <mergeCell ref="C1:D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2">
      <selection activeCell="F12" sqref="F12"/>
    </sheetView>
  </sheetViews>
  <sheetFormatPr defaultColWidth="11.421875" defaultRowHeight="15"/>
  <cols>
    <col min="1" max="1" width="4.00390625" style="0" bestFit="1" customWidth="1"/>
    <col min="2" max="2" width="29.00390625" style="0" bestFit="1" customWidth="1"/>
    <col min="3" max="3" width="9.7109375" style="0" bestFit="1" customWidth="1"/>
    <col min="4" max="13" width="9.00390625" style="0" bestFit="1" customWidth="1"/>
  </cols>
  <sheetData>
    <row r="2" ht="15">
      <c r="B2" s="83" t="s">
        <v>202</v>
      </c>
    </row>
    <row r="3" spans="2:4" ht="15">
      <c r="B3" t="s">
        <v>201</v>
      </c>
      <c r="C3" s="18">
        <v>0.025</v>
      </c>
      <c r="D3" s="18">
        <v>0.025</v>
      </c>
    </row>
    <row r="4" spans="2:5" ht="15">
      <c r="B4" t="s">
        <v>236</v>
      </c>
      <c r="C4" s="18">
        <v>0.015</v>
      </c>
      <c r="D4" s="18"/>
      <c r="E4" s="18"/>
    </row>
    <row r="5" spans="2:3" ht="15">
      <c r="B5" t="s">
        <v>237</v>
      </c>
      <c r="C5" s="18">
        <v>0.035</v>
      </c>
    </row>
    <row r="7" spans="2:13" ht="15">
      <c r="B7" s="134" t="s">
        <v>293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</row>
    <row r="8" spans="1:13" ht="15">
      <c r="A8" s="62"/>
      <c r="B8" s="62"/>
      <c r="C8" s="133" t="s">
        <v>235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</row>
    <row r="9" spans="1:13" ht="15.75">
      <c r="A9" s="63"/>
      <c r="B9" s="63"/>
      <c r="C9" s="64">
        <v>0</v>
      </c>
      <c r="D9" s="64">
        <v>1</v>
      </c>
      <c r="E9" s="64">
        <v>2</v>
      </c>
      <c r="F9" s="64">
        <v>3</v>
      </c>
      <c r="G9" s="64">
        <v>4</v>
      </c>
      <c r="H9" s="64">
        <v>5</v>
      </c>
      <c r="I9" s="64">
        <v>6</v>
      </c>
      <c r="J9" s="64">
        <v>7</v>
      </c>
      <c r="K9" s="64">
        <v>8</v>
      </c>
      <c r="L9" s="64">
        <v>9</v>
      </c>
      <c r="M9" s="64">
        <v>10</v>
      </c>
    </row>
    <row r="10" spans="1:13" ht="15">
      <c r="A10" s="65" t="s">
        <v>190</v>
      </c>
      <c r="B10" s="37" t="s">
        <v>35</v>
      </c>
      <c r="C10" s="27"/>
      <c r="D10" s="68">
        <f>Ingresos!O20</f>
        <v>140356.6666666667</v>
      </c>
      <c r="E10" s="68">
        <f>D10*(1+$C$3)</f>
        <v>143865.58333333334</v>
      </c>
      <c r="F10" s="68">
        <f aca="true" t="shared" si="0" ref="F10:M10">E10*(1+$C$3)</f>
        <v>147462.22291666665</v>
      </c>
      <c r="G10" s="68">
        <f t="shared" si="0"/>
        <v>151148.77848958332</v>
      </c>
      <c r="H10" s="68">
        <f t="shared" si="0"/>
        <v>154927.49795182288</v>
      </c>
      <c r="I10" s="68">
        <f t="shared" si="0"/>
        <v>158800.68540061844</v>
      </c>
      <c r="J10" s="68">
        <f t="shared" si="0"/>
        <v>162770.7025356339</v>
      </c>
      <c r="K10" s="68">
        <f t="shared" si="0"/>
        <v>166839.97009902474</v>
      </c>
      <c r="L10" s="68">
        <f t="shared" si="0"/>
        <v>171010.96935150033</v>
      </c>
      <c r="M10" s="68">
        <f t="shared" si="0"/>
        <v>175286.24358528783</v>
      </c>
    </row>
    <row r="11" ht="15">
      <c r="E11" s="69"/>
    </row>
    <row r="12" spans="2:13" ht="15">
      <c r="B12" s="37" t="s">
        <v>183</v>
      </c>
      <c r="D12" s="12">
        <f aca="true" t="shared" si="1" ref="D12:M12">SUM(D13:D17)</f>
        <v>83974.31683133336</v>
      </c>
      <c r="E12" s="12">
        <f t="shared" si="1"/>
        <v>83807.04443265303</v>
      </c>
      <c r="F12" s="12">
        <f t="shared" si="1"/>
        <v>83509.550006193</v>
      </c>
      <c r="G12" s="12">
        <f t="shared" si="1"/>
        <v>83065.17360023137</v>
      </c>
      <c r="H12" s="12">
        <f t="shared" si="1"/>
        <v>83635.91416700043</v>
      </c>
      <c r="I12" s="12">
        <f t="shared" si="1"/>
        <v>81624.61600478803</v>
      </c>
      <c r="J12" s="12">
        <f t="shared" si="1"/>
        <v>82061.41625821702</v>
      </c>
      <c r="K12" s="12">
        <f t="shared" si="1"/>
        <v>82415.28075865992</v>
      </c>
      <c r="L12" s="12">
        <f t="shared" si="1"/>
        <v>82673.8724550856</v>
      </c>
      <c r="M12" s="12">
        <f t="shared" si="1"/>
        <v>82823.40528142438</v>
      </c>
    </row>
    <row r="13" spans="1:13" ht="15">
      <c r="A13" s="36" t="s">
        <v>191</v>
      </c>
      <c r="B13" s="36" t="s">
        <v>192</v>
      </c>
      <c r="C13" s="39"/>
      <c r="D13" s="70">
        <f>Gastos!O26</f>
        <v>44631.86800000001</v>
      </c>
      <c r="E13" s="70">
        <f aca="true" t="shared" si="2" ref="E13:M13">D13*(1+$C$4)</f>
        <v>45301.346020000005</v>
      </c>
      <c r="F13" s="70">
        <f t="shared" si="2"/>
        <v>45980.8662103</v>
      </c>
      <c r="G13" s="70">
        <f t="shared" si="2"/>
        <v>46670.5792034545</v>
      </c>
      <c r="H13" s="70">
        <f t="shared" si="2"/>
        <v>47370.63789150631</v>
      </c>
      <c r="I13" s="70">
        <f t="shared" si="2"/>
        <v>48081.1974598789</v>
      </c>
      <c r="J13" s="70">
        <f t="shared" si="2"/>
        <v>48802.41542177708</v>
      </c>
      <c r="K13" s="70">
        <f t="shared" si="2"/>
        <v>49534.45165310373</v>
      </c>
      <c r="L13" s="70">
        <f t="shared" si="2"/>
        <v>50277.46842790028</v>
      </c>
      <c r="M13" s="70">
        <f t="shared" si="2"/>
        <v>51031.63045431878</v>
      </c>
    </row>
    <row r="14" spans="1:13" ht="15">
      <c r="A14" s="36" t="s">
        <v>191</v>
      </c>
      <c r="B14" s="36" t="s">
        <v>178</v>
      </c>
      <c r="C14" s="39"/>
      <c r="D14" s="70">
        <f>Gastos!O57</f>
        <v>20036.74000000001</v>
      </c>
      <c r="E14" s="70">
        <f aca="true" t="shared" si="3" ref="E14:M14">D14*(1+$C$5)</f>
        <v>20738.025900000008</v>
      </c>
      <c r="F14" s="70">
        <f t="shared" si="3"/>
        <v>21463.856806500007</v>
      </c>
      <c r="G14" s="70">
        <f t="shared" si="3"/>
        <v>22215.091794727505</v>
      </c>
      <c r="H14" s="70">
        <f t="shared" si="3"/>
        <v>22992.620007542966</v>
      </c>
      <c r="I14" s="70">
        <f t="shared" si="3"/>
        <v>23797.36170780697</v>
      </c>
      <c r="J14" s="70">
        <f t="shared" si="3"/>
        <v>24630.26936758021</v>
      </c>
      <c r="K14" s="70">
        <f t="shared" si="3"/>
        <v>25492.328795445515</v>
      </c>
      <c r="L14" s="70">
        <f t="shared" si="3"/>
        <v>26384.560303286107</v>
      </c>
      <c r="M14" s="70">
        <f t="shared" si="3"/>
        <v>27308.01991390112</v>
      </c>
    </row>
    <row r="15" spans="1:13" ht="15">
      <c r="A15" s="36" t="s">
        <v>193</v>
      </c>
      <c r="B15" s="36" t="s">
        <v>203</v>
      </c>
      <c r="C15" s="71"/>
      <c r="D15" s="70">
        <f>Depreciaciones!F36</f>
        <v>2787.5763333333334</v>
      </c>
      <c r="E15" s="12">
        <f aca="true" t="shared" si="4" ref="E15:M15">D15</f>
        <v>2787.5763333333334</v>
      </c>
      <c r="F15" s="12">
        <f t="shared" si="4"/>
        <v>2787.5763333333334</v>
      </c>
      <c r="G15" s="12">
        <f t="shared" si="4"/>
        <v>2787.5763333333334</v>
      </c>
      <c r="H15" s="12">
        <f t="shared" si="4"/>
        <v>2787.5763333333334</v>
      </c>
      <c r="I15" s="12">
        <f t="shared" si="4"/>
        <v>2787.5763333333334</v>
      </c>
      <c r="J15" s="12">
        <f t="shared" si="4"/>
        <v>2787.5763333333334</v>
      </c>
      <c r="K15" s="12">
        <f t="shared" si="4"/>
        <v>2787.5763333333334</v>
      </c>
      <c r="L15" s="12">
        <f t="shared" si="4"/>
        <v>2787.5763333333334</v>
      </c>
      <c r="M15" s="12">
        <f t="shared" si="4"/>
        <v>2787.5763333333334</v>
      </c>
    </row>
    <row r="16" spans="1:13" ht="15">
      <c r="A16" s="36" t="s">
        <v>193</v>
      </c>
      <c r="B16" s="36" t="s">
        <v>238</v>
      </c>
      <c r="D16" s="70">
        <f>Amortizaciones!D37</f>
        <v>2520</v>
      </c>
      <c r="E16" s="70">
        <f>Amortizaciones!E37</f>
        <v>2520</v>
      </c>
      <c r="F16" s="70">
        <f>Amortizaciones!F37</f>
        <v>2520</v>
      </c>
      <c r="G16" s="70">
        <f>Amortizaciones!G37</f>
        <v>2520</v>
      </c>
      <c r="H16" s="70">
        <f>Amortizaciones!H37</f>
        <v>2520</v>
      </c>
      <c r="I16" s="70">
        <f>Amortizaciones!I37</f>
        <v>0</v>
      </c>
      <c r="J16" s="70">
        <f>Amortizaciones!J37</f>
        <v>0</v>
      </c>
      <c r="K16" s="70">
        <f>Amortizaciones!K37</f>
        <v>0</v>
      </c>
      <c r="L16" s="70">
        <f>Amortizaciones!L37</f>
        <v>0</v>
      </c>
      <c r="M16" s="70">
        <f>Amortizaciones!M37</f>
        <v>0</v>
      </c>
    </row>
    <row r="17" spans="1:13" ht="15">
      <c r="A17" s="36" t="s">
        <v>193</v>
      </c>
      <c r="B17" s="36" t="s">
        <v>225</v>
      </c>
      <c r="D17" s="70">
        <f>Amortizaciones!D9+Amortizaciones!D28</f>
        <v>13998.132497999999</v>
      </c>
      <c r="E17" s="70">
        <f>Amortizaciones!D10+Amortizaciones!D29</f>
        <v>12460.096179319688</v>
      </c>
      <c r="F17" s="70">
        <f>Amortizaciones!D11+Amortizaciones!D30</f>
        <v>10757.250656059661</v>
      </c>
      <c r="G17" s="70">
        <f>Amortizaciones!D12</f>
        <v>8871.926268716034</v>
      </c>
      <c r="H17" s="70">
        <f>Amortizaciones!D13</f>
        <v>7965.0799346178255</v>
      </c>
      <c r="I17" s="70">
        <f>Amortizaciones!D14</f>
        <v>6958.480503768814</v>
      </c>
      <c r="J17" s="70">
        <f>Amortizaciones!D15</f>
        <v>5841.155135526412</v>
      </c>
      <c r="K17" s="70">
        <f>Amortizaciones!D16</f>
        <v>4600.923976777345</v>
      </c>
      <c r="L17" s="70">
        <f>Amortizaciones!D17</f>
        <v>3224.2673905658803</v>
      </c>
      <c r="M17" s="70">
        <f>Amortizaciones!D18</f>
        <v>1696.1785798711553</v>
      </c>
    </row>
    <row r="18" spans="2:13" ht="15">
      <c r="B18" s="36" t="s">
        <v>36</v>
      </c>
      <c r="D18" s="12">
        <f aca="true" t="shared" si="5" ref="D18:M18">D10-D12</f>
        <v>56382.34983533333</v>
      </c>
      <c r="E18" s="12">
        <f t="shared" si="5"/>
        <v>60058.538900680316</v>
      </c>
      <c r="F18" s="12">
        <f t="shared" si="5"/>
        <v>63952.672910473644</v>
      </c>
      <c r="G18" s="12">
        <f t="shared" si="5"/>
        <v>68083.60488935195</v>
      </c>
      <c r="H18" s="12">
        <f t="shared" si="5"/>
        <v>71291.58378482245</v>
      </c>
      <c r="I18" s="12">
        <f t="shared" si="5"/>
        <v>77176.06939583042</v>
      </c>
      <c r="J18" s="12">
        <f t="shared" si="5"/>
        <v>80709.28627741688</v>
      </c>
      <c r="K18" s="12">
        <f t="shared" si="5"/>
        <v>84424.68934036481</v>
      </c>
      <c r="L18" s="12">
        <f t="shared" si="5"/>
        <v>88337.09689641473</v>
      </c>
      <c r="M18" s="12">
        <f t="shared" si="5"/>
        <v>92462.83830386345</v>
      </c>
    </row>
    <row r="19" spans="2:13" ht="15">
      <c r="B19" s="36" t="s">
        <v>241</v>
      </c>
      <c r="D19" s="70">
        <f aca="true" t="shared" si="6" ref="D19:M19">D18*0.15</f>
        <v>8457.352475299998</v>
      </c>
      <c r="E19" s="70">
        <f t="shared" si="6"/>
        <v>9008.780835102047</v>
      </c>
      <c r="F19" s="70">
        <f t="shared" si="6"/>
        <v>9592.900936571046</v>
      </c>
      <c r="G19" s="70">
        <f t="shared" si="6"/>
        <v>10212.540733402791</v>
      </c>
      <c r="H19" s="70">
        <f t="shared" si="6"/>
        <v>10693.737567723367</v>
      </c>
      <c r="I19" s="70">
        <f t="shared" si="6"/>
        <v>11576.410409374563</v>
      </c>
      <c r="J19" s="70">
        <f t="shared" si="6"/>
        <v>12106.39294161253</v>
      </c>
      <c r="K19" s="70">
        <f t="shared" si="6"/>
        <v>12663.703401054721</v>
      </c>
      <c r="L19" s="70">
        <f t="shared" si="6"/>
        <v>13250.56453446221</v>
      </c>
      <c r="M19" s="70">
        <f t="shared" si="6"/>
        <v>13869.425745579518</v>
      </c>
    </row>
    <row r="20" spans="2:13" ht="15">
      <c r="B20" s="36" t="s">
        <v>240</v>
      </c>
      <c r="D20" s="70">
        <f aca="true" t="shared" si="7" ref="D20:M20">(D18-D19)*0.25</f>
        <v>11981.249340008333</v>
      </c>
      <c r="E20" s="70">
        <f t="shared" si="7"/>
        <v>12762.439516394566</v>
      </c>
      <c r="F20" s="70">
        <f t="shared" si="7"/>
        <v>13589.94299347565</v>
      </c>
      <c r="G20" s="70">
        <f t="shared" si="7"/>
        <v>14467.766038987289</v>
      </c>
      <c r="H20" s="70">
        <f t="shared" si="7"/>
        <v>15149.46155427477</v>
      </c>
      <c r="I20" s="70">
        <f t="shared" si="7"/>
        <v>16399.914746613962</v>
      </c>
      <c r="J20" s="70">
        <f t="shared" si="7"/>
        <v>17150.723333951086</v>
      </c>
      <c r="K20" s="70">
        <f t="shared" si="7"/>
        <v>17940.246484827523</v>
      </c>
      <c r="L20" s="70">
        <f t="shared" si="7"/>
        <v>18771.633090488132</v>
      </c>
      <c r="M20" s="70">
        <f t="shared" si="7"/>
        <v>19648.353139570983</v>
      </c>
    </row>
    <row r="21" spans="2:13" ht="15">
      <c r="B21" s="36" t="s">
        <v>242</v>
      </c>
      <c r="D21" s="12">
        <f aca="true" t="shared" si="8" ref="D21:M21">D18-D19-D20</f>
        <v>35943.748020025</v>
      </c>
      <c r="E21" s="12">
        <f t="shared" si="8"/>
        <v>38287.3185491837</v>
      </c>
      <c r="F21" s="12">
        <f t="shared" si="8"/>
        <v>40769.82898042695</v>
      </c>
      <c r="G21" s="12">
        <f t="shared" si="8"/>
        <v>43403.298116961865</v>
      </c>
      <c r="H21" s="12">
        <f t="shared" si="8"/>
        <v>45448.38466282431</v>
      </c>
      <c r="I21" s="12">
        <f t="shared" si="8"/>
        <v>49199.744239841886</v>
      </c>
      <c r="J21" s="12">
        <f t="shared" si="8"/>
        <v>51452.17000185326</v>
      </c>
      <c r="K21" s="12">
        <f t="shared" si="8"/>
        <v>53820.739454482566</v>
      </c>
      <c r="L21" s="12">
        <f t="shared" si="8"/>
        <v>56314.8992714644</v>
      </c>
      <c r="M21" s="12">
        <f t="shared" si="8"/>
        <v>58945.059418712946</v>
      </c>
    </row>
    <row r="22" spans="2:13" ht="15">
      <c r="B22" s="36" t="s">
        <v>243</v>
      </c>
      <c r="D22" s="12">
        <f aca="true" t="shared" si="9" ref="D22:M22">D15+D16</f>
        <v>5307.576333333333</v>
      </c>
      <c r="E22" s="12">
        <f t="shared" si="9"/>
        <v>5307.576333333333</v>
      </c>
      <c r="F22" s="12">
        <f t="shared" si="9"/>
        <v>5307.576333333333</v>
      </c>
      <c r="G22" s="12">
        <f t="shared" si="9"/>
        <v>5307.576333333333</v>
      </c>
      <c r="H22" s="12">
        <f t="shared" si="9"/>
        <v>5307.576333333333</v>
      </c>
      <c r="I22" s="12">
        <f t="shared" si="9"/>
        <v>2787.5763333333334</v>
      </c>
      <c r="J22" s="12">
        <f t="shared" si="9"/>
        <v>2787.5763333333334</v>
      </c>
      <c r="K22" s="12">
        <f t="shared" si="9"/>
        <v>2787.5763333333334</v>
      </c>
      <c r="L22" s="12">
        <f t="shared" si="9"/>
        <v>2787.5763333333334</v>
      </c>
      <c r="M22" s="12">
        <f t="shared" si="9"/>
        <v>2787.5763333333334</v>
      </c>
    </row>
    <row r="23" spans="2:13" ht="15">
      <c r="B23" s="36" t="s">
        <v>247</v>
      </c>
      <c r="D23" s="12">
        <f>-(Amortizaciones!E9+Amortizaciones!E28)</f>
        <v>-14360.91808974453</v>
      </c>
      <c r="E23" s="12">
        <f>-(Amortizaciones!E10+Amortizaciones!E29)</f>
        <v>-15898.954408424841</v>
      </c>
      <c r="F23" s="12">
        <f>-(Amortizaciones!E11+Amortizaciones!E30)</f>
        <v>-17601.799931684865</v>
      </c>
      <c r="G23" s="12">
        <f>-(Amortizaciones!E12)</f>
        <v>-8244.057582710986</v>
      </c>
      <c r="H23" s="12">
        <f>-(Amortizaciones!E13)</f>
        <v>-9150.903916809195</v>
      </c>
      <c r="I23" s="12">
        <f>-(Amortizaciones!E14)</f>
        <v>-10157.503347658207</v>
      </c>
      <c r="J23" s="12">
        <f>-(Amortizaciones!E15)</f>
        <v>-11274.828715900607</v>
      </c>
      <c r="K23" s="12">
        <f>-(Amortizaciones!E16)</f>
        <v>-12515.059874649674</v>
      </c>
      <c r="L23" s="12">
        <f>-(Amortizaciones!E17)</f>
        <v>-13891.716460861138</v>
      </c>
      <c r="M23" s="12">
        <f>-(Amortizaciones!E18)</f>
        <v>-15419.805271555864</v>
      </c>
    </row>
    <row r="24" spans="2:13" ht="15">
      <c r="B24" s="36" t="s">
        <v>244</v>
      </c>
      <c r="C24" s="70">
        <f>-'Inv. total'!D20</f>
        <v>-228515.5476</v>
      </c>
      <c r="D24" s="70">
        <f>-'Calendario de Inversiones'!E36</f>
        <v>0</v>
      </c>
      <c r="E24" s="70">
        <f>-'Calendario de Inversiones'!F36</f>
        <v>0</v>
      </c>
      <c r="F24" s="70">
        <f>-'Calendario de Inversiones'!G36</f>
        <v>-880</v>
      </c>
      <c r="G24" s="70">
        <f>-'Calendario de Inversiones'!H36</f>
        <v>0</v>
      </c>
      <c r="H24" s="70">
        <f>-'Calendario de Inversiones'!I36</f>
        <v>-5233</v>
      </c>
      <c r="I24" s="70">
        <f>-'Calendario de Inversiones'!J36</f>
        <v>-880</v>
      </c>
      <c r="J24" s="70">
        <f>-'Calendario de Inversiones'!K36</f>
        <v>0</v>
      </c>
      <c r="K24" s="70">
        <f>-'Calendario de Inversiones'!L36</f>
        <v>0</v>
      </c>
      <c r="L24" s="70">
        <f>-'Calendario de Inversiones'!M36</f>
        <v>-880</v>
      </c>
      <c r="M24" s="70">
        <f>-'Calendario de Inversiones'!N36</f>
        <v>0</v>
      </c>
    </row>
    <row r="25" spans="2:8" ht="15">
      <c r="B25" s="36" t="s">
        <v>248</v>
      </c>
      <c r="C25" s="70">
        <f>'Inv. total'!D25</f>
        <v>128515.54759999999</v>
      </c>
      <c r="D25" s="70"/>
      <c r="E25" s="70"/>
      <c r="F25" s="70"/>
      <c r="G25" s="70"/>
      <c r="H25" s="70"/>
    </row>
    <row r="26" spans="2:13" ht="15">
      <c r="B26" s="36" t="s">
        <v>100</v>
      </c>
      <c r="C26" s="70"/>
      <c r="D26" s="70"/>
      <c r="E26" s="70"/>
      <c r="F26" s="70"/>
      <c r="G26" s="70"/>
      <c r="M26" s="70">
        <f>Depreciaciones!I36</f>
        <v>586.6666666666667</v>
      </c>
    </row>
    <row r="27" spans="2:8" ht="15">
      <c r="B27" s="36" t="s">
        <v>245</v>
      </c>
      <c r="C27" s="70">
        <f>'Capital de Trabajo'!B10</f>
        <v>-1114.3290000000015</v>
      </c>
      <c r="D27" s="70"/>
      <c r="E27" s="70"/>
      <c r="F27" s="70"/>
      <c r="G27" s="70"/>
      <c r="H27" s="70"/>
    </row>
    <row r="28" spans="2:13" ht="15">
      <c r="B28" s="36" t="s">
        <v>246</v>
      </c>
      <c r="C28" s="70"/>
      <c r="D28" s="70"/>
      <c r="E28" s="70"/>
      <c r="F28" s="70"/>
      <c r="G28" s="70"/>
      <c r="M28" s="70">
        <f>-'Capital de Trabajo'!B10</f>
        <v>1114.3290000000015</v>
      </c>
    </row>
    <row r="29" spans="2:13" ht="15">
      <c r="B29" s="36" t="s">
        <v>249</v>
      </c>
      <c r="C29" s="12">
        <f>SUM(C24:C28)</f>
        <v>-101114.329</v>
      </c>
      <c r="D29" s="12">
        <f aca="true" t="shared" si="10" ref="D29:M29">SUM(D21:D28)</f>
        <v>26890.4062636138</v>
      </c>
      <c r="E29" s="12">
        <f t="shared" si="10"/>
        <v>27695.94047409219</v>
      </c>
      <c r="F29" s="12">
        <f t="shared" si="10"/>
        <v>27595.605382075417</v>
      </c>
      <c r="G29" s="12">
        <f t="shared" si="10"/>
        <v>40466.81686758421</v>
      </c>
      <c r="H29" s="12">
        <f t="shared" si="10"/>
        <v>36372.05707934845</v>
      </c>
      <c r="I29" s="12">
        <f t="shared" si="10"/>
        <v>40949.81722551701</v>
      </c>
      <c r="J29" s="12">
        <f t="shared" si="10"/>
        <v>42964.91761928598</v>
      </c>
      <c r="K29" s="12">
        <f t="shared" si="10"/>
        <v>44093.25591316622</v>
      </c>
      <c r="L29" s="12">
        <f t="shared" si="10"/>
        <v>44330.75914393659</v>
      </c>
      <c r="M29" s="12">
        <f t="shared" si="10"/>
        <v>48013.82614715707</v>
      </c>
    </row>
    <row r="30" spans="2:3" ht="15">
      <c r="B30" s="36" t="s">
        <v>251</v>
      </c>
      <c r="C30" s="17">
        <f>TMAR!C9</f>
        <v>0.15304253798396694</v>
      </c>
    </row>
    <row r="31" spans="2:3" ht="15">
      <c r="B31" s="36" t="s">
        <v>38</v>
      </c>
      <c r="C31" s="22">
        <f>IRR(C29:M29)</f>
        <v>0.30281253883733084</v>
      </c>
    </row>
    <row r="32" spans="2:3" ht="15">
      <c r="B32" s="36" t="s">
        <v>37</v>
      </c>
      <c r="C32" s="11">
        <f>NPV(C30,D29:M29)+C29</f>
        <v>73038.10590664527</v>
      </c>
    </row>
  </sheetData>
  <sheetProtection/>
  <mergeCells count="2">
    <mergeCell ref="C8:M8"/>
    <mergeCell ref="B7:M7"/>
  </mergeCells>
  <printOptions/>
  <pageMargins left="0.75" right="0.75" top="1" bottom="1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8.00390625" style="0" customWidth="1"/>
    <col min="2" max="2" width="23.28125" style="0" bestFit="1" customWidth="1"/>
    <col min="3" max="3" width="20.28125" style="0" bestFit="1" customWidth="1"/>
    <col min="4" max="8" width="11.57421875" style="0" bestFit="1" customWidth="1"/>
  </cols>
  <sheetData>
    <row r="2" ht="15">
      <c r="A2" t="s">
        <v>202</v>
      </c>
    </row>
    <row r="3" spans="1:2" ht="15">
      <c r="A3" t="s">
        <v>201</v>
      </c>
      <c r="B3" s="18">
        <v>0.025</v>
      </c>
    </row>
    <row r="4" spans="1:2" ht="15">
      <c r="A4" t="s">
        <v>236</v>
      </c>
      <c r="B4" s="18">
        <v>0.015</v>
      </c>
    </row>
    <row r="5" spans="1:2" ht="15">
      <c r="A5" t="s">
        <v>237</v>
      </c>
      <c r="B5" s="18">
        <v>0.035</v>
      </c>
    </row>
    <row r="7" spans="2:13" ht="15">
      <c r="B7" s="134" t="s">
        <v>234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</row>
    <row r="8" spans="1:12" ht="15">
      <c r="A8" s="62"/>
      <c r="B8" s="62"/>
      <c r="C8" s="133" t="s">
        <v>235</v>
      </c>
      <c r="D8" s="133"/>
      <c r="E8" s="133"/>
      <c r="F8" s="133"/>
      <c r="G8" s="133"/>
      <c r="H8" s="133"/>
      <c r="I8" s="133"/>
      <c r="J8" s="133"/>
      <c r="K8" s="133"/>
      <c r="L8" s="133"/>
    </row>
    <row r="9" spans="1:13" ht="15.75">
      <c r="A9" s="63"/>
      <c r="B9" s="63"/>
      <c r="C9" s="64">
        <v>0</v>
      </c>
      <c r="D9" s="64">
        <v>1</v>
      </c>
      <c r="E9" s="64">
        <v>2</v>
      </c>
      <c r="F9" s="64">
        <v>3</v>
      </c>
      <c r="G9" s="64">
        <v>4</v>
      </c>
      <c r="H9" s="64">
        <v>5</v>
      </c>
      <c r="I9" s="64">
        <v>6</v>
      </c>
      <c r="J9" s="64">
        <v>7</v>
      </c>
      <c r="K9" s="64">
        <v>8</v>
      </c>
      <c r="L9" s="64">
        <v>9</v>
      </c>
      <c r="M9" s="64">
        <v>10</v>
      </c>
    </row>
    <row r="10" spans="1:13" ht="15">
      <c r="A10" s="65" t="s">
        <v>190</v>
      </c>
      <c r="B10" s="37" t="s">
        <v>35</v>
      </c>
      <c r="C10" s="27"/>
      <c r="D10" s="66">
        <f>Ingresos!O20</f>
        <v>140356.6666666667</v>
      </c>
      <c r="E10" s="67">
        <f>D10*(1+$B$3)</f>
        <v>143865.58333333334</v>
      </c>
      <c r="F10" s="67">
        <f>E10*(1+$B$3)</f>
        <v>147462.22291666665</v>
      </c>
      <c r="G10" s="67">
        <f aca="true" t="shared" si="0" ref="G10:M10">F10*(1+$B$3)</f>
        <v>151148.77848958332</v>
      </c>
      <c r="H10" s="67">
        <f t="shared" si="0"/>
        <v>154927.49795182288</v>
      </c>
      <c r="I10" s="67">
        <f t="shared" si="0"/>
        <v>158800.68540061844</v>
      </c>
      <c r="J10" s="67">
        <f t="shared" si="0"/>
        <v>162770.7025356339</v>
      </c>
      <c r="K10" s="67">
        <f t="shared" si="0"/>
        <v>166839.97009902474</v>
      </c>
      <c r="L10" s="67">
        <f t="shared" si="0"/>
        <v>171010.96935150033</v>
      </c>
      <c r="M10" s="67">
        <f t="shared" si="0"/>
        <v>175286.24358528783</v>
      </c>
    </row>
    <row r="11" ht="15">
      <c r="E11" s="24"/>
    </row>
    <row r="12" spans="2:13" ht="15">
      <c r="B12" s="37" t="s">
        <v>183</v>
      </c>
      <c r="D12" s="12">
        <f aca="true" t="shared" si="1" ref="D12:M12">SUM(D13:D16)</f>
        <v>69976.18433333335</v>
      </c>
      <c r="E12" s="12">
        <f t="shared" si="1"/>
        <v>71346.94825333334</v>
      </c>
      <c r="F12" s="12">
        <f t="shared" si="1"/>
        <v>72752.29935013334</v>
      </c>
      <c r="G12" s="12">
        <f t="shared" si="1"/>
        <v>74193.24733151533</v>
      </c>
      <c r="H12" s="12">
        <f t="shared" si="1"/>
        <v>75670.83423238261</v>
      </c>
      <c r="I12" s="12">
        <f t="shared" si="1"/>
        <v>74666.1355010192</v>
      </c>
      <c r="J12" s="12">
        <f t="shared" si="1"/>
        <v>76220.26112269062</v>
      </c>
      <c r="K12" s="12">
        <f t="shared" si="1"/>
        <v>77814.35678188258</v>
      </c>
      <c r="L12" s="12">
        <f t="shared" si="1"/>
        <v>79449.60506451972</v>
      </c>
      <c r="M12" s="12">
        <f t="shared" si="1"/>
        <v>81127.22670155323</v>
      </c>
    </row>
    <row r="13" spans="1:13" ht="15">
      <c r="A13" s="36" t="s">
        <v>191</v>
      </c>
      <c r="B13" s="36" t="s">
        <v>192</v>
      </c>
      <c r="C13" s="39"/>
      <c r="D13" s="11">
        <f>Gastos!O26</f>
        <v>44631.86800000001</v>
      </c>
      <c r="E13" s="11">
        <f aca="true" t="shared" si="2" ref="E13:M13">D13*(1+$B$4)</f>
        <v>45301.346020000005</v>
      </c>
      <c r="F13" s="11">
        <f t="shared" si="2"/>
        <v>45980.8662103</v>
      </c>
      <c r="G13" s="11">
        <f t="shared" si="2"/>
        <v>46670.5792034545</v>
      </c>
      <c r="H13" s="11">
        <f t="shared" si="2"/>
        <v>47370.63789150631</v>
      </c>
      <c r="I13" s="11">
        <f t="shared" si="2"/>
        <v>48081.1974598789</v>
      </c>
      <c r="J13" s="11">
        <f t="shared" si="2"/>
        <v>48802.41542177708</v>
      </c>
      <c r="K13" s="11">
        <f t="shared" si="2"/>
        <v>49534.45165310373</v>
      </c>
      <c r="L13" s="11">
        <f t="shared" si="2"/>
        <v>50277.46842790028</v>
      </c>
      <c r="M13" s="11">
        <f t="shared" si="2"/>
        <v>51031.63045431878</v>
      </c>
    </row>
    <row r="14" spans="1:13" ht="15">
      <c r="A14" s="36" t="s">
        <v>191</v>
      </c>
      <c r="B14" s="36" t="s">
        <v>178</v>
      </c>
      <c r="C14" s="39"/>
      <c r="D14" s="11">
        <f>Gastos!O57</f>
        <v>20036.74000000001</v>
      </c>
      <c r="E14" s="11">
        <f aca="true" t="shared" si="3" ref="E14:M14">D14*(1+$B$5)</f>
        <v>20738.025900000008</v>
      </c>
      <c r="F14" s="11">
        <f t="shared" si="3"/>
        <v>21463.856806500007</v>
      </c>
      <c r="G14" s="11">
        <f t="shared" si="3"/>
        <v>22215.091794727505</v>
      </c>
      <c r="H14" s="11">
        <f t="shared" si="3"/>
        <v>22992.620007542966</v>
      </c>
      <c r="I14" s="11">
        <f t="shared" si="3"/>
        <v>23797.36170780697</v>
      </c>
      <c r="J14" s="11">
        <f t="shared" si="3"/>
        <v>24630.26936758021</v>
      </c>
      <c r="K14" s="11">
        <f t="shared" si="3"/>
        <v>25492.328795445515</v>
      </c>
      <c r="L14" s="11">
        <f t="shared" si="3"/>
        <v>26384.560303286107</v>
      </c>
      <c r="M14" s="11">
        <f t="shared" si="3"/>
        <v>27308.01991390112</v>
      </c>
    </row>
    <row r="15" spans="1:13" ht="15">
      <c r="A15" s="36" t="s">
        <v>193</v>
      </c>
      <c r="B15" s="36" t="s">
        <v>203</v>
      </c>
      <c r="C15" s="58"/>
      <c r="D15" s="11">
        <f>Depreciaciones!F36</f>
        <v>2787.5763333333334</v>
      </c>
      <c r="E15" s="12">
        <f aca="true" t="shared" si="4" ref="E15:M15">D15</f>
        <v>2787.5763333333334</v>
      </c>
      <c r="F15" s="12">
        <f t="shared" si="4"/>
        <v>2787.5763333333334</v>
      </c>
      <c r="G15" s="12">
        <f t="shared" si="4"/>
        <v>2787.5763333333334</v>
      </c>
      <c r="H15" s="12">
        <f t="shared" si="4"/>
        <v>2787.5763333333334</v>
      </c>
      <c r="I15" s="12">
        <f t="shared" si="4"/>
        <v>2787.5763333333334</v>
      </c>
      <c r="J15" s="12">
        <f t="shared" si="4"/>
        <v>2787.5763333333334</v>
      </c>
      <c r="K15" s="12">
        <f t="shared" si="4"/>
        <v>2787.5763333333334</v>
      </c>
      <c r="L15" s="12">
        <f t="shared" si="4"/>
        <v>2787.5763333333334</v>
      </c>
      <c r="M15" s="12">
        <f t="shared" si="4"/>
        <v>2787.5763333333334</v>
      </c>
    </row>
    <row r="16" spans="1:13" ht="15">
      <c r="A16" s="36" t="s">
        <v>193</v>
      </c>
      <c r="B16" s="36" t="s">
        <v>238</v>
      </c>
      <c r="D16" s="11">
        <f>Amortizaciones!D37</f>
        <v>2520</v>
      </c>
      <c r="E16" s="11">
        <f>Amortizaciones!E37</f>
        <v>2520</v>
      </c>
      <c r="F16" s="11">
        <f>Amortizaciones!F37</f>
        <v>2520</v>
      </c>
      <c r="G16" s="11">
        <f>Amortizaciones!G37</f>
        <v>2520</v>
      </c>
      <c r="H16" s="11">
        <f>Amortizaciones!H37</f>
        <v>2520</v>
      </c>
      <c r="I16" s="11">
        <f>Amortizaciones!I37</f>
        <v>0</v>
      </c>
      <c r="J16" s="11">
        <f>Amortizaciones!J37</f>
        <v>0</v>
      </c>
      <c r="K16" s="11">
        <f>Amortizaciones!K37</f>
        <v>0</v>
      </c>
      <c r="L16" s="11">
        <f>Amortizaciones!L37</f>
        <v>0</v>
      </c>
      <c r="M16" s="11">
        <f>Amortizaciones!M37</f>
        <v>0</v>
      </c>
    </row>
    <row r="17" spans="2:13" ht="15">
      <c r="B17" s="36" t="s">
        <v>36</v>
      </c>
      <c r="D17" s="12">
        <f aca="true" t="shared" si="5" ref="D17:M17">D10-D12</f>
        <v>70380.48233333333</v>
      </c>
      <c r="E17" s="12">
        <f t="shared" si="5"/>
        <v>72518.63508000001</v>
      </c>
      <c r="F17" s="12">
        <f t="shared" si="5"/>
        <v>74709.92356653331</v>
      </c>
      <c r="G17" s="12">
        <f t="shared" si="5"/>
        <v>76955.53115806798</v>
      </c>
      <c r="H17" s="12">
        <f t="shared" si="5"/>
        <v>79256.66371944027</v>
      </c>
      <c r="I17" s="12">
        <f t="shared" si="5"/>
        <v>84134.54989959924</v>
      </c>
      <c r="J17" s="12">
        <f t="shared" si="5"/>
        <v>86550.44141294328</v>
      </c>
      <c r="K17" s="12">
        <f t="shared" si="5"/>
        <v>89025.61331714215</v>
      </c>
      <c r="L17" s="12">
        <f t="shared" si="5"/>
        <v>91561.3642869806</v>
      </c>
      <c r="M17" s="12">
        <f t="shared" si="5"/>
        <v>94159.0168837346</v>
      </c>
    </row>
    <row r="18" spans="2:13" ht="15">
      <c r="B18" s="36" t="s">
        <v>241</v>
      </c>
      <c r="D18" s="11">
        <f aca="true" t="shared" si="6" ref="D18:M18">D17*0.15</f>
        <v>10557.07235</v>
      </c>
      <c r="E18" s="11">
        <f t="shared" si="6"/>
        <v>10877.795262000001</v>
      </c>
      <c r="F18" s="11">
        <f t="shared" si="6"/>
        <v>11206.488534979997</v>
      </c>
      <c r="G18" s="11">
        <f t="shared" si="6"/>
        <v>11543.329673710197</v>
      </c>
      <c r="H18" s="11">
        <f t="shared" si="6"/>
        <v>11888.49955791604</v>
      </c>
      <c r="I18" s="11">
        <f t="shared" si="6"/>
        <v>12620.182484939885</v>
      </c>
      <c r="J18" s="11">
        <f t="shared" si="6"/>
        <v>12982.566211941492</v>
      </c>
      <c r="K18" s="11">
        <f t="shared" si="6"/>
        <v>13353.841997571322</v>
      </c>
      <c r="L18" s="11">
        <f t="shared" si="6"/>
        <v>13734.204643047091</v>
      </c>
      <c r="M18" s="11">
        <f t="shared" si="6"/>
        <v>14123.85253256019</v>
      </c>
    </row>
    <row r="19" spans="2:13" ht="15">
      <c r="B19" s="36" t="s">
        <v>240</v>
      </c>
      <c r="D19" s="11">
        <f aca="true" t="shared" si="7" ref="D19:M19">(D17-D18)*0.25</f>
        <v>14955.852495833333</v>
      </c>
      <c r="E19" s="11">
        <f t="shared" si="7"/>
        <v>15410.209954500002</v>
      </c>
      <c r="F19" s="11">
        <f t="shared" si="7"/>
        <v>15875.858757888329</v>
      </c>
      <c r="G19" s="11">
        <f t="shared" si="7"/>
        <v>16353.050371089446</v>
      </c>
      <c r="H19" s="11">
        <f t="shared" si="7"/>
        <v>16842.041040381057</v>
      </c>
      <c r="I19" s="11">
        <f t="shared" si="7"/>
        <v>17878.59185366484</v>
      </c>
      <c r="J19" s="11">
        <f t="shared" si="7"/>
        <v>18391.968800250448</v>
      </c>
      <c r="K19" s="11">
        <f t="shared" si="7"/>
        <v>18917.94282989271</v>
      </c>
      <c r="L19" s="11">
        <f t="shared" si="7"/>
        <v>19456.789910983378</v>
      </c>
      <c r="M19" s="11">
        <f t="shared" si="7"/>
        <v>20008.7910877936</v>
      </c>
    </row>
    <row r="20" spans="2:13" ht="15">
      <c r="B20" s="36" t="s">
        <v>242</v>
      </c>
      <c r="D20" s="12">
        <f aca="true" t="shared" si="8" ref="D20:M20">D17-D18-D19</f>
        <v>44867.5574875</v>
      </c>
      <c r="E20" s="12">
        <f t="shared" si="8"/>
        <v>46230.629863500006</v>
      </c>
      <c r="F20" s="12">
        <f t="shared" si="8"/>
        <v>47627.576273664985</v>
      </c>
      <c r="G20" s="12">
        <f t="shared" si="8"/>
        <v>49059.15111326834</v>
      </c>
      <c r="H20" s="12">
        <f t="shared" si="8"/>
        <v>50526.12312114317</v>
      </c>
      <c r="I20" s="12">
        <f t="shared" si="8"/>
        <v>53635.775560994516</v>
      </c>
      <c r="J20" s="12">
        <f t="shared" si="8"/>
        <v>55175.906400751344</v>
      </c>
      <c r="K20" s="12">
        <f t="shared" si="8"/>
        <v>56753.828489678126</v>
      </c>
      <c r="L20" s="12">
        <f t="shared" si="8"/>
        <v>58370.36973295013</v>
      </c>
      <c r="M20" s="12">
        <f t="shared" si="8"/>
        <v>60026.3732633808</v>
      </c>
    </row>
    <row r="21" spans="2:13" ht="15">
      <c r="B21" s="36" t="s">
        <v>243</v>
      </c>
      <c r="D21" s="12">
        <f>D15+D16</f>
        <v>5307.576333333333</v>
      </c>
      <c r="E21" s="12">
        <f aca="true" t="shared" si="9" ref="E21:M21">E15+E16</f>
        <v>5307.576333333333</v>
      </c>
      <c r="F21" s="12">
        <f t="shared" si="9"/>
        <v>5307.576333333333</v>
      </c>
      <c r="G21" s="12">
        <f t="shared" si="9"/>
        <v>5307.576333333333</v>
      </c>
      <c r="H21" s="12">
        <f t="shared" si="9"/>
        <v>5307.576333333333</v>
      </c>
      <c r="I21" s="12">
        <f t="shared" si="9"/>
        <v>2787.5763333333334</v>
      </c>
      <c r="J21" s="12">
        <f t="shared" si="9"/>
        <v>2787.5763333333334</v>
      </c>
      <c r="K21" s="12">
        <f t="shared" si="9"/>
        <v>2787.5763333333334</v>
      </c>
      <c r="L21" s="12">
        <f t="shared" si="9"/>
        <v>2787.5763333333334</v>
      </c>
      <c r="M21" s="12">
        <f t="shared" si="9"/>
        <v>2787.5763333333334</v>
      </c>
    </row>
    <row r="22" spans="2:13" ht="15">
      <c r="B22" s="36" t="s">
        <v>244</v>
      </c>
      <c r="C22" s="11">
        <f>-'Inv. total'!D20</f>
        <v>-228515.5476</v>
      </c>
      <c r="D22" s="11">
        <f>-'Calendario de Inversiones'!E36</f>
        <v>0</v>
      </c>
      <c r="E22" s="11">
        <f>-'Calendario de Inversiones'!F36</f>
        <v>0</v>
      </c>
      <c r="F22" s="11">
        <f>-'Calendario de Inversiones'!G36</f>
        <v>-880</v>
      </c>
      <c r="G22" s="11">
        <f>-'Calendario de Inversiones'!H36</f>
        <v>0</v>
      </c>
      <c r="H22" s="11">
        <f>-'Calendario de Inversiones'!I36</f>
        <v>-5233</v>
      </c>
      <c r="I22" s="11">
        <f>-'Calendario de Inversiones'!J36</f>
        <v>-880</v>
      </c>
      <c r="J22" s="11">
        <f>-'Calendario de Inversiones'!K36</f>
        <v>0</v>
      </c>
      <c r="K22" s="11">
        <f>-'Calendario de Inversiones'!L36</f>
        <v>0</v>
      </c>
      <c r="L22" s="11">
        <f>-'Calendario de Inversiones'!M36</f>
        <v>-880</v>
      </c>
      <c r="M22" s="11">
        <f>-'Calendario de Inversiones'!N36</f>
        <v>0</v>
      </c>
    </row>
    <row r="23" spans="2:13" ht="15">
      <c r="B23" s="36" t="s">
        <v>100</v>
      </c>
      <c r="C23" s="11"/>
      <c r="D23" s="11"/>
      <c r="E23" s="11"/>
      <c r="F23" s="11"/>
      <c r="G23" s="11"/>
      <c r="H23" s="11"/>
      <c r="M23" s="11">
        <f>Depreciaciones!I36</f>
        <v>586.6666666666667</v>
      </c>
    </row>
    <row r="24" spans="2:13" ht="15">
      <c r="B24" s="36" t="s">
        <v>245</v>
      </c>
      <c r="C24" s="11">
        <v>0</v>
      </c>
      <c r="D24" s="11"/>
      <c r="E24" s="11"/>
      <c r="F24" s="11"/>
      <c r="G24" s="11"/>
      <c r="H24" s="11"/>
      <c r="M24" s="11"/>
    </row>
    <row r="25" spans="2:13" ht="15">
      <c r="B25" s="36" t="s">
        <v>246</v>
      </c>
      <c r="C25" s="11"/>
      <c r="D25" s="11"/>
      <c r="E25" s="11"/>
      <c r="F25" s="11"/>
      <c r="G25" s="11"/>
      <c r="H25" s="11"/>
      <c r="M25" s="11">
        <v>0</v>
      </c>
    </row>
    <row r="26" spans="2:13" ht="15">
      <c r="B26" s="36" t="s">
        <v>250</v>
      </c>
      <c r="C26" s="12">
        <f>SUM(C22:C25)</f>
        <v>-228515.5476</v>
      </c>
      <c r="D26" s="12">
        <f aca="true" t="shared" si="10" ref="D26:M26">SUM(D20:D25)</f>
        <v>50175.13382083333</v>
      </c>
      <c r="E26" s="12">
        <f t="shared" si="10"/>
        <v>51538.20619683334</v>
      </c>
      <c r="F26" s="12">
        <f t="shared" si="10"/>
        <v>52055.152606998316</v>
      </c>
      <c r="G26" s="12">
        <f t="shared" si="10"/>
        <v>54366.72744660167</v>
      </c>
      <c r="H26" s="12">
        <f t="shared" si="10"/>
        <v>50600.699454476504</v>
      </c>
      <c r="I26" s="12">
        <f t="shared" si="10"/>
        <v>55543.35189432785</v>
      </c>
      <c r="J26" s="12">
        <f t="shared" si="10"/>
        <v>57963.482734084675</v>
      </c>
      <c r="K26" s="12">
        <f t="shared" si="10"/>
        <v>59541.40482301146</v>
      </c>
      <c r="L26" s="12">
        <f t="shared" si="10"/>
        <v>60277.94606628346</v>
      </c>
      <c r="M26" s="12">
        <f t="shared" si="10"/>
        <v>63400.6162633808</v>
      </c>
    </row>
    <row r="27" spans="2:3" ht="15">
      <c r="B27" s="36" t="s">
        <v>252</v>
      </c>
      <c r="C27" s="18">
        <f>TMAR!C18</f>
        <v>0.15304253798396694</v>
      </c>
    </row>
    <row r="28" spans="2:3" ht="15">
      <c r="B28" s="36" t="s">
        <v>38</v>
      </c>
      <c r="C28" s="22">
        <f>IRR(C26:M26)</f>
        <v>0.19542134481305004</v>
      </c>
    </row>
    <row r="29" spans="2:3" ht="15">
      <c r="B29" s="36" t="s">
        <v>37</v>
      </c>
      <c r="C29" s="11">
        <f>NPV(C27,D26:M26)+C26</f>
        <v>39385.269576622</v>
      </c>
    </row>
  </sheetData>
  <sheetProtection/>
  <mergeCells count="2">
    <mergeCell ref="C8:L8"/>
    <mergeCell ref="B7:M7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7">
      <selection activeCell="G17" sqref="G17"/>
    </sheetView>
  </sheetViews>
  <sheetFormatPr defaultColWidth="11.421875" defaultRowHeight="15"/>
  <cols>
    <col min="8" max="8" width="0" style="0" hidden="1" customWidth="1"/>
  </cols>
  <sheetData>
    <row r="1" ht="15.75" thickBot="1"/>
    <row r="2" spans="2:3" ht="15">
      <c r="B2" s="73" t="s">
        <v>257</v>
      </c>
      <c r="C2" s="74">
        <f>C6+C7*(C5-C6)+C3</f>
        <v>0.24474</v>
      </c>
    </row>
    <row r="3" spans="2:6" ht="15">
      <c r="B3" s="75" t="s">
        <v>258</v>
      </c>
      <c r="C3" s="87">
        <v>0.1035</v>
      </c>
      <c r="E3" t="s">
        <v>261</v>
      </c>
      <c r="F3">
        <v>0.11</v>
      </c>
    </row>
    <row r="4" spans="2:6" ht="15">
      <c r="B4" s="75" t="s">
        <v>259</v>
      </c>
      <c r="C4" s="81">
        <f>Amortizaciones!C2</f>
        <v>0.1089217044895508</v>
      </c>
      <c r="E4" t="s">
        <v>258</v>
      </c>
      <c r="F4" s="18">
        <v>0.067</v>
      </c>
    </row>
    <row r="5" spans="2:6" ht="15">
      <c r="B5" s="75" t="s">
        <v>260</v>
      </c>
      <c r="C5" s="76">
        <v>0.154</v>
      </c>
      <c r="E5" t="s">
        <v>295</v>
      </c>
      <c r="F5">
        <v>0.71</v>
      </c>
    </row>
    <row r="6" spans="2:7" ht="15">
      <c r="B6" s="75" t="s">
        <v>261</v>
      </c>
      <c r="C6" s="76">
        <v>0.11</v>
      </c>
      <c r="E6" t="s">
        <v>260</v>
      </c>
      <c r="F6" s="18">
        <v>0.154</v>
      </c>
      <c r="G6">
        <v>0.154</v>
      </c>
    </row>
    <row r="7" spans="2:7" ht="15">
      <c r="B7" s="75" t="s">
        <v>262</v>
      </c>
      <c r="C7" s="111">
        <v>0.71</v>
      </c>
      <c r="E7" t="s">
        <v>268</v>
      </c>
      <c r="F7" s="18">
        <v>0.1035</v>
      </c>
      <c r="G7">
        <v>0.1035</v>
      </c>
    </row>
    <row r="8" spans="2:3" ht="15.75" thickBot="1">
      <c r="B8" s="77" t="s">
        <v>263</v>
      </c>
      <c r="C8" s="76">
        <f>'Inv. total'!D25/'Inv. total'!D20</f>
        <v>0.56239301417231</v>
      </c>
    </row>
    <row r="9" spans="1:3" ht="15.75" thickBot="1">
      <c r="A9" t="s">
        <v>272</v>
      </c>
      <c r="B9" s="78" t="s">
        <v>264</v>
      </c>
      <c r="C9" s="72">
        <f>+C4*C8*(1-0.25)+C2*(1-C8)</f>
        <v>0.15304253798396694</v>
      </c>
    </row>
    <row r="10" spans="6:11" ht="15">
      <c r="F10" s="27"/>
      <c r="G10" s="138"/>
      <c r="H10" s="27"/>
      <c r="I10" s="27"/>
      <c r="J10" s="27"/>
      <c r="K10" s="124"/>
    </row>
    <row r="11" spans="3:11" ht="15">
      <c r="C11" t="s">
        <v>269</v>
      </c>
      <c r="F11" s="27"/>
      <c r="G11" s="138"/>
      <c r="H11" s="27"/>
      <c r="I11" s="27"/>
      <c r="J11" s="27"/>
      <c r="K11" s="139"/>
    </row>
    <row r="12" spans="6:11" ht="15">
      <c r="F12" s="27"/>
      <c r="G12" s="139"/>
      <c r="H12" s="27"/>
      <c r="I12" s="27"/>
      <c r="J12" s="27"/>
      <c r="K12" s="124"/>
    </row>
    <row r="13" spans="2:11" ht="15">
      <c r="B13" t="s">
        <v>294</v>
      </c>
      <c r="C13" t="s">
        <v>270</v>
      </c>
      <c r="D13" s="86">
        <f>(F3+F5*(G6-F3))+G7</f>
        <v>0.24474</v>
      </c>
      <c r="F13" s="27"/>
      <c r="G13" s="139"/>
      <c r="H13" s="27"/>
      <c r="I13" s="27"/>
      <c r="J13" s="140"/>
      <c r="K13" s="141"/>
    </row>
    <row r="14" spans="6:11" ht="15">
      <c r="F14" s="27"/>
      <c r="G14" s="139"/>
      <c r="H14" s="27"/>
      <c r="I14" s="27"/>
      <c r="J14" s="27"/>
      <c r="K14" s="124"/>
    </row>
    <row r="15" spans="10:11" ht="15">
      <c r="J15" s="27"/>
      <c r="K15" s="27"/>
    </row>
    <row r="16" spans="2:11" ht="15">
      <c r="B16" t="s">
        <v>271</v>
      </c>
      <c r="C16" s="17">
        <f>'Inv. total'!D25/'Inv. total'!D20</f>
        <v>0.56239301417231</v>
      </c>
      <c r="J16" s="125"/>
      <c r="K16" s="125"/>
    </row>
    <row r="17" spans="2:3" ht="15">
      <c r="B17" t="s">
        <v>259</v>
      </c>
      <c r="C17" s="18">
        <f>Amortizaciones!C2</f>
        <v>0.1089217044895508</v>
      </c>
    </row>
    <row r="18" spans="2:3" ht="15">
      <c r="B18" t="s">
        <v>252</v>
      </c>
      <c r="C18" s="86">
        <f>(C17*C16*(1-0.25)+D13*(1-C16))</f>
        <v>0.15304253798396694</v>
      </c>
    </row>
  </sheetData>
  <sheetProtection/>
  <printOptions/>
  <pageMargins left="0.75" right="0.75" top="1" bottom="1" header="0" footer="0"/>
  <pageSetup horizontalDpi="600" verticalDpi="600" orientation="portrait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C3:G13"/>
  <sheetViews>
    <sheetView zoomScalePageLayoutView="0" workbookViewId="0" topLeftCell="A2">
      <selection activeCell="F15" sqref="F15"/>
    </sheetView>
  </sheetViews>
  <sheetFormatPr defaultColWidth="11.421875" defaultRowHeight="15"/>
  <cols>
    <col min="3" max="3" width="9.57421875" style="0" customWidth="1"/>
    <col min="4" max="4" width="11.140625" style="0" customWidth="1"/>
    <col min="5" max="5" width="10.28125" style="0" customWidth="1"/>
    <col min="6" max="6" width="14.57421875" style="0" customWidth="1"/>
    <col min="7" max="7" width="16.00390625" style="0" customWidth="1"/>
  </cols>
  <sheetData>
    <row r="3" spans="3:7" ht="25.5">
      <c r="C3" s="117" t="s">
        <v>253</v>
      </c>
      <c r="D3" s="117" t="s">
        <v>254</v>
      </c>
      <c r="E3" s="117" t="s">
        <v>234</v>
      </c>
      <c r="F3" s="117" t="s">
        <v>255</v>
      </c>
      <c r="G3" s="117" t="s">
        <v>256</v>
      </c>
    </row>
    <row r="4" spans="3:7" ht="15">
      <c r="C4" s="79">
        <v>1</v>
      </c>
      <c r="D4" s="80">
        <f>-'FC Accionistas'!C29</f>
        <v>101114.329</v>
      </c>
      <c r="E4" s="118">
        <f>'FC Accionistas'!D29</f>
        <v>26890.4062636138</v>
      </c>
      <c r="F4" s="80">
        <f>D4*TMAR!$C$2</f>
        <v>24746.72087946</v>
      </c>
      <c r="G4" s="80">
        <f>E4-F4</f>
        <v>2143.6853841537995</v>
      </c>
    </row>
    <row r="5" spans="3:7" ht="15">
      <c r="C5" s="79">
        <v>2</v>
      </c>
      <c r="D5" s="80">
        <f>D4-G4</f>
        <v>98970.6436158462</v>
      </c>
      <c r="E5" s="118">
        <f>'FC Accionistas'!E29</f>
        <v>27695.94047409219</v>
      </c>
      <c r="F5" s="80">
        <f>D5*TMAR!$C$2</f>
        <v>24222.0753185422</v>
      </c>
      <c r="G5" s="80">
        <f aca="true" t="shared" si="0" ref="G5:G12">E5-F5</f>
        <v>3473.865155549989</v>
      </c>
    </row>
    <row r="6" spans="3:7" ht="15">
      <c r="C6" s="79">
        <v>3</v>
      </c>
      <c r="D6" s="80">
        <f aca="true" t="shared" si="1" ref="D6:D13">D5-G5</f>
        <v>95496.77846029622</v>
      </c>
      <c r="E6" s="118">
        <f>'FC Accionistas'!F29</f>
        <v>27595.605382075417</v>
      </c>
      <c r="F6" s="80">
        <f>D6*TMAR!$C$2</f>
        <v>23371.881560372898</v>
      </c>
      <c r="G6" s="80">
        <f t="shared" si="0"/>
        <v>4223.723821702519</v>
      </c>
    </row>
    <row r="7" spans="3:7" ht="15">
      <c r="C7" s="79">
        <v>4</v>
      </c>
      <c r="D7" s="80">
        <f t="shared" si="1"/>
        <v>91273.0546385937</v>
      </c>
      <c r="E7" s="118">
        <f>'FC Accionistas'!G29</f>
        <v>40466.81686758421</v>
      </c>
      <c r="F7" s="80">
        <f>D7*TMAR!$C$2</f>
        <v>22338.167392249423</v>
      </c>
      <c r="G7" s="80">
        <f t="shared" si="0"/>
        <v>18128.649475334787</v>
      </c>
    </row>
    <row r="8" spans="3:7" ht="15">
      <c r="C8" s="79">
        <v>5</v>
      </c>
      <c r="D8" s="80">
        <f>D7-G7</f>
        <v>73144.40516325893</v>
      </c>
      <c r="E8" s="118">
        <f>'FC Accionistas'!H29</f>
        <v>36372.05707934845</v>
      </c>
      <c r="F8" s="80">
        <f>D8*TMAR!$C$2</f>
        <v>17901.36171965599</v>
      </c>
      <c r="G8" s="80">
        <f t="shared" si="0"/>
        <v>18470.69535969246</v>
      </c>
    </row>
    <row r="9" spans="3:7" ht="15">
      <c r="C9" s="79">
        <v>6</v>
      </c>
      <c r="D9" s="80">
        <f>D8-G8</f>
        <v>54673.70980356647</v>
      </c>
      <c r="E9" s="118">
        <f>'FC Accionistas'!I29</f>
        <v>40949.81722551701</v>
      </c>
      <c r="F9" s="80">
        <f>D9*TMAR!$C$2</f>
        <v>13380.843737324858</v>
      </c>
      <c r="G9" s="80">
        <f t="shared" si="0"/>
        <v>27568.973488192147</v>
      </c>
    </row>
    <row r="10" spans="3:7" ht="15">
      <c r="C10" s="79">
        <v>7</v>
      </c>
      <c r="D10" s="80">
        <f t="shared" si="1"/>
        <v>27104.73631537432</v>
      </c>
      <c r="E10" s="118">
        <f>'FC Accionistas'!J29</f>
        <v>42964.91761928598</v>
      </c>
      <c r="F10" s="80">
        <f>D10*TMAR!$C$2</f>
        <v>6633.613165824711</v>
      </c>
      <c r="G10" s="80">
        <f t="shared" si="0"/>
        <v>36331.30445346127</v>
      </c>
    </row>
    <row r="11" spans="3:7" ht="15">
      <c r="C11" s="115">
        <v>8</v>
      </c>
      <c r="D11" s="116">
        <f t="shared" si="1"/>
        <v>-9226.56813808695</v>
      </c>
      <c r="E11" s="119">
        <f>'FC Accionistas'!K29</f>
        <v>44093.25591316622</v>
      </c>
      <c r="F11" s="116">
        <f>D11*TMAR!$C$2</f>
        <v>-2258.1102861154004</v>
      </c>
      <c r="G11" s="116">
        <f t="shared" si="0"/>
        <v>46351.36619928162</v>
      </c>
    </row>
    <row r="12" spans="3:7" ht="15">
      <c r="C12" s="79">
        <v>9</v>
      </c>
      <c r="D12" s="80">
        <f t="shared" si="1"/>
        <v>-55577.93433736857</v>
      </c>
      <c r="E12" s="118">
        <f>'FC Accionistas'!L29</f>
        <v>44330.75914393659</v>
      </c>
      <c r="F12" s="80">
        <f>D12*TMAR!$C$2</f>
        <v>-13602.143649727584</v>
      </c>
      <c r="G12" s="80">
        <f t="shared" si="0"/>
        <v>57932.90279366418</v>
      </c>
    </row>
    <row r="13" spans="3:7" ht="15">
      <c r="C13" s="79">
        <v>10</v>
      </c>
      <c r="D13" s="80">
        <f t="shared" si="1"/>
        <v>-113510.83713103275</v>
      </c>
      <c r="E13" s="118">
        <f>'FC Accionistas'!M29</f>
        <v>48013.82614715707</v>
      </c>
      <c r="F13" s="80">
        <f>D13*TMAR!$C$2</f>
        <v>-27780.642279448955</v>
      </c>
      <c r="G13" s="80">
        <f>E13-F13</f>
        <v>75794.46842660604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Q7" sqref="Q7"/>
    </sheetView>
  </sheetViews>
  <sheetFormatPr defaultColWidth="11.421875" defaultRowHeight="15"/>
  <cols>
    <col min="1" max="2" width="20.28125" style="42" bestFit="1" customWidth="1"/>
    <col min="3" max="3" width="29.8515625" style="42" customWidth="1"/>
    <col min="4" max="6" width="8.140625" style="43" customWidth="1"/>
    <col min="7" max="7" width="8.140625" style="48" customWidth="1"/>
    <col min="8" max="9" width="8.140625" style="43" customWidth="1"/>
  </cols>
  <sheetData>
    <row r="1" spans="4:14" ht="15">
      <c r="D1" s="135" t="s">
        <v>205</v>
      </c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3:14" ht="15">
      <c r="C2" s="44"/>
      <c r="D2" s="53">
        <v>0</v>
      </c>
      <c r="E2" s="53">
        <v>1</v>
      </c>
      <c r="F2" s="53">
        <v>2</v>
      </c>
      <c r="G2" s="54">
        <v>3</v>
      </c>
      <c r="H2" s="53">
        <v>4</v>
      </c>
      <c r="I2" s="53">
        <v>5</v>
      </c>
      <c r="J2" s="54">
        <v>6</v>
      </c>
      <c r="K2" s="53">
        <v>7</v>
      </c>
      <c r="L2" s="53">
        <v>8</v>
      </c>
      <c r="M2" s="54">
        <v>9</v>
      </c>
      <c r="N2" s="53">
        <v>10</v>
      </c>
    </row>
    <row r="3" spans="1:15" ht="15">
      <c r="A3" s="41" t="s">
        <v>213</v>
      </c>
      <c r="B3" s="45" t="s">
        <v>96</v>
      </c>
      <c r="C3" s="46" t="str">
        <f>Depreciaciones!C3</f>
        <v>Telefonos</v>
      </c>
      <c r="D3" s="55">
        <f>Depreciaciones!D3</f>
        <v>16</v>
      </c>
      <c r="E3" s="60">
        <f>IF(Depreciaciones!E3=1,Depreciaciones!D3,0)</f>
        <v>0</v>
      </c>
      <c r="F3" s="60">
        <f>IF(Depreciaciones!E3=1,Depreciaciones!D3,0)</f>
        <v>0</v>
      </c>
      <c r="G3" s="60">
        <f>IF(Depreciaciones!E3=3,Depreciaciones!D3,0)</f>
        <v>0</v>
      </c>
      <c r="H3" s="60">
        <f>IF(Depreciaciones!E3=4,Depreciaciones!D3,0)</f>
        <v>0</v>
      </c>
      <c r="I3" s="60">
        <f>IF(Depreciaciones!E3=5,Depreciaciones!D3,0)</f>
        <v>16</v>
      </c>
      <c r="J3" s="60">
        <f>IF(Depreciaciones!E3=6,Depreciaciones!D3,0)</f>
        <v>0</v>
      </c>
      <c r="K3" s="60">
        <f>IF(Depreciaciones!E3=7,Depreciaciones!D3,0)</f>
        <v>0</v>
      </c>
      <c r="L3" s="60">
        <f>IF(Depreciaciones!E3=8,Depreciaciones!D3,0)</f>
        <v>0</v>
      </c>
      <c r="M3" s="60">
        <f>IF(Depreciaciones!E3=9,Depreciaciones!D3,0)</f>
        <v>0</v>
      </c>
      <c r="N3" s="60">
        <f>IF(Depreciaciones!E3=4,0,0)</f>
        <v>0</v>
      </c>
      <c r="O3" s="12">
        <f aca="true" t="shared" si="0" ref="O3:O35">SUM(E3:N3)</f>
        <v>16</v>
      </c>
    </row>
    <row r="4" spans="2:15" ht="15">
      <c r="B4" s="49"/>
      <c r="C4" s="46" t="str">
        <f>Depreciaciones!C4</f>
        <v>Aires Acondicionados</v>
      </c>
      <c r="D4" s="55">
        <f>Depreciaciones!D4</f>
        <v>2690</v>
      </c>
      <c r="E4" s="60">
        <f>IF(Depreciaciones!E4=1,Depreciaciones!D4,0)</f>
        <v>0</v>
      </c>
      <c r="F4" s="60">
        <f>IF(Depreciaciones!E4=1,Depreciaciones!D4,0)</f>
        <v>0</v>
      </c>
      <c r="G4" s="60">
        <f>IF(Depreciaciones!E4=3,Depreciaciones!D4,0)</f>
        <v>0</v>
      </c>
      <c r="H4" s="60">
        <f>IF(Depreciaciones!E4=4,Depreciaciones!D4,0)</f>
        <v>0</v>
      </c>
      <c r="I4" s="60">
        <f>IF(Depreciaciones!E4=5,Depreciaciones!D4,0)</f>
        <v>0</v>
      </c>
      <c r="J4" s="60">
        <f>IF(Depreciaciones!E4=6,Depreciaciones!D4,0)</f>
        <v>0</v>
      </c>
      <c r="K4" s="60">
        <f>IF(Depreciaciones!E4=7,Depreciaciones!D4,0)</f>
        <v>0</v>
      </c>
      <c r="L4" s="60">
        <f>IF(Depreciaciones!E4=8,Depreciaciones!D4,0)</f>
        <v>0</v>
      </c>
      <c r="M4" s="60">
        <f>IF(Depreciaciones!E4=9,Depreciaciones!D4,0)</f>
        <v>0</v>
      </c>
      <c r="N4" s="60">
        <f>IF(Depreciaciones!E4=4,0,0)</f>
        <v>0</v>
      </c>
      <c r="O4" s="12">
        <f t="shared" si="0"/>
        <v>0</v>
      </c>
    </row>
    <row r="5" spans="2:15" ht="15">
      <c r="B5" s="49"/>
      <c r="C5" s="46" t="str">
        <f>Depreciaciones!C5</f>
        <v>Ventiladores</v>
      </c>
      <c r="D5" s="55">
        <f>Depreciaciones!D5</f>
        <v>88</v>
      </c>
      <c r="E5" s="60">
        <f>IF(Depreciaciones!E5=1,Depreciaciones!D5,0)</f>
        <v>0</v>
      </c>
      <c r="F5" s="60">
        <f>IF(Depreciaciones!E5=1,Depreciaciones!D5,0)</f>
        <v>0</v>
      </c>
      <c r="G5" s="60">
        <f>IF(Depreciaciones!E5=3,Depreciaciones!D5,0)</f>
        <v>0</v>
      </c>
      <c r="H5" s="60">
        <f>IF(Depreciaciones!E5=4,Depreciaciones!D5,0)</f>
        <v>0</v>
      </c>
      <c r="I5" s="60">
        <f>IF(Depreciaciones!E5=5,Depreciaciones!D5,0)</f>
        <v>88</v>
      </c>
      <c r="J5" s="60">
        <f>IF(Depreciaciones!E5=6,Depreciaciones!D5,0)</f>
        <v>0</v>
      </c>
      <c r="K5" s="60">
        <f>IF(Depreciaciones!E5=7,Depreciaciones!D5,0)</f>
        <v>0</v>
      </c>
      <c r="L5" s="60">
        <f>IF(Depreciaciones!E5=8,Depreciaciones!D5,0)</f>
        <v>0</v>
      </c>
      <c r="M5" s="60">
        <f>IF(Depreciaciones!E5=9,Depreciaciones!D5,0)</f>
        <v>0</v>
      </c>
      <c r="N5" s="60">
        <f>IF(Depreciaciones!E5=4,0,0)</f>
        <v>0</v>
      </c>
      <c r="O5" s="12">
        <f t="shared" si="0"/>
        <v>88</v>
      </c>
    </row>
    <row r="6" spans="2:15" ht="15">
      <c r="B6" s="45" t="s">
        <v>214</v>
      </c>
      <c r="C6" s="46" t="str">
        <f>Depreciaciones!C6</f>
        <v>Computadora</v>
      </c>
      <c r="D6" s="55">
        <f>Depreciaciones!D6</f>
        <v>780</v>
      </c>
      <c r="E6" s="60">
        <f>IF(Depreciaciones!E6=1,Depreciaciones!D6,0)</f>
        <v>0</v>
      </c>
      <c r="F6" s="60">
        <f>IF(Depreciaciones!E6=1,Depreciaciones!D6,0)</f>
        <v>0</v>
      </c>
      <c r="G6" s="60">
        <f>IF(Depreciaciones!E6=3,Depreciaciones!D6,0)</f>
        <v>780</v>
      </c>
      <c r="H6" s="60">
        <f>IF(Depreciaciones!E6=4,Depreciaciones!D6,0)</f>
        <v>0</v>
      </c>
      <c r="I6" s="60">
        <f>IF(Depreciaciones!E6=5,Depreciaciones!D6,0)</f>
        <v>0</v>
      </c>
      <c r="J6" s="60">
        <f>IF(Depreciaciones!E6=3,Depreciaciones!D6,0)</f>
        <v>780</v>
      </c>
      <c r="K6" s="60">
        <f>IF(Depreciaciones!E6=7,Depreciaciones!D6,0)</f>
        <v>0</v>
      </c>
      <c r="L6" s="60">
        <f>IF(Depreciaciones!E6=8,Depreciaciones!D6,0)</f>
        <v>0</v>
      </c>
      <c r="M6" s="60">
        <f>IF(Depreciaciones!E6=3,Depreciaciones!D6,0)</f>
        <v>780</v>
      </c>
      <c r="N6" s="60">
        <f>IF(Depreciaciones!E6=4,0,0)</f>
        <v>0</v>
      </c>
      <c r="O6" s="12">
        <f t="shared" si="0"/>
        <v>2340</v>
      </c>
    </row>
    <row r="7" spans="2:15" ht="15">
      <c r="B7" s="45"/>
      <c r="C7" s="46" t="str">
        <f>Depreciaciones!C7</f>
        <v>Impresora</v>
      </c>
      <c r="D7" s="55">
        <f>Depreciaciones!D7</f>
        <v>50</v>
      </c>
      <c r="E7" s="60">
        <f>IF(Depreciaciones!E7=1,Depreciaciones!D7,0)</f>
        <v>0</v>
      </c>
      <c r="F7" s="60">
        <f>IF(Depreciaciones!E7=1,Depreciaciones!D7,0)</f>
        <v>0</v>
      </c>
      <c r="G7" s="60">
        <f>IF(Depreciaciones!E7=3,Depreciaciones!D7,0)</f>
        <v>50</v>
      </c>
      <c r="H7" s="60">
        <f>IF(Depreciaciones!E7=4,Depreciaciones!D7,0)</f>
        <v>0</v>
      </c>
      <c r="I7" s="60">
        <f>IF(Depreciaciones!E7=5,Depreciaciones!D7,0)</f>
        <v>0</v>
      </c>
      <c r="J7" s="60">
        <f>IF(Depreciaciones!E7=3,Depreciaciones!D7,0)</f>
        <v>50</v>
      </c>
      <c r="K7" s="60">
        <f>IF(Depreciaciones!E7=7,Depreciaciones!D7,0)</f>
        <v>0</v>
      </c>
      <c r="L7" s="60">
        <f>IF(Depreciaciones!E7=8,Depreciaciones!D7,0)</f>
        <v>0</v>
      </c>
      <c r="M7" s="60">
        <f>IF(Depreciaciones!E7=3,Depreciaciones!D7,0)</f>
        <v>50</v>
      </c>
      <c r="N7" s="60">
        <f>IF(Depreciaciones!E7=4,0,0)</f>
        <v>0</v>
      </c>
      <c r="O7" s="12">
        <f t="shared" si="0"/>
        <v>150</v>
      </c>
    </row>
    <row r="8" spans="2:15" ht="15">
      <c r="B8" s="49"/>
      <c r="C8" s="46" t="str">
        <f>Depreciaciones!C8</f>
        <v>Fax</v>
      </c>
      <c r="D8" s="55">
        <f>Depreciaciones!D8</f>
        <v>50</v>
      </c>
      <c r="E8" s="60">
        <f>IF(Depreciaciones!E8=1,Depreciaciones!D8,0)</f>
        <v>0</v>
      </c>
      <c r="F8" s="60">
        <f>IF(Depreciaciones!E8=1,Depreciaciones!D8,0)</f>
        <v>0</v>
      </c>
      <c r="G8" s="60">
        <f>IF(Depreciaciones!E8=3,Depreciaciones!D8,0)</f>
        <v>50</v>
      </c>
      <c r="H8" s="60">
        <f>IF(Depreciaciones!E8=4,Depreciaciones!D8,0)</f>
        <v>0</v>
      </c>
      <c r="I8" s="60">
        <f>IF(Depreciaciones!E8=5,Depreciaciones!D8,0)</f>
        <v>0</v>
      </c>
      <c r="J8" s="60">
        <f>IF(Depreciaciones!E8=3,Depreciaciones!D8,0)</f>
        <v>50</v>
      </c>
      <c r="K8" s="60">
        <f>IF(Depreciaciones!E8=7,Depreciaciones!D8,0)</f>
        <v>0</v>
      </c>
      <c r="L8" s="60">
        <f>IF(Depreciaciones!E8=8,Depreciaciones!D8,0)</f>
        <v>0</v>
      </c>
      <c r="M8" s="60">
        <f>IF(Depreciaciones!E8=3,Depreciaciones!D8,0)</f>
        <v>50</v>
      </c>
      <c r="N8" s="60">
        <f>IF(Depreciaciones!E8=4,0,0)</f>
        <v>0</v>
      </c>
      <c r="O8" s="12">
        <f t="shared" si="0"/>
        <v>150</v>
      </c>
    </row>
    <row r="9" spans="2:15" ht="15">
      <c r="B9" s="45" t="s">
        <v>215</v>
      </c>
      <c r="C9" s="46" t="str">
        <f>Depreciaciones!C9</f>
        <v>Puertas</v>
      </c>
      <c r="D9" s="55">
        <f>Depreciaciones!D9</f>
        <v>828</v>
      </c>
      <c r="E9" s="60">
        <f>IF(Depreciaciones!E9=1,Depreciaciones!D9,0)</f>
        <v>0</v>
      </c>
      <c r="F9" s="60">
        <f>IF(Depreciaciones!E9=1,Depreciaciones!D9,0)</f>
        <v>0</v>
      </c>
      <c r="G9" s="60">
        <f>IF(Depreciaciones!E9=3,Depreciaciones!D9,0)</f>
        <v>0</v>
      </c>
      <c r="H9" s="60">
        <f>IF(Depreciaciones!E9=4,Depreciaciones!D9,0)</f>
        <v>0</v>
      </c>
      <c r="I9" s="60">
        <f>IF(Depreciaciones!E9=5,Depreciaciones!D9,0)</f>
        <v>0</v>
      </c>
      <c r="J9" s="60">
        <f>IF(Depreciaciones!E9=6,Depreciaciones!D9,0)</f>
        <v>0</v>
      </c>
      <c r="K9" s="60">
        <f>IF(Depreciaciones!E9=7,Depreciaciones!D9,0)</f>
        <v>0</v>
      </c>
      <c r="L9" s="60">
        <f>IF(Depreciaciones!E9=8,Depreciaciones!D9,0)</f>
        <v>0</v>
      </c>
      <c r="M9" s="60">
        <f>IF(Depreciaciones!E9=9,Depreciaciones!D9,0)</f>
        <v>0</v>
      </c>
      <c r="N9" s="60">
        <f>IF(Depreciaciones!E9=4,0,0)</f>
        <v>0</v>
      </c>
      <c r="O9" s="12">
        <f t="shared" si="0"/>
        <v>0</v>
      </c>
    </row>
    <row r="10" spans="2:15" ht="15">
      <c r="B10" s="49"/>
      <c r="C10" s="46" t="str">
        <f>Depreciaciones!C10</f>
        <v>Cerradura de baño</v>
      </c>
      <c r="D10" s="55">
        <f>Depreciaciones!D10</f>
        <v>36</v>
      </c>
      <c r="E10" s="60">
        <f>IF(Depreciaciones!E10=1,Depreciaciones!D10,0)</f>
        <v>0</v>
      </c>
      <c r="F10" s="60">
        <f>IF(Depreciaciones!E10=1,Depreciaciones!D10,0)</f>
        <v>0</v>
      </c>
      <c r="G10" s="60">
        <f>IF(Depreciaciones!E10=3,Depreciaciones!D10,0)</f>
        <v>0</v>
      </c>
      <c r="H10" s="60">
        <f>IF(Depreciaciones!E10=4,Depreciaciones!D10,0)</f>
        <v>0</v>
      </c>
      <c r="I10" s="60">
        <f>IF(Depreciaciones!E10=5,Depreciaciones!D10,0)</f>
        <v>0</v>
      </c>
      <c r="J10" s="60">
        <f>IF(Depreciaciones!E10=6,Depreciaciones!D10,0)</f>
        <v>0</v>
      </c>
      <c r="K10" s="60">
        <f>IF(Depreciaciones!E10=7,Depreciaciones!D10,0)</f>
        <v>0</v>
      </c>
      <c r="L10" s="60">
        <f>IF(Depreciaciones!E10=8,Depreciaciones!D10,0)</f>
        <v>0</v>
      </c>
      <c r="M10" s="60">
        <f>IF(Depreciaciones!E10=9,Depreciaciones!D10,0)</f>
        <v>0</v>
      </c>
      <c r="N10" s="60">
        <f>IF(Depreciaciones!E10=4,0,0)</f>
        <v>0</v>
      </c>
      <c r="O10" s="12">
        <f t="shared" si="0"/>
        <v>0</v>
      </c>
    </row>
    <row r="11" spans="2:15" ht="15">
      <c r="B11" s="49"/>
      <c r="C11" s="46" t="str">
        <f>Depreciaciones!C11</f>
        <v>Cerradura de cuatro</v>
      </c>
      <c r="D11" s="55">
        <f>Depreciaciones!D11</f>
        <v>42</v>
      </c>
      <c r="E11" s="60">
        <f>IF(Depreciaciones!E11=1,Depreciaciones!D11,0)</f>
        <v>0</v>
      </c>
      <c r="F11" s="60">
        <f>IF(Depreciaciones!E11=1,Depreciaciones!D11,0)</f>
        <v>0</v>
      </c>
      <c r="G11" s="60">
        <f>IF(Depreciaciones!E11=3,Depreciaciones!D11,0)</f>
        <v>0</v>
      </c>
      <c r="H11" s="60">
        <f>IF(Depreciaciones!E11=4,Depreciaciones!D11,0)</f>
        <v>0</v>
      </c>
      <c r="I11" s="60">
        <f>IF(Depreciaciones!E11=5,Depreciaciones!D11,0)</f>
        <v>0</v>
      </c>
      <c r="J11" s="60">
        <f>IF(Depreciaciones!E11=6,Depreciaciones!D11,0)</f>
        <v>0</v>
      </c>
      <c r="K11" s="60">
        <f>IF(Depreciaciones!E11=7,Depreciaciones!D11,0)</f>
        <v>0</v>
      </c>
      <c r="L11" s="60">
        <f>IF(Depreciaciones!E11=8,Depreciaciones!D11,0)</f>
        <v>0</v>
      </c>
      <c r="M11" s="60">
        <f>IF(Depreciaciones!E11=9,Depreciaciones!D11,0)</f>
        <v>0</v>
      </c>
      <c r="N11" s="60">
        <f>IF(Depreciaciones!E11=4,0,0)</f>
        <v>0</v>
      </c>
      <c r="O11" s="12">
        <f t="shared" si="0"/>
        <v>0</v>
      </c>
    </row>
    <row r="12" spans="2:15" ht="15">
      <c r="B12" s="49"/>
      <c r="C12" s="46" t="str">
        <f>Depreciaciones!C12</f>
        <v>Sillas de oficina</v>
      </c>
      <c r="D12" s="55">
        <f>Depreciaciones!D12</f>
        <v>180</v>
      </c>
      <c r="E12" s="60">
        <f>IF(Depreciaciones!E12=1,Depreciaciones!D12,0)</f>
        <v>0</v>
      </c>
      <c r="F12" s="60">
        <f>IF(Depreciaciones!E12=1,Depreciaciones!D12,0)</f>
        <v>0</v>
      </c>
      <c r="G12" s="60">
        <f>IF(Depreciaciones!E12=3,Depreciaciones!D12,0)</f>
        <v>0</v>
      </c>
      <c r="H12" s="60">
        <f>IF(Depreciaciones!E12=4,Depreciaciones!D12,0)</f>
        <v>0</v>
      </c>
      <c r="I12" s="60">
        <f>IF(Depreciaciones!E12=5,Depreciaciones!D12,0)</f>
        <v>180</v>
      </c>
      <c r="J12" s="60">
        <f>IF(Depreciaciones!E12=6,Depreciaciones!D12,0)</f>
        <v>0</v>
      </c>
      <c r="K12" s="60">
        <f>IF(Depreciaciones!E12=7,Depreciaciones!D12,0)</f>
        <v>0</v>
      </c>
      <c r="L12" s="60">
        <f>IF(Depreciaciones!E12=8,Depreciaciones!D12,0)</f>
        <v>0</v>
      </c>
      <c r="M12" s="60">
        <f>IF(Depreciaciones!E12=9,Depreciaciones!D12,0)</f>
        <v>0</v>
      </c>
      <c r="N12" s="60">
        <f>IF(Depreciaciones!E12=4,0,0)</f>
        <v>0</v>
      </c>
      <c r="O12" s="12">
        <f t="shared" si="0"/>
        <v>180</v>
      </c>
    </row>
    <row r="13" spans="2:15" ht="15">
      <c r="B13" s="45"/>
      <c r="C13" s="46" t="str">
        <f>Depreciaciones!C13</f>
        <v>Extintores</v>
      </c>
      <c r="D13" s="55">
        <f>Depreciaciones!D13</f>
        <v>60</v>
      </c>
      <c r="E13" s="60">
        <f>IF(Depreciaciones!E13=1,Depreciaciones!D13,0)</f>
        <v>0</v>
      </c>
      <c r="F13" s="60">
        <f>IF(Depreciaciones!E13=1,Depreciaciones!D13,0)</f>
        <v>0</v>
      </c>
      <c r="G13" s="60">
        <f>IF(Depreciaciones!E13=3,Depreciaciones!D13,0)</f>
        <v>0</v>
      </c>
      <c r="H13" s="60">
        <f>IF(Depreciaciones!E13=4,Depreciaciones!D13,0)</f>
        <v>0</v>
      </c>
      <c r="I13" s="60">
        <f>IF(Depreciaciones!E13=5,Depreciaciones!D13,0)</f>
        <v>60</v>
      </c>
      <c r="J13" s="60">
        <f>IF(Depreciaciones!E13=6,Depreciaciones!D13,0)</f>
        <v>0</v>
      </c>
      <c r="K13" s="60">
        <f>IF(Depreciaciones!E13=7,Depreciaciones!D13,0)</f>
        <v>0</v>
      </c>
      <c r="L13" s="60">
        <f>IF(Depreciaciones!E13=8,Depreciaciones!D13,0)</f>
        <v>0</v>
      </c>
      <c r="M13" s="60">
        <f>IF(Depreciaciones!E13=9,Depreciaciones!D13,0)</f>
        <v>0</v>
      </c>
      <c r="N13" s="60">
        <f>IF(Depreciaciones!E13=4,0,0)</f>
        <v>0</v>
      </c>
      <c r="O13" s="12">
        <f t="shared" si="0"/>
        <v>60</v>
      </c>
    </row>
    <row r="14" spans="2:15" ht="15">
      <c r="B14" s="45"/>
      <c r="C14" s="46" t="str">
        <f>Depreciaciones!C14</f>
        <v>Camas sencillas plaza 1 1/2</v>
      </c>
      <c r="D14" s="55">
        <f>Depreciaciones!D14</f>
        <v>2250</v>
      </c>
      <c r="E14" s="60">
        <f>IF(Depreciaciones!E14=1,Depreciaciones!D14,0)</f>
        <v>0</v>
      </c>
      <c r="F14" s="60">
        <f>IF(Depreciaciones!E14=1,Depreciaciones!D14,0)</f>
        <v>0</v>
      </c>
      <c r="G14" s="60">
        <f>IF(Depreciaciones!E14=3,Depreciaciones!D14,0)</f>
        <v>0</v>
      </c>
      <c r="H14" s="60">
        <f>IF(Depreciaciones!E14=4,Depreciaciones!D14,0)</f>
        <v>0</v>
      </c>
      <c r="I14" s="60">
        <f>IF(Depreciaciones!E14=5,Depreciaciones!D14,0)</f>
        <v>0</v>
      </c>
      <c r="J14" s="60">
        <f>IF(Depreciaciones!E14=6,Depreciaciones!D14,0)</f>
        <v>0</v>
      </c>
      <c r="K14" s="60">
        <f>IF(Depreciaciones!E14=7,Depreciaciones!D14,0)</f>
        <v>0</v>
      </c>
      <c r="L14" s="60">
        <f>IF(Depreciaciones!E14=8,Depreciaciones!D14,0)</f>
        <v>0</v>
      </c>
      <c r="M14" s="60">
        <f>IF(Depreciaciones!E14=9,Depreciaciones!D14,0)</f>
        <v>0</v>
      </c>
      <c r="N14" s="60">
        <f>IF(Depreciaciones!E14=4,0,0)</f>
        <v>0</v>
      </c>
      <c r="O14" s="12">
        <f t="shared" si="0"/>
        <v>0</v>
      </c>
    </row>
    <row r="15" spans="2:15" ht="15">
      <c r="B15" s="49"/>
      <c r="C15" s="46" t="str">
        <f>Depreciaciones!C15</f>
        <v>Camas de 2 plazas</v>
      </c>
      <c r="D15" s="55">
        <f>Depreciaciones!D15</f>
        <v>2100</v>
      </c>
      <c r="E15" s="60">
        <f>IF(Depreciaciones!E15=1,Depreciaciones!D15,0)</f>
        <v>0</v>
      </c>
      <c r="F15" s="60">
        <f>IF(Depreciaciones!E15=1,Depreciaciones!D15,0)</f>
        <v>0</v>
      </c>
      <c r="G15" s="60">
        <f>IF(Depreciaciones!E15=3,Depreciaciones!D15,0)</f>
        <v>0</v>
      </c>
      <c r="H15" s="60">
        <f>IF(Depreciaciones!E15=4,Depreciaciones!D15,0)</f>
        <v>0</v>
      </c>
      <c r="I15" s="60">
        <f>IF(Depreciaciones!E15=5,Depreciaciones!D15,0)</f>
        <v>0</v>
      </c>
      <c r="J15" s="60">
        <f>IF(Depreciaciones!E15=6,Depreciaciones!D15,0)</f>
        <v>0</v>
      </c>
      <c r="K15" s="60">
        <f>IF(Depreciaciones!E15=7,Depreciaciones!D15,0)</f>
        <v>0</v>
      </c>
      <c r="L15" s="60">
        <f>IF(Depreciaciones!E15=8,Depreciaciones!D15,0)</f>
        <v>0</v>
      </c>
      <c r="M15" s="60">
        <f>IF(Depreciaciones!E15=9,Depreciaciones!D15,0)</f>
        <v>0</v>
      </c>
      <c r="N15" s="60">
        <f>IF(Depreciaciones!E15=4,0,0)</f>
        <v>0</v>
      </c>
      <c r="O15" s="12">
        <f t="shared" si="0"/>
        <v>0</v>
      </c>
    </row>
    <row r="16" spans="2:15" ht="15">
      <c r="B16" s="49"/>
      <c r="C16" s="46" t="str">
        <f>Depreciaciones!C16</f>
        <v>Cortinas de dormitorio</v>
      </c>
      <c r="D16" s="55">
        <f>Depreciaciones!D16</f>
        <v>492</v>
      </c>
      <c r="E16" s="60">
        <f>IF(Depreciaciones!E16=1,Depreciaciones!D16,0)</f>
        <v>0</v>
      </c>
      <c r="F16" s="60">
        <f>IF(Depreciaciones!E16=1,Depreciaciones!D16,0)</f>
        <v>0</v>
      </c>
      <c r="G16" s="60">
        <f>IF(Depreciaciones!E16=3,Depreciaciones!D16,0)</f>
        <v>0</v>
      </c>
      <c r="H16" s="60">
        <f>IF(Depreciaciones!E16=4,Depreciaciones!D16,0)</f>
        <v>0</v>
      </c>
      <c r="I16" s="60">
        <f>IF(Depreciaciones!E16=5,Depreciaciones!D16,0)</f>
        <v>492</v>
      </c>
      <c r="J16" s="60">
        <f>IF(Depreciaciones!E16=6,Depreciaciones!D16,0)</f>
        <v>0</v>
      </c>
      <c r="K16" s="60">
        <f>IF(Depreciaciones!E16=7,Depreciaciones!D16,0)</f>
        <v>0</v>
      </c>
      <c r="L16" s="60">
        <f>IF(Depreciaciones!E16=8,Depreciaciones!D16,0)</f>
        <v>0</v>
      </c>
      <c r="M16" s="60">
        <f>IF(Depreciaciones!E16=9,Depreciaciones!D16,0)</f>
        <v>0</v>
      </c>
      <c r="N16" s="60">
        <f>IF(Depreciaciones!E16=4,0,0)</f>
        <v>0</v>
      </c>
      <c r="O16" s="12">
        <f t="shared" si="0"/>
        <v>492</v>
      </c>
    </row>
    <row r="17" spans="3:15" ht="15">
      <c r="C17" s="46" t="str">
        <f>Depreciaciones!C17</f>
        <v>Literas</v>
      </c>
      <c r="D17" s="55">
        <f>Depreciaciones!D17</f>
        <v>3200</v>
      </c>
      <c r="E17" s="60">
        <f>IF(Depreciaciones!E17=1,Depreciaciones!D17,0)</f>
        <v>0</v>
      </c>
      <c r="F17" s="60">
        <f>IF(Depreciaciones!E17=1,Depreciaciones!D17,0)</f>
        <v>0</v>
      </c>
      <c r="G17" s="60">
        <f>IF(Depreciaciones!E17=3,Depreciaciones!D17,0)</f>
        <v>0</v>
      </c>
      <c r="H17" s="60">
        <f>IF(Depreciaciones!E17=4,Depreciaciones!D17,0)</f>
        <v>0</v>
      </c>
      <c r="I17" s="60">
        <f>IF(Depreciaciones!E17=5,Depreciaciones!D17,0)</f>
        <v>0</v>
      </c>
      <c r="J17" s="60">
        <f>IF(Depreciaciones!E17=6,Depreciaciones!D17,0)</f>
        <v>0</v>
      </c>
      <c r="K17" s="60">
        <f>IF(Depreciaciones!E17=7,Depreciaciones!D17,0)</f>
        <v>0</v>
      </c>
      <c r="L17" s="60">
        <f>IF(Depreciaciones!E17=8,Depreciaciones!D17,0)</f>
        <v>0</v>
      </c>
      <c r="M17" s="60">
        <f>IF(Depreciaciones!E17=9,Depreciaciones!D17,0)</f>
        <v>0</v>
      </c>
      <c r="N17" s="60">
        <f>IF(Depreciaciones!E17=4,0,0)</f>
        <v>0</v>
      </c>
      <c r="O17" s="12">
        <f t="shared" si="0"/>
        <v>0</v>
      </c>
    </row>
    <row r="18" spans="3:15" ht="15">
      <c r="C18" s="46" t="str">
        <f>Depreciaciones!C18</f>
        <v>Veladores</v>
      </c>
      <c r="D18" s="55">
        <f>Depreciaciones!D18</f>
        <v>3600</v>
      </c>
      <c r="E18" s="60">
        <f>IF(Depreciaciones!E18=1,Depreciaciones!D18,0)</f>
        <v>0</v>
      </c>
      <c r="F18" s="60">
        <f>IF(Depreciaciones!E18=1,Depreciaciones!D18,0)</f>
        <v>0</v>
      </c>
      <c r="G18" s="60">
        <f>IF(Depreciaciones!E18=3,Depreciaciones!D18,0)</f>
        <v>0</v>
      </c>
      <c r="H18" s="60">
        <f>IF(Depreciaciones!E18=4,Depreciaciones!D18,0)</f>
        <v>0</v>
      </c>
      <c r="I18" s="60">
        <f>IF(Depreciaciones!E18=5,Depreciaciones!D18,0)</f>
        <v>3600</v>
      </c>
      <c r="J18" s="60">
        <f>IF(Depreciaciones!E18=6,Depreciaciones!D18,0)</f>
        <v>0</v>
      </c>
      <c r="K18" s="60">
        <f>IF(Depreciaciones!E18=7,Depreciaciones!D18,0)</f>
        <v>0</v>
      </c>
      <c r="L18" s="60">
        <f>IF(Depreciaciones!E18=8,Depreciaciones!D18,0)</f>
        <v>0</v>
      </c>
      <c r="M18" s="60">
        <f>IF(Depreciaciones!E18=9,Depreciaciones!D18,0)</f>
        <v>0</v>
      </c>
      <c r="N18" s="60">
        <f>IF(Depreciaciones!E18=4,0,0)</f>
        <v>0</v>
      </c>
      <c r="O18" s="12">
        <f t="shared" si="0"/>
        <v>3600</v>
      </c>
    </row>
    <row r="19" spans="3:15" ht="15">
      <c r="C19" s="46" t="str">
        <f>Depreciaciones!C19</f>
        <v>Varillas para closet</v>
      </c>
      <c r="D19" s="55">
        <f>Depreciaciones!D19</f>
        <v>120</v>
      </c>
      <c r="E19" s="60">
        <f>IF(Depreciaciones!E19=1,Depreciaciones!D19,0)</f>
        <v>0</v>
      </c>
      <c r="F19" s="60">
        <f>IF(Depreciaciones!E19=1,Depreciaciones!D19,0)</f>
        <v>0</v>
      </c>
      <c r="G19" s="60">
        <f>IF(Depreciaciones!E19=3,Depreciaciones!D19,0)</f>
        <v>0</v>
      </c>
      <c r="H19" s="60">
        <f>IF(Depreciaciones!E19=4,Depreciaciones!D19,0)</f>
        <v>0</v>
      </c>
      <c r="I19" s="60">
        <f>IF(Depreciaciones!E19=5,Depreciaciones!D19,0)</f>
        <v>0</v>
      </c>
      <c r="J19" s="60">
        <f>IF(Depreciaciones!E19=6,Depreciaciones!D19,0)</f>
        <v>0</v>
      </c>
      <c r="K19" s="60">
        <f>IF(Depreciaciones!E19=7,Depreciaciones!D19,0)</f>
        <v>0</v>
      </c>
      <c r="L19" s="60">
        <f>IF(Depreciaciones!E19=8,Depreciaciones!D19,0)</f>
        <v>0</v>
      </c>
      <c r="M19" s="60">
        <f>IF(Depreciaciones!E19=9,Depreciaciones!D19,0)</f>
        <v>0</v>
      </c>
      <c r="N19" s="60">
        <f>IF(Depreciaciones!E19=4,0,0)</f>
        <v>0</v>
      </c>
      <c r="O19" s="12">
        <f t="shared" si="0"/>
        <v>0</v>
      </c>
    </row>
    <row r="20" spans="3:15" ht="15">
      <c r="C20" s="46" t="str">
        <f>Depreciaciones!C20</f>
        <v>Varillas para baño</v>
      </c>
      <c r="D20" s="55">
        <f>Depreciaciones!D20</f>
        <v>104</v>
      </c>
      <c r="E20" s="60">
        <f>IF(Depreciaciones!E20=1,Depreciaciones!D20,0)</f>
        <v>0</v>
      </c>
      <c r="F20" s="60">
        <f>IF(Depreciaciones!E20=1,Depreciaciones!D20,0)</f>
        <v>0</v>
      </c>
      <c r="G20" s="60">
        <f>IF(Depreciaciones!E20=3,Depreciaciones!D20,0)</f>
        <v>0</v>
      </c>
      <c r="H20" s="60">
        <f>IF(Depreciaciones!E20=4,Depreciaciones!D20,0)</f>
        <v>0</v>
      </c>
      <c r="I20" s="60">
        <f>IF(Depreciaciones!E20=5,Depreciaciones!D20,0)</f>
        <v>0</v>
      </c>
      <c r="J20" s="60">
        <f>IF(Depreciaciones!E20=6,Depreciaciones!D20,0)</f>
        <v>0</v>
      </c>
      <c r="K20" s="60">
        <f>IF(Depreciaciones!E20=7,Depreciaciones!D20,0)</f>
        <v>0</v>
      </c>
      <c r="L20" s="60">
        <f>IF(Depreciaciones!E20=8,Depreciaciones!D20,0)</f>
        <v>0</v>
      </c>
      <c r="M20" s="60">
        <f>IF(Depreciaciones!E20=9,Depreciaciones!D20,0)</f>
        <v>0</v>
      </c>
      <c r="N20" s="60">
        <f>IF(Depreciaciones!E20=4,0,0)</f>
        <v>0</v>
      </c>
      <c r="O20" s="12">
        <f t="shared" si="0"/>
        <v>0</v>
      </c>
    </row>
    <row r="21" spans="3:15" ht="15">
      <c r="C21" s="46" t="str">
        <f>Depreciaciones!C21</f>
        <v>Juegos de accesorios para baño</v>
      </c>
      <c r="D21" s="55">
        <f>Depreciaciones!D21</f>
        <v>182</v>
      </c>
      <c r="E21" s="60">
        <f>IF(Depreciaciones!E21=1,Depreciaciones!D21,0)</f>
        <v>0</v>
      </c>
      <c r="F21" s="60">
        <f>IF(Depreciaciones!E21=1,Depreciaciones!D21,0)</f>
        <v>0</v>
      </c>
      <c r="G21" s="60">
        <f>IF(Depreciaciones!E21=3,Depreciaciones!D21,0)</f>
        <v>0</v>
      </c>
      <c r="H21" s="60">
        <f>IF(Depreciaciones!E21=4,Depreciaciones!D21,0)</f>
        <v>0</v>
      </c>
      <c r="I21" s="60">
        <f>IF(Depreciaciones!E21=5,Depreciaciones!D21,0)</f>
        <v>182</v>
      </c>
      <c r="J21" s="60">
        <f>IF(Depreciaciones!E21=6,Depreciaciones!D21,0)</f>
        <v>0</v>
      </c>
      <c r="K21" s="60">
        <f>IF(Depreciaciones!E21=7,Depreciaciones!D21,0)</f>
        <v>0</v>
      </c>
      <c r="L21" s="60">
        <f>IF(Depreciaciones!E21=8,Depreciaciones!D21,0)</f>
        <v>0</v>
      </c>
      <c r="M21" s="60">
        <f>IF(Depreciaciones!E21=9,Depreciaciones!D21,0)</f>
        <v>0</v>
      </c>
      <c r="N21" s="60">
        <f>IF(Depreciaciones!E21=4,0,0)</f>
        <v>0</v>
      </c>
      <c r="O21" s="12">
        <f t="shared" si="0"/>
        <v>182</v>
      </c>
    </row>
    <row r="22" spans="3:15" ht="15">
      <c r="C22" s="46" t="str">
        <f>Depreciaciones!C22</f>
        <v>Lamparas de techo</v>
      </c>
      <c r="D22" s="55">
        <f>Depreciaciones!D22</f>
        <v>375</v>
      </c>
      <c r="E22" s="60">
        <f>IF(Depreciaciones!E22=1,Depreciaciones!D22,0)</f>
        <v>0</v>
      </c>
      <c r="F22" s="60">
        <f>IF(Depreciaciones!E22=1,Depreciaciones!D22,0)</f>
        <v>0</v>
      </c>
      <c r="G22" s="60">
        <f>IF(Depreciaciones!E22=3,Depreciaciones!D22,0)</f>
        <v>0</v>
      </c>
      <c r="H22" s="60">
        <f>IF(Depreciaciones!E22=4,Depreciaciones!D22,0)</f>
        <v>0</v>
      </c>
      <c r="I22" s="60">
        <f>IF(Depreciaciones!E22=5,Depreciaciones!D22,0)</f>
        <v>375</v>
      </c>
      <c r="J22" s="60">
        <f>IF(Depreciaciones!E22=6,Depreciaciones!D22,0)</f>
        <v>0</v>
      </c>
      <c r="K22" s="60">
        <f>IF(Depreciaciones!E22=7,Depreciaciones!D22,0)</f>
        <v>0</v>
      </c>
      <c r="L22" s="60">
        <f>IF(Depreciaciones!E22=8,Depreciaciones!D22,0)</f>
        <v>0</v>
      </c>
      <c r="M22" s="60">
        <f>IF(Depreciaciones!E22=9,Depreciaciones!D22,0)</f>
        <v>0</v>
      </c>
      <c r="N22" s="60">
        <f>IF(Depreciaciones!E22=4,0,0)</f>
        <v>0</v>
      </c>
      <c r="O22" s="12">
        <f t="shared" si="0"/>
        <v>375</v>
      </c>
    </row>
    <row r="23" spans="3:15" ht="15">
      <c r="C23" s="46" t="str">
        <f>Depreciaciones!C23</f>
        <v>Lamparas de pared</v>
      </c>
      <c r="D23" s="55">
        <f>Depreciaciones!D23</f>
        <v>240</v>
      </c>
      <c r="E23" s="60">
        <f>IF(Depreciaciones!E23=1,Depreciaciones!D23,0)</f>
        <v>0</v>
      </c>
      <c r="F23" s="60">
        <f>IF(Depreciaciones!E23=1,Depreciaciones!D23,0)</f>
        <v>0</v>
      </c>
      <c r="G23" s="60">
        <f>IF(Depreciaciones!E23=3,Depreciaciones!D23,0)</f>
        <v>0</v>
      </c>
      <c r="H23" s="60">
        <f>IF(Depreciaciones!E23=4,Depreciaciones!D23,0)</f>
        <v>0</v>
      </c>
      <c r="I23" s="60">
        <f>IF(Depreciaciones!E23=5,Depreciaciones!D23,0)</f>
        <v>240</v>
      </c>
      <c r="J23" s="60">
        <f>IF(Depreciaciones!E23=6,Depreciaciones!D23,0)</f>
        <v>0</v>
      </c>
      <c r="K23" s="60">
        <f>IF(Depreciaciones!E23=7,Depreciaciones!D23,0)</f>
        <v>0</v>
      </c>
      <c r="L23" s="60">
        <f>IF(Depreciaciones!E23=8,Depreciaciones!D23,0)</f>
        <v>0</v>
      </c>
      <c r="M23" s="60">
        <f>IF(Depreciaciones!E23=9,Depreciaciones!D23,0)</f>
        <v>0</v>
      </c>
      <c r="N23" s="60">
        <f>IF(Depreciaciones!E23=4,0,0)</f>
        <v>0</v>
      </c>
      <c r="O23" s="12">
        <f t="shared" si="0"/>
        <v>240</v>
      </c>
    </row>
    <row r="24" spans="3:15" ht="15">
      <c r="C24" s="46" t="str">
        <f>Depreciaciones!C24</f>
        <v>Lavamanos </v>
      </c>
      <c r="D24" s="55">
        <f>Depreciaciones!D24</f>
        <v>149.5</v>
      </c>
      <c r="E24" s="60">
        <f>IF(Depreciaciones!E24=1,Depreciaciones!D24,0)</f>
        <v>0</v>
      </c>
      <c r="F24" s="60">
        <f>IF(Depreciaciones!E24=1,Depreciaciones!D24,0)</f>
        <v>0</v>
      </c>
      <c r="G24" s="60">
        <f>IF(Depreciaciones!E24=3,Depreciaciones!D24,0)</f>
        <v>0</v>
      </c>
      <c r="H24" s="60">
        <f>IF(Depreciaciones!E24=4,Depreciaciones!D24,0)</f>
        <v>0</v>
      </c>
      <c r="I24" s="60">
        <f>IF(Depreciaciones!E24=5,Depreciaciones!D24,0)</f>
        <v>0</v>
      </c>
      <c r="J24" s="60">
        <f>IF(Depreciaciones!E24=6,Depreciaciones!D24,0)</f>
        <v>0</v>
      </c>
      <c r="K24" s="60">
        <f>IF(Depreciaciones!E24=7,Depreciaciones!D24,0)</f>
        <v>0</v>
      </c>
      <c r="L24" s="60">
        <f>IF(Depreciaciones!E24=8,Depreciaciones!D24,0)</f>
        <v>0</v>
      </c>
      <c r="M24" s="60">
        <f>IF(Depreciaciones!E24=9,Depreciaciones!D24,0)</f>
        <v>0</v>
      </c>
      <c r="N24" s="60">
        <f>IF(Depreciaciones!E24=4,0,0)</f>
        <v>0</v>
      </c>
      <c r="O24" s="12">
        <f t="shared" si="0"/>
        <v>0</v>
      </c>
    </row>
    <row r="25" spans="3:15" ht="15">
      <c r="C25" s="46" t="str">
        <f>Depreciaciones!C25</f>
        <v>Sanitarios</v>
      </c>
      <c r="D25" s="55">
        <f>Depreciaciones!D25</f>
        <v>728</v>
      </c>
      <c r="E25" s="60">
        <f>IF(Depreciaciones!E25=1,Depreciaciones!D25,0)</f>
        <v>0</v>
      </c>
      <c r="F25" s="60">
        <f>IF(Depreciaciones!E25=1,Depreciaciones!D25,0)</f>
        <v>0</v>
      </c>
      <c r="G25" s="60">
        <f>IF(Depreciaciones!E25=3,Depreciaciones!D25,0)</f>
        <v>0</v>
      </c>
      <c r="H25" s="60">
        <f>IF(Depreciaciones!E25=4,Depreciaciones!D25,0)</f>
        <v>0</v>
      </c>
      <c r="I25" s="60">
        <f>IF(Depreciaciones!E25=5,Depreciaciones!D25,0)</f>
        <v>0</v>
      </c>
      <c r="J25" s="60">
        <f>IF(Depreciaciones!E25=6,Depreciaciones!D25,0)</f>
        <v>0</v>
      </c>
      <c r="K25" s="60">
        <f>IF(Depreciaciones!E25=7,Depreciaciones!D25,0)</f>
        <v>0</v>
      </c>
      <c r="L25" s="60">
        <f>IF(Depreciaciones!E25=8,Depreciaciones!D25,0)</f>
        <v>0</v>
      </c>
      <c r="M25" s="60">
        <f>IF(Depreciaciones!E25=9,Depreciaciones!D25,0)</f>
        <v>0</v>
      </c>
      <c r="N25" s="60">
        <f>IF(Depreciaciones!E25=4,0,0)</f>
        <v>0</v>
      </c>
      <c r="O25" s="12">
        <f t="shared" si="0"/>
        <v>0</v>
      </c>
    </row>
    <row r="26" spans="3:15" ht="15">
      <c r="C26" s="46" t="str">
        <f>Depreciaciones!C26</f>
        <v>Duchas</v>
      </c>
      <c r="D26" s="55">
        <f>Depreciaciones!D26</f>
        <v>260</v>
      </c>
      <c r="E26" s="60">
        <f>IF(Depreciaciones!E26=1,Depreciaciones!D26,0)</f>
        <v>0</v>
      </c>
      <c r="F26" s="60">
        <f>IF(Depreciaciones!E26=1,Depreciaciones!D26,0)</f>
        <v>0</v>
      </c>
      <c r="G26" s="60">
        <f>IF(Depreciaciones!E26=3,Depreciaciones!D26,0)</f>
        <v>0</v>
      </c>
      <c r="H26" s="60">
        <f>IF(Depreciaciones!E26=4,Depreciaciones!D26,0)</f>
        <v>0</v>
      </c>
      <c r="I26" s="60">
        <f>IF(Depreciaciones!E26=5,Depreciaciones!D26,0)</f>
        <v>0</v>
      </c>
      <c r="J26" s="60">
        <f>IF(Depreciaciones!E26=6,Depreciaciones!D26,0)</f>
        <v>0</v>
      </c>
      <c r="K26" s="60">
        <f>IF(Depreciaciones!E26=7,Depreciaciones!D26,0)</f>
        <v>0</v>
      </c>
      <c r="L26" s="60">
        <f>IF(Depreciaciones!E26=8,Depreciaciones!D26,0)</f>
        <v>0</v>
      </c>
      <c r="M26" s="60">
        <f>IF(Depreciaciones!E26=9,Depreciaciones!D26,0)</f>
        <v>0</v>
      </c>
      <c r="N26" s="60">
        <f>IF(Depreciaciones!E26=4,0,0)</f>
        <v>0</v>
      </c>
      <c r="O26" s="12">
        <f t="shared" si="0"/>
        <v>0</v>
      </c>
    </row>
    <row r="27" spans="3:15" ht="15">
      <c r="C27" s="46" t="str">
        <f>Depreciaciones!C27</f>
        <v>Casilleros</v>
      </c>
      <c r="D27" s="55">
        <f>Depreciaciones!D27</f>
        <v>150</v>
      </c>
      <c r="E27" s="60">
        <f>IF(Depreciaciones!E27=1,Depreciaciones!D27,0)</f>
        <v>0</v>
      </c>
      <c r="F27" s="60">
        <f>IF(Depreciaciones!E27=1,Depreciaciones!D27,0)</f>
        <v>0</v>
      </c>
      <c r="G27" s="60">
        <f>IF(Depreciaciones!E27=3,Depreciaciones!D27,0)</f>
        <v>0</v>
      </c>
      <c r="H27" s="60">
        <f>IF(Depreciaciones!E27=4,Depreciaciones!D27,0)</f>
        <v>0</v>
      </c>
      <c r="I27" s="60">
        <f>IF(Depreciaciones!E27=5,Depreciaciones!D27,0)</f>
        <v>0</v>
      </c>
      <c r="J27" s="60">
        <f>IF(Depreciaciones!E27=6,Depreciaciones!D27,0)</f>
        <v>0</v>
      </c>
      <c r="K27" s="60">
        <f>IF(Depreciaciones!E27=7,Depreciaciones!D27,0)</f>
        <v>0</v>
      </c>
      <c r="L27" s="60">
        <f>IF(Depreciaciones!E27=8,Depreciaciones!D27,0)</f>
        <v>0</v>
      </c>
      <c r="M27" s="60">
        <f>IF(Depreciaciones!E27=9,Depreciaciones!D27,0)</f>
        <v>0</v>
      </c>
      <c r="N27" s="60">
        <f>IF(Depreciaciones!E27=4,0,0)</f>
        <v>0</v>
      </c>
      <c r="O27" s="12">
        <f t="shared" si="0"/>
        <v>0</v>
      </c>
    </row>
    <row r="28" spans="3:15" ht="15">
      <c r="C28" s="46" t="str">
        <f>Depreciaciones!C28</f>
        <v>ojos de buey</v>
      </c>
      <c r="D28" s="55">
        <f>Depreciaciones!D28</f>
        <v>126.96000000000001</v>
      </c>
      <c r="E28" s="60">
        <f>IF(Depreciaciones!E28=1,Depreciaciones!D28,0)</f>
        <v>0</v>
      </c>
      <c r="F28" s="60">
        <f>IF(Depreciaciones!E28=1,Depreciaciones!D28,0)</f>
        <v>0</v>
      </c>
      <c r="G28" s="60">
        <f>IF(Depreciaciones!E28=3,Depreciaciones!D28,0)</f>
        <v>0</v>
      </c>
      <c r="H28" s="60">
        <f>IF(Depreciaciones!E28=4,Depreciaciones!D28,0)</f>
        <v>0</v>
      </c>
      <c r="I28" s="60">
        <f>IF(Depreciaciones!E28=5,Depreciaciones!D28,0)</f>
        <v>0</v>
      </c>
      <c r="J28" s="60">
        <f>IF(Depreciaciones!E28=6,Depreciaciones!D28,0)</f>
        <v>0</v>
      </c>
      <c r="K28" s="60">
        <f>IF(Depreciaciones!E28=7,Depreciaciones!D28,0)</f>
        <v>0</v>
      </c>
      <c r="L28" s="60">
        <f>IF(Depreciaciones!E28=8,Depreciaciones!D28,0)</f>
        <v>0</v>
      </c>
      <c r="M28" s="60">
        <f>IF(Depreciaciones!E28=9,Depreciaciones!D28,0)</f>
        <v>0</v>
      </c>
      <c r="N28" s="60">
        <f>IF(Depreciaciones!E28=4,0,0)</f>
        <v>0</v>
      </c>
      <c r="O28" s="12">
        <f t="shared" si="0"/>
        <v>0</v>
      </c>
    </row>
    <row r="29" spans="3:15" ht="15">
      <c r="C29" s="46" t="str">
        <f>Depreciaciones!C29</f>
        <v>Llaves de lavamanos - griferia</v>
      </c>
      <c r="D29" s="55">
        <f>Depreciaciones!D29</f>
        <v>333.97</v>
      </c>
      <c r="E29" s="60">
        <f>IF(Depreciaciones!E29=1,Depreciaciones!D29,0)</f>
        <v>0</v>
      </c>
      <c r="F29" s="60">
        <f>IF(Depreciaciones!E29=1,Depreciaciones!D29,0)</f>
        <v>0</v>
      </c>
      <c r="G29" s="60">
        <f>IF(Depreciaciones!E29=3,Depreciaciones!D29,0)</f>
        <v>0</v>
      </c>
      <c r="H29" s="60">
        <f>IF(Depreciaciones!E29=4,Depreciaciones!D29,0)</f>
        <v>0</v>
      </c>
      <c r="I29" s="60">
        <f>IF(Depreciaciones!E29=5,Depreciaciones!D29,0)</f>
        <v>0</v>
      </c>
      <c r="J29" s="60">
        <f>IF(Depreciaciones!E29=6,Depreciaciones!D29,0)</f>
        <v>0</v>
      </c>
      <c r="K29" s="60">
        <f>IF(Depreciaciones!E29=7,Depreciaciones!D29,0)</f>
        <v>0</v>
      </c>
      <c r="L29" s="60">
        <f>IF(Depreciaciones!E29=8,Depreciaciones!D29,0)</f>
        <v>0</v>
      </c>
      <c r="M29" s="60">
        <f>IF(Depreciaciones!E29=9,Depreciaciones!D29,0)</f>
        <v>0</v>
      </c>
      <c r="N29" s="60">
        <f>IF(Depreciaciones!E29=4,0,0)</f>
        <v>0</v>
      </c>
      <c r="O29" s="12">
        <f t="shared" si="0"/>
        <v>0</v>
      </c>
    </row>
    <row r="30" spans="3:15" ht="15">
      <c r="C30" s="46" t="str">
        <f>Depreciaciones!C30</f>
        <v>Espejos</v>
      </c>
      <c r="D30" s="55">
        <f>Depreciaciones!D30</f>
        <v>260</v>
      </c>
      <c r="E30" s="60">
        <f>IF(Depreciaciones!E30=1,Depreciaciones!D30,0)</f>
        <v>0</v>
      </c>
      <c r="F30" s="60">
        <f>IF(Depreciaciones!E30=1,Depreciaciones!D30,0)</f>
        <v>0</v>
      </c>
      <c r="G30" s="60">
        <f>IF(Depreciaciones!E30=3,Depreciaciones!D30,0)</f>
        <v>0</v>
      </c>
      <c r="H30" s="60">
        <f>IF(Depreciaciones!E30=4,Depreciaciones!D30,0)</f>
        <v>0</v>
      </c>
      <c r="I30" s="60">
        <f>IF(Depreciaciones!E30=5,Depreciaciones!D30,0)</f>
        <v>0</v>
      </c>
      <c r="J30" s="60">
        <f>IF(Depreciaciones!E30=6,Depreciaciones!D30,0)</f>
        <v>0</v>
      </c>
      <c r="K30" s="60">
        <f>IF(Depreciaciones!E30=7,Depreciaciones!D30,0)</f>
        <v>0</v>
      </c>
      <c r="L30" s="60">
        <f>IF(Depreciaciones!E30=8,Depreciaciones!D30,0)</f>
        <v>0</v>
      </c>
      <c r="M30" s="60">
        <f>IF(Depreciaciones!E30=9,Depreciaciones!D30,0)</f>
        <v>0</v>
      </c>
      <c r="N30" s="60">
        <f>IF(Depreciaciones!E30=4,0,0)</f>
        <v>0</v>
      </c>
      <c r="O30" s="12">
        <f t="shared" si="0"/>
        <v>0</v>
      </c>
    </row>
    <row r="31" spans="3:15" ht="15">
      <c r="C31" s="46" t="str">
        <f>Depreciaciones!C31</f>
        <v>Cortinas de baño</v>
      </c>
      <c r="D31" s="55">
        <f>Depreciaciones!D31</f>
        <v>312</v>
      </c>
      <c r="E31" s="60">
        <f>IF(Depreciaciones!E31=1,Depreciaciones!D31,0)</f>
        <v>0</v>
      </c>
      <c r="F31" s="60">
        <f>IF(Depreciaciones!E31=1,Depreciaciones!D31,0)</f>
        <v>0</v>
      </c>
      <c r="G31" s="60">
        <f>IF(Depreciaciones!E31=3,Depreciaciones!D31,0)</f>
        <v>0</v>
      </c>
      <c r="H31" s="60">
        <f>IF(Depreciaciones!E31=4,Depreciaciones!D31,0)</f>
        <v>0</v>
      </c>
      <c r="I31" s="60">
        <f>IF(Depreciaciones!E31=5,Depreciaciones!D31,0)</f>
        <v>0</v>
      </c>
      <c r="J31" s="60">
        <f>IF(Depreciaciones!E31=6,Depreciaciones!D31,0)</f>
        <v>0</v>
      </c>
      <c r="K31" s="60">
        <f>IF(Depreciaciones!E31=7,Depreciaciones!D31,0)</f>
        <v>0</v>
      </c>
      <c r="L31" s="60">
        <f>IF(Depreciaciones!E31=8,Depreciaciones!D31,0)</f>
        <v>0</v>
      </c>
      <c r="M31" s="60">
        <f>IF(Depreciaciones!E31=9,Depreciaciones!D31,0)</f>
        <v>0</v>
      </c>
      <c r="N31" s="60">
        <f>IF(Depreciaciones!E31=4,0,0)</f>
        <v>0</v>
      </c>
      <c r="O31" s="12">
        <f t="shared" si="0"/>
        <v>0</v>
      </c>
    </row>
    <row r="32" spans="3:15" ht="15">
      <c r="C32" s="46" t="str">
        <f>Depreciaciones!C32</f>
        <v>Alfombras</v>
      </c>
      <c r="D32" s="55">
        <f>Depreciaciones!D32</f>
        <v>108</v>
      </c>
      <c r="E32" s="60">
        <f>IF(Depreciaciones!E32=1,Depreciaciones!D32,0)</f>
        <v>0</v>
      </c>
      <c r="F32" s="60">
        <f>IF(Depreciaciones!E32=1,Depreciaciones!D32,0)</f>
        <v>0</v>
      </c>
      <c r="G32" s="60">
        <f>IF(Depreciaciones!E32=3,Depreciaciones!D32,0)</f>
        <v>0</v>
      </c>
      <c r="H32" s="60">
        <f>IF(Depreciaciones!E32=4,Depreciaciones!D32,0)</f>
        <v>0</v>
      </c>
      <c r="I32" s="60">
        <f>IF(Depreciaciones!E32=5,Depreciaciones!D32,0)</f>
        <v>0</v>
      </c>
      <c r="J32" s="60">
        <f>IF(Depreciaciones!E32=6,Depreciaciones!D32,0)</f>
        <v>0</v>
      </c>
      <c r="K32" s="60">
        <f>IF(Depreciaciones!E32=7,Depreciaciones!D32,0)</f>
        <v>0</v>
      </c>
      <c r="L32" s="60">
        <f>IF(Depreciaciones!E32=8,Depreciaciones!D32,0)</f>
        <v>0</v>
      </c>
      <c r="M32" s="60">
        <f>IF(Depreciaciones!E32=9,Depreciaciones!D32,0)</f>
        <v>0</v>
      </c>
      <c r="N32" s="60">
        <f>IF(Depreciaciones!E32=4,0,0)</f>
        <v>0</v>
      </c>
      <c r="O32" s="12">
        <f t="shared" si="0"/>
        <v>0</v>
      </c>
    </row>
    <row r="33" spans="3:15" ht="15">
      <c r="C33" s="46" t="str">
        <f>Depreciaciones!C33</f>
        <v>Hamacas</v>
      </c>
      <c r="D33" s="55">
        <f>Depreciaciones!D33</f>
        <v>240</v>
      </c>
      <c r="E33" s="60">
        <f>IF(Depreciaciones!E33=1,Depreciaciones!D33,0)</f>
        <v>0</v>
      </c>
      <c r="F33" s="60">
        <f>IF(Depreciaciones!E33=1,Depreciaciones!D33,0)</f>
        <v>0</v>
      </c>
      <c r="G33" s="60">
        <f>IF(Depreciaciones!E33=3,Depreciaciones!D33,0)</f>
        <v>0</v>
      </c>
      <c r="H33" s="60">
        <f>IF(Depreciaciones!E33=4,Depreciaciones!D33,0)</f>
        <v>0</v>
      </c>
      <c r="I33" s="60">
        <f>IF(Depreciaciones!E33=5,Depreciaciones!D33,0)</f>
        <v>0</v>
      </c>
      <c r="J33" s="60">
        <f>IF(Depreciaciones!E33=6,Depreciaciones!D33,0)</f>
        <v>0</v>
      </c>
      <c r="K33" s="60">
        <f>IF(Depreciaciones!E33=7,Depreciaciones!D33,0)</f>
        <v>0</v>
      </c>
      <c r="L33" s="60">
        <f>IF(Depreciaciones!E33=8,Depreciaciones!D33,0)</f>
        <v>0</v>
      </c>
      <c r="M33" s="60">
        <f>IF(Depreciaciones!E33=9,Depreciaciones!D33,0)</f>
        <v>0</v>
      </c>
      <c r="N33" s="60">
        <f>IF(Depreciaciones!E33=4,0,0)</f>
        <v>0</v>
      </c>
      <c r="O33" s="12">
        <f t="shared" si="0"/>
        <v>0</v>
      </c>
    </row>
    <row r="34" spans="3:15" ht="15">
      <c r="C34" s="46" t="str">
        <f>Depreciaciones!C34</f>
        <v>Aspiradoras</v>
      </c>
      <c r="D34" s="55">
        <f>Depreciaciones!D34</f>
        <v>138</v>
      </c>
      <c r="E34" s="60">
        <f>IF(Depreciaciones!E34=1,Depreciaciones!D34,0)</f>
        <v>0</v>
      </c>
      <c r="F34" s="60">
        <f>IF(Depreciaciones!E34=1,Depreciaciones!D34,0)</f>
        <v>0</v>
      </c>
      <c r="G34" s="60">
        <f>IF(Depreciaciones!E34=3,Depreciaciones!D34,0)</f>
        <v>0</v>
      </c>
      <c r="H34" s="60">
        <f>IF(Depreciaciones!E34=4,Depreciaciones!D34,0)</f>
        <v>0</v>
      </c>
      <c r="I34" s="60">
        <f>IF(Depreciaciones!E34=5,Depreciaciones!D34,0)</f>
        <v>0</v>
      </c>
      <c r="J34" s="60">
        <f>IF(Depreciaciones!E34=6,Depreciaciones!D34,0)</f>
        <v>0</v>
      </c>
      <c r="K34" s="60">
        <f>IF(Depreciaciones!E34=7,Depreciaciones!D34,0)</f>
        <v>0</v>
      </c>
      <c r="L34" s="60">
        <f>IF(Depreciaciones!E34=8,Depreciaciones!D34,0)</f>
        <v>0</v>
      </c>
      <c r="M34" s="60">
        <f>IF(Depreciaciones!E34=9,Depreciaciones!D34,0)</f>
        <v>0</v>
      </c>
      <c r="N34" s="60">
        <f>IF(Depreciaciones!E34=4,0,0)</f>
        <v>0</v>
      </c>
      <c r="O34" s="12">
        <f t="shared" si="0"/>
        <v>0</v>
      </c>
    </row>
    <row r="35" spans="3:15" ht="15">
      <c r="C35" s="46" t="str">
        <f>Depreciaciones!C35</f>
        <v>Televisores</v>
      </c>
      <c r="D35" s="55">
        <f>Depreciaciones!D35</f>
        <v>300</v>
      </c>
      <c r="E35" s="60">
        <f>IF(Depreciaciones!E35=1,Depreciaciones!D35,0)</f>
        <v>0</v>
      </c>
      <c r="F35" s="60">
        <f>IF(Depreciaciones!E35=1,Depreciaciones!D35,0)</f>
        <v>0</v>
      </c>
      <c r="G35" s="60">
        <f>IF(Depreciaciones!E35=3,Depreciaciones!D35,0)</f>
        <v>0</v>
      </c>
      <c r="H35" s="60">
        <f>IF(Depreciaciones!E35=4,Depreciaciones!D35,0)</f>
        <v>0</v>
      </c>
      <c r="I35" s="60">
        <f>IF(Depreciaciones!E35=5,Depreciaciones!D35,0)</f>
        <v>0</v>
      </c>
      <c r="J35" s="60">
        <f>IF(Depreciaciones!E35=6,Depreciaciones!D35,0)</f>
        <v>0</v>
      </c>
      <c r="K35" s="60">
        <f>IF(Depreciaciones!E35=7,Depreciaciones!D35,0)</f>
        <v>0</v>
      </c>
      <c r="L35" s="60">
        <f>IF(Depreciaciones!E35=8,Depreciaciones!D35,0)</f>
        <v>0</v>
      </c>
      <c r="M35" s="60">
        <f>IF(Depreciaciones!E35=9,Depreciaciones!D35,0)</f>
        <v>0</v>
      </c>
      <c r="N35" s="60">
        <f>IF(Depreciaciones!E35=4,0,0)</f>
        <v>0</v>
      </c>
      <c r="O35" s="12">
        <f t="shared" si="0"/>
        <v>0</v>
      </c>
    </row>
    <row r="36" spans="3:15" ht="15">
      <c r="C36" s="46" t="s">
        <v>267</v>
      </c>
      <c r="E36" s="61">
        <f aca="true" t="shared" si="1" ref="E36:N36">SUM(E3:E35)</f>
        <v>0</v>
      </c>
      <c r="F36" s="61">
        <f t="shared" si="1"/>
        <v>0</v>
      </c>
      <c r="G36" s="61">
        <f t="shared" si="1"/>
        <v>880</v>
      </c>
      <c r="H36" s="61">
        <f t="shared" si="1"/>
        <v>0</v>
      </c>
      <c r="I36" s="61">
        <f t="shared" si="1"/>
        <v>5233</v>
      </c>
      <c r="J36" s="61">
        <f t="shared" si="1"/>
        <v>880</v>
      </c>
      <c r="K36" s="61">
        <f t="shared" si="1"/>
        <v>0</v>
      </c>
      <c r="L36" s="61">
        <f t="shared" si="1"/>
        <v>0</v>
      </c>
      <c r="M36" s="61">
        <f t="shared" si="1"/>
        <v>880</v>
      </c>
      <c r="N36" s="61">
        <f t="shared" si="1"/>
        <v>0</v>
      </c>
      <c r="O36" s="12">
        <f>SUM(E36:N36)</f>
        <v>7873</v>
      </c>
    </row>
    <row r="37" ht="15">
      <c r="C37" s="46"/>
    </row>
    <row r="38" ht="15">
      <c r="C38" s="46"/>
    </row>
    <row r="39" ht="15">
      <c r="C39" s="46"/>
    </row>
    <row r="40" ht="15">
      <c r="C40" s="46"/>
    </row>
    <row r="41" ht="15">
      <c r="C41" s="46"/>
    </row>
    <row r="42" ht="15">
      <c r="C42" s="46"/>
    </row>
    <row r="43" ht="15">
      <c r="C43" s="46"/>
    </row>
    <row r="44" ht="15">
      <c r="C44" s="46"/>
    </row>
    <row r="45" ht="15">
      <c r="C45" s="46"/>
    </row>
  </sheetData>
  <sheetProtection/>
  <mergeCells count="1">
    <mergeCell ref="D1:N1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D2:E10"/>
  <sheetViews>
    <sheetView tabSelected="1" zoomScalePageLayoutView="0" workbookViewId="0" topLeftCell="A1">
      <selection activeCell="E10" sqref="E10"/>
    </sheetView>
  </sheetViews>
  <sheetFormatPr defaultColWidth="11.421875" defaultRowHeight="15"/>
  <sheetData>
    <row r="2" ht="15">
      <c r="D2" s="90" t="s">
        <v>276</v>
      </c>
    </row>
    <row r="6" spans="4:5" ht="15">
      <c r="D6" t="s">
        <v>277</v>
      </c>
      <c r="E6" s="88">
        <f>Gastos!O26</f>
        <v>44631.86800000001</v>
      </c>
    </row>
    <row r="7" spans="4:5" ht="15">
      <c r="D7" t="s">
        <v>278</v>
      </c>
      <c r="E7" s="88">
        <f>Gastos!O57</f>
        <v>20036.74000000001</v>
      </c>
    </row>
    <row r="8" spans="4:5" ht="15">
      <c r="D8" t="s">
        <v>279</v>
      </c>
      <c r="E8" s="88">
        <f>Ingresos!O20</f>
        <v>140356.6666666667</v>
      </c>
    </row>
    <row r="9" ht="15.75" thickBot="1"/>
    <row r="10" spans="4:5" ht="27.75" customHeight="1" thickBot="1">
      <c r="D10" s="91" t="s">
        <v>280</v>
      </c>
      <c r="E10" s="92">
        <f>E6/(1-(E7/E8))</f>
        <v>52064.36201495913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11"/>
  <sheetViews>
    <sheetView zoomScale="90" zoomScaleNormal="90" zoomScalePageLayoutView="0" workbookViewId="0" topLeftCell="A1">
      <selection activeCell="F13" sqref="F13"/>
    </sheetView>
  </sheetViews>
  <sheetFormatPr defaultColWidth="11.421875" defaultRowHeight="15"/>
  <cols>
    <col min="1" max="1" width="11.7109375" style="0" bestFit="1" customWidth="1"/>
    <col min="2" max="2" width="27.140625" style="0" customWidth="1"/>
    <col min="3" max="3" width="10.7109375" style="0" customWidth="1"/>
    <col min="4" max="4" width="9.421875" style="0" customWidth="1"/>
    <col min="5" max="5" width="9.57421875" style="0" customWidth="1"/>
    <col min="6" max="6" width="9.8515625" style="0" customWidth="1"/>
  </cols>
  <sheetData>
    <row r="2" spans="1:7" ht="15">
      <c r="A2" s="122" t="s">
        <v>281</v>
      </c>
      <c r="B2" s="123" t="s">
        <v>178</v>
      </c>
      <c r="C2" s="123" t="s">
        <v>282</v>
      </c>
      <c r="D2" s="123" t="s">
        <v>37</v>
      </c>
      <c r="E2" s="123" t="s">
        <v>38</v>
      </c>
      <c r="F2" s="123" t="s">
        <v>272</v>
      </c>
      <c r="G2" s="123" t="s">
        <v>124</v>
      </c>
    </row>
    <row r="3" spans="1:7" ht="15">
      <c r="A3" s="136" t="s">
        <v>283</v>
      </c>
      <c r="B3" s="1" t="s">
        <v>287</v>
      </c>
      <c r="C3" s="114">
        <v>0.05</v>
      </c>
      <c r="D3" s="109">
        <v>117416.72280980679</v>
      </c>
      <c r="E3" s="113">
        <v>0.3603287820911242</v>
      </c>
      <c r="F3" s="113">
        <v>0.15304253798396694</v>
      </c>
      <c r="G3" s="1" t="s">
        <v>296</v>
      </c>
    </row>
    <row r="4" spans="1:7" ht="15">
      <c r="A4" s="137"/>
      <c r="B4" s="1" t="s">
        <v>288</v>
      </c>
      <c r="C4" s="114">
        <v>-0.05</v>
      </c>
      <c r="D4" s="109">
        <v>101634.35690016416</v>
      </c>
      <c r="E4" s="113">
        <v>0.34298972515014975</v>
      </c>
      <c r="F4" s="113">
        <v>0.15304253798396694</v>
      </c>
      <c r="G4" s="1" t="s">
        <v>296</v>
      </c>
    </row>
    <row r="5" spans="1:7" ht="4.5" customHeight="1">
      <c r="A5" s="121"/>
      <c r="B5" s="1"/>
      <c r="C5" s="1"/>
      <c r="D5" s="1"/>
      <c r="E5" s="1"/>
      <c r="F5" s="1"/>
      <c r="G5" s="1"/>
    </row>
    <row r="6" spans="1:7" ht="15">
      <c r="A6" s="120" t="s">
        <v>284</v>
      </c>
      <c r="B6" s="112" t="s">
        <v>286</v>
      </c>
      <c r="C6" s="112" t="s">
        <v>286</v>
      </c>
      <c r="D6" s="109">
        <v>73038.10590664527</v>
      </c>
      <c r="E6" s="113">
        <v>0.30281253883733084</v>
      </c>
      <c r="F6" s="113">
        <v>0.15304253798396694</v>
      </c>
      <c r="G6" s="1"/>
    </row>
    <row r="7" spans="1:7" ht="5.25" customHeight="1">
      <c r="A7" s="121"/>
      <c r="B7" s="1"/>
      <c r="C7" s="1"/>
      <c r="D7" s="1"/>
      <c r="E7" s="1"/>
      <c r="F7" s="1"/>
      <c r="G7" s="1"/>
    </row>
    <row r="8" spans="1:7" ht="15">
      <c r="A8" s="136" t="s">
        <v>285</v>
      </c>
      <c r="B8" s="1" t="s">
        <v>289</v>
      </c>
      <c r="C8" s="114">
        <v>0.05</v>
      </c>
      <c r="D8" s="109">
        <v>53721.20615515337</v>
      </c>
      <c r="E8" s="113">
        <v>0.27266434535445994</v>
      </c>
      <c r="F8" s="113">
        <v>0.15304253798396694</v>
      </c>
      <c r="G8" s="1" t="s">
        <v>296</v>
      </c>
    </row>
    <row r="9" spans="1:7" ht="15">
      <c r="A9" s="137"/>
      <c r="B9" s="1" t="s">
        <v>290</v>
      </c>
      <c r="C9" s="114">
        <v>-0.05</v>
      </c>
      <c r="D9" s="109">
        <v>-33259</v>
      </c>
      <c r="E9" s="113">
        <v>-0.027</v>
      </c>
      <c r="F9" s="113">
        <v>0.15304253798396694</v>
      </c>
      <c r="G9" s="1" t="s">
        <v>297</v>
      </c>
    </row>
    <row r="10" spans="4:5" ht="15">
      <c r="D10" s="88"/>
      <c r="E10" s="93"/>
    </row>
    <row r="11" ht="15">
      <c r="E11" s="18"/>
    </row>
  </sheetData>
  <sheetProtection/>
  <mergeCells count="2">
    <mergeCell ref="A3:A4"/>
    <mergeCell ref="A8:A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G59"/>
  <sheetViews>
    <sheetView zoomScale="70" zoomScaleNormal="70" zoomScalePageLayoutView="0" workbookViewId="0" topLeftCell="A1">
      <selection activeCell="J6" sqref="J6"/>
    </sheetView>
  </sheetViews>
  <sheetFormatPr defaultColWidth="11.421875" defaultRowHeight="15"/>
  <cols>
    <col min="3" max="3" width="28.8515625" style="0" bestFit="1" customWidth="1"/>
    <col min="4" max="4" width="12.8515625" style="0" customWidth="1"/>
    <col min="5" max="5" width="12.421875" style="0" customWidth="1"/>
    <col min="6" max="6" width="15.421875" style="0" customWidth="1"/>
  </cols>
  <sheetData>
    <row r="3" spans="3:6" ht="25.5" customHeight="1">
      <c r="C3" s="127" t="s">
        <v>0</v>
      </c>
      <c r="D3" s="128"/>
      <c r="E3" s="128"/>
      <c r="F3" s="128"/>
    </row>
    <row r="4" spans="3:6" ht="15">
      <c r="C4" s="6" t="s">
        <v>1</v>
      </c>
      <c r="D4" s="6" t="s">
        <v>2</v>
      </c>
      <c r="E4" s="6" t="s">
        <v>3</v>
      </c>
      <c r="F4" s="6" t="s">
        <v>4</v>
      </c>
    </row>
    <row r="5" spans="3:6" ht="15">
      <c r="C5" s="2" t="s">
        <v>5</v>
      </c>
      <c r="D5" s="1"/>
      <c r="E5" s="1"/>
      <c r="F5" s="1"/>
    </row>
    <row r="6" spans="3:7" ht="15">
      <c r="C6" s="1" t="s">
        <v>6</v>
      </c>
      <c r="D6" s="1">
        <v>2</v>
      </c>
      <c r="E6" s="1">
        <v>8</v>
      </c>
      <c r="F6" s="1">
        <f>(D6*E6)</f>
        <v>16</v>
      </c>
      <c r="G6" s="108">
        <f>F6/$F$45</f>
        <v>0.0007770977632697943</v>
      </c>
    </row>
    <row r="7" spans="3:7" ht="15">
      <c r="C7" s="1" t="s">
        <v>7</v>
      </c>
      <c r="D7" s="1">
        <v>10</v>
      </c>
      <c r="E7" s="1">
        <v>269</v>
      </c>
      <c r="F7" s="1">
        <f>(D7*E7)</f>
        <v>2690</v>
      </c>
      <c r="G7" s="108">
        <f aca="true" t="shared" si="0" ref="G7:G45">F7/$F$45</f>
        <v>0.13064956144973416</v>
      </c>
    </row>
    <row r="8" spans="3:7" ht="15">
      <c r="C8" s="1" t="s">
        <v>68</v>
      </c>
      <c r="D8" s="1">
        <v>2</v>
      </c>
      <c r="E8" s="1">
        <v>44</v>
      </c>
      <c r="F8" s="1">
        <f>(D8*E8)</f>
        <v>88</v>
      </c>
      <c r="G8" s="108">
        <f t="shared" si="0"/>
        <v>0.004274037697983868</v>
      </c>
    </row>
    <row r="9" spans="3:7" ht="15">
      <c r="C9" s="1" t="s">
        <v>62</v>
      </c>
      <c r="D9" s="1"/>
      <c r="E9" s="1"/>
      <c r="F9" s="1">
        <f>SUM(F6:F8)</f>
        <v>2794</v>
      </c>
      <c r="G9" s="108">
        <f t="shared" si="0"/>
        <v>0.13570069691098782</v>
      </c>
    </row>
    <row r="10" spans="3:7" ht="15">
      <c r="C10" s="2" t="s">
        <v>8</v>
      </c>
      <c r="D10" s="1"/>
      <c r="E10" s="1"/>
      <c r="F10" s="1"/>
      <c r="G10" s="108">
        <f t="shared" si="0"/>
        <v>0</v>
      </c>
    </row>
    <row r="11" spans="3:7" ht="15">
      <c r="C11" s="1" t="s">
        <v>9</v>
      </c>
      <c r="D11" s="1">
        <v>1</v>
      </c>
      <c r="E11" s="1">
        <v>780</v>
      </c>
      <c r="F11" s="1">
        <f>D11*E11</f>
        <v>780</v>
      </c>
      <c r="G11" s="108">
        <f t="shared" si="0"/>
        <v>0.03788351595940247</v>
      </c>
    </row>
    <row r="12" spans="3:7" ht="15">
      <c r="C12" s="1" t="s">
        <v>12</v>
      </c>
      <c r="D12" s="1">
        <v>1</v>
      </c>
      <c r="E12" s="1">
        <v>50</v>
      </c>
      <c r="F12" s="1">
        <f>D12*E12</f>
        <v>50</v>
      </c>
      <c r="G12" s="108">
        <f t="shared" si="0"/>
        <v>0.002428430510218107</v>
      </c>
    </row>
    <row r="13" spans="3:7" ht="15">
      <c r="C13" s="1" t="s">
        <v>10</v>
      </c>
      <c r="D13" s="1">
        <v>1</v>
      </c>
      <c r="E13" s="1">
        <v>50</v>
      </c>
      <c r="F13" s="1">
        <f>D13*E13</f>
        <v>50</v>
      </c>
      <c r="G13" s="108">
        <f t="shared" si="0"/>
        <v>0.002428430510218107</v>
      </c>
    </row>
    <row r="14" spans="3:7" ht="15">
      <c r="C14" s="1" t="s">
        <v>63</v>
      </c>
      <c r="D14" s="1"/>
      <c r="E14" s="1"/>
      <c r="F14" s="1">
        <f>SUM(F11:F13)</f>
        <v>880</v>
      </c>
      <c r="G14" s="108">
        <f t="shared" si="0"/>
        <v>0.042740376979838686</v>
      </c>
    </row>
    <row r="15" spans="3:7" ht="15">
      <c r="C15" s="2" t="s">
        <v>11</v>
      </c>
      <c r="D15" s="1"/>
      <c r="E15" s="1"/>
      <c r="F15" s="1"/>
      <c r="G15" s="108">
        <f t="shared" si="0"/>
        <v>0</v>
      </c>
    </row>
    <row r="16" spans="3:7" ht="15" hidden="1">
      <c r="C16" s="1" t="s">
        <v>13</v>
      </c>
      <c r="D16" s="1">
        <v>1</v>
      </c>
      <c r="E16" s="1"/>
      <c r="F16" s="1"/>
      <c r="G16" s="108">
        <f t="shared" si="0"/>
        <v>0</v>
      </c>
    </row>
    <row r="17" spans="3:7" ht="15">
      <c r="C17" s="1" t="s">
        <v>92</v>
      </c>
      <c r="D17" s="1">
        <v>12</v>
      </c>
      <c r="E17" s="1">
        <v>69</v>
      </c>
      <c r="F17" s="1">
        <f>D17*E17</f>
        <v>828</v>
      </c>
      <c r="G17" s="108">
        <f t="shared" si="0"/>
        <v>0.04021480924921185</v>
      </c>
    </row>
    <row r="18" spans="3:7" ht="15">
      <c r="C18" s="1" t="s">
        <v>93</v>
      </c>
      <c r="D18" s="1">
        <v>12</v>
      </c>
      <c r="E18" s="1">
        <v>3</v>
      </c>
      <c r="F18" s="1">
        <f>D18*E18</f>
        <v>36</v>
      </c>
      <c r="G18" s="108">
        <f t="shared" si="0"/>
        <v>0.001748469967357037</v>
      </c>
    </row>
    <row r="19" spans="3:7" ht="15">
      <c r="C19" s="1" t="s">
        <v>227</v>
      </c>
      <c r="D19" s="1">
        <v>12</v>
      </c>
      <c r="E19" s="1">
        <v>3.5</v>
      </c>
      <c r="F19" s="1">
        <f>D19*E19</f>
        <v>42</v>
      </c>
      <c r="G19" s="108">
        <f t="shared" si="0"/>
        <v>0.0020398816285832097</v>
      </c>
    </row>
    <row r="20" spans="3:7" ht="15">
      <c r="C20" s="1" t="s">
        <v>14</v>
      </c>
      <c r="D20" s="1">
        <v>3</v>
      </c>
      <c r="E20" s="1">
        <v>60</v>
      </c>
      <c r="F20" s="1">
        <f>D20*E20</f>
        <v>180</v>
      </c>
      <c r="G20" s="108">
        <f t="shared" si="0"/>
        <v>0.008742349836785184</v>
      </c>
    </row>
    <row r="21" spans="3:7" ht="15">
      <c r="C21" s="1" t="s">
        <v>15</v>
      </c>
      <c r="D21" s="1">
        <v>4</v>
      </c>
      <c r="E21" s="1">
        <v>15</v>
      </c>
      <c r="F21" s="1">
        <f aca="true" t="shared" si="1" ref="F21:F43">D21*E21</f>
        <v>60</v>
      </c>
      <c r="G21" s="108">
        <f t="shared" si="0"/>
        <v>0.0029141166122617283</v>
      </c>
    </row>
    <row r="22" spans="3:7" ht="15">
      <c r="C22" s="1" t="s">
        <v>18</v>
      </c>
      <c r="D22" s="1">
        <v>9</v>
      </c>
      <c r="E22" s="1">
        <v>250</v>
      </c>
      <c r="F22" s="1">
        <f t="shared" si="1"/>
        <v>2250</v>
      </c>
      <c r="G22" s="108">
        <f t="shared" si="0"/>
        <v>0.10927937295981481</v>
      </c>
    </row>
    <row r="23" spans="3:7" ht="15">
      <c r="C23" s="1" t="s">
        <v>16</v>
      </c>
      <c r="D23" s="1">
        <v>6</v>
      </c>
      <c r="E23" s="1">
        <v>350</v>
      </c>
      <c r="F23" s="1">
        <f t="shared" si="1"/>
        <v>2100</v>
      </c>
      <c r="G23" s="108">
        <f t="shared" si="0"/>
        <v>0.1019940814291605</v>
      </c>
    </row>
    <row r="24" spans="3:7" ht="15">
      <c r="C24" s="1" t="s">
        <v>30</v>
      </c>
      <c r="D24" s="1">
        <v>12</v>
      </c>
      <c r="E24" s="1">
        <v>41</v>
      </c>
      <c r="F24" s="1">
        <f t="shared" si="1"/>
        <v>492</v>
      </c>
      <c r="G24" s="108">
        <f t="shared" si="0"/>
        <v>0.023895756220546172</v>
      </c>
    </row>
    <row r="25" spans="3:7" ht="15">
      <c r="C25" s="1" t="s">
        <v>17</v>
      </c>
      <c r="D25" s="1">
        <v>8</v>
      </c>
      <c r="E25" s="1">
        <v>400</v>
      </c>
      <c r="F25" s="1">
        <f t="shared" si="1"/>
        <v>3200</v>
      </c>
      <c r="G25" s="108">
        <f t="shared" si="0"/>
        <v>0.15541955265395885</v>
      </c>
    </row>
    <row r="26" spans="3:7" ht="15">
      <c r="C26" s="1" t="s">
        <v>19</v>
      </c>
      <c r="D26" s="1">
        <v>18</v>
      </c>
      <c r="E26" s="1">
        <v>200</v>
      </c>
      <c r="F26" s="1">
        <f t="shared" si="1"/>
        <v>3600</v>
      </c>
      <c r="G26" s="108">
        <f t="shared" si="0"/>
        <v>0.1748469967357037</v>
      </c>
    </row>
    <row r="27" spans="3:7" ht="15">
      <c r="C27" s="1" t="s">
        <v>20</v>
      </c>
      <c r="D27" s="1">
        <v>12</v>
      </c>
      <c r="E27" s="1">
        <v>10</v>
      </c>
      <c r="F27" s="1">
        <f t="shared" si="1"/>
        <v>120</v>
      </c>
      <c r="G27" s="108">
        <f t="shared" si="0"/>
        <v>0.005828233224523457</v>
      </c>
    </row>
    <row r="28" spans="3:7" ht="15">
      <c r="C28" s="1" t="s">
        <v>25</v>
      </c>
      <c r="D28" s="1">
        <v>13</v>
      </c>
      <c r="E28" s="1">
        <v>8</v>
      </c>
      <c r="F28" s="1">
        <f t="shared" si="1"/>
        <v>104</v>
      </c>
      <c r="G28" s="108">
        <f t="shared" si="0"/>
        <v>0.005051135461253663</v>
      </c>
    </row>
    <row r="29" spans="3:7" ht="15">
      <c r="C29" s="1" t="s">
        <v>26</v>
      </c>
      <c r="D29" s="1">
        <v>13</v>
      </c>
      <c r="E29" s="1">
        <v>14</v>
      </c>
      <c r="F29" s="1">
        <f t="shared" si="1"/>
        <v>182</v>
      </c>
      <c r="G29" s="108">
        <f t="shared" si="0"/>
        <v>0.00883948705719391</v>
      </c>
    </row>
    <row r="30" spans="3:7" ht="15">
      <c r="C30" s="1" t="s">
        <v>32</v>
      </c>
      <c r="D30" s="1">
        <v>25</v>
      </c>
      <c r="E30" s="1">
        <v>15</v>
      </c>
      <c r="F30" s="1">
        <f t="shared" si="1"/>
        <v>375</v>
      </c>
      <c r="G30" s="108">
        <f t="shared" si="0"/>
        <v>0.018213228826635803</v>
      </c>
    </row>
    <row r="31" spans="3:7" ht="15">
      <c r="C31" s="1" t="s">
        <v>33</v>
      </c>
      <c r="D31" s="1">
        <v>12</v>
      </c>
      <c r="E31" s="1">
        <v>20</v>
      </c>
      <c r="F31" s="1">
        <f t="shared" si="1"/>
        <v>240</v>
      </c>
      <c r="G31" s="108">
        <f t="shared" si="0"/>
        <v>0.011656466449046913</v>
      </c>
    </row>
    <row r="32" spans="3:7" ht="15">
      <c r="C32" s="1" t="s">
        <v>21</v>
      </c>
      <c r="D32" s="1">
        <v>13</v>
      </c>
      <c r="E32" s="1">
        <v>11.5</v>
      </c>
      <c r="F32" s="1">
        <f t="shared" si="1"/>
        <v>149.5</v>
      </c>
      <c r="G32" s="108">
        <f t="shared" si="0"/>
        <v>0.00726100722555214</v>
      </c>
    </row>
    <row r="33" spans="3:7" ht="15">
      <c r="C33" s="1" t="s">
        <v>22</v>
      </c>
      <c r="D33" s="1">
        <v>13</v>
      </c>
      <c r="E33" s="1">
        <v>56</v>
      </c>
      <c r="F33" s="1">
        <f t="shared" si="1"/>
        <v>728</v>
      </c>
      <c r="G33" s="108">
        <f t="shared" si="0"/>
        <v>0.03535794822877564</v>
      </c>
    </row>
    <row r="34" spans="3:7" ht="15">
      <c r="C34" s="1" t="s">
        <v>23</v>
      </c>
      <c r="D34" s="1">
        <v>13</v>
      </c>
      <c r="E34" s="1">
        <v>20</v>
      </c>
      <c r="F34" s="1">
        <f t="shared" si="1"/>
        <v>260</v>
      </c>
      <c r="G34" s="108">
        <f t="shared" si="0"/>
        <v>0.012627838653134157</v>
      </c>
    </row>
    <row r="35" spans="3:7" ht="15">
      <c r="C35" s="1" t="s">
        <v>24</v>
      </c>
      <c r="D35" s="1">
        <v>5</v>
      </c>
      <c r="E35" s="1">
        <v>30</v>
      </c>
      <c r="F35" s="1">
        <f t="shared" si="1"/>
        <v>150</v>
      </c>
      <c r="G35" s="108">
        <f t="shared" si="0"/>
        <v>0.007285291530654321</v>
      </c>
    </row>
    <row r="36" spans="3:7" ht="15">
      <c r="C36" s="1" t="s">
        <v>88</v>
      </c>
      <c r="D36" s="1">
        <v>12</v>
      </c>
      <c r="E36" s="1">
        <v>10.58</v>
      </c>
      <c r="F36" s="1">
        <f t="shared" si="1"/>
        <v>126.96000000000001</v>
      </c>
      <c r="G36" s="108">
        <f t="shared" si="0"/>
        <v>0.0061662707515458175</v>
      </c>
    </row>
    <row r="37" spans="3:7" ht="15">
      <c r="C37" s="1" t="s">
        <v>89</v>
      </c>
      <c r="D37" s="1">
        <v>13</v>
      </c>
      <c r="E37" s="1">
        <v>25.69</v>
      </c>
      <c r="F37" s="1">
        <f t="shared" si="1"/>
        <v>333.97</v>
      </c>
      <c r="G37" s="108">
        <f t="shared" si="0"/>
        <v>0.016220458749950824</v>
      </c>
    </row>
    <row r="38" spans="3:7" ht="15">
      <c r="C38" s="1" t="s">
        <v>27</v>
      </c>
      <c r="D38" s="1">
        <v>13</v>
      </c>
      <c r="E38" s="1">
        <v>20</v>
      </c>
      <c r="F38" s="1">
        <f t="shared" si="1"/>
        <v>260</v>
      </c>
      <c r="G38" s="108">
        <f t="shared" si="0"/>
        <v>0.012627838653134157</v>
      </c>
    </row>
    <row r="39" spans="3:7" ht="15">
      <c r="C39" s="1" t="s">
        <v>28</v>
      </c>
      <c r="D39" s="1">
        <v>13</v>
      </c>
      <c r="E39" s="1">
        <v>24</v>
      </c>
      <c r="F39" s="1">
        <f t="shared" si="1"/>
        <v>312</v>
      </c>
      <c r="G39" s="108">
        <f t="shared" si="0"/>
        <v>0.015153406383760988</v>
      </c>
    </row>
    <row r="40" spans="3:7" ht="15">
      <c r="C40" s="1" t="s">
        <v>29</v>
      </c>
      <c r="D40" s="1">
        <v>12</v>
      </c>
      <c r="E40" s="1">
        <v>9</v>
      </c>
      <c r="F40" s="1">
        <f t="shared" si="1"/>
        <v>108</v>
      </c>
      <c r="G40" s="108">
        <f t="shared" si="0"/>
        <v>0.005245409902071111</v>
      </c>
    </row>
    <row r="41" spans="3:7" ht="15">
      <c r="C41" s="1" t="s">
        <v>239</v>
      </c>
      <c r="D41" s="1">
        <v>12</v>
      </c>
      <c r="E41" s="1">
        <v>20</v>
      </c>
      <c r="F41" s="1">
        <f t="shared" si="1"/>
        <v>240</v>
      </c>
      <c r="G41" s="108">
        <f t="shared" si="0"/>
        <v>0.011656466449046913</v>
      </c>
    </row>
    <row r="42" spans="3:7" ht="15">
      <c r="C42" s="1" t="s">
        <v>43</v>
      </c>
      <c r="D42" s="1">
        <v>2</v>
      </c>
      <c r="E42" s="1">
        <v>69</v>
      </c>
      <c r="F42" s="1">
        <f t="shared" si="1"/>
        <v>138</v>
      </c>
      <c r="G42" s="108">
        <f t="shared" si="0"/>
        <v>0.006702468208201975</v>
      </c>
    </row>
    <row r="43" spans="3:7" ht="15">
      <c r="C43" s="1" t="s">
        <v>31</v>
      </c>
      <c r="D43" s="1">
        <v>10</v>
      </c>
      <c r="E43" s="1">
        <v>30</v>
      </c>
      <c r="F43" s="1">
        <f t="shared" si="1"/>
        <v>300</v>
      </c>
      <c r="G43" s="108">
        <f t="shared" si="0"/>
        <v>0.014570583061308642</v>
      </c>
    </row>
    <row r="44" spans="3:7" ht="15">
      <c r="C44" s="1" t="s">
        <v>64</v>
      </c>
      <c r="D44" s="1"/>
      <c r="E44" s="1"/>
      <c r="F44" s="1">
        <f>SUM(F17:F43)</f>
        <v>16915.43</v>
      </c>
      <c r="G44" s="108">
        <f t="shared" si="0"/>
        <v>0.8215589261091735</v>
      </c>
    </row>
    <row r="45" spans="3:7" ht="20.25" customHeight="1">
      <c r="C45" s="4" t="s">
        <v>65</v>
      </c>
      <c r="D45" s="5"/>
      <c r="E45" s="5"/>
      <c r="F45" s="4">
        <f>(F9+F14+F44)</f>
        <v>20589.43</v>
      </c>
      <c r="G45" s="108">
        <f t="shared" si="0"/>
        <v>1</v>
      </c>
    </row>
    <row r="48" spans="3:6" ht="18.75">
      <c r="C48" s="25"/>
      <c r="D48" s="25"/>
      <c r="E48" s="25"/>
      <c r="F48" s="25"/>
    </row>
    <row r="49" spans="3:6" ht="15">
      <c r="C49" s="26"/>
      <c r="D49" s="26"/>
      <c r="E49" s="26"/>
      <c r="F49" s="26"/>
    </row>
    <row r="50" spans="3:6" ht="15">
      <c r="C50" s="27"/>
      <c r="D50" s="27"/>
      <c r="E50" s="27"/>
      <c r="F50" s="27"/>
    </row>
    <row r="51" spans="3:6" ht="15">
      <c r="C51" s="27"/>
      <c r="D51" s="27"/>
      <c r="E51" s="27"/>
      <c r="F51" s="27"/>
    </row>
    <row r="52" spans="3:6" ht="15">
      <c r="C52" s="27"/>
      <c r="D52" s="27"/>
      <c r="E52" s="27"/>
      <c r="F52" s="27"/>
    </row>
    <row r="53" spans="3:6" ht="15">
      <c r="C53" s="27"/>
      <c r="D53" s="27"/>
      <c r="E53" s="27"/>
      <c r="F53" s="27"/>
    </row>
    <row r="54" spans="3:6" ht="15">
      <c r="C54" s="27"/>
      <c r="D54" s="27"/>
      <c r="E54" s="27"/>
      <c r="F54" s="27"/>
    </row>
    <row r="55" spans="3:6" ht="15">
      <c r="C55" s="27"/>
      <c r="D55" s="27"/>
      <c r="E55" s="27"/>
      <c r="F55" s="27"/>
    </row>
    <row r="56" spans="3:6" ht="15">
      <c r="C56" s="27"/>
      <c r="D56" s="27"/>
      <c r="E56" s="27"/>
      <c r="F56" s="27"/>
    </row>
    <row r="57" spans="3:6" ht="15">
      <c r="C57" s="27"/>
      <c r="D57" s="27"/>
      <c r="E57" s="27"/>
      <c r="F57" s="27"/>
    </row>
    <row r="58" spans="3:6" ht="15">
      <c r="C58" s="27"/>
      <c r="D58" s="27"/>
      <c r="E58" s="27"/>
      <c r="F58" s="27"/>
    </row>
    <row r="59" spans="3:6" ht="15">
      <c r="C59" s="27"/>
      <c r="D59" s="27"/>
      <c r="E59" s="27"/>
      <c r="F59" s="27"/>
    </row>
  </sheetData>
  <sheetProtection/>
  <mergeCells count="1">
    <mergeCell ref="C3:F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7">
      <selection activeCell="C10" sqref="C10"/>
    </sheetView>
  </sheetViews>
  <sheetFormatPr defaultColWidth="11.421875" defaultRowHeight="15"/>
  <cols>
    <col min="1" max="1" width="6.140625" style="0" bestFit="1" customWidth="1"/>
    <col min="2" max="2" width="39.28125" style="0" bestFit="1" customWidth="1"/>
    <col min="3" max="3" width="17.421875" style="0" bestFit="1" customWidth="1"/>
    <col min="4" max="4" width="16.421875" style="0" bestFit="1" customWidth="1"/>
    <col min="7" max="7" width="11.57421875" style="0" bestFit="1" customWidth="1"/>
  </cols>
  <sheetData>
    <row r="1" spans="2:12" ht="15">
      <c r="B1" s="129" t="s">
        <v>150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2:12" ht="15">
      <c r="B2" s="10" t="s">
        <v>151</v>
      </c>
      <c r="C2" s="10" t="s">
        <v>152</v>
      </c>
      <c r="D2" s="10"/>
      <c r="E2" s="10"/>
      <c r="F2" s="10"/>
      <c r="G2" s="10"/>
      <c r="H2" s="10"/>
      <c r="I2" s="10"/>
      <c r="J2" s="10"/>
      <c r="K2" s="10"/>
      <c r="L2" s="10"/>
    </row>
    <row r="3" spans="2:5" ht="15">
      <c r="B3" s="83" t="s">
        <v>149</v>
      </c>
      <c r="E3" t="s">
        <v>101</v>
      </c>
    </row>
    <row r="4" spans="2:11" ht="15">
      <c r="B4" t="s">
        <v>147</v>
      </c>
      <c r="C4" s="17">
        <v>0.57</v>
      </c>
      <c r="D4" s="20">
        <f>ROUND(C4*$D$8,0)</f>
        <v>223189</v>
      </c>
      <c r="G4">
        <v>33791</v>
      </c>
      <c r="H4" s="18">
        <v>0.205</v>
      </c>
      <c r="I4">
        <f>G4*H4</f>
        <v>6927.155</v>
      </c>
      <c r="J4" s="15">
        <v>0.32</v>
      </c>
      <c r="K4" s="11">
        <f>$I$4*J4</f>
        <v>2216.6896</v>
      </c>
    </row>
    <row r="5" spans="2:11" ht="15">
      <c r="B5" t="s">
        <v>132</v>
      </c>
      <c r="C5" s="17">
        <v>0.25</v>
      </c>
      <c r="D5" s="20">
        <f>ROUND(C5*$D$8,0)</f>
        <v>97890</v>
      </c>
      <c r="J5" s="15">
        <v>0.4</v>
      </c>
      <c r="K5" s="11">
        <f>$I$4*J5</f>
        <v>2770.862</v>
      </c>
    </row>
    <row r="6" spans="2:11" ht="15">
      <c r="B6" t="s">
        <v>133</v>
      </c>
      <c r="C6" s="17">
        <f>1-C4-C5</f>
        <v>0.18000000000000005</v>
      </c>
      <c r="D6" s="20">
        <f>ROUND(C6*$D$8,0)</f>
        <v>70481</v>
      </c>
      <c r="G6" s="11"/>
      <c r="J6" s="15">
        <v>0.28</v>
      </c>
      <c r="K6" s="11">
        <f>$I$4*J6</f>
        <v>1939.6034000000002</v>
      </c>
    </row>
    <row r="7" ht="15">
      <c r="D7" s="11"/>
    </row>
    <row r="8" spans="2:10" ht="15">
      <c r="B8" t="s">
        <v>153</v>
      </c>
      <c r="D8" s="11">
        <v>391560</v>
      </c>
      <c r="E8" s="17"/>
      <c r="J8" s="12"/>
    </row>
    <row r="9" ht="15">
      <c r="D9" s="11"/>
    </row>
    <row r="10" spans="3:4" ht="15">
      <c r="C10" s="11"/>
      <c r="D10" s="18"/>
    </row>
    <row r="11" spans="2:7" ht="15">
      <c r="B11" t="s">
        <v>127</v>
      </c>
      <c r="C11" s="18">
        <v>0.537</v>
      </c>
      <c r="D11" s="21">
        <f>D8*C11</f>
        <v>210267.72</v>
      </c>
      <c r="E11" s="88"/>
      <c r="F11" s="88"/>
      <c r="G11" s="11"/>
    </row>
    <row r="12" spans="2:10" ht="15">
      <c r="B12" t="s">
        <v>131</v>
      </c>
      <c r="C12" s="52">
        <f>33/216</f>
        <v>0.1527777777777778</v>
      </c>
      <c r="J12" s="89"/>
    </row>
    <row r="15" spans="3:10" ht="15">
      <c r="C15" t="s">
        <v>118</v>
      </c>
      <c r="D15" t="s">
        <v>123</v>
      </c>
      <c r="E15" t="s">
        <v>124</v>
      </c>
      <c r="F15" t="s">
        <v>125</v>
      </c>
      <c r="G15" t="s">
        <v>126</v>
      </c>
      <c r="H15" t="s">
        <v>129</v>
      </c>
      <c r="I15" t="s">
        <v>130</v>
      </c>
      <c r="J15" t="s">
        <v>128</v>
      </c>
    </row>
    <row r="16" spans="2:16" ht="15">
      <c r="B16">
        <v>3</v>
      </c>
      <c r="C16" t="s">
        <v>119</v>
      </c>
      <c r="D16">
        <v>70</v>
      </c>
      <c r="E16">
        <v>39</v>
      </c>
      <c r="F16" s="17">
        <f>E16/D16</f>
        <v>0.5571428571428572</v>
      </c>
      <c r="G16" s="12">
        <f>F16*$D$11</f>
        <v>117149.1582857143</v>
      </c>
      <c r="H16" s="15">
        <f>B16/$B$20</f>
        <v>0.25</v>
      </c>
      <c r="I16" s="16">
        <f>H16*$C$12</f>
        <v>0.03819444444444445</v>
      </c>
      <c r="J16" s="11">
        <f>G16*I16</f>
        <v>4474.447017857144</v>
      </c>
      <c r="K16" s="11">
        <f>J16/6</f>
        <v>745.7411696428572</v>
      </c>
      <c r="L16">
        <v>6</v>
      </c>
      <c r="M16">
        <f>L16*B16</f>
        <v>18</v>
      </c>
      <c r="O16" s="11"/>
      <c r="P16" s="15"/>
    </row>
    <row r="17" spans="2:16" ht="15">
      <c r="B17">
        <v>2</v>
      </c>
      <c r="C17" t="s">
        <v>120</v>
      </c>
      <c r="D17">
        <v>70</v>
      </c>
      <c r="E17">
        <v>14</v>
      </c>
      <c r="F17" s="17">
        <f>E17/D17</f>
        <v>0.2</v>
      </c>
      <c r="G17" s="12">
        <f>F17*$D$11</f>
        <v>42053.544</v>
      </c>
      <c r="H17" s="15">
        <f>B17/$B$20</f>
        <v>0.16666666666666666</v>
      </c>
      <c r="I17" s="16">
        <f>H17*$C$12</f>
        <v>0.025462962962962965</v>
      </c>
      <c r="J17" s="11">
        <f>G17*I17</f>
        <v>1070.8078333333335</v>
      </c>
      <c r="K17" s="11">
        <f>J17/2</f>
        <v>535.4039166666668</v>
      </c>
      <c r="L17">
        <v>2</v>
      </c>
      <c r="M17">
        <f>L17*B17</f>
        <v>4</v>
      </c>
      <c r="O17" s="11"/>
      <c r="P17" s="15"/>
    </row>
    <row r="18" spans="2:16" ht="15">
      <c r="B18">
        <v>4</v>
      </c>
      <c r="C18" t="s">
        <v>122</v>
      </c>
      <c r="D18">
        <v>70</v>
      </c>
      <c r="E18">
        <v>26</v>
      </c>
      <c r="F18" s="17">
        <f>E18/D18</f>
        <v>0.37142857142857144</v>
      </c>
      <c r="G18" s="12">
        <f>F18*$D$11</f>
        <v>78099.43885714286</v>
      </c>
      <c r="H18" s="15">
        <f>B18/$B$20</f>
        <v>0.3333333333333333</v>
      </c>
      <c r="I18" s="16">
        <f>H18*$C$12</f>
        <v>0.05092592592592593</v>
      </c>
      <c r="J18" s="11">
        <f>G18*I18</f>
        <v>3977.2862380952383</v>
      </c>
      <c r="K18" s="11">
        <f>J18/2</f>
        <v>1988.6431190476192</v>
      </c>
      <c r="L18">
        <v>2</v>
      </c>
      <c r="M18">
        <f>L18*B18</f>
        <v>8</v>
      </c>
      <c r="O18" s="11"/>
      <c r="P18" s="15"/>
    </row>
    <row r="19" spans="2:16" ht="15">
      <c r="B19">
        <v>3</v>
      </c>
      <c r="C19" t="s">
        <v>121</v>
      </c>
      <c r="D19">
        <v>70</v>
      </c>
      <c r="E19">
        <v>2</v>
      </c>
      <c r="F19" s="17">
        <f>E19/D19</f>
        <v>0.02857142857142857</v>
      </c>
      <c r="G19" s="12">
        <f>F19*$D$11</f>
        <v>6007.649142857143</v>
      </c>
      <c r="H19" s="15">
        <f>B19/$B$20</f>
        <v>0.25</v>
      </c>
      <c r="I19" s="16">
        <f>H19*$C$12</f>
        <v>0.03819444444444445</v>
      </c>
      <c r="J19" s="11">
        <f>G19*I19</f>
        <v>229.45882142857144</v>
      </c>
      <c r="K19" s="11">
        <f>J19/1</f>
        <v>229.45882142857144</v>
      </c>
      <c r="L19">
        <v>1</v>
      </c>
      <c r="M19">
        <f>L19*B19</f>
        <v>3</v>
      </c>
      <c r="O19" s="11"/>
      <c r="P19" s="15"/>
    </row>
    <row r="20" spans="2:17" ht="15">
      <c r="B20">
        <f>SUM(B16:B19)</f>
        <v>12</v>
      </c>
      <c r="J20" s="12">
        <f>SUM(J16:J19)</f>
        <v>9751.999910714287</v>
      </c>
      <c r="K20" s="19"/>
      <c r="M20">
        <f>SUM(M16:M19)</f>
        <v>33</v>
      </c>
      <c r="N20" s="19"/>
      <c r="O20" s="12"/>
      <c r="Q20" s="16"/>
    </row>
    <row r="21" spans="1:15" ht="15">
      <c r="A21" s="16"/>
      <c r="J21" s="16">
        <f>J20/D11</f>
        <v>0.046378968253968256</v>
      </c>
      <c r="O21" s="12"/>
    </row>
    <row r="22" spans="10:15" ht="15">
      <c r="J22" s="19"/>
      <c r="K22" s="19"/>
      <c r="O22" s="19"/>
    </row>
    <row r="23" spans="10:11" ht="15">
      <c r="J23" s="19"/>
      <c r="K23" s="20"/>
    </row>
    <row r="24" spans="10:11" ht="15">
      <c r="J24" s="19"/>
      <c r="K24" s="19"/>
    </row>
    <row r="25" spans="7:11" ht="15">
      <c r="G25" s="16"/>
      <c r="J25" s="19"/>
      <c r="K25" s="19"/>
    </row>
    <row r="26" ht="15">
      <c r="D26" s="17"/>
    </row>
    <row r="27" spans="1:10" ht="15">
      <c r="A27" s="16"/>
      <c r="J27" s="19"/>
    </row>
    <row r="29" spans="2:3" ht="15">
      <c r="B29" s="15"/>
      <c r="C29" s="16"/>
    </row>
  </sheetData>
  <sheetProtection/>
  <mergeCells count="1">
    <mergeCell ref="B1:L1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F1">
      <selection activeCell="R5" sqref="R5"/>
    </sheetView>
  </sheetViews>
  <sheetFormatPr defaultColWidth="11.421875" defaultRowHeight="15"/>
  <cols>
    <col min="1" max="1" width="41.00390625" style="0" bestFit="1" customWidth="1"/>
    <col min="2" max="2" width="12.00390625" style="0" bestFit="1" customWidth="1"/>
    <col min="3" max="6" width="9.421875" style="0" customWidth="1"/>
    <col min="7" max="7" width="8.7109375" style="0" customWidth="1"/>
    <col min="8" max="14" width="9.421875" style="0" customWidth="1"/>
    <col min="15" max="15" width="15.8515625" style="0" bestFit="1" customWidth="1"/>
  </cols>
  <sheetData>
    <row r="1" spans="3:14" ht="15">
      <c r="C1" s="129" t="s">
        <v>146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3:14" ht="15">
      <c r="C2" s="10" t="s">
        <v>155</v>
      </c>
      <c r="D2" s="10" t="s">
        <v>155</v>
      </c>
      <c r="E2" s="10" t="s">
        <v>155</v>
      </c>
      <c r="F2" s="10" t="s">
        <v>155</v>
      </c>
      <c r="G2" s="10"/>
      <c r="H2" s="10" t="s">
        <v>158</v>
      </c>
      <c r="I2" s="10" t="s">
        <v>158</v>
      </c>
      <c r="J2" s="10" t="s">
        <v>158</v>
      </c>
      <c r="K2" s="10" t="s">
        <v>158</v>
      </c>
      <c r="L2" s="10"/>
      <c r="M2" s="10"/>
      <c r="N2" s="10" t="s">
        <v>155</v>
      </c>
    </row>
    <row r="3" spans="3:14" ht="15">
      <c r="C3" s="10" t="s">
        <v>154</v>
      </c>
      <c r="D3" s="10" t="s">
        <v>154</v>
      </c>
      <c r="E3" s="10" t="s">
        <v>154</v>
      </c>
      <c r="F3" s="10" t="s">
        <v>154</v>
      </c>
      <c r="G3" s="10" t="s">
        <v>156</v>
      </c>
      <c r="H3" s="10" t="s">
        <v>157</v>
      </c>
      <c r="I3" s="10" t="s">
        <v>157</v>
      </c>
      <c r="J3" s="10" t="s">
        <v>157</v>
      </c>
      <c r="K3" s="10" t="s">
        <v>157</v>
      </c>
      <c r="L3" s="10" t="s">
        <v>159</v>
      </c>
      <c r="M3" s="10" t="s">
        <v>159</v>
      </c>
      <c r="N3" s="10" t="s">
        <v>157</v>
      </c>
    </row>
    <row r="4" spans="3:15" ht="15">
      <c r="C4" t="s">
        <v>134</v>
      </c>
      <c r="D4" t="s">
        <v>135</v>
      </c>
      <c r="E4" t="s">
        <v>136</v>
      </c>
      <c r="F4" t="s">
        <v>137</v>
      </c>
      <c r="G4" t="s">
        <v>138</v>
      </c>
      <c r="H4" t="s">
        <v>139</v>
      </c>
      <c r="I4" t="s">
        <v>140</v>
      </c>
      <c r="J4" t="s">
        <v>141</v>
      </c>
      <c r="K4" t="s">
        <v>142</v>
      </c>
      <c r="L4" t="s">
        <v>143</v>
      </c>
      <c r="M4" t="s">
        <v>144</v>
      </c>
      <c r="N4" t="s">
        <v>145</v>
      </c>
      <c r="O4" t="s">
        <v>160</v>
      </c>
    </row>
    <row r="5" spans="1:15" ht="15">
      <c r="A5" t="s">
        <v>161</v>
      </c>
      <c r="C5" s="18">
        <f>C6*'Demanda y part mercado'!$C$12</f>
        <v>0.014379084967320271</v>
      </c>
      <c r="D5" s="18">
        <f>D6*'Demanda y part mercado'!$C$12</f>
        <v>0.014379084967320271</v>
      </c>
      <c r="E5" s="18">
        <f>E6*'Demanda y part mercado'!$C$12</f>
        <v>0.014379084967320271</v>
      </c>
      <c r="F5" s="18">
        <f>F6*'Demanda y part mercado'!$C$12</f>
        <v>0.014379084967320271</v>
      </c>
      <c r="G5" s="18">
        <f>G6*'Demanda y part mercado'!$C$12</f>
        <v>0.008986928104575163</v>
      </c>
      <c r="H5" s="18">
        <f>H6*'Demanda y part mercado'!$C$12</f>
        <v>0.013480392156862746</v>
      </c>
      <c r="I5" s="18">
        <f>I6*'Demanda y part mercado'!$C$12</f>
        <v>0.01348039215686274</v>
      </c>
      <c r="J5" s="18">
        <f>J6*'Demanda y part mercado'!$C$12</f>
        <v>0.01348039215686274</v>
      </c>
      <c r="K5" s="18">
        <f>K6*'Demanda y part mercado'!$C$12</f>
        <v>0.01348039215686274</v>
      </c>
      <c r="L5" s="18">
        <f>L6*'Demanda y part mercado'!$C$12</f>
        <v>0.00898692810457516</v>
      </c>
      <c r="M5" s="18">
        <f>M6*'Demanda y part mercado'!$C$12</f>
        <v>0.00898692810457516</v>
      </c>
      <c r="N5" s="18">
        <f>N6*'Demanda y part mercado'!$C$12</f>
        <v>0.014379084967320255</v>
      </c>
      <c r="O5" s="18">
        <f>SUM(C5:N5)</f>
        <v>0.15277777777777782</v>
      </c>
    </row>
    <row r="6" spans="1:18" ht="15">
      <c r="A6" t="s">
        <v>291</v>
      </c>
      <c r="C6" s="18">
        <v>0.09411764705882358</v>
      </c>
      <c r="D6" s="18">
        <v>0.09411764705882358</v>
      </c>
      <c r="E6" s="18">
        <v>0.09411764705882358</v>
      </c>
      <c r="F6" s="18">
        <v>0.09411764705882358</v>
      </c>
      <c r="G6" s="18">
        <v>0.0588235294117647</v>
      </c>
      <c r="H6" s="18">
        <v>0.08823529411764705</v>
      </c>
      <c r="I6" s="18">
        <v>0.08823529411764702</v>
      </c>
      <c r="J6" s="18">
        <v>0.08823529411764702</v>
      </c>
      <c r="K6" s="18">
        <v>0.08823529411764702</v>
      </c>
      <c r="L6" s="18">
        <v>0.05882352941176468</v>
      </c>
      <c r="M6" s="18">
        <v>0.05882352941176468</v>
      </c>
      <c r="N6" s="18">
        <v>0.09411764705882349</v>
      </c>
      <c r="O6" s="18"/>
      <c r="Q6" s="18"/>
      <c r="R6" s="18"/>
    </row>
    <row r="7" spans="1:17" ht="15">
      <c r="A7" t="s">
        <v>162</v>
      </c>
      <c r="B7" t="s">
        <v>129</v>
      </c>
      <c r="C7" s="11">
        <f>C6*'Demanda y part mercado'!$J$20</f>
        <v>917.8352857142863</v>
      </c>
      <c r="D7" s="11">
        <f>D6*'Demanda y part mercado'!$J$20</f>
        <v>917.8352857142863</v>
      </c>
      <c r="E7" s="11">
        <f>E6*'Demanda y part mercado'!$J$20</f>
        <v>917.8352857142863</v>
      </c>
      <c r="F7" s="11">
        <f>F6*'Demanda y part mercado'!$J$20</f>
        <v>917.8352857142863</v>
      </c>
      <c r="G7" s="11">
        <f>G6*'Demanda y part mercado'!$J$20</f>
        <v>573.6470535714285</v>
      </c>
      <c r="H7" s="11">
        <f>H6*'Demanda y part mercado'!$J$20</f>
        <v>860.4705803571428</v>
      </c>
      <c r="I7" s="11">
        <f>I6*'Demanda y part mercado'!$J$20</f>
        <v>860.4705803571426</v>
      </c>
      <c r="J7" s="11">
        <f>J6*'Demanda y part mercado'!$J$20</f>
        <v>860.4705803571426</v>
      </c>
      <c r="K7" s="11">
        <f>K6*'Demanda y part mercado'!$J$20</f>
        <v>860.4705803571426</v>
      </c>
      <c r="L7" s="11">
        <f>L6*'Demanda y part mercado'!$J$20</f>
        <v>573.6470535714284</v>
      </c>
      <c r="M7" s="11">
        <f>M6*'Demanda y part mercado'!$J$20</f>
        <v>573.6470535714284</v>
      </c>
      <c r="N7" s="11">
        <f>N6*'Demanda y part mercado'!$J$20</f>
        <v>917.8352857142854</v>
      </c>
      <c r="O7" s="12">
        <f>SUM(C7:N7)</f>
        <v>9751.999910714287</v>
      </c>
      <c r="Q7" s="18"/>
    </row>
    <row r="8" spans="1:16" ht="15">
      <c r="A8" t="s">
        <v>119</v>
      </c>
      <c r="B8" s="15">
        <f>18/33</f>
        <v>0.5454545454545454</v>
      </c>
      <c r="C8" s="11">
        <f>ROUND($B8*C$7,0)</f>
        <v>501</v>
      </c>
      <c r="D8" s="11">
        <f aca="true" t="shared" si="0" ref="D8:N8">ROUND($B8*D$7,0)</f>
        <v>501</v>
      </c>
      <c r="E8" s="11">
        <f t="shared" si="0"/>
        <v>501</v>
      </c>
      <c r="F8" s="11">
        <f t="shared" si="0"/>
        <v>501</v>
      </c>
      <c r="G8" s="11">
        <f t="shared" si="0"/>
        <v>313</v>
      </c>
      <c r="H8" s="11">
        <f t="shared" si="0"/>
        <v>469</v>
      </c>
      <c r="I8" s="11">
        <f t="shared" si="0"/>
        <v>469</v>
      </c>
      <c r="J8" s="11">
        <f t="shared" si="0"/>
        <v>469</v>
      </c>
      <c r="K8" s="11">
        <f t="shared" si="0"/>
        <v>469</v>
      </c>
      <c r="L8" s="11">
        <f t="shared" si="0"/>
        <v>313</v>
      </c>
      <c r="M8" s="11">
        <f t="shared" si="0"/>
        <v>313</v>
      </c>
      <c r="N8" s="11">
        <f t="shared" si="0"/>
        <v>501</v>
      </c>
      <c r="O8" s="12">
        <f>SUM(C8:N8)</f>
        <v>5320</v>
      </c>
      <c r="P8" s="12"/>
    </row>
    <row r="9" spans="1:16" ht="15">
      <c r="A9" t="s">
        <v>120</v>
      </c>
      <c r="B9" s="15">
        <f>4/33</f>
        <v>0.12121212121212122</v>
      </c>
      <c r="C9" s="11">
        <f>ROUND($B9*C$7,0)</f>
        <v>111</v>
      </c>
      <c r="D9" s="11">
        <f aca="true" t="shared" si="1" ref="D9:N11">ROUND($B9*D$7,0)</f>
        <v>111</v>
      </c>
      <c r="E9" s="11">
        <f t="shared" si="1"/>
        <v>111</v>
      </c>
      <c r="F9" s="11">
        <f t="shared" si="1"/>
        <v>111</v>
      </c>
      <c r="G9" s="11">
        <f t="shared" si="1"/>
        <v>70</v>
      </c>
      <c r="H9" s="11">
        <f t="shared" si="1"/>
        <v>104</v>
      </c>
      <c r="I9" s="11">
        <f t="shared" si="1"/>
        <v>104</v>
      </c>
      <c r="J9" s="11">
        <f t="shared" si="1"/>
        <v>104</v>
      </c>
      <c r="K9" s="11">
        <f t="shared" si="1"/>
        <v>104</v>
      </c>
      <c r="L9" s="11">
        <f t="shared" si="1"/>
        <v>70</v>
      </c>
      <c r="M9" s="11">
        <f>ROUND($B9*M$7,0)</f>
        <v>70</v>
      </c>
      <c r="N9" s="11">
        <f>ROUND($B9*N$7,0)</f>
        <v>111</v>
      </c>
      <c r="O9" s="12">
        <f>SUM(C9:N9)</f>
        <v>1181</v>
      </c>
      <c r="P9" s="12"/>
    </row>
    <row r="10" spans="1:16" ht="15">
      <c r="A10" t="s">
        <v>122</v>
      </c>
      <c r="B10" s="15">
        <f>8/33</f>
        <v>0.24242424242424243</v>
      </c>
      <c r="C10" s="11">
        <f>ROUND($B10*C$7,0)</f>
        <v>223</v>
      </c>
      <c r="D10" s="11">
        <f t="shared" si="1"/>
        <v>223</v>
      </c>
      <c r="E10" s="11">
        <f t="shared" si="1"/>
        <v>223</v>
      </c>
      <c r="F10" s="11">
        <f t="shared" si="1"/>
        <v>223</v>
      </c>
      <c r="G10" s="11">
        <f t="shared" si="1"/>
        <v>139</v>
      </c>
      <c r="H10" s="11">
        <f t="shared" si="1"/>
        <v>209</v>
      </c>
      <c r="I10" s="11">
        <f t="shared" si="1"/>
        <v>209</v>
      </c>
      <c r="J10" s="11">
        <f t="shared" si="1"/>
        <v>209</v>
      </c>
      <c r="K10" s="11">
        <f t="shared" si="1"/>
        <v>209</v>
      </c>
      <c r="L10" s="11">
        <f t="shared" si="1"/>
        <v>139</v>
      </c>
      <c r="M10" s="11">
        <f t="shared" si="1"/>
        <v>139</v>
      </c>
      <c r="N10" s="11">
        <f t="shared" si="1"/>
        <v>223</v>
      </c>
      <c r="O10" s="12">
        <f>SUM(C10:N10)</f>
        <v>2368</v>
      </c>
      <c r="P10" s="12"/>
    </row>
    <row r="11" spans="1:16" ht="15">
      <c r="A11" t="s">
        <v>121</v>
      </c>
      <c r="B11" s="15">
        <f>3/33</f>
        <v>0.09090909090909091</v>
      </c>
      <c r="C11" s="11">
        <f>ROUND($B11*C$7,0)</f>
        <v>83</v>
      </c>
      <c r="D11" s="11">
        <f t="shared" si="1"/>
        <v>83</v>
      </c>
      <c r="E11" s="11">
        <f t="shared" si="1"/>
        <v>83</v>
      </c>
      <c r="F11" s="11">
        <f t="shared" si="1"/>
        <v>83</v>
      </c>
      <c r="G11" s="11">
        <f t="shared" si="1"/>
        <v>52</v>
      </c>
      <c r="H11" s="11">
        <f t="shared" si="1"/>
        <v>78</v>
      </c>
      <c r="I11" s="11">
        <f t="shared" si="1"/>
        <v>78</v>
      </c>
      <c r="J11" s="11">
        <f t="shared" si="1"/>
        <v>78</v>
      </c>
      <c r="K11" s="11">
        <f t="shared" si="1"/>
        <v>78</v>
      </c>
      <c r="L11" s="11">
        <f t="shared" si="1"/>
        <v>52</v>
      </c>
      <c r="M11" s="11">
        <f t="shared" si="1"/>
        <v>52</v>
      </c>
      <c r="N11" s="11">
        <f t="shared" si="1"/>
        <v>83</v>
      </c>
      <c r="O11" s="12">
        <f>SUM(C11:N11)</f>
        <v>883</v>
      </c>
      <c r="P11" s="12"/>
    </row>
    <row r="12" spans="2:15" ht="15">
      <c r="B12" s="15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5">
      <c r="A13" t="s">
        <v>164</v>
      </c>
      <c r="B13">
        <f>SUM(B14:B17)</f>
        <v>11</v>
      </c>
      <c r="C13" s="11">
        <f>SUM(C14:C17)</f>
        <v>333.5</v>
      </c>
      <c r="D13" s="11">
        <f aca="true" t="shared" si="2" ref="D13:N13">SUM(D14:D17)</f>
        <v>333.5</v>
      </c>
      <c r="E13" s="11">
        <f>SUM(E14:E17)</f>
        <v>333.5</v>
      </c>
      <c r="F13" s="11">
        <f>SUM(F14:F17)</f>
        <v>333.5</v>
      </c>
      <c r="G13" s="11">
        <f>SUM(G14:G17)</f>
        <v>208.66666666666666</v>
      </c>
      <c r="H13" s="11">
        <f t="shared" si="2"/>
        <v>312.6666666666667</v>
      </c>
      <c r="I13" s="11">
        <f t="shared" si="2"/>
        <v>312.6666666666667</v>
      </c>
      <c r="J13" s="11">
        <f t="shared" si="2"/>
        <v>312.6666666666667</v>
      </c>
      <c r="K13" s="11">
        <f t="shared" si="2"/>
        <v>312.6666666666667</v>
      </c>
      <c r="L13" s="11">
        <f t="shared" si="2"/>
        <v>208.66666666666666</v>
      </c>
      <c r="M13" s="11">
        <f t="shared" si="2"/>
        <v>208.66666666666666</v>
      </c>
      <c r="N13" s="11">
        <f t="shared" si="2"/>
        <v>333.5</v>
      </c>
      <c r="O13" s="11">
        <f>SUM(O14:O17)</f>
        <v>3544.1666666666665</v>
      </c>
    </row>
    <row r="14" spans="1:15" ht="15">
      <c r="A14" t="s">
        <v>119</v>
      </c>
      <c r="B14">
        <v>6</v>
      </c>
      <c r="C14" s="21">
        <f aca="true" t="shared" si="3" ref="C14:O14">C8/$B14</f>
        <v>83.5</v>
      </c>
      <c r="D14" s="21">
        <f t="shared" si="3"/>
        <v>83.5</v>
      </c>
      <c r="E14" s="21">
        <f t="shared" si="3"/>
        <v>83.5</v>
      </c>
      <c r="F14" s="21">
        <f t="shared" si="3"/>
        <v>83.5</v>
      </c>
      <c r="G14" s="21">
        <f t="shared" si="3"/>
        <v>52.166666666666664</v>
      </c>
      <c r="H14" s="21">
        <f t="shared" si="3"/>
        <v>78.16666666666667</v>
      </c>
      <c r="I14" s="21">
        <f t="shared" si="3"/>
        <v>78.16666666666667</v>
      </c>
      <c r="J14" s="21">
        <f t="shared" si="3"/>
        <v>78.16666666666667</v>
      </c>
      <c r="K14" s="21">
        <f t="shared" si="3"/>
        <v>78.16666666666667</v>
      </c>
      <c r="L14" s="21">
        <f t="shared" si="3"/>
        <v>52.166666666666664</v>
      </c>
      <c r="M14" s="21">
        <f t="shared" si="3"/>
        <v>52.166666666666664</v>
      </c>
      <c r="N14" s="21">
        <f t="shared" si="3"/>
        <v>83.5</v>
      </c>
      <c r="O14" s="21">
        <f t="shared" si="3"/>
        <v>886.6666666666666</v>
      </c>
    </row>
    <row r="15" spans="1:15" ht="15">
      <c r="A15" t="s">
        <v>120</v>
      </c>
      <c r="B15">
        <v>2</v>
      </c>
      <c r="C15" s="21">
        <f aca="true" t="shared" si="4" ref="C15:O15">C9/$B15</f>
        <v>55.5</v>
      </c>
      <c r="D15" s="21">
        <f t="shared" si="4"/>
        <v>55.5</v>
      </c>
      <c r="E15" s="21">
        <f t="shared" si="4"/>
        <v>55.5</v>
      </c>
      <c r="F15" s="21">
        <f t="shared" si="4"/>
        <v>55.5</v>
      </c>
      <c r="G15" s="21">
        <f t="shared" si="4"/>
        <v>35</v>
      </c>
      <c r="H15" s="21">
        <f t="shared" si="4"/>
        <v>52</v>
      </c>
      <c r="I15" s="21">
        <f t="shared" si="4"/>
        <v>52</v>
      </c>
      <c r="J15" s="21">
        <f t="shared" si="4"/>
        <v>52</v>
      </c>
      <c r="K15" s="21">
        <f t="shared" si="4"/>
        <v>52</v>
      </c>
      <c r="L15" s="21">
        <f t="shared" si="4"/>
        <v>35</v>
      </c>
      <c r="M15" s="21">
        <f t="shared" si="4"/>
        <v>35</v>
      </c>
      <c r="N15" s="21">
        <f t="shared" si="4"/>
        <v>55.5</v>
      </c>
      <c r="O15" s="21">
        <f t="shared" si="4"/>
        <v>590.5</v>
      </c>
    </row>
    <row r="16" spans="1:17" ht="15">
      <c r="A16" t="s">
        <v>122</v>
      </c>
      <c r="B16">
        <v>2</v>
      </c>
      <c r="C16" s="21">
        <f aca="true" t="shared" si="5" ref="C16:O16">C10/$B16</f>
        <v>111.5</v>
      </c>
      <c r="D16" s="21">
        <f t="shared" si="5"/>
        <v>111.5</v>
      </c>
      <c r="E16" s="21">
        <f t="shared" si="5"/>
        <v>111.5</v>
      </c>
      <c r="F16" s="21">
        <f t="shared" si="5"/>
        <v>111.5</v>
      </c>
      <c r="G16" s="21">
        <f t="shared" si="5"/>
        <v>69.5</v>
      </c>
      <c r="H16" s="21">
        <f t="shared" si="5"/>
        <v>104.5</v>
      </c>
      <c r="I16" s="21">
        <f t="shared" si="5"/>
        <v>104.5</v>
      </c>
      <c r="J16" s="21">
        <f t="shared" si="5"/>
        <v>104.5</v>
      </c>
      <c r="K16" s="21">
        <f t="shared" si="5"/>
        <v>104.5</v>
      </c>
      <c r="L16" s="21">
        <f t="shared" si="5"/>
        <v>69.5</v>
      </c>
      <c r="M16" s="21">
        <f t="shared" si="5"/>
        <v>69.5</v>
      </c>
      <c r="N16" s="21">
        <f t="shared" si="5"/>
        <v>111.5</v>
      </c>
      <c r="O16" s="21">
        <f t="shared" si="5"/>
        <v>1184</v>
      </c>
      <c r="P16" s="11"/>
      <c r="Q16" s="19"/>
    </row>
    <row r="17" spans="1:17" ht="15">
      <c r="A17" t="s">
        <v>121</v>
      </c>
      <c r="B17">
        <v>1</v>
      </c>
      <c r="C17" s="21">
        <f aca="true" t="shared" si="6" ref="C17:O17">C11/$B17</f>
        <v>83</v>
      </c>
      <c r="D17" s="21">
        <f t="shared" si="6"/>
        <v>83</v>
      </c>
      <c r="E17" s="21">
        <f t="shared" si="6"/>
        <v>83</v>
      </c>
      <c r="F17" s="21">
        <f t="shared" si="6"/>
        <v>83</v>
      </c>
      <c r="G17" s="21">
        <f t="shared" si="6"/>
        <v>52</v>
      </c>
      <c r="H17" s="21">
        <f t="shared" si="6"/>
        <v>78</v>
      </c>
      <c r="I17" s="21">
        <f t="shared" si="6"/>
        <v>78</v>
      </c>
      <c r="J17" s="21">
        <f t="shared" si="6"/>
        <v>78</v>
      </c>
      <c r="K17" s="21">
        <f t="shared" si="6"/>
        <v>78</v>
      </c>
      <c r="L17" s="21">
        <f t="shared" si="6"/>
        <v>52</v>
      </c>
      <c r="M17" s="21">
        <f t="shared" si="6"/>
        <v>52</v>
      </c>
      <c r="N17" s="21">
        <f t="shared" si="6"/>
        <v>83</v>
      </c>
      <c r="O17" s="21">
        <f t="shared" si="6"/>
        <v>883</v>
      </c>
      <c r="P17" s="11"/>
      <c r="Q17" s="19"/>
    </row>
    <row r="18" spans="3:17" ht="15"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P18" s="11"/>
      <c r="Q18" s="19"/>
    </row>
    <row r="20" spans="1:15" ht="15">
      <c r="A20" t="s">
        <v>163</v>
      </c>
      <c r="C20" s="20">
        <f>SUM(C21:C24)</f>
        <v>13210</v>
      </c>
      <c r="D20" s="20">
        <f>SUM(D21:D24)</f>
        <v>13210</v>
      </c>
      <c r="E20" s="20">
        <f>SUM(E21:E24)</f>
        <v>13210</v>
      </c>
      <c r="F20" s="20">
        <f aca="true" t="shared" si="7" ref="F20:K20">SUM(F21:F24)</f>
        <v>13210</v>
      </c>
      <c r="G20" s="20">
        <f>SUM(G21:G24)</f>
        <v>8266.666666666666</v>
      </c>
      <c r="H20" s="20">
        <f t="shared" si="7"/>
        <v>12376.666666666668</v>
      </c>
      <c r="I20" s="20">
        <f t="shared" si="7"/>
        <v>12376.666666666668</v>
      </c>
      <c r="J20" s="20">
        <f t="shared" si="7"/>
        <v>12376.666666666668</v>
      </c>
      <c r="K20" s="20">
        <f t="shared" si="7"/>
        <v>12376.666666666668</v>
      </c>
      <c r="L20" s="20">
        <f>SUM(L21:L24)</f>
        <v>8266.666666666666</v>
      </c>
      <c r="M20" s="20">
        <f>SUM(M21:M24)</f>
        <v>8266.666666666666</v>
      </c>
      <c r="N20" s="20">
        <f>SUM(N21:N24)</f>
        <v>13210</v>
      </c>
      <c r="O20" s="20">
        <f>SUM(C20:N20)</f>
        <v>140356.6666666667</v>
      </c>
    </row>
    <row r="21" spans="1:15" ht="15">
      <c r="A21" t="s">
        <v>119</v>
      </c>
      <c r="B21">
        <v>70</v>
      </c>
      <c r="C21" s="20">
        <f aca="true" t="shared" si="8" ref="C21:N21">$B21*C14</f>
        <v>5845</v>
      </c>
      <c r="D21" s="20">
        <f t="shared" si="8"/>
        <v>5845</v>
      </c>
      <c r="E21" s="20">
        <f t="shared" si="8"/>
        <v>5845</v>
      </c>
      <c r="F21" s="20">
        <f t="shared" si="8"/>
        <v>5845</v>
      </c>
      <c r="G21" s="20">
        <f t="shared" si="8"/>
        <v>3651.6666666666665</v>
      </c>
      <c r="H21" s="20">
        <f t="shared" si="8"/>
        <v>5471.666666666667</v>
      </c>
      <c r="I21" s="20">
        <f t="shared" si="8"/>
        <v>5471.666666666667</v>
      </c>
      <c r="J21" s="20">
        <f t="shared" si="8"/>
        <v>5471.666666666667</v>
      </c>
      <c r="K21" s="20">
        <f t="shared" si="8"/>
        <v>5471.666666666667</v>
      </c>
      <c r="L21" s="20">
        <f t="shared" si="8"/>
        <v>3651.6666666666665</v>
      </c>
      <c r="M21" s="20">
        <f t="shared" si="8"/>
        <v>3651.6666666666665</v>
      </c>
      <c r="N21" s="20">
        <f t="shared" si="8"/>
        <v>5845</v>
      </c>
      <c r="O21" s="20">
        <f>SUM(C21:N21)</f>
        <v>62066.66666666666</v>
      </c>
    </row>
    <row r="22" spans="1:15" ht="15">
      <c r="A22" t="s">
        <v>120</v>
      </c>
      <c r="B22">
        <v>50</v>
      </c>
      <c r="C22" s="20">
        <f aca="true" t="shared" si="9" ref="C22:N22">$B22*C15</f>
        <v>2775</v>
      </c>
      <c r="D22" s="20">
        <f t="shared" si="9"/>
        <v>2775</v>
      </c>
      <c r="E22" s="20">
        <f t="shared" si="9"/>
        <v>2775</v>
      </c>
      <c r="F22" s="20">
        <f t="shared" si="9"/>
        <v>2775</v>
      </c>
      <c r="G22" s="20">
        <f t="shared" si="9"/>
        <v>1750</v>
      </c>
      <c r="H22" s="20">
        <f t="shared" si="9"/>
        <v>2600</v>
      </c>
      <c r="I22" s="20">
        <f t="shared" si="9"/>
        <v>2600</v>
      </c>
      <c r="J22" s="20">
        <f t="shared" si="9"/>
        <v>2600</v>
      </c>
      <c r="K22" s="20">
        <f t="shared" si="9"/>
        <v>2600</v>
      </c>
      <c r="L22" s="20">
        <f t="shared" si="9"/>
        <v>1750</v>
      </c>
      <c r="M22" s="20">
        <f t="shared" si="9"/>
        <v>1750</v>
      </c>
      <c r="N22" s="20">
        <f t="shared" si="9"/>
        <v>2775</v>
      </c>
      <c r="O22" s="20">
        <f>SUM(C22:N22)</f>
        <v>29525</v>
      </c>
    </row>
    <row r="23" spans="1:15" ht="15">
      <c r="A23" t="s">
        <v>122</v>
      </c>
      <c r="B23">
        <v>30</v>
      </c>
      <c r="C23" s="20">
        <f aca="true" t="shared" si="10" ref="C23:N23">$B23*C16</f>
        <v>3345</v>
      </c>
      <c r="D23" s="20">
        <f t="shared" si="10"/>
        <v>3345</v>
      </c>
      <c r="E23" s="20">
        <f t="shared" si="10"/>
        <v>3345</v>
      </c>
      <c r="F23" s="20">
        <f t="shared" si="10"/>
        <v>3345</v>
      </c>
      <c r="G23" s="20">
        <f t="shared" si="10"/>
        <v>2085</v>
      </c>
      <c r="H23" s="20">
        <f t="shared" si="10"/>
        <v>3135</v>
      </c>
      <c r="I23" s="20">
        <f t="shared" si="10"/>
        <v>3135</v>
      </c>
      <c r="J23" s="20">
        <f t="shared" si="10"/>
        <v>3135</v>
      </c>
      <c r="K23" s="20">
        <f t="shared" si="10"/>
        <v>3135</v>
      </c>
      <c r="L23" s="20">
        <f t="shared" si="10"/>
        <v>2085</v>
      </c>
      <c r="M23" s="20">
        <f t="shared" si="10"/>
        <v>2085</v>
      </c>
      <c r="N23" s="20">
        <f t="shared" si="10"/>
        <v>3345</v>
      </c>
      <c r="O23" s="20">
        <f>SUM(C23:N23)</f>
        <v>35520</v>
      </c>
    </row>
    <row r="24" spans="1:15" ht="15">
      <c r="A24" t="s">
        <v>121</v>
      </c>
      <c r="B24">
        <v>15</v>
      </c>
      <c r="C24" s="20">
        <f aca="true" t="shared" si="11" ref="C24:N24">$B24*C17</f>
        <v>1245</v>
      </c>
      <c r="D24" s="20">
        <f t="shared" si="11"/>
        <v>1245</v>
      </c>
      <c r="E24" s="20">
        <f t="shared" si="11"/>
        <v>1245</v>
      </c>
      <c r="F24" s="20">
        <f t="shared" si="11"/>
        <v>1245</v>
      </c>
      <c r="G24" s="20">
        <f t="shared" si="11"/>
        <v>780</v>
      </c>
      <c r="H24" s="20">
        <f t="shared" si="11"/>
        <v>1170</v>
      </c>
      <c r="I24" s="20">
        <f t="shared" si="11"/>
        <v>1170</v>
      </c>
      <c r="J24" s="20">
        <f t="shared" si="11"/>
        <v>1170</v>
      </c>
      <c r="K24" s="20">
        <f t="shared" si="11"/>
        <v>1170</v>
      </c>
      <c r="L24" s="20">
        <f t="shared" si="11"/>
        <v>780</v>
      </c>
      <c r="M24" s="20">
        <f t="shared" si="11"/>
        <v>780</v>
      </c>
      <c r="N24" s="20">
        <f t="shared" si="11"/>
        <v>1245</v>
      </c>
      <c r="O24" s="20">
        <f>SUM(C24:N24)</f>
        <v>13245</v>
      </c>
    </row>
    <row r="26" spans="3:14" ht="15">
      <c r="C26" s="12">
        <f>C7/33</f>
        <v>27.813190476190496</v>
      </c>
      <c r="D26" s="12">
        <f aca="true" t="shared" si="12" ref="D26:N26">D7/33</f>
        <v>27.813190476190496</v>
      </c>
      <c r="E26" s="12">
        <f t="shared" si="12"/>
        <v>27.813190476190496</v>
      </c>
      <c r="F26" s="12">
        <f t="shared" si="12"/>
        <v>27.813190476190496</v>
      </c>
      <c r="G26" s="12">
        <f t="shared" si="12"/>
        <v>17.383244047619044</v>
      </c>
      <c r="H26" s="12">
        <f t="shared" si="12"/>
        <v>26.07486607142857</v>
      </c>
      <c r="I26" s="12">
        <f t="shared" si="12"/>
        <v>26.074866071428563</v>
      </c>
      <c r="J26" s="12">
        <f t="shared" si="12"/>
        <v>26.074866071428563</v>
      </c>
      <c r="K26" s="12">
        <f t="shared" si="12"/>
        <v>26.074866071428563</v>
      </c>
      <c r="L26" s="12">
        <f t="shared" si="12"/>
        <v>17.38324404761904</v>
      </c>
      <c r="M26" s="12">
        <f t="shared" si="12"/>
        <v>17.38324404761904</v>
      </c>
      <c r="N26" s="12">
        <f t="shared" si="12"/>
        <v>27.813190476190467</v>
      </c>
    </row>
    <row r="27" spans="2:3" ht="15">
      <c r="B27" s="18"/>
      <c r="C27" s="12"/>
    </row>
    <row r="28" ht="15">
      <c r="C28" s="12"/>
    </row>
    <row r="29" spans="3:7" ht="15">
      <c r="C29" s="12"/>
      <c r="G29" s="12"/>
    </row>
    <row r="30" ht="15">
      <c r="C30" s="12"/>
    </row>
    <row r="31" ht="15">
      <c r="C31" s="12"/>
    </row>
    <row r="36" spans="9:12" ht="15">
      <c r="I36" s="17"/>
      <c r="J36" s="12"/>
      <c r="L36" s="15"/>
    </row>
    <row r="37" spans="9:14" ht="15">
      <c r="I37" s="15"/>
      <c r="J37" s="11"/>
      <c r="K37" s="15"/>
      <c r="L37" s="16"/>
      <c r="M37" s="16"/>
      <c r="N37" s="23"/>
    </row>
    <row r="38" spans="9:14" ht="15">
      <c r="I38" s="15"/>
      <c r="J38" s="11"/>
      <c r="K38" s="15"/>
      <c r="L38" s="16"/>
      <c r="M38" s="16"/>
      <c r="N38" s="23"/>
    </row>
    <row r="39" spans="9:14" ht="15">
      <c r="I39" s="15"/>
      <c r="J39" s="11"/>
      <c r="K39" s="15"/>
      <c r="L39" s="16"/>
      <c r="M39" s="16"/>
      <c r="N39" s="23"/>
    </row>
    <row r="41" ht="15">
      <c r="J41" s="12"/>
    </row>
    <row r="43" ht="15">
      <c r="M43" s="16"/>
    </row>
    <row r="47" ht="15">
      <c r="L47" s="11"/>
    </row>
  </sheetData>
  <sheetProtection/>
  <mergeCells count="1">
    <mergeCell ref="C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pane xSplit="2" ySplit="5" topLeftCell="C5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7" sqref="C57"/>
    </sheetView>
  </sheetViews>
  <sheetFormatPr defaultColWidth="11.421875" defaultRowHeight="15"/>
  <cols>
    <col min="2" max="2" width="26.7109375" style="0" customWidth="1"/>
  </cols>
  <sheetData>
    <row r="1" spans="3:14" ht="21" customHeight="1">
      <c r="C1" s="131" t="s">
        <v>181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2:14" ht="21" customHeight="1">
      <c r="B2" s="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2:14" ht="21" customHeight="1">
      <c r="B3" s="28"/>
      <c r="C3" s="10" t="s">
        <v>155</v>
      </c>
      <c r="D3" s="10" t="s">
        <v>155</v>
      </c>
      <c r="E3" s="10" t="s">
        <v>155</v>
      </c>
      <c r="F3" s="10" t="s">
        <v>155</v>
      </c>
      <c r="G3" s="10"/>
      <c r="H3" s="10" t="s">
        <v>158</v>
      </c>
      <c r="I3" s="10" t="s">
        <v>158</v>
      </c>
      <c r="J3" s="10" t="s">
        <v>158</v>
      </c>
      <c r="K3" s="10" t="s">
        <v>158</v>
      </c>
      <c r="L3" s="10"/>
      <c r="M3" s="10"/>
      <c r="N3" s="10" t="s">
        <v>155</v>
      </c>
    </row>
    <row r="4" spans="2:14" ht="19.5" customHeight="1">
      <c r="B4" s="28"/>
      <c r="C4" s="10" t="s">
        <v>154</v>
      </c>
      <c r="D4" s="10" t="s">
        <v>154</v>
      </c>
      <c r="E4" s="10" t="s">
        <v>154</v>
      </c>
      <c r="F4" s="10" t="s">
        <v>154</v>
      </c>
      <c r="G4" s="10" t="s">
        <v>156</v>
      </c>
      <c r="H4" s="10" t="s">
        <v>157</v>
      </c>
      <c r="I4" s="10" t="s">
        <v>157</v>
      </c>
      <c r="J4" s="10" t="s">
        <v>157</v>
      </c>
      <c r="K4" s="10" t="s">
        <v>157</v>
      </c>
      <c r="L4" s="10" t="s">
        <v>159</v>
      </c>
      <c r="M4" s="10" t="s">
        <v>159</v>
      </c>
      <c r="N4" s="10" t="s">
        <v>157</v>
      </c>
    </row>
    <row r="5" spans="1:14" ht="19.5" customHeight="1">
      <c r="A5" t="s">
        <v>176</v>
      </c>
      <c r="B5" s="3" t="s">
        <v>39</v>
      </c>
      <c r="C5" s="3" t="s">
        <v>69</v>
      </c>
      <c r="D5" s="3" t="s">
        <v>70</v>
      </c>
      <c r="E5" s="3" t="s">
        <v>71</v>
      </c>
      <c r="F5" s="3" t="s">
        <v>72</v>
      </c>
      <c r="G5" s="3" t="s">
        <v>73</v>
      </c>
      <c r="H5" s="3" t="s">
        <v>74</v>
      </c>
      <c r="I5" s="3" t="s">
        <v>75</v>
      </c>
      <c r="J5" s="3" t="s">
        <v>76</v>
      </c>
      <c r="K5" s="3" t="s">
        <v>77</v>
      </c>
      <c r="L5" s="3" t="s">
        <v>78</v>
      </c>
      <c r="M5" s="3" t="s">
        <v>79</v>
      </c>
      <c r="N5" s="3" t="s">
        <v>80</v>
      </c>
    </row>
    <row r="6" ht="15">
      <c r="B6" s="7" t="s">
        <v>40</v>
      </c>
    </row>
    <row r="7" spans="1:15" ht="15">
      <c r="A7" s="130" t="s">
        <v>177</v>
      </c>
      <c r="B7" t="s">
        <v>44</v>
      </c>
      <c r="C7" s="11">
        <v>400</v>
      </c>
      <c r="D7" s="21">
        <v>400</v>
      </c>
      <c r="E7" s="21">
        <v>400</v>
      </c>
      <c r="F7" s="21">
        <v>400</v>
      </c>
      <c r="G7" s="21">
        <v>400</v>
      </c>
      <c r="H7" s="21">
        <v>400</v>
      </c>
      <c r="I7" s="21">
        <v>400</v>
      </c>
      <c r="J7" s="21">
        <v>400</v>
      </c>
      <c r="K7" s="21">
        <v>400</v>
      </c>
      <c r="L7" s="21">
        <v>400</v>
      </c>
      <c r="M7" s="21">
        <v>400</v>
      </c>
      <c r="N7" s="21">
        <v>400</v>
      </c>
      <c r="O7" s="12">
        <f aca="true" t="shared" si="0" ref="O7:O39">SUM(C7:N7)</f>
        <v>4800</v>
      </c>
    </row>
    <row r="8" spans="1:15" ht="15">
      <c r="A8" s="130"/>
      <c r="B8" t="s">
        <v>45</v>
      </c>
      <c r="C8" s="11">
        <v>300</v>
      </c>
      <c r="D8" s="11">
        <v>300</v>
      </c>
      <c r="E8" s="11">
        <v>300</v>
      </c>
      <c r="F8" s="11">
        <v>300</v>
      </c>
      <c r="G8" s="11">
        <v>300</v>
      </c>
      <c r="H8" s="11">
        <v>300</v>
      </c>
      <c r="I8" s="11">
        <v>300</v>
      </c>
      <c r="J8" s="11">
        <v>300</v>
      </c>
      <c r="K8" s="11">
        <v>300</v>
      </c>
      <c r="L8" s="11">
        <v>300</v>
      </c>
      <c r="M8" s="11">
        <v>300</v>
      </c>
      <c r="N8" s="11">
        <v>300</v>
      </c>
      <c r="O8" s="12">
        <f t="shared" si="0"/>
        <v>3600</v>
      </c>
    </row>
    <row r="9" spans="1:15" ht="15">
      <c r="A9" s="130"/>
      <c r="B9" t="s">
        <v>46</v>
      </c>
      <c r="C9" s="11">
        <v>300</v>
      </c>
      <c r="D9" s="11">
        <v>300</v>
      </c>
      <c r="E9" s="11">
        <v>300</v>
      </c>
      <c r="F9" s="11">
        <v>300</v>
      </c>
      <c r="G9" s="11">
        <v>300</v>
      </c>
      <c r="H9" s="11">
        <v>300</v>
      </c>
      <c r="I9" s="11">
        <v>300</v>
      </c>
      <c r="J9" s="11">
        <v>300</v>
      </c>
      <c r="K9" s="11">
        <v>300</v>
      </c>
      <c r="L9" s="11">
        <v>300</v>
      </c>
      <c r="M9" s="11">
        <v>300</v>
      </c>
      <c r="N9" s="11">
        <v>300</v>
      </c>
      <c r="O9" s="12">
        <f t="shared" si="0"/>
        <v>3600</v>
      </c>
    </row>
    <row r="10" spans="1:15" ht="15">
      <c r="A10" s="130"/>
      <c r="B10" t="s">
        <v>47</v>
      </c>
      <c r="C10" s="11">
        <v>300</v>
      </c>
      <c r="D10" s="11">
        <v>300</v>
      </c>
      <c r="E10" s="11">
        <v>300</v>
      </c>
      <c r="F10" s="11">
        <v>300</v>
      </c>
      <c r="G10" s="11">
        <v>300</v>
      </c>
      <c r="H10" s="11">
        <v>300</v>
      </c>
      <c r="I10" s="11">
        <v>300</v>
      </c>
      <c r="J10" s="11">
        <v>300</v>
      </c>
      <c r="K10" s="11">
        <v>300</v>
      </c>
      <c r="L10" s="11">
        <v>300</v>
      </c>
      <c r="M10" s="11">
        <v>300</v>
      </c>
      <c r="N10" s="11">
        <v>300</v>
      </c>
      <c r="O10" s="12">
        <f t="shared" si="0"/>
        <v>3600</v>
      </c>
    </row>
    <row r="11" spans="1:15" ht="15">
      <c r="A11" s="130"/>
      <c r="B11" t="s">
        <v>48</v>
      </c>
      <c r="C11" s="11">
        <v>240</v>
      </c>
      <c r="D11" s="11">
        <v>240</v>
      </c>
      <c r="E11" s="11">
        <v>240</v>
      </c>
      <c r="F11" s="11">
        <v>240</v>
      </c>
      <c r="G11" s="11">
        <v>240</v>
      </c>
      <c r="H11" s="11">
        <v>240</v>
      </c>
      <c r="I11" s="11">
        <v>240</v>
      </c>
      <c r="J11" s="11">
        <v>240</v>
      </c>
      <c r="K11" s="11">
        <v>240</v>
      </c>
      <c r="L11" s="11">
        <v>240</v>
      </c>
      <c r="M11" s="11">
        <v>240</v>
      </c>
      <c r="N11" s="11">
        <v>240</v>
      </c>
      <c r="O11" s="12">
        <f t="shared" si="0"/>
        <v>2880</v>
      </c>
    </row>
    <row r="12" spans="1:15" ht="15">
      <c r="A12" s="130"/>
      <c r="B12" t="s">
        <v>81</v>
      </c>
      <c r="C12" s="11">
        <v>240</v>
      </c>
      <c r="D12" s="11">
        <v>240</v>
      </c>
      <c r="E12" s="11">
        <v>240</v>
      </c>
      <c r="F12" s="11">
        <v>240</v>
      </c>
      <c r="G12" s="11">
        <v>240</v>
      </c>
      <c r="H12" s="11">
        <v>240</v>
      </c>
      <c r="I12" s="11">
        <v>240</v>
      </c>
      <c r="J12" s="11">
        <v>240</v>
      </c>
      <c r="K12" s="11">
        <v>240</v>
      </c>
      <c r="L12" s="11">
        <v>240</v>
      </c>
      <c r="M12" s="11">
        <v>240</v>
      </c>
      <c r="N12" s="11">
        <v>240</v>
      </c>
      <c r="O12" s="12">
        <f t="shared" si="0"/>
        <v>2880</v>
      </c>
    </row>
    <row r="13" spans="1:15" ht="15">
      <c r="A13" s="130"/>
      <c r="B13" t="s">
        <v>82</v>
      </c>
      <c r="C13" s="11">
        <v>240</v>
      </c>
      <c r="D13" s="11">
        <v>240</v>
      </c>
      <c r="E13" s="11">
        <v>240</v>
      </c>
      <c r="F13" s="11">
        <v>240</v>
      </c>
      <c r="G13" s="11">
        <v>240</v>
      </c>
      <c r="H13" s="11">
        <v>240</v>
      </c>
      <c r="I13" s="11">
        <v>240</v>
      </c>
      <c r="J13" s="11">
        <v>240</v>
      </c>
      <c r="K13" s="11">
        <v>240</v>
      </c>
      <c r="L13" s="11">
        <v>240</v>
      </c>
      <c r="M13" s="11">
        <v>240</v>
      </c>
      <c r="N13" s="11">
        <v>240</v>
      </c>
      <c r="O13" s="12">
        <f t="shared" si="0"/>
        <v>2880</v>
      </c>
    </row>
    <row r="14" spans="1:15" ht="15">
      <c r="A14" s="130"/>
      <c r="B14" t="s">
        <v>228</v>
      </c>
      <c r="C14" s="11">
        <f>SUM($C$7:$C$13)*0.01115</f>
        <v>22.523</v>
      </c>
      <c r="D14" s="11">
        <f aca="true" t="shared" si="1" ref="D14:N14">SUM($C$7:$C$13)*0.01115</f>
        <v>22.523</v>
      </c>
      <c r="E14" s="11">
        <f t="shared" si="1"/>
        <v>22.523</v>
      </c>
      <c r="F14" s="11">
        <f t="shared" si="1"/>
        <v>22.523</v>
      </c>
      <c r="G14" s="11">
        <f t="shared" si="1"/>
        <v>22.523</v>
      </c>
      <c r="H14" s="11">
        <f t="shared" si="1"/>
        <v>22.523</v>
      </c>
      <c r="I14" s="11">
        <f t="shared" si="1"/>
        <v>22.523</v>
      </c>
      <c r="J14" s="11">
        <f t="shared" si="1"/>
        <v>22.523</v>
      </c>
      <c r="K14" s="11">
        <f t="shared" si="1"/>
        <v>22.523</v>
      </c>
      <c r="L14" s="11">
        <f t="shared" si="1"/>
        <v>22.523</v>
      </c>
      <c r="M14" s="11">
        <f t="shared" si="1"/>
        <v>22.523</v>
      </c>
      <c r="N14" s="11">
        <f t="shared" si="1"/>
        <v>22.523</v>
      </c>
      <c r="O14" s="12">
        <f t="shared" si="0"/>
        <v>270.276</v>
      </c>
    </row>
    <row r="15" spans="1:16" ht="15">
      <c r="A15" s="130"/>
      <c r="B15" t="s">
        <v>229</v>
      </c>
      <c r="C15" s="11">
        <f>(7*240)/12</f>
        <v>140</v>
      </c>
      <c r="D15" s="11">
        <f aca="true" t="shared" si="2" ref="D15:N15">(7*240)/12</f>
        <v>140</v>
      </c>
      <c r="E15" s="11">
        <f t="shared" si="2"/>
        <v>140</v>
      </c>
      <c r="F15" s="11">
        <f t="shared" si="2"/>
        <v>140</v>
      </c>
      <c r="G15" s="11">
        <f t="shared" si="2"/>
        <v>140</v>
      </c>
      <c r="H15" s="11">
        <f t="shared" si="2"/>
        <v>140</v>
      </c>
      <c r="I15" s="11">
        <f t="shared" si="2"/>
        <v>140</v>
      </c>
      <c r="J15" s="11">
        <f t="shared" si="2"/>
        <v>140</v>
      </c>
      <c r="K15" s="11">
        <f t="shared" si="2"/>
        <v>140</v>
      </c>
      <c r="L15" s="11">
        <f t="shared" si="2"/>
        <v>140</v>
      </c>
      <c r="M15" s="11">
        <f t="shared" si="2"/>
        <v>140</v>
      </c>
      <c r="N15" s="11">
        <f t="shared" si="2"/>
        <v>140</v>
      </c>
      <c r="O15" s="12">
        <f t="shared" si="0"/>
        <v>1680</v>
      </c>
      <c r="P15" s="12"/>
    </row>
    <row r="16" spans="1:16" ht="15">
      <c r="A16" s="130"/>
      <c r="B16" t="s">
        <v>230</v>
      </c>
      <c r="C16" s="11">
        <f>SUM($C$7:$C$13)/12</f>
        <v>168.33333333333334</v>
      </c>
      <c r="D16" s="11">
        <f aca="true" t="shared" si="3" ref="D16:N16">SUM($C$7:$C$13)/12</f>
        <v>168.33333333333334</v>
      </c>
      <c r="E16" s="11">
        <f t="shared" si="3"/>
        <v>168.33333333333334</v>
      </c>
      <c r="F16" s="11">
        <f t="shared" si="3"/>
        <v>168.33333333333334</v>
      </c>
      <c r="G16" s="11">
        <f t="shared" si="3"/>
        <v>168.33333333333334</v>
      </c>
      <c r="H16" s="11">
        <f t="shared" si="3"/>
        <v>168.33333333333334</v>
      </c>
      <c r="I16" s="11">
        <f t="shared" si="3"/>
        <v>168.33333333333334</v>
      </c>
      <c r="J16" s="11">
        <f t="shared" si="3"/>
        <v>168.33333333333334</v>
      </c>
      <c r="K16" s="11">
        <f t="shared" si="3"/>
        <v>168.33333333333334</v>
      </c>
      <c r="L16" s="11">
        <f t="shared" si="3"/>
        <v>168.33333333333334</v>
      </c>
      <c r="M16" s="11">
        <f t="shared" si="3"/>
        <v>168.33333333333334</v>
      </c>
      <c r="N16" s="11">
        <f t="shared" si="3"/>
        <v>168.33333333333334</v>
      </c>
      <c r="O16" s="12">
        <f t="shared" si="0"/>
        <v>2019.9999999999998</v>
      </c>
      <c r="P16" s="12"/>
    </row>
    <row r="17" spans="1:16" ht="15">
      <c r="A17" s="130"/>
      <c r="B17" t="s">
        <v>231</v>
      </c>
      <c r="C17" s="11">
        <f>SUM($C$7:$C$13)*0.0833</f>
        <v>168.266</v>
      </c>
      <c r="D17" s="11">
        <f aca="true" t="shared" si="4" ref="D17:N17">SUM($C$7:$C$13)*0.0833</f>
        <v>168.266</v>
      </c>
      <c r="E17" s="11">
        <f t="shared" si="4"/>
        <v>168.266</v>
      </c>
      <c r="F17" s="11">
        <f t="shared" si="4"/>
        <v>168.266</v>
      </c>
      <c r="G17" s="11">
        <f t="shared" si="4"/>
        <v>168.266</v>
      </c>
      <c r="H17" s="11">
        <f t="shared" si="4"/>
        <v>168.266</v>
      </c>
      <c r="I17" s="11">
        <f t="shared" si="4"/>
        <v>168.266</v>
      </c>
      <c r="J17" s="11">
        <f t="shared" si="4"/>
        <v>168.266</v>
      </c>
      <c r="K17" s="11">
        <f t="shared" si="4"/>
        <v>168.266</v>
      </c>
      <c r="L17" s="11">
        <f t="shared" si="4"/>
        <v>168.266</v>
      </c>
      <c r="M17" s="11">
        <f t="shared" si="4"/>
        <v>168.266</v>
      </c>
      <c r="N17" s="11">
        <f t="shared" si="4"/>
        <v>168.266</v>
      </c>
      <c r="O17" s="12">
        <f t="shared" si="0"/>
        <v>2019.1920000000002</v>
      </c>
      <c r="P17" s="12"/>
    </row>
    <row r="18" spans="1:16" ht="15">
      <c r="A18" s="130"/>
      <c r="B18" t="s">
        <v>232</v>
      </c>
      <c r="C18" s="11">
        <f>SUM($C$7:$C$13)*0.01</f>
        <v>20.2</v>
      </c>
      <c r="D18" s="11">
        <f aca="true" t="shared" si="5" ref="D18:N18">SUM($C$7:$C$13)*0.01</f>
        <v>20.2</v>
      </c>
      <c r="E18" s="11">
        <f t="shared" si="5"/>
        <v>20.2</v>
      </c>
      <c r="F18" s="11">
        <f t="shared" si="5"/>
        <v>20.2</v>
      </c>
      <c r="G18" s="11">
        <f t="shared" si="5"/>
        <v>20.2</v>
      </c>
      <c r="H18" s="11">
        <f t="shared" si="5"/>
        <v>20.2</v>
      </c>
      <c r="I18" s="11">
        <f t="shared" si="5"/>
        <v>20.2</v>
      </c>
      <c r="J18" s="11">
        <f t="shared" si="5"/>
        <v>20.2</v>
      </c>
      <c r="K18" s="11">
        <f t="shared" si="5"/>
        <v>20.2</v>
      </c>
      <c r="L18" s="11">
        <f t="shared" si="5"/>
        <v>20.2</v>
      </c>
      <c r="M18" s="11">
        <f t="shared" si="5"/>
        <v>20.2</v>
      </c>
      <c r="N18" s="11">
        <f t="shared" si="5"/>
        <v>20.2</v>
      </c>
      <c r="O18" s="12">
        <f t="shared" si="0"/>
        <v>242.39999999999995</v>
      </c>
      <c r="P18" s="12"/>
    </row>
    <row r="19" spans="1:16" ht="15">
      <c r="A19" s="130"/>
      <c r="B19" t="s">
        <v>233</v>
      </c>
      <c r="C19" s="11">
        <f>SUM($C$7:$C$13)/24</f>
        <v>84.16666666666667</v>
      </c>
      <c r="D19" s="11">
        <f aca="true" t="shared" si="6" ref="D19:N19">SUM($C$7:$C$13)/24</f>
        <v>84.16666666666667</v>
      </c>
      <c r="E19" s="11">
        <f t="shared" si="6"/>
        <v>84.16666666666667</v>
      </c>
      <c r="F19" s="11">
        <f t="shared" si="6"/>
        <v>84.16666666666667</v>
      </c>
      <c r="G19" s="11">
        <f t="shared" si="6"/>
        <v>84.16666666666667</v>
      </c>
      <c r="H19" s="11">
        <f t="shared" si="6"/>
        <v>84.16666666666667</v>
      </c>
      <c r="I19" s="11">
        <f t="shared" si="6"/>
        <v>84.16666666666667</v>
      </c>
      <c r="J19" s="11">
        <f t="shared" si="6"/>
        <v>84.16666666666667</v>
      </c>
      <c r="K19" s="11">
        <f t="shared" si="6"/>
        <v>84.16666666666667</v>
      </c>
      <c r="L19" s="11">
        <f t="shared" si="6"/>
        <v>84.16666666666667</v>
      </c>
      <c r="M19" s="11">
        <f t="shared" si="6"/>
        <v>84.16666666666667</v>
      </c>
      <c r="N19" s="11">
        <f t="shared" si="6"/>
        <v>84.16666666666667</v>
      </c>
      <c r="O19" s="12">
        <f t="shared" si="0"/>
        <v>1009.9999999999999</v>
      </c>
      <c r="P19" s="12"/>
    </row>
    <row r="20" spans="1:15" ht="15">
      <c r="A20" s="130"/>
      <c r="B20" s="7" t="s">
        <v>85</v>
      </c>
      <c r="O20" s="12">
        <f t="shared" si="0"/>
        <v>0</v>
      </c>
    </row>
    <row r="21" spans="1:15" ht="15">
      <c r="A21" s="130"/>
      <c r="B21" t="s">
        <v>169</v>
      </c>
      <c r="C21">
        <v>400</v>
      </c>
      <c r="D21">
        <v>200</v>
      </c>
      <c r="E21">
        <v>200</v>
      </c>
      <c r="F21">
        <v>200</v>
      </c>
      <c r="G21">
        <v>200</v>
      </c>
      <c r="H21">
        <v>200</v>
      </c>
      <c r="I21">
        <v>200</v>
      </c>
      <c r="J21">
        <v>200</v>
      </c>
      <c r="K21">
        <v>200</v>
      </c>
      <c r="L21">
        <v>200</v>
      </c>
      <c r="M21">
        <v>200</v>
      </c>
      <c r="N21">
        <v>200</v>
      </c>
      <c r="O21" s="12">
        <f t="shared" si="0"/>
        <v>2600</v>
      </c>
    </row>
    <row r="22" spans="1:15" ht="15">
      <c r="A22" s="130"/>
      <c r="B22" t="s">
        <v>49</v>
      </c>
      <c r="C22">
        <v>600</v>
      </c>
      <c r="D22">
        <v>300</v>
      </c>
      <c r="E22">
        <v>300</v>
      </c>
      <c r="F22">
        <v>300</v>
      </c>
      <c r="G22">
        <v>300</v>
      </c>
      <c r="H22">
        <v>300</v>
      </c>
      <c r="I22">
        <v>300</v>
      </c>
      <c r="J22">
        <v>300</v>
      </c>
      <c r="K22">
        <v>300</v>
      </c>
      <c r="L22">
        <v>300</v>
      </c>
      <c r="M22">
        <v>300</v>
      </c>
      <c r="N22">
        <v>300</v>
      </c>
      <c r="O22" s="12">
        <f t="shared" si="0"/>
        <v>3900</v>
      </c>
    </row>
    <row r="23" spans="1:15" ht="15">
      <c r="A23" s="130"/>
      <c r="B23" t="s">
        <v>172</v>
      </c>
      <c r="C23">
        <v>300</v>
      </c>
      <c r="D23">
        <v>150</v>
      </c>
      <c r="E23">
        <v>150</v>
      </c>
      <c r="F23">
        <v>150</v>
      </c>
      <c r="G23">
        <v>150</v>
      </c>
      <c r="H23">
        <v>150</v>
      </c>
      <c r="I23">
        <v>150</v>
      </c>
      <c r="J23">
        <v>150</v>
      </c>
      <c r="K23">
        <v>150</v>
      </c>
      <c r="L23">
        <v>150</v>
      </c>
      <c r="M23">
        <v>150</v>
      </c>
      <c r="N23">
        <v>150</v>
      </c>
      <c r="O23" s="12">
        <f t="shared" si="0"/>
        <v>1950</v>
      </c>
    </row>
    <row r="24" spans="1:15" ht="15">
      <c r="A24" s="130"/>
      <c r="B24" t="s">
        <v>50</v>
      </c>
      <c r="C24">
        <v>600</v>
      </c>
      <c r="D24">
        <v>300</v>
      </c>
      <c r="E24">
        <v>300</v>
      </c>
      <c r="F24">
        <v>300</v>
      </c>
      <c r="G24">
        <v>300</v>
      </c>
      <c r="H24">
        <v>300</v>
      </c>
      <c r="I24">
        <v>300</v>
      </c>
      <c r="J24">
        <v>300</v>
      </c>
      <c r="K24">
        <v>300</v>
      </c>
      <c r="L24">
        <v>300</v>
      </c>
      <c r="M24">
        <v>300</v>
      </c>
      <c r="N24">
        <v>300</v>
      </c>
      <c r="O24" s="12">
        <f t="shared" si="0"/>
        <v>3900</v>
      </c>
    </row>
    <row r="25" spans="1:15" ht="15">
      <c r="A25" s="85"/>
      <c r="B25" t="s">
        <v>273</v>
      </c>
      <c r="C25">
        <v>800</v>
      </c>
      <c r="O25" s="12"/>
    </row>
    <row r="26" spans="1:15" ht="15">
      <c r="A26" s="29"/>
      <c r="B26" s="30" t="s">
        <v>179</v>
      </c>
      <c r="C26" s="12">
        <f>SUM(C7:C25)</f>
        <v>5323.489</v>
      </c>
      <c r="D26" s="12">
        <f>SUM(D7:D24)</f>
        <v>3573.489</v>
      </c>
      <c r="E26" s="12">
        <f aca="true" t="shared" si="7" ref="E26:M26">SUM(E7:E24)</f>
        <v>3573.489</v>
      </c>
      <c r="F26" s="12">
        <f t="shared" si="7"/>
        <v>3573.489</v>
      </c>
      <c r="G26" s="12">
        <f t="shared" si="7"/>
        <v>3573.489</v>
      </c>
      <c r="H26" s="12">
        <f t="shared" si="7"/>
        <v>3573.489</v>
      </c>
      <c r="I26" s="12">
        <f t="shared" si="7"/>
        <v>3573.489</v>
      </c>
      <c r="J26" s="12">
        <f t="shared" si="7"/>
        <v>3573.489</v>
      </c>
      <c r="K26" s="12">
        <f t="shared" si="7"/>
        <v>3573.489</v>
      </c>
      <c r="L26" s="12">
        <f t="shared" si="7"/>
        <v>3573.489</v>
      </c>
      <c r="M26" s="12">
        <f t="shared" si="7"/>
        <v>3573.489</v>
      </c>
      <c r="N26" s="12">
        <f>SUM(N7:N24)</f>
        <v>3573.489</v>
      </c>
      <c r="O26" s="12">
        <f t="shared" si="0"/>
        <v>44631.86800000001</v>
      </c>
    </row>
    <row r="27" spans="1:15" ht="15">
      <c r="A27" s="130" t="s">
        <v>178</v>
      </c>
      <c r="B27" s="7" t="s">
        <v>83</v>
      </c>
      <c r="O27" s="12">
        <f t="shared" si="0"/>
        <v>0</v>
      </c>
    </row>
    <row r="28" spans="1:15" ht="15">
      <c r="A28" s="130"/>
      <c r="B28" t="s">
        <v>84</v>
      </c>
      <c r="C28">
        <v>500</v>
      </c>
      <c r="D28" s="82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 s="12">
        <f t="shared" si="0"/>
        <v>500</v>
      </c>
    </row>
    <row r="29" spans="1:15" ht="15">
      <c r="A29" s="130"/>
      <c r="B29" t="s">
        <v>168</v>
      </c>
      <c r="C29" s="21">
        <v>1200</v>
      </c>
      <c r="D29" s="82">
        <v>0</v>
      </c>
      <c r="E29">
        <v>0</v>
      </c>
      <c r="F29">
        <v>0</v>
      </c>
      <c r="G29">
        <v>0</v>
      </c>
      <c r="H29" s="21">
        <v>500</v>
      </c>
      <c r="I29">
        <v>0</v>
      </c>
      <c r="J29">
        <v>0</v>
      </c>
      <c r="K29">
        <v>0</v>
      </c>
      <c r="L29">
        <v>0</v>
      </c>
      <c r="M29">
        <v>0</v>
      </c>
      <c r="N29" s="21">
        <v>500</v>
      </c>
      <c r="O29" s="12">
        <f t="shared" si="0"/>
        <v>2200</v>
      </c>
    </row>
    <row r="30" spans="1:15" ht="15">
      <c r="A30" s="130"/>
      <c r="B30" t="s">
        <v>175</v>
      </c>
      <c r="C30" s="21">
        <v>4400</v>
      </c>
      <c r="D30" s="21">
        <v>400</v>
      </c>
      <c r="E30" s="21">
        <v>400</v>
      </c>
      <c r="F30" s="21">
        <v>400</v>
      </c>
      <c r="G30">
        <v>0</v>
      </c>
      <c r="H30" s="21">
        <v>400</v>
      </c>
      <c r="I30" s="21">
        <v>400</v>
      </c>
      <c r="J30" s="21">
        <v>400</v>
      </c>
      <c r="K30" s="21">
        <v>400</v>
      </c>
      <c r="L30">
        <v>0</v>
      </c>
      <c r="M30">
        <v>0</v>
      </c>
      <c r="N30" s="21">
        <v>400</v>
      </c>
      <c r="O30" s="12">
        <f t="shared" si="0"/>
        <v>7600</v>
      </c>
    </row>
    <row r="31" spans="1:15" ht="15">
      <c r="A31" s="130"/>
      <c r="B31" s="8" t="s">
        <v>87</v>
      </c>
      <c r="C31" s="88">
        <v>2000</v>
      </c>
      <c r="D31" s="21">
        <v>1000</v>
      </c>
      <c r="E31" s="21">
        <v>1000</v>
      </c>
      <c r="F31" s="21">
        <v>1000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 s="21">
        <v>1000</v>
      </c>
      <c r="O31" s="12">
        <f t="shared" si="0"/>
        <v>6000</v>
      </c>
    </row>
    <row r="32" spans="1:15" ht="15">
      <c r="A32" s="130"/>
      <c r="B32" s="7" t="s">
        <v>41</v>
      </c>
      <c r="O32" s="12">
        <f t="shared" si="0"/>
        <v>0</v>
      </c>
    </row>
    <row r="33" spans="1:15" ht="15">
      <c r="A33" s="130"/>
      <c r="B33" t="s">
        <v>165</v>
      </c>
      <c r="C33">
        <v>30</v>
      </c>
      <c r="D33">
        <v>0</v>
      </c>
      <c r="E33">
        <v>0</v>
      </c>
      <c r="F33">
        <v>0</v>
      </c>
      <c r="G33">
        <v>0</v>
      </c>
      <c r="H33">
        <v>30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 s="12">
        <f t="shared" si="0"/>
        <v>60</v>
      </c>
    </row>
    <row r="34" spans="1:15" ht="15">
      <c r="A34" s="130"/>
      <c r="B34" t="s">
        <v>166</v>
      </c>
      <c r="C34">
        <f>(1.5+1.5)</f>
        <v>3</v>
      </c>
      <c r="D34">
        <v>0</v>
      </c>
      <c r="E34">
        <v>0</v>
      </c>
      <c r="F34">
        <v>0</v>
      </c>
      <c r="G34">
        <v>0</v>
      </c>
      <c r="H34">
        <v>1.5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 s="12">
        <f t="shared" si="0"/>
        <v>4.5</v>
      </c>
    </row>
    <row r="35" spans="1:15" ht="15">
      <c r="A35" s="130"/>
      <c r="B35" t="s">
        <v>51</v>
      </c>
      <c r="C35">
        <f>(2+2)</f>
        <v>4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 s="12">
        <f t="shared" si="0"/>
        <v>4</v>
      </c>
    </row>
    <row r="36" spans="1:15" ht="15">
      <c r="A36" s="130"/>
      <c r="B36" t="s">
        <v>167</v>
      </c>
      <c r="C36">
        <f>(10+10)</f>
        <v>20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 s="12">
        <f t="shared" si="0"/>
        <v>20</v>
      </c>
    </row>
    <row r="37" spans="1:15" ht="15">
      <c r="A37" s="130"/>
      <c r="B37" t="s">
        <v>52</v>
      </c>
      <c r="C37">
        <f>(0.25+0.25)</f>
        <v>0.5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 s="12">
        <f t="shared" si="0"/>
        <v>0.5</v>
      </c>
    </row>
    <row r="38" spans="1:15" ht="15">
      <c r="A38" s="130"/>
      <c r="B38" t="s">
        <v>53</v>
      </c>
      <c r="C38">
        <f>(2+2)</f>
        <v>4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 s="12">
        <f t="shared" si="0"/>
        <v>4</v>
      </c>
    </row>
    <row r="39" spans="1:15" ht="15">
      <c r="A39" s="130"/>
      <c r="B39" t="s">
        <v>54</v>
      </c>
      <c r="C39">
        <f>37.5</f>
        <v>37.5</v>
      </c>
      <c r="D39">
        <v>37.5</v>
      </c>
      <c r="E39">
        <v>37.5</v>
      </c>
      <c r="F39">
        <v>37.5</v>
      </c>
      <c r="G39">
        <v>37.5</v>
      </c>
      <c r="H39">
        <v>37.5</v>
      </c>
      <c r="I39">
        <v>37.5</v>
      </c>
      <c r="J39">
        <v>37.5</v>
      </c>
      <c r="K39">
        <v>37.5</v>
      </c>
      <c r="L39">
        <v>37.5</v>
      </c>
      <c r="M39">
        <v>37.5</v>
      </c>
      <c r="N39">
        <v>37.5</v>
      </c>
      <c r="O39" s="12">
        <f t="shared" si="0"/>
        <v>450</v>
      </c>
    </row>
    <row r="40" spans="1:15" ht="15">
      <c r="A40" s="130"/>
      <c r="B40" t="s">
        <v>91</v>
      </c>
      <c r="C40">
        <v>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 s="12">
        <f aca="true" t="shared" si="8" ref="O40:O58">SUM(C40:N40)</f>
        <v>6</v>
      </c>
    </row>
    <row r="41" spans="1:15" ht="15">
      <c r="A41" s="130"/>
      <c r="B41" t="s">
        <v>55</v>
      </c>
      <c r="C41">
        <v>0.2</v>
      </c>
      <c r="D41">
        <v>0.2</v>
      </c>
      <c r="E41">
        <v>0.2</v>
      </c>
      <c r="F41">
        <v>0.2</v>
      </c>
      <c r="G41">
        <v>0.2</v>
      </c>
      <c r="H41">
        <v>0.2</v>
      </c>
      <c r="I41">
        <v>0.2</v>
      </c>
      <c r="J41">
        <v>0.2</v>
      </c>
      <c r="K41">
        <v>0.2</v>
      </c>
      <c r="L41">
        <v>0.2</v>
      </c>
      <c r="M41">
        <v>0.2</v>
      </c>
      <c r="N41">
        <v>0.2</v>
      </c>
      <c r="O41" s="12">
        <f t="shared" si="8"/>
        <v>2.4</v>
      </c>
    </row>
    <row r="42" spans="1:15" ht="15">
      <c r="A42" s="130"/>
      <c r="B42" s="7" t="s">
        <v>42</v>
      </c>
      <c r="O42" s="12">
        <f t="shared" si="8"/>
        <v>0</v>
      </c>
    </row>
    <row r="43" spans="1:15" ht="15">
      <c r="A43" s="130"/>
      <c r="B43" t="s">
        <v>90</v>
      </c>
      <c r="C43">
        <v>30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 s="12">
        <f t="shared" si="8"/>
        <v>30</v>
      </c>
    </row>
    <row r="44" spans="1:15" ht="15">
      <c r="A44" s="130"/>
      <c r="B44" t="s">
        <v>56</v>
      </c>
      <c r="C44">
        <v>80</v>
      </c>
      <c r="D44">
        <v>40</v>
      </c>
      <c r="E44">
        <v>40</v>
      </c>
      <c r="F44">
        <v>40</v>
      </c>
      <c r="G44">
        <v>40</v>
      </c>
      <c r="H44">
        <v>40</v>
      </c>
      <c r="I44">
        <v>40</v>
      </c>
      <c r="J44">
        <v>40</v>
      </c>
      <c r="K44">
        <v>40</v>
      </c>
      <c r="L44">
        <v>40</v>
      </c>
      <c r="M44">
        <v>40</v>
      </c>
      <c r="N44">
        <v>40</v>
      </c>
      <c r="O44" s="12">
        <f t="shared" si="8"/>
        <v>520</v>
      </c>
    </row>
    <row r="45" spans="1:15" ht="15">
      <c r="A45" s="130"/>
      <c r="B45" t="s">
        <v>57</v>
      </c>
      <c r="C45">
        <v>15</v>
      </c>
      <c r="D45">
        <v>15</v>
      </c>
      <c r="E45">
        <v>15</v>
      </c>
      <c r="F45">
        <v>15</v>
      </c>
      <c r="G45">
        <v>15</v>
      </c>
      <c r="H45">
        <v>15</v>
      </c>
      <c r="I45">
        <v>15</v>
      </c>
      <c r="J45">
        <v>15</v>
      </c>
      <c r="K45">
        <v>15</v>
      </c>
      <c r="L45">
        <v>15</v>
      </c>
      <c r="M45">
        <v>15</v>
      </c>
      <c r="N45">
        <v>15</v>
      </c>
      <c r="O45" s="12">
        <f t="shared" si="8"/>
        <v>180</v>
      </c>
    </row>
    <row r="46" spans="1:15" ht="15">
      <c r="A46" s="130"/>
      <c r="B46" t="s">
        <v>148</v>
      </c>
      <c r="C46">
        <v>35</v>
      </c>
      <c r="D46">
        <v>35</v>
      </c>
      <c r="E46">
        <v>35</v>
      </c>
      <c r="F46">
        <v>35</v>
      </c>
      <c r="G46">
        <v>35</v>
      </c>
      <c r="H46">
        <v>35</v>
      </c>
      <c r="I46">
        <v>35</v>
      </c>
      <c r="J46">
        <v>35</v>
      </c>
      <c r="K46">
        <v>35</v>
      </c>
      <c r="L46">
        <v>35</v>
      </c>
      <c r="M46">
        <v>35</v>
      </c>
      <c r="N46">
        <v>35</v>
      </c>
      <c r="O46" s="12">
        <f t="shared" si="8"/>
        <v>420</v>
      </c>
    </row>
    <row r="47" spans="1:15" ht="15">
      <c r="A47" s="130"/>
      <c r="B47" t="s">
        <v>58</v>
      </c>
      <c r="C47">
        <v>12</v>
      </c>
      <c r="D47">
        <v>12</v>
      </c>
      <c r="E47">
        <v>12</v>
      </c>
      <c r="F47">
        <v>12</v>
      </c>
      <c r="G47">
        <v>12</v>
      </c>
      <c r="H47">
        <v>12</v>
      </c>
      <c r="I47">
        <v>12</v>
      </c>
      <c r="J47">
        <v>12</v>
      </c>
      <c r="K47">
        <v>12</v>
      </c>
      <c r="L47">
        <v>12</v>
      </c>
      <c r="M47">
        <v>12</v>
      </c>
      <c r="N47">
        <v>12</v>
      </c>
      <c r="O47" s="12">
        <f t="shared" si="8"/>
        <v>144</v>
      </c>
    </row>
    <row r="48" spans="1:15" ht="15">
      <c r="A48" s="130"/>
      <c r="B48" t="s">
        <v>59</v>
      </c>
      <c r="C48">
        <v>2.25</v>
      </c>
      <c r="D48">
        <v>0</v>
      </c>
      <c r="E48">
        <v>0</v>
      </c>
      <c r="F48">
        <v>0</v>
      </c>
      <c r="G48">
        <v>0</v>
      </c>
      <c r="H48">
        <v>2.25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 s="12">
        <f t="shared" si="8"/>
        <v>4.5</v>
      </c>
    </row>
    <row r="49" spans="1:15" ht="15">
      <c r="A49" s="130"/>
      <c r="B49" t="s">
        <v>60</v>
      </c>
      <c r="C49">
        <v>6</v>
      </c>
      <c r="D49">
        <v>0</v>
      </c>
      <c r="E49">
        <v>0</v>
      </c>
      <c r="F49">
        <v>0</v>
      </c>
      <c r="G49">
        <v>0</v>
      </c>
      <c r="H49">
        <v>6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 s="12">
        <f t="shared" si="8"/>
        <v>12</v>
      </c>
    </row>
    <row r="50" spans="1:15" ht="15">
      <c r="A50" s="130"/>
      <c r="B50" t="s">
        <v>61</v>
      </c>
      <c r="C50">
        <f>(10+10)</f>
        <v>20</v>
      </c>
      <c r="D50">
        <v>10</v>
      </c>
      <c r="E50">
        <v>10</v>
      </c>
      <c r="F50">
        <v>10</v>
      </c>
      <c r="G50">
        <v>10</v>
      </c>
      <c r="H50">
        <v>10</v>
      </c>
      <c r="I50">
        <v>10</v>
      </c>
      <c r="J50">
        <v>10</v>
      </c>
      <c r="K50">
        <v>10</v>
      </c>
      <c r="L50">
        <v>10</v>
      </c>
      <c r="M50">
        <v>10</v>
      </c>
      <c r="N50">
        <v>10</v>
      </c>
      <c r="O50" s="12">
        <f t="shared" si="8"/>
        <v>130</v>
      </c>
    </row>
    <row r="51" spans="1:15" ht="15">
      <c r="A51" s="130"/>
      <c r="B51" t="s">
        <v>170</v>
      </c>
      <c r="C51">
        <v>1.49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 s="12">
        <f t="shared" si="8"/>
        <v>1.49</v>
      </c>
    </row>
    <row r="52" spans="1:15" ht="15">
      <c r="A52" s="130"/>
      <c r="B52" t="s">
        <v>173</v>
      </c>
      <c r="C52">
        <f>30</f>
        <v>30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 s="12">
        <f t="shared" si="8"/>
        <v>30</v>
      </c>
    </row>
    <row r="53" spans="1:15" ht="15">
      <c r="A53" s="130"/>
      <c r="B53" t="s">
        <v>94</v>
      </c>
      <c r="C53">
        <v>14.45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 s="12">
        <f t="shared" si="8"/>
        <v>14.45</v>
      </c>
    </row>
    <row r="54" spans="1:15" ht="15">
      <c r="A54" s="130"/>
      <c r="B54" t="s">
        <v>171</v>
      </c>
      <c r="C54">
        <v>12.45</v>
      </c>
      <c r="D54">
        <v>0</v>
      </c>
      <c r="E54">
        <v>0</v>
      </c>
      <c r="F54">
        <v>0</v>
      </c>
      <c r="G54">
        <v>0</v>
      </c>
      <c r="H54">
        <v>12.45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 s="12">
        <f t="shared" si="8"/>
        <v>24.9</v>
      </c>
    </row>
    <row r="55" spans="1:15" ht="15">
      <c r="A55" s="130"/>
      <c r="B55" t="s">
        <v>95</v>
      </c>
      <c r="C55">
        <f>37</f>
        <v>37</v>
      </c>
      <c r="D55">
        <v>0</v>
      </c>
      <c r="E55">
        <v>0</v>
      </c>
      <c r="F55">
        <v>0</v>
      </c>
      <c r="G55">
        <v>0</v>
      </c>
      <c r="H55">
        <v>37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 s="12">
        <f t="shared" si="8"/>
        <v>74</v>
      </c>
    </row>
    <row r="56" spans="1:15" ht="15">
      <c r="A56" s="130"/>
      <c r="B56" t="s">
        <v>174</v>
      </c>
      <c r="C56">
        <v>500</v>
      </c>
      <c r="D56">
        <v>100</v>
      </c>
      <c r="E56">
        <v>100</v>
      </c>
      <c r="F56">
        <v>100</v>
      </c>
      <c r="G56">
        <v>100</v>
      </c>
      <c r="H56">
        <v>100</v>
      </c>
      <c r="I56">
        <v>100</v>
      </c>
      <c r="J56">
        <v>100</v>
      </c>
      <c r="K56">
        <v>100</v>
      </c>
      <c r="L56">
        <v>100</v>
      </c>
      <c r="M56">
        <v>100</v>
      </c>
      <c r="N56">
        <v>100</v>
      </c>
      <c r="O56" s="12">
        <f t="shared" si="8"/>
        <v>1600</v>
      </c>
    </row>
    <row r="57" spans="1:15" ht="15">
      <c r="A57" s="29"/>
      <c r="B57" s="30" t="s">
        <v>180</v>
      </c>
      <c r="C57">
        <f>SUM(C28:C56)</f>
        <v>9000.840000000002</v>
      </c>
      <c r="D57">
        <f aca="true" t="shared" si="9" ref="D57:N57">SUM(D28:D56)</f>
        <v>1649.7</v>
      </c>
      <c r="E57">
        <f t="shared" si="9"/>
        <v>1649.7</v>
      </c>
      <c r="F57">
        <f t="shared" si="9"/>
        <v>1649.7</v>
      </c>
      <c r="G57">
        <f t="shared" si="9"/>
        <v>249.7</v>
      </c>
      <c r="H57">
        <f t="shared" si="9"/>
        <v>1238.9</v>
      </c>
      <c r="I57">
        <f t="shared" si="9"/>
        <v>649.7</v>
      </c>
      <c r="J57">
        <f t="shared" si="9"/>
        <v>649.7</v>
      </c>
      <c r="K57">
        <f t="shared" si="9"/>
        <v>649.7</v>
      </c>
      <c r="L57">
        <f t="shared" si="9"/>
        <v>249.7</v>
      </c>
      <c r="M57">
        <f t="shared" si="9"/>
        <v>249.7</v>
      </c>
      <c r="N57">
        <f t="shared" si="9"/>
        <v>2149.7</v>
      </c>
      <c r="O57" s="12">
        <f t="shared" si="8"/>
        <v>20036.74000000001</v>
      </c>
    </row>
    <row r="58" spans="1:15" ht="15">
      <c r="A58" s="29"/>
      <c r="B58" t="s">
        <v>86</v>
      </c>
      <c r="C58" s="12">
        <f>C57+C26</f>
        <v>14324.329000000002</v>
      </c>
      <c r="D58" s="12">
        <f aca="true" t="shared" si="10" ref="D58:N58">D57+D26</f>
        <v>5223.189</v>
      </c>
      <c r="E58" s="12">
        <f t="shared" si="10"/>
        <v>5223.189</v>
      </c>
      <c r="F58" s="12">
        <f t="shared" si="10"/>
        <v>5223.189</v>
      </c>
      <c r="G58" s="12">
        <f t="shared" si="10"/>
        <v>3823.189</v>
      </c>
      <c r="H58" s="12">
        <f t="shared" si="10"/>
        <v>4812.389</v>
      </c>
      <c r="I58" s="12">
        <f t="shared" si="10"/>
        <v>4223.189</v>
      </c>
      <c r="J58" s="12">
        <f t="shared" si="10"/>
        <v>4223.189</v>
      </c>
      <c r="K58" s="12">
        <f t="shared" si="10"/>
        <v>4223.189</v>
      </c>
      <c r="L58" s="12">
        <f t="shared" si="10"/>
        <v>3823.189</v>
      </c>
      <c r="M58" s="12">
        <f t="shared" si="10"/>
        <v>3823.189</v>
      </c>
      <c r="N58" s="12">
        <f t="shared" si="10"/>
        <v>5723.189</v>
      </c>
      <c r="O58" s="12">
        <f t="shared" si="8"/>
        <v>64668.60799999999</v>
      </c>
    </row>
    <row r="59" ht="15">
      <c r="O59" s="12"/>
    </row>
    <row r="60" ht="15">
      <c r="O60" s="16"/>
    </row>
  </sheetData>
  <sheetProtection/>
  <mergeCells count="3">
    <mergeCell ref="A27:A56"/>
    <mergeCell ref="C1:N2"/>
    <mergeCell ref="A7:A24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zoomScale="90" zoomScaleNormal="90" zoomScalePageLayoutView="0" workbookViewId="0" topLeftCell="A1">
      <selection activeCell="J12" sqref="J12"/>
    </sheetView>
  </sheetViews>
  <sheetFormatPr defaultColWidth="11.421875" defaultRowHeight="15"/>
  <cols>
    <col min="1" max="1" width="15.57421875" style="0" bestFit="1" customWidth="1"/>
    <col min="2" max="9" width="8.421875" style="0" bestFit="1" customWidth="1"/>
    <col min="10" max="10" width="11.57421875" style="0" bestFit="1" customWidth="1"/>
    <col min="11" max="11" width="8.421875" style="0" bestFit="1" customWidth="1"/>
    <col min="12" max="12" width="10.8515625" style="0" bestFit="1" customWidth="1"/>
    <col min="13" max="13" width="10.28125" style="0" bestFit="1" customWidth="1"/>
    <col min="14" max="14" width="11.28125" style="0" bestFit="1" customWidth="1"/>
  </cols>
  <sheetData>
    <row r="1" spans="1:13" ht="15">
      <c r="A1" s="132" t="s">
        <v>182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2:13" ht="1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4" ht="15">
      <c r="B3" s="33" t="s">
        <v>69</v>
      </c>
      <c r="C3" s="33" t="s">
        <v>70</v>
      </c>
      <c r="D3" s="33" t="s">
        <v>71</v>
      </c>
      <c r="E3" s="33" t="s">
        <v>72</v>
      </c>
      <c r="F3" s="33" t="s">
        <v>73</v>
      </c>
      <c r="G3" s="33" t="s">
        <v>74</v>
      </c>
      <c r="H3" s="33" t="s">
        <v>75</v>
      </c>
      <c r="I3" s="33" t="s">
        <v>76</v>
      </c>
      <c r="J3" s="33" t="s">
        <v>77</v>
      </c>
      <c r="K3" s="33" t="s">
        <v>78</v>
      </c>
      <c r="L3" s="33" t="s">
        <v>79</v>
      </c>
      <c r="M3" s="33" t="s">
        <v>80</v>
      </c>
      <c r="N3" s="33" t="s">
        <v>292</v>
      </c>
    </row>
    <row r="4" spans="1:14" ht="15">
      <c r="A4" s="34" t="s">
        <v>35</v>
      </c>
      <c r="B4" s="35">
        <f>Ingresos!C20</f>
        <v>13210</v>
      </c>
      <c r="C4" s="35">
        <f>Ingresos!D20</f>
        <v>13210</v>
      </c>
      <c r="D4" s="35">
        <f>Ingresos!E20</f>
        <v>13210</v>
      </c>
      <c r="E4" s="35">
        <f>Ingresos!F20</f>
        <v>13210</v>
      </c>
      <c r="F4" s="35">
        <f>Ingresos!G20</f>
        <v>8266.666666666666</v>
      </c>
      <c r="G4" s="35">
        <f>Ingresos!H20</f>
        <v>12376.666666666668</v>
      </c>
      <c r="H4" s="35">
        <f>Ingresos!I20</f>
        <v>12376.666666666668</v>
      </c>
      <c r="I4" s="35">
        <f>Ingresos!J20</f>
        <v>12376.666666666668</v>
      </c>
      <c r="J4" s="35">
        <f>Ingresos!K20</f>
        <v>12376.666666666668</v>
      </c>
      <c r="K4" s="35">
        <f>Ingresos!L20</f>
        <v>8266.666666666666</v>
      </c>
      <c r="L4" s="35">
        <f>Ingresos!M20</f>
        <v>8266.666666666666</v>
      </c>
      <c r="M4" s="35">
        <f>Ingresos!N20</f>
        <v>13210</v>
      </c>
      <c r="N4" s="35">
        <f>SUM(B4:M4)</f>
        <v>140356.6666666667</v>
      </c>
    </row>
    <row r="5" spans="1:14" ht="15">
      <c r="A5" s="13" t="s">
        <v>183</v>
      </c>
      <c r="B5" s="35">
        <f aca="true" t="shared" si="0" ref="B5:M5">B6+B7</f>
        <v>14324.329000000002</v>
      </c>
      <c r="C5" s="35">
        <f t="shared" si="0"/>
        <v>5223.189</v>
      </c>
      <c r="D5" s="35">
        <f t="shared" si="0"/>
        <v>5223.189</v>
      </c>
      <c r="E5" s="35">
        <f t="shared" si="0"/>
        <v>5223.189</v>
      </c>
      <c r="F5" s="35">
        <f t="shared" si="0"/>
        <v>3823.189</v>
      </c>
      <c r="G5" s="35">
        <f t="shared" si="0"/>
        <v>4812.389</v>
      </c>
      <c r="H5" s="35">
        <f t="shared" si="0"/>
        <v>4223.189</v>
      </c>
      <c r="I5" s="35">
        <f t="shared" si="0"/>
        <v>4223.189</v>
      </c>
      <c r="J5" s="35">
        <f t="shared" si="0"/>
        <v>4223.189</v>
      </c>
      <c r="K5" s="35">
        <f t="shared" si="0"/>
        <v>3823.189</v>
      </c>
      <c r="L5" s="35">
        <f t="shared" si="0"/>
        <v>3823.189</v>
      </c>
      <c r="M5" s="35">
        <f t="shared" si="0"/>
        <v>5723.189</v>
      </c>
      <c r="N5" s="35">
        <f>SUM(B5:M5)</f>
        <v>64668.60799999999</v>
      </c>
    </row>
    <row r="6" spans="1:14" ht="15">
      <c r="A6" t="s">
        <v>184</v>
      </c>
      <c r="B6" s="35">
        <f>Gastos!C26</f>
        <v>5323.489</v>
      </c>
      <c r="C6" s="35">
        <f>Gastos!D26</f>
        <v>3573.489</v>
      </c>
      <c r="D6" s="35">
        <f>Gastos!E26</f>
        <v>3573.489</v>
      </c>
      <c r="E6" s="35">
        <f>Gastos!F26</f>
        <v>3573.489</v>
      </c>
      <c r="F6" s="35">
        <f>Gastos!G26</f>
        <v>3573.489</v>
      </c>
      <c r="G6" s="35">
        <f>Gastos!H26</f>
        <v>3573.489</v>
      </c>
      <c r="H6" s="35">
        <f>Gastos!I26</f>
        <v>3573.489</v>
      </c>
      <c r="I6" s="35">
        <f>Gastos!J26</f>
        <v>3573.489</v>
      </c>
      <c r="J6" s="35">
        <f>Gastos!K26</f>
        <v>3573.489</v>
      </c>
      <c r="K6" s="35">
        <f>Gastos!L26</f>
        <v>3573.489</v>
      </c>
      <c r="L6" s="35">
        <f>Gastos!M26</f>
        <v>3573.489</v>
      </c>
      <c r="M6" s="35">
        <f>Gastos!N26</f>
        <v>3573.489</v>
      </c>
      <c r="N6" s="35">
        <f>SUM(B6:M6)</f>
        <v>44631.86800000001</v>
      </c>
    </row>
    <row r="7" spans="1:14" ht="15">
      <c r="A7" t="s">
        <v>185</v>
      </c>
      <c r="B7" s="35">
        <f>Gastos!C57</f>
        <v>9000.840000000002</v>
      </c>
      <c r="C7" s="35">
        <f>Gastos!D57</f>
        <v>1649.7</v>
      </c>
      <c r="D7" s="35">
        <f>Gastos!E57</f>
        <v>1649.7</v>
      </c>
      <c r="E7" s="35">
        <f>Gastos!F57</f>
        <v>1649.7</v>
      </c>
      <c r="F7" s="35">
        <f>Gastos!G57</f>
        <v>249.7</v>
      </c>
      <c r="G7" s="35">
        <f>Gastos!H57</f>
        <v>1238.9</v>
      </c>
      <c r="H7" s="35">
        <f>Gastos!I57</f>
        <v>649.7</v>
      </c>
      <c r="I7" s="35">
        <f>Gastos!J57</f>
        <v>649.7</v>
      </c>
      <c r="J7" s="35">
        <f>Gastos!K57</f>
        <v>649.7</v>
      </c>
      <c r="K7" s="35">
        <f>Gastos!L57</f>
        <v>249.7</v>
      </c>
      <c r="L7" s="35">
        <f>Gastos!M57</f>
        <v>249.7</v>
      </c>
      <c r="M7" s="35">
        <f>Gastos!N57</f>
        <v>2149.7</v>
      </c>
      <c r="N7" s="35">
        <f>SUM(B7:M7)</f>
        <v>20036.74000000001</v>
      </c>
    </row>
    <row r="9" spans="1:14" ht="15">
      <c r="A9" s="13" t="s">
        <v>186</v>
      </c>
      <c r="B9" s="35">
        <f aca="true" t="shared" si="1" ref="B9:M9">B4-B5</f>
        <v>-1114.3290000000015</v>
      </c>
      <c r="C9" s="35">
        <f t="shared" si="1"/>
        <v>7986.811</v>
      </c>
      <c r="D9" s="35">
        <f t="shared" si="1"/>
        <v>7986.811</v>
      </c>
      <c r="E9" s="35">
        <f t="shared" si="1"/>
        <v>7986.811</v>
      </c>
      <c r="F9" s="35">
        <f t="shared" si="1"/>
        <v>4443.477666666666</v>
      </c>
      <c r="G9" s="35">
        <f t="shared" si="1"/>
        <v>7564.277666666668</v>
      </c>
      <c r="H9" s="35">
        <f t="shared" si="1"/>
        <v>8153.477666666668</v>
      </c>
      <c r="I9" s="35">
        <f t="shared" si="1"/>
        <v>8153.477666666668</v>
      </c>
      <c r="J9" s="35">
        <f t="shared" si="1"/>
        <v>8153.477666666668</v>
      </c>
      <c r="K9" s="35">
        <f t="shared" si="1"/>
        <v>4443.477666666666</v>
      </c>
      <c r="L9" s="35">
        <f t="shared" si="1"/>
        <v>4443.477666666666</v>
      </c>
      <c r="M9" s="35">
        <f t="shared" si="1"/>
        <v>7486.811</v>
      </c>
      <c r="N9" s="35">
        <f>SUM(B9:M9)</f>
        <v>75688.05866666666</v>
      </c>
    </row>
    <row r="10" spans="1:14" ht="15">
      <c r="A10" s="13" t="s">
        <v>187</v>
      </c>
      <c r="B10" s="35">
        <f>B9</f>
        <v>-1114.3290000000015</v>
      </c>
      <c r="C10" s="35">
        <f>B10+C9</f>
        <v>6872.481999999998</v>
      </c>
      <c r="D10" s="35">
        <f aca="true" t="shared" si="2" ref="D10:M10">C10+D9</f>
        <v>14859.292999999998</v>
      </c>
      <c r="E10" s="35">
        <f t="shared" si="2"/>
        <v>22846.104</v>
      </c>
      <c r="F10" s="35">
        <f t="shared" si="2"/>
        <v>27289.581666666665</v>
      </c>
      <c r="G10" s="35">
        <f>F10+G9</f>
        <v>34853.859333333334</v>
      </c>
      <c r="H10" s="35">
        <f>G10+H9</f>
        <v>43007.337</v>
      </c>
      <c r="I10" s="35">
        <f t="shared" si="2"/>
        <v>51160.814666666665</v>
      </c>
      <c r="J10" s="35">
        <f t="shared" si="2"/>
        <v>59314.29233333333</v>
      </c>
      <c r="K10" s="35">
        <f t="shared" si="2"/>
        <v>63757.77</v>
      </c>
      <c r="L10" s="35">
        <f t="shared" si="2"/>
        <v>68201.24766666666</v>
      </c>
      <c r="M10" s="35">
        <f t="shared" si="2"/>
        <v>75688.05866666666</v>
      </c>
      <c r="N10" s="35"/>
    </row>
  </sheetData>
  <sheetProtection/>
  <mergeCells count="1">
    <mergeCell ref="A1:M1"/>
  </mergeCells>
  <printOptions/>
  <pageMargins left="0.75" right="0.75" top="1" bottom="1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C1">
      <selection activeCell="F15" sqref="F15"/>
    </sheetView>
  </sheetViews>
  <sheetFormatPr defaultColWidth="11.421875" defaultRowHeight="15"/>
  <cols>
    <col min="1" max="2" width="20.28125" style="42" bestFit="1" customWidth="1"/>
    <col min="3" max="3" width="29.8515625" style="42" customWidth="1"/>
    <col min="4" max="4" width="12.00390625" style="43" bestFit="1" customWidth="1"/>
    <col min="5" max="5" width="15.00390625" style="43" bestFit="1" customWidth="1"/>
    <col min="6" max="6" width="16.57421875" style="43" bestFit="1" customWidth="1"/>
    <col min="7" max="7" width="16.57421875" style="43" customWidth="1"/>
    <col min="8" max="8" width="20.140625" style="43" bestFit="1" customWidth="1"/>
    <col min="9" max="9" width="11.421875" style="43" customWidth="1"/>
  </cols>
  <sheetData>
    <row r="1" spans="1:3" ht="12.75">
      <c r="A1" s="41" t="s">
        <v>204</v>
      </c>
      <c r="B1" s="42">
        <v>10</v>
      </c>
      <c r="C1" s="42" t="s">
        <v>205</v>
      </c>
    </row>
    <row r="2" spans="3:9" ht="12.75">
      <c r="C2" s="44" t="s">
        <v>206</v>
      </c>
      <c r="D2" s="44" t="s">
        <v>207</v>
      </c>
      <c r="E2" s="44" t="s">
        <v>208</v>
      </c>
      <c r="F2" s="44" t="s">
        <v>209</v>
      </c>
      <c r="G2" s="44" t="s">
        <v>210</v>
      </c>
      <c r="H2" s="44" t="s">
        <v>211</v>
      </c>
      <c r="I2" s="44" t="s">
        <v>212</v>
      </c>
    </row>
    <row r="3" spans="1:9" ht="25.5">
      <c r="A3" s="41" t="s">
        <v>213</v>
      </c>
      <c r="B3" s="45" t="s">
        <v>96</v>
      </c>
      <c r="C3" s="46" t="str">
        <f>'Inv. Act. Fijo'!C6</f>
        <v>Telefonos</v>
      </c>
      <c r="D3" s="43">
        <f>'Inv. Act. Fijo'!F6</f>
        <v>16</v>
      </c>
      <c r="E3" s="43">
        <v>5</v>
      </c>
      <c r="F3" s="47">
        <f aca="true" t="shared" si="0" ref="F3:F35">+D3/E3</f>
        <v>3.2</v>
      </c>
      <c r="G3" s="48">
        <f>IF($B$1=E3,E3,ABS(+$B$1-E3))</f>
        <v>5</v>
      </c>
      <c r="H3" s="47">
        <f>+G3*F3</f>
        <v>16</v>
      </c>
      <c r="I3" s="47">
        <f aca="true" t="shared" si="1" ref="I3:I12">+D3-H3</f>
        <v>0</v>
      </c>
    </row>
    <row r="4" spans="2:9" ht="12.75">
      <c r="B4" s="49"/>
      <c r="C4" s="46" t="str">
        <f>'Inv. Act. Fijo'!C7</f>
        <v>Aires Acondicionados</v>
      </c>
      <c r="D4" s="43">
        <f>'Inv. Act. Fijo'!F7</f>
        <v>2690</v>
      </c>
      <c r="E4" s="43">
        <v>10</v>
      </c>
      <c r="F4" s="47">
        <f t="shared" si="0"/>
        <v>269</v>
      </c>
      <c r="G4" s="48">
        <f>IF($B$1=E4,E4,ABS(+$B$1-E4))</f>
        <v>10</v>
      </c>
      <c r="H4" s="47">
        <f>+G4*F4</f>
        <v>2690</v>
      </c>
      <c r="I4" s="47">
        <f t="shared" si="1"/>
        <v>0</v>
      </c>
    </row>
    <row r="5" spans="2:9" ht="12.75">
      <c r="B5" s="49"/>
      <c r="C5" s="46" t="str">
        <f>'Inv. Act. Fijo'!C8</f>
        <v>Ventiladores</v>
      </c>
      <c r="D5" s="43">
        <f>'Inv. Act. Fijo'!F8</f>
        <v>88</v>
      </c>
      <c r="E5" s="43">
        <v>5</v>
      </c>
      <c r="F5" s="47">
        <f t="shared" si="0"/>
        <v>17.6</v>
      </c>
      <c r="G5" s="48">
        <f>IF($B$1=E5,E5,ABS(+$B$1-E5))</f>
        <v>5</v>
      </c>
      <c r="H5" s="47">
        <f>+G5*F5</f>
        <v>88</v>
      </c>
      <c r="I5" s="47">
        <f t="shared" si="1"/>
        <v>0</v>
      </c>
    </row>
    <row r="6" spans="2:9" ht="15">
      <c r="B6" s="45" t="s">
        <v>214</v>
      </c>
      <c r="C6" s="46" t="str">
        <f>'Inv. Act. Fijo'!C11</f>
        <v>Computadora</v>
      </c>
      <c r="D6" s="43">
        <f>'Inv. Act. Fijo'!F11</f>
        <v>780</v>
      </c>
      <c r="E6" s="43">
        <v>3</v>
      </c>
      <c r="F6" s="47">
        <f t="shared" si="0"/>
        <v>260</v>
      </c>
      <c r="G6" s="48">
        <v>1</v>
      </c>
      <c r="H6" s="47">
        <f>+G6*F6</f>
        <v>260</v>
      </c>
      <c r="I6" s="47">
        <f t="shared" si="1"/>
        <v>520</v>
      </c>
    </row>
    <row r="7" spans="2:9" ht="15">
      <c r="B7" s="49"/>
      <c r="C7" s="46" t="str">
        <f>'Inv. Act. Fijo'!C12</f>
        <v>Impresora</v>
      </c>
      <c r="D7" s="43">
        <f>'Inv. Act. Fijo'!F12</f>
        <v>50</v>
      </c>
      <c r="E7" s="43">
        <v>3</v>
      </c>
      <c r="F7" s="47">
        <f t="shared" si="0"/>
        <v>16.666666666666668</v>
      </c>
      <c r="G7" s="48">
        <v>1</v>
      </c>
      <c r="H7" s="47">
        <f aca="true" t="shared" si="2" ref="H7:H12">+G7*F7</f>
        <v>16.666666666666668</v>
      </c>
      <c r="I7" s="47">
        <f t="shared" si="1"/>
        <v>33.33333333333333</v>
      </c>
    </row>
    <row r="8" spans="2:9" ht="15">
      <c r="B8" s="49"/>
      <c r="C8" s="46" t="str">
        <f>'Inv. Act. Fijo'!C13</f>
        <v>Fax</v>
      </c>
      <c r="D8" s="43">
        <f>'Inv. Act. Fijo'!F13</f>
        <v>50</v>
      </c>
      <c r="E8" s="43">
        <v>3</v>
      </c>
      <c r="F8" s="47">
        <f t="shared" si="0"/>
        <v>16.666666666666668</v>
      </c>
      <c r="G8" s="48">
        <v>1</v>
      </c>
      <c r="H8" s="47">
        <f>+G8*F8</f>
        <v>16.666666666666668</v>
      </c>
      <c r="I8" s="47">
        <f t="shared" si="1"/>
        <v>33.33333333333333</v>
      </c>
    </row>
    <row r="9" spans="2:9" ht="15">
      <c r="B9" s="45" t="s">
        <v>215</v>
      </c>
      <c r="C9" s="46" t="str">
        <f>'Inv. Act. Fijo'!C17</f>
        <v>Puertas</v>
      </c>
      <c r="D9" s="43">
        <f>'Inv. Act. Fijo'!F17</f>
        <v>828</v>
      </c>
      <c r="E9" s="43">
        <v>10</v>
      </c>
      <c r="F9" s="47">
        <f t="shared" si="0"/>
        <v>82.8</v>
      </c>
      <c r="G9" s="48">
        <f aca="true" t="shared" si="3" ref="G9:G35">IF($B$1=E9,E9,ABS(+$B$1-E9))</f>
        <v>10</v>
      </c>
      <c r="H9" s="47">
        <f>+G9*F9</f>
        <v>828</v>
      </c>
      <c r="I9" s="47">
        <f t="shared" si="1"/>
        <v>0</v>
      </c>
    </row>
    <row r="10" spans="2:9" ht="15">
      <c r="B10" s="49"/>
      <c r="C10" s="46" t="str">
        <f>'Inv. Act. Fijo'!C18</f>
        <v>Cerradura de baño</v>
      </c>
      <c r="D10" s="43">
        <f>'Inv. Act. Fijo'!F18</f>
        <v>36</v>
      </c>
      <c r="E10" s="43">
        <v>10</v>
      </c>
      <c r="F10" s="47">
        <f t="shared" si="0"/>
        <v>3.6</v>
      </c>
      <c r="G10" s="48">
        <f t="shared" si="3"/>
        <v>10</v>
      </c>
      <c r="H10" s="47">
        <f t="shared" si="2"/>
        <v>36</v>
      </c>
      <c r="I10" s="47">
        <f t="shared" si="1"/>
        <v>0</v>
      </c>
    </row>
    <row r="11" spans="2:9" ht="15">
      <c r="B11" s="49"/>
      <c r="C11" s="46" t="str">
        <f>'Inv. Act. Fijo'!C19</f>
        <v>Cerradura de cuatro</v>
      </c>
      <c r="D11" s="43">
        <f>'Inv. Act. Fijo'!F19</f>
        <v>42</v>
      </c>
      <c r="E11" s="43">
        <v>10</v>
      </c>
      <c r="F11" s="47">
        <f t="shared" si="0"/>
        <v>4.2</v>
      </c>
      <c r="G11" s="48">
        <f t="shared" si="3"/>
        <v>10</v>
      </c>
      <c r="H11" s="47">
        <f t="shared" si="2"/>
        <v>42</v>
      </c>
      <c r="I11" s="47">
        <f t="shared" si="1"/>
        <v>0</v>
      </c>
    </row>
    <row r="12" spans="2:9" ht="15">
      <c r="B12" s="49"/>
      <c r="C12" s="46" t="str">
        <f>'Inv. Act. Fijo'!C20</f>
        <v>Sillas de oficina</v>
      </c>
      <c r="D12" s="43">
        <f>'Inv. Act. Fijo'!F20</f>
        <v>180</v>
      </c>
      <c r="E12" s="43">
        <v>5</v>
      </c>
      <c r="F12" s="47">
        <f t="shared" si="0"/>
        <v>36</v>
      </c>
      <c r="G12" s="48">
        <f t="shared" si="3"/>
        <v>5</v>
      </c>
      <c r="H12" s="47">
        <f t="shared" si="2"/>
        <v>180</v>
      </c>
      <c r="I12" s="47">
        <f t="shared" si="1"/>
        <v>0</v>
      </c>
    </row>
    <row r="13" spans="2:9" ht="15">
      <c r="B13" s="49"/>
      <c r="C13" s="46" t="str">
        <f>'Inv. Act. Fijo'!C21</f>
        <v>Extintores</v>
      </c>
      <c r="D13" s="43">
        <f>'Inv. Act. Fijo'!F21</f>
        <v>60</v>
      </c>
      <c r="E13" s="43">
        <v>5</v>
      </c>
      <c r="F13" s="47">
        <f t="shared" si="0"/>
        <v>12</v>
      </c>
      <c r="G13" s="48">
        <f t="shared" si="3"/>
        <v>5</v>
      </c>
      <c r="H13" s="47">
        <f aca="true" t="shared" si="4" ref="H13:H34">+G13*F13</f>
        <v>60</v>
      </c>
      <c r="I13" s="47">
        <f aca="true" t="shared" si="5" ref="I13:I35">+D13-H13</f>
        <v>0</v>
      </c>
    </row>
    <row r="14" spans="2:9" ht="15">
      <c r="B14" s="49"/>
      <c r="C14" s="46" t="str">
        <f>'Inv. Act. Fijo'!C22</f>
        <v>Camas sencillas plaza 1 1/2</v>
      </c>
      <c r="D14" s="43">
        <f>'Inv. Act. Fijo'!F22</f>
        <v>2250</v>
      </c>
      <c r="E14" s="43">
        <v>10</v>
      </c>
      <c r="F14" s="47">
        <f t="shared" si="0"/>
        <v>225</v>
      </c>
      <c r="G14" s="48">
        <f t="shared" si="3"/>
        <v>10</v>
      </c>
      <c r="H14" s="47">
        <f t="shared" si="4"/>
        <v>2250</v>
      </c>
      <c r="I14" s="47">
        <f t="shared" si="5"/>
        <v>0</v>
      </c>
    </row>
    <row r="15" spans="2:9" ht="15">
      <c r="B15" s="49"/>
      <c r="C15" s="46" t="str">
        <f>'Inv. Act. Fijo'!C23</f>
        <v>Camas de 2 plazas</v>
      </c>
      <c r="D15" s="43">
        <f>'Inv. Act. Fijo'!F23</f>
        <v>2100</v>
      </c>
      <c r="E15" s="43">
        <v>10</v>
      </c>
      <c r="F15" s="47">
        <f t="shared" si="0"/>
        <v>210</v>
      </c>
      <c r="G15" s="48">
        <f t="shared" si="3"/>
        <v>10</v>
      </c>
      <c r="H15" s="47">
        <f t="shared" si="4"/>
        <v>2100</v>
      </c>
      <c r="I15" s="47">
        <f t="shared" si="5"/>
        <v>0</v>
      </c>
    </row>
    <row r="16" spans="2:9" ht="15">
      <c r="B16" s="49"/>
      <c r="C16" s="46" t="str">
        <f>'Inv. Act. Fijo'!C24</f>
        <v>Cortinas de dormitorio</v>
      </c>
      <c r="D16" s="43">
        <f>'Inv. Act. Fijo'!F24</f>
        <v>492</v>
      </c>
      <c r="E16" s="43">
        <v>5</v>
      </c>
      <c r="F16" s="47">
        <f t="shared" si="0"/>
        <v>98.4</v>
      </c>
      <c r="G16" s="48">
        <f t="shared" si="3"/>
        <v>5</v>
      </c>
      <c r="H16" s="47">
        <f t="shared" si="4"/>
        <v>492</v>
      </c>
      <c r="I16" s="47">
        <f t="shared" si="5"/>
        <v>0</v>
      </c>
    </row>
    <row r="17" spans="2:9" ht="15">
      <c r="B17" s="45"/>
      <c r="C17" s="46" t="str">
        <f>'Inv. Act. Fijo'!C25</f>
        <v>Literas</v>
      </c>
      <c r="D17" s="43">
        <f>'Inv. Act. Fijo'!F25</f>
        <v>3200</v>
      </c>
      <c r="E17" s="43">
        <v>10</v>
      </c>
      <c r="F17" s="47">
        <f t="shared" si="0"/>
        <v>320</v>
      </c>
      <c r="G17" s="48">
        <f t="shared" si="3"/>
        <v>10</v>
      </c>
      <c r="H17" s="47">
        <f t="shared" si="4"/>
        <v>3200</v>
      </c>
      <c r="I17" s="47">
        <f t="shared" si="5"/>
        <v>0</v>
      </c>
    </row>
    <row r="18" spans="2:9" ht="15">
      <c r="B18" s="45"/>
      <c r="C18" s="46" t="str">
        <f>'Inv. Act. Fijo'!C26</f>
        <v>Veladores</v>
      </c>
      <c r="D18" s="43">
        <f>'Inv. Act. Fijo'!F26</f>
        <v>3600</v>
      </c>
      <c r="E18" s="43">
        <v>5</v>
      </c>
      <c r="F18" s="47">
        <f t="shared" si="0"/>
        <v>720</v>
      </c>
      <c r="G18" s="48">
        <f t="shared" si="3"/>
        <v>5</v>
      </c>
      <c r="H18" s="47">
        <f t="shared" si="4"/>
        <v>3600</v>
      </c>
      <c r="I18" s="47">
        <f t="shared" si="5"/>
        <v>0</v>
      </c>
    </row>
    <row r="19" spans="2:9" ht="15">
      <c r="B19" s="49"/>
      <c r="C19" s="46" t="str">
        <f>'Inv. Act. Fijo'!C27</f>
        <v>Varillas para closet</v>
      </c>
      <c r="D19" s="43">
        <f>'Inv. Act. Fijo'!F27</f>
        <v>120</v>
      </c>
      <c r="E19" s="43">
        <v>10</v>
      </c>
      <c r="F19" s="47">
        <f t="shared" si="0"/>
        <v>12</v>
      </c>
      <c r="G19" s="48">
        <f t="shared" si="3"/>
        <v>10</v>
      </c>
      <c r="H19" s="47">
        <f t="shared" si="4"/>
        <v>120</v>
      </c>
      <c r="I19" s="47">
        <f t="shared" si="5"/>
        <v>0</v>
      </c>
    </row>
    <row r="20" spans="2:9" ht="15">
      <c r="B20" s="49"/>
      <c r="C20" s="46" t="str">
        <f>'Inv. Act. Fijo'!C28</f>
        <v>Varillas para baño</v>
      </c>
      <c r="D20" s="43">
        <f>'Inv. Act. Fijo'!F28</f>
        <v>104</v>
      </c>
      <c r="E20" s="43">
        <v>10</v>
      </c>
      <c r="F20" s="47">
        <f t="shared" si="0"/>
        <v>10.4</v>
      </c>
      <c r="G20" s="48">
        <f t="shared" si="3"/>
        <v>10</v>
      </c>
      <c r="H20" s="47">
        <f t="shared" si="4"/>
        <v>104</v>
      </c>
      <c r="I20" s="47">
        <f t="shared" si="5"/>
        <v>0</v>
      </c>
    </row>
    <row r="21" spans="2:9" ht="15">
      <c r="B21" s="49"/>
      <c r="C21" s="46" t="str">
        <f>'Inv. Act. Fijo'!C29</f>
        <v>Juegos de accesorios para baño</v>
      </c>
      <c r="D21" s="43">
        <f>'Inv. Act. Fijo'!F29</f>
        <v>182</v>
      </c>
      <c r="E21" s="43">
        <v>5</v>
      </c>
      <c r="F21" s="47">
        <f t="shared" si="0"/>
        <v>36.4</v>
      </c>
      <c r="G21" s="48">
        <f t="shared" si="3"/>
        <v>5</v>
      </c>
      <c r="H21" s="47">
        <f t="shared" si="4"/>
        <v>182</v>
      </c>
      <c r="I21" s="47">
        <f t="shared" si="5"/>
        <v>0</v>
      </c>
    </row>
    <row r="22" spans="2:9" ht="15">
      <c r="B22" s="49"/>
      <c r="C22" s="46" t="str">
        <f>'Inv. Act. Fijo'!C30</f>
        <v>Lamparas de techo</v>
      </c>
      <c r="D22" s="43">
        <f>'Inv. Act. Fijo'!F30</f>
        <v>375</v>
      </c>
      <c r="E22" s="43">
        <v>5</v>
      </c>
      <c r="F22" s="47">
        <f t="shared" si="0"/>
        <v>75</v>
      </c>
      <c r="G22" s="48">
        <f t="shared" si="3"/>
        <v>5</v>
      </c>
      <c r="H22" s="47">
        <f t="shared" si="4"/>
        <v>375</v>
      </c>
      <c r="I22" s="47">
        <f t="shared" si="5"/>
        <v>0</v>
      </c>
    </row>
    <row r="23" spans="2:9" ht="15">
      <c r="B23" s="49"/>
      <c r="C23" s="46" t="str">
        <f>'Inv. Act. Fijo'!C31</f>
        <v>Lamparas de pared</v>
      </c>
      <c r="D23" s="43">
        <f>'Inv. Act. Fijo'!F31</f>
        <v>240</v>
      </c>
      <c r="E23" s="43">
        <v>5</v>
      </c>
      <c r="F23" s="47">
        <f t="shared" si="0"/>
        <v>48</v>
      </c>
      <c r="G23" s="48">
        <f t="shared" si="3"/>
        <v>5</v>
      </c>
      <c r="H23" s="47">
        <f t="shared" si="4"/>
        <v>240</v>
      </c>
      <c r="I23" s="47">
        <f t="shared" si="5"/>
        <v>0</v>
      </c>
    </row>
    <row r="24" spans="2:9" ht="15">
      <c r="B24" s="49"/>
      <c r="C24" s="46" t="str">
        <f>'Inv. Act. Fijo'!C32</f>
        <v>Lavamanos </v>
      </c>
      <c r="D24" s="43">
        <f>'Inv. Act. Fijo'!F32</f>
        <v>149.5</v>
      </c>
      <c r="E24" s="43">
        <v>10</v>
      </c>
      <c r="F24" s="47">
        <f t="shared" si="0"/>
        <v>14.95</v>
      </c>
      <c r="G24" s="48">
        <f t="shared" si="3"/>
        <v>10</v>
      </c>
      <c r="H24" s="47">
        <f t="shared" si="4"/>
        <v>149.5</v>
      </c>
      <c r="I24" s="47">
        <f t="shared" si="5"/>
        <v>0</v>
      </c>
    </row>
    <row r="25" spans="2:9" ht="15">
      <c r="B25" s="49"/>
      <c r="C25" s="46" t="str">
        <f>'Inv. Act. Fijo'!C33</f>
        <v>Sanitarios</v>
      </c>
      <c r="D25" s="43">
        <f>'Inv. Act. Fijo'!F33</f>
        <v>728</v>
      </c>
      <c r="E25" s="43">
        <v>10</v>
      </c>
      <c r="F25" s="47">
        <f t="shared" si="0"/>
        <v>72.8</v>
      </c>
      <c r="G25" s="48">
        <f t="shared" si="3"/>
        <v>10</v>
      </c>
      <c r="H25" s="47">
        <f t="shared" si="4"/>
        <v>728</v>
      </c>
      <c r="I25" s="47">
        <f t="shared" si="5"/>
        <v>0</v>
      </c>
    </row>
    <row r="26" spans="2:9" ht="15">
      <c r="B26" s="49"/>
      <c r="C26" s="46" t="str">
        <f>'Inv. Act. Fijo'!C34</f>
        <v>Duchas</v>
      </c>
      <c r="D26" s="43">
        <f>'Inv. Act. Fijo'!F34</f>
        <v>260</v>
      </c>
      <c r="E26" s="43">
        <v>10</v>
      </c>
      <c r="F26" s="47">
        <f t="shared" si="0"/>
        <v>26</v>
      </c>
      <c r="G26" s="48">
        <f t="shared" si="3"/>
        <v>10</v>
      </c>
      <c r="H26" s="47">
        <f t="shared" si="4"/>
        <v>260</v>
      </c>
      <c r="I26" s="47">
        <f t="shared" si="5"/>
        <v>0</v>
      </c>
    </row>
    <row r="27" spans="2:9" ht="15">
      <c r="B27" s="49"/>
      <c r="C27" s="46" t="str">
        <f>'Inv. Act. Fijo'!C35</f>
        <v>Casilleros</v>
      </c>
      <c r="D27" s="43">
        <f>'Inv. Act. Fijo'!F35</f>
        <v>150</v>
      </c>
      <c r="E27" s="43">
        <v>10</v>
      </c>
      <c r="F27" s="47">
        <f t="shared" si="0"/>
        <v>15</v>
      </c>
      <c r="G27" s="48">
        <f t="shared" si="3"/>
        <v>10</v>
      </c>
      <c r="H27" s="47">
        <f t="shared" si="4"/>
        <v>150</v>
      </c>
      <c r="I27" s="47">
        <f t="shared" si="5"/>
        <v>0</v>
      </c>
    </row>
    <row r="28" spans="2:9" ht="15">
      <c r="B28" s="49"/>
      <c r="C28" s="46" t="str">
        <f>'Inv. Act. Fijo'!C36</f>
        <v>ojos de buey</v>
      </c>
      <c r="D28" s="43">
        <f>'Inv. Act. Fijo'!F36</f>
        <v>126.96000000000001</v>
      </c>
      <c r="E28" s="43">
        <v>10</v>
      </c>
      <c r="F28" s="47">
        <f t="shared" si="0"/>
        <v>12.696000000000002</v>
      </c>
      <c r="G28" s="48">
        <f t="shared" si="3"/>
        <v>10</v>
      </c>
      <c r="H28" s="47">
        <f t="shared" si="4"/>
        <v>126.96000000000001</v>
      </c>
      <c r="I28" s="47">
        <f t="shared" si="5"/>
        <v>0</v>
      </c>
    </row>
    <row r="29" spans="2:9" ht="15">
      <c r="B29" s="49"/>
      <c r="C29" s="46" t="str">
        <f>'Inv. Act. Fijo'!C37</f>
        <v>Llaves de lavamanos - griferia</v>
      </c>
      <c r="D29" s="43">
        <f>'Inv. Act. Fijo'!F37</f>
        <v>333.97</v>
      </c>
      <c r="E29" s="43">
        <v>10</v>
      </c>
      <c r="F29" s="47">
        <f t="shared" si="0"/>
        <v>33.397000000000006</v>
      </c>
      <c r="G29" s="48">
        <f t="shared" si="3"/>
        <v>10</v>
      </c>
      <c r="H29" s="47">
        <f t="shared" si="4"/>
        <v>333.97</v>
      </c>
      <c r="I29" s="47">
        <f t="shared" si="5"/>
        <v>0</v>
      </c>
    </row>
    <row r="30" spans="2:9" ht="15">
      <c r="B30" s="49"/>
      <c r="C30" s="46" t="str">
        <f>'Inv. Act. Fijo'!C38</f>
        <v>Espejos</v>
      </c>
      <c r="D30" s="43">
        <f>'Inv. Act. Fijo'!F38</f>
        <v>260</v>
      </c>
      <c r="E30" s="43">
        <v>10</v>
      </c>
      <c r="F30" s="47">
        <f t="shared" si="0"/>
        <v>26</v>
      </c>
      <c r="G30" s="48">
        <f t="shared" si="3"/>
        <v>10</v>
      </c>
      <c r="H30" s="47">
        <f t="shared" si="4"/>
        <v>260</v>
      </c>
      <c r="I30" s="47">
        <f t="shared" si="5"/>
        <v>0</v>
      </c>
    </row>
    <row r="31" spans="2:9" ht="15">
      <c r="B31" s="49"/>
      <c r="C31" s="46" t="str">
        <f>'Inv. Act. Fijo'!C39</f>
        <v>Cortinas de baño</v>
      </c>
      <c r="D31" s="43">
        <f>'Inv. Act. Fijo'!F39</f>
        <v>312</v>
      </c>
      <c r="E31" s="43">
        <v>10</v>
      </c>
      <c r="F31" s="47">
        <f t="shared" si="0"/>
        <v>31.2</v>
      </c>
      <c r="G31" s="48">
        <f t="shared" si="3"/>
        <v>10</v>
      </c>
      <c r="H31" s="47">
        <f t="shared" si="4"/>
        <v>312</v>
      </c>
      <c r="I31" s="47">
        <f t="shared" si="5"/>
        <v>0</v>
      </c>
    </row>
    <row r="32" spans="2:9" ht="15">
      <c r="B32" s="49"/>
      <c r="C32" s="46" t="str">
        <f>'Inv. Act. Fijo'!C40</f>
        <v>Alfombras</v>
      </c>
      <c r="D32" s="43">
        <f>'Inv. Act. Fijo'!F40</f>
        <v>108</v>
      </c>
      <c r="E32" s="43">
        <v>10</v>
      </c>
      <c r="F32" s="47">
        <f t="shared" si="0"/>
        <v>10.8</v>
      </c>
      <c r="G32" s="48">
        <f t="shared" si="3"/>
        <v>10</v>
      </c>
      <c r="H32" s="47">
        <f t="shared" si="4"/>
        <v>108</v>
      </c>
      <c r="I32" s="47">
        <f t="shared" si="5"/>
        <v>0</v>
      </c>
    </row>
    <row r="33" spans="2:9" ht="15">
      <c r="B33" s="49"/>
      <c r="C33" s="46" t="str">
        <f>'Inv. Act. Fijo'!C41</f>
        <v>Hamacas</v>
      </c>
      <c r="D33" s="43">
        <f>'Inv. Act. Fijo'!F41</f>
        <v>240</v>
      </c>
      <c r="E33" s="43">
        <v>10</v>
      </c>
      <c r="F33" s="47">
        <f t="shared" si="0"/>
        <v>24</v>
      </c>
      <c r="G33" s="48">
        <f t="shared" si="3"/>
        <v>10</v>
      </c>
      <c r="H33" s="47">
        <f t="shared" si="4"/>
        <v>240</v>
      </c>
      <c r="I33" s="47">
        <f t="shared" si="5"/>
        <v>0</v>
      </c>
    </row>
    <row r="34" spans="2:9" ht="15">
      <c r="B34" s="49"/>
      <c r="C34" s="46" t="str">
        <f>'Inv. Act. Fijo'!C42</f>
        <v>Aspiradoras</v>
      </c>
      <c r="D34" s="43">
        <f>'Inv. Act. Fijo'!F42</f>
        <v>138</v>
      </c>
      <c r="E34" s="43">
        <v>10</v>
      </c>
      <c r="F34" s="47">
        <f t="shared" si="0"/>
        <v>13.8</v>
      </c>
      <c r="G34" s="48">
        <f t="shared" si="3"/>
        <v>10</v>
      </c>
      <c r="H34" s="47">
        <f t="shared" si="4"/>
        <v>138</v>
      </c>
      <c r="I34" s="47">
        <f t="shared" si="5"/>
        <v>0</v>
      </c>
    </row>
    <row r="35" spans="2:9" ht="15">
      <c r="B35" s="49"/>
      <c r="C35" s="46" t="str">
        <f>'Inv. Act. Fijo'!C43</f>
        <v>Televisores</v>
      </c>
      <c r="D35" s="43">
        <f>'Inv. Act. Fijo'!F43</f>
        <v>300</v>
      </c>
      <c r="E35" s="43">
        <v>10</v>
      </c>
      <c r="F35" s="47">
        <f t="shared" si="0"/>
        <v>30</v>
      </c>
      <c r="G35" s="48">
        <f t="shared" si="3"/>
        <v>10</v>
      </c>
      <c r="H35" s="47">
        <f>+G35*F35</f>
        <v>300</v>
      </c>
      <c r="I35" s="47">
        <f t="shared" si="5"/>
        <v>0</v>
      </c>
    </row>
    <row r="36" spans="6:9" ht="15">
      <c r="F36" s="59">
        <f>+SUM(F3:F35)</f>
        <v>2787.5763333333334</v>
      </c>
      <c r="G36" s="59"/>
      <c r="H36" s="59">
        <f>+SUM(H3:H35)</f>
        <v>20002.763333333332</v>
      </c>
      <c r="I36" s="59">
        <f>+SUM(I3:I35)</f>
        <v>586.6666666666667</v>
      </c>
    </row>
  </sheetData>
  <sheetProtection/>
  <printOptions/>
  <pageMargins left="0.75" right="0.75" top="1" bottom="1" header="0" footer="0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I37"/>
  <sheetViews>
    <sheetView zoomScalePageLayoutView="0" workbookViewId="0" topLeftCell="A1">
      <selection activeCell="C2" sqref="C2"/>
    </sheetView>
  </sheetViews>
  <sheetFormatPr defaultColWidth="11.421875" defaultRowHeight="15"/>
  <cols>
    <col min="2" max="2" width="26.00390625" style="0" bestFit="1" customWidth="1"/>
    <col min="3" max="3" width="12.28125" style="0" bestFit="1" customWidth="1"/>
    <col min="5" max="5" width="12.28125" style="0" bestFit="1" customWidth="1"/>
    <col min="6" max="6" width="13.00390625" style="0" bestFit="1" customWidth="1"/>
    <col min="9" max="9" width="17.8515625" style="0" bestFit="1" customWidth="1"/>
  </cols>
  <sheetData>
    <row r="1" spans="2:3" ht="15">
      <c r="B1" t="s">
        <v>222</v>
      </c>
      <c r="C1" s="11">
        <f>'Inv. total'!D25</f>
        <v>128515.54759999999</v>
      </c>
    </row>
    <row r="2" spans="2:3" ht="15">
      <c r="B2" t="s">
        <v>265</v>
      </c>
      <c r="C2" s="23">
        <f>(D3*C4)+(C25*D24)</f>
        <v>0.1089217044895508</v>
      </c>
    </row>
    <row r="3" spans="2:7" ht="15">
      <c r="B3" s="56" t="s">
        <v>223</v>
      </c>
      <c r="C3" s="11">
        <f>'Inv. total'!D5+'Inv. total'!D13</f>
        <v>100800</v>
      </c>
      <c r="D3" s="84">
        <f>C3/$C$1</f>
        <v>0.7843408979101608</v>
      </c>
      <c r="G3" s="15"/>
    </row>
    <row r="4" spans="2:7" ht="15">
      <c r="B4" s="13" t="s">
        <v>216</v>
      </c>
      <c r="C4" s="52">
        <v>0.11</v>
      </c>
      <c r="G4" s="15"/>
    </row>
    <row r="7" spans="2:6" ht="15">
      <c r="B7" s="50" t="s">
        <v>217</v>
      </c>
      <c r="C7" s="50" t="s">
        <v>218</v>
      </c>
      <c r="D7" s="50" t="s">
        <v>219</v>
      </c>
      <c r="E7" s="50" t="s">
        <v>220</v>
      </c>
      <c r="F7" s="50" t="s">
        <v>221</v>
      </c>
    </row>
    <row r="8" spans="2:6" ht="15">
      <c r="B8" s="50">
        <v>0</v>
      </c>
      <c r="C8" s="51">
        <v>0</v>
      </c>
      <c r="D8" s="51">
        <v>0</v>
      </c>
      <c r="E8" s="51">
        <v>0</v>
      </c>
      <c r="F8" s="51">
        <f>+C3</f>
        <v>100800</v>
      </c>
    </row>
    <row r="9" spans="2:9" ht="15">
      <c r="B9" s="50">
        <v>1</v>
      </c>
      <c r="C9" s="51">
        <f>+-PMT($C$4,$B$18,$C$3)</f>
        <v>17115.98385142702</v>
      </c>
      <c r="D9" s="51">
        <f aca="true" t="shared" si="0" ref="D9:D18">+F8*$C$4</f>
        <v>11088</v>
      </c>
      <c r="E9" s="51">
        <f aca="true" t="shared" si="1" ref="E9:E18">+C9-D9</f>
        <v>6027.9838514270195</v>
      </c>
      <c r="F9" s="51">
        <f aca="true" t="shared" si="2" ref="F9:F18">+F8-E9</f>
        <v>94772.01614857298</v>
      </c>
      <c r="H9" s="51"/>
      <c r="I9" s="11"/>
    </row>
    <row r="10" spans="2:6" ht="15">
      <c r="B10" s="50">
        <v>2</v>
      </c>
      <c r="C10" s="51">
        <f aca="true" t="shared" si="3" ref="C10:C18">C9</f>
        <v>17115.98385142702</v>
      </c>
      <c r="D10" s="51">
        <f t="shared" si="0"/>
        <v>10424.921776343028</v>
      </c>
      <c r="E10" s="51">
        <f t="shared" si="1"/>
        <v>6691.062075083992</v>
      </c>
      <c r="F10" s="51">
        <f t="shared" si="2"/>
        <v>88080.95407348899</v>
      </c>
    </row>
    <row r="11" spans="2:6" ht="15">
      <c r="B11" s="50">
        <v>3</v>
      </c>
      <c r="C11" s="51">
        <f t="shared" si="3"/>
        <v>17115.98385142702</v>
      </c>
      <c r="D11" s="51">
        <f t="shared" si="0"/>
        <v>9688.90494808379</v>
      </c>
      <c r="E11" s="51">
        <f t="shared" si="1"/>
        <v>7427.07890334323</v>
      </c>
      <c r="F11" s="51">
        <f t="shared" si="2"/>
        <v>80653.87517014577</v>
      </c>
    </row>
    <row r="12" spans="2:6" ht="15">
      <c r="B12" s="50">
        <v>4</v>
      </c>
      <c r="C12" s="51">
        <f t="shared" si="3"/>
        <v>17115.98385142702</v>
      </c>
      <c r="D12" s="51">
        <f t="shared" si="0"/>
        <v>8871.926268716034</v>
      </c>
      <c r="E12" s="51">
        <f t="shared" si="1"/>
        <v>8244.057582710986</v>
      </c>
      <c r="F12" s="51">
        <f t="shared" si="2"/>
        <v>72409.81758743478</v>
      </c>
    </row>
    <row r="13" spans="2:6" ht="15">
      <c r="B13" s="50">
        <v>5</v>
      </c>
      <c r="C13" s="51">
        <f t="shared" si="3"/>
        <v>17115.98385142702</v>
      </c>
      <c r="D13" s="51">
        <f t="shared" si="0"/>
        <v>7965.0799346178255</v>
      </c>
      <c r="E13" s="51">
        <f t="shared" si="1"/>
        <v>9150.903916809195</v>
      </c>
      <c r="F13" s="51">
        <f t="shared" si="2"/>
        <v>63258.91367062558</v>
      </c>
    </row>
    <row r="14" spans="2:6" ht="15">
      <c r="B14" s="50">
        <v>6</v>
      </c>
      <c r="C14" s="51">
        <f t="shared" si="3"/>
        <v>17115.98385142702</v>
      </c>
      <c r="D14" s="51">
        <f t="shared" si="0"/>
        <v>6958.480503768814</v>
      </c>
      <c r="E14" s="51">
        <f t="shared" si="1"/>
        <v>10157.503347658207</v>
      </c>
      <c r="F14" s="51">
        <f t="shared" si="2"/>
        <v>53101.41032296738</v>
      </c>
    </row>
    <row r="15" spans="2:6" ht="15">
      <c r="B15" s="50">
        <v>7</v>
      </c>
      <c r="C15" s="51">
        <f t="shared" si="3"/>
        <v>17115.98385142702</v>
      </c>
      <c r="D15" s="51">
        <f t="shared" si="0"/>
        <v>5841.155135526412</v>
      </c>
      <c r="E15" s="51">
        <f t="shared" si="1"/>
        <v>11274.828715900607</v>
      </c>
      <c r="F15" s="51">
        <f t="shared" si="2"/>
        <v>41826.58160706677</v>
      </c>
    </row>
    <row r="16" spans="2:6" ht="15">
      <c r="B16" s="50">
        <v>8</v>
      </c>
      <c r="C16" s="51">
        <f t="shared" si="3"/>
        <v>17115.98385142702</v>
      </c>
      <c r="D16" s="51">
        <f t="shared" si="0"/>
        <v>4600.923976777345</v>
      </c>
      <c r="E16" s="51">
        <f t="shared" si="1"/>
        <v>12515.059874649674</v>
      </c>
      <c r="F16" s="51">
        <f t="shared" si="2"/>
        <v>29311.521732417095</v>
      </c>
    </row>
    <row r="17" spans="2:6" ht="15">
      <c r="B17" s="50">
        <v>9</v>
      </c>
      <c r="C17" s="51">
        <f t="shared" si="3"/>
        <v>17115.98385142702</v>
      </c>
      <c r="D17" s="51">
        <f t="shared" si="0"/>
        <v>3224.2673905658803</v>
      </c>
      <c r="E17" s="51">
        <f t="shared" si="1"/>
        <v>13891.716460861138</v>
      </c>
      <c r="F17" s="51">
        <f t="shared" si="2"/>
        <v>15419.805271555957</v>
      </c>
    </row>
    <row r="18" spans="2:6" ht="15">
      <c r="B18" s="50">
        <v>10</v>
      </c>
      <c r="C18" s="51">
        <f t="shared" si="3"/>
        <v>17115.98385142702</v>
      </c>
      <c r="D18" s="51">
        <f t="shared" si="0"/>
        <v>1696.1785798711553</v>
      </c>
      <c r="E18" s="51">
        <f t="shared" si="1"/>
        <v>15419.805271555864</v>
      </c>
      <c r="F18" s="51">
        <f t="shared" si="2"/>
        <v>9.276845958083868E-11</v>
      </c>
    </row>
    <row r="19" spans="2:6" ht="15">
      <c r="B19" s="50"/>
      <c r="C19" s="51"/>
      <c r="D19" s="51"/>
      <c r="E19" s="51"/>
      <c r="F19" s="51"/>
    </row>
    <row r="20" spans="2:6" ht="15">
      <c r="B20" s="50"/>
      <c r="C20" s="51"/>
      <c r="D20" s="51"/>
      <c r="E20" s="51"/>
      <c r="F20" s="51"/>
    </row>
    <row r="21" spans="2:6" ht="15">
      <c r="B21" s="50"/>
      <c r="C21" s="51"/>
      <c r="D21" s="51"/>
      <c r="E21" s="51"/>
      <c r="F21" s="51"/>
    </row>
    <row r="22" spans="2:6" ht="15">
      <c r="B22" s="50"/>
      <c r="C22" s="51"/>
      <c r="D22" s="51"/>
      <c r="E22" s="51"/>
      <c r="F22" s="51"/>
    </row>
    <row r="24" spans="2:4" ht="15">
      <c r="B24" s="57" t="s">
        <v>224</v>
      </c>
      <c r="C24" s="12">
        <f>C1-C3</f>
        <v>27715.54759999999</v>
      </c>
      <c r="D24">
        <f>C24/$C$1</f>
        <v>0.21565910208983924</v>
      </c>
    </row>
    <row r="25" spans="2:3" ht="15">
      <c r="B25" s="13" t="s">
        <v>216</v>
      </c>
      <c r="C25" s="52">
        <v>0.105</v>
      </c>
    </row>
    <row r="26" spans="2:6" ht="15">
      <c r="B26" s="50" t="s">
        <v>217</v>
      </c>
      <c r="C26" s="50" t="s">
        <v>218</v>
      </c>
      <c r="D26" s="50" t="s">
        <v>219</v>
      </c>
      <c r="E26" s="50" t="s">
        <v>220</v>
      </c>
      <c r="F26" s="50" t="s">
        <v>221</v>
      </c>
    </row>
    <row r="27" spans="2:6" ht="15">
      <c r="B27" s="50">
        <v>0</v>
      </c>
      <c r="C27" s="51">
        <v>0</v>
      </c>
      <c r="D27" s="51">
        <v>0</v>
      </c>
      <c r="E27" s="51">
        <v>0</v>
      </c>
      <c r="F27" s="51">
        <f>+C24</f>
        <v>27715.54759999999</v>
      </c>
    </row>
    <row r="28" spans="2:6" ht="15">
      <c r="B28" s="50">
        <v>1</v>
      </c>
      <c r="C28" s="51">
        <f>+-PMT($C$25,$B$30,$C$24)</f>
        <v>11243.066736317509</v>
      </c>
      <c r="D28" s="51">
        <f>+F27*$C$25</f>
        <v>2910.132497999999</v>
      </c>
      <c r="E28" s="51">
        <f>+C28-D28</f>
        <v>8332.93423831751</v>
      </c>
      <c r="F28" s="51">
        <f>+F27-E28</f>
        <v>19382.61336168248</v>
      </c>
    </row>
    <row r="29" spans="2:6" ht="15">
      <c r="B29" s="50">
        <v>2</v>
      </c>
      <c r="C29" s="51">
        <f>C28</f>
        <v>11243.066736317509</v>
      </c>
      <c r="D29" s="51">
        <f>+F28*$C$25</f>
        <v>2035.1744029766605</v>
      </c>
      <c r="E29" s="51">
        <f>+C29-D29</f>
        <v>9207.89233334085</v>
      </c>
      <c r="F29" s="51">
        <f>+F28-E29</f>
        <v>10174.721028341632</v>
      </c>
    </row>
    <row r="30" spans="2:6" ht="15">
      <c r="B30" s="50">
        <v>3</v>
      </c>
      <c r="C30" s="51">
        <f>C29</f>
        <v>11243.066736317509</v>
      </c>
      <c r="D30" s="51">
        <f>+F29*$C$25</f>
        <v>1068.3457079758714</v>
      </c>
      <c r="E30" s="51">
        <f>+C30-D30</f>
        <v>10174.721028341637</v>
      </c>
      <c r="F30" s="51">
        <f>+F29-E30</f>
        <v>0</v>
      </c>
    </row>
    <row r="32" spans="4:8" ht="15">
      <c r="D32" s="129" t="s">
        <v>266</v>
      </c>
      <c r="E32" s="129"/>
      <c r="F32" s="129"/>
      <c r="G32" s="129"/>
      <c r="H32" s="129"/>
    </row>
    <row r="33" spans="2:8" ht="15">
      <c r="B33" s="14" t="s">
        <v>109</v>
      </c>
      <c r="D33">
        <v>1</v>
      </c>
      <c r="E33">
        <v>2</v>
      </c>
      <c r="F33">
        <v>3</v>
      </c>
      <c r="G33">
        <v>4</v>
      </c>
      <c r="H33">
        <v>5</v>
      </c>
    </row>
    <row r="34" spans="2:8" ht="15">
      <c r="B34" t="str">
        <f>'Inv. total'!C13</f>
        <v>Proyecto arquitectónico</v>
      </c>
      <c r="C34">
        <f>'Inv. total'!D13</f>
        <v>10800</v>
      </c>
      <c r="D34">
        <f>$C34/5</f>
        <v>2160</v>
      </c>
      <c r="E34">
        <f>$C34/5</f>
        <v>2160</v>
      </c>
      <c r="F34">
        <f aca="true" t="shared" si="4" ref="E34:H36">$C34/5</f>
        <v>2160</v>
      </c>
      <c r="G34">
        <f t="shared" si="4"/>
        <v>2160</v>
      </c>
      <c r="H34">
        <f t="shared" si="4"/>
        <v>2160</v>
      </c>
    </row>
    <row r="35" spans="2:8" ht="15">
      <c r="B35" t="str">
        <f>'Inv. total'!C14</f>
        <v>Gasto de puesta en marcha </v>
      </c>
      <c r="C35">
        <f>'Inv. total'!D14</f>
        <v>1000</v>
      </c>
      <c r="D35">
        <f>$C35/5</f>
        <v>200</v>
      </c>
      <c r="E35">
        <f t="shared" si="4"/>
        <v>200</v>
      </c>
      <c r="F35">
        <f t="shared" si="4"/>
        <v>200</v>
      </c>
      <c r="G35">
        <f t="shared" si="4"/>
        <v>200</v>
      </c>
      <c r="H35">
        <f t="shared" si="4"/>
        <v>200</v>
      </c>
    </row>
    <row r="36" spans="2:8" ht="15">
      <c r="B36" t="str">
        <f>'Inv. total'!C15</f>
        <v>Gasto de Constitución  Super Cía</v>
      </c>
      <c r="C36">
        <f>'Inv. total'!D15</f>
        <v>800</v>
      </c>
      <c r="D36">
        <f>$C36/5</f>
        <v>160</v>
      </c>
      <c r="E36">
        <f t="shared" si="4"/>
        <v>160</v>
      </c>
      <c r="F36">
        <f t="shared" si="4"/>
        <v>160</v>
      </c>
      <c r="G36">
        <f t="shared" si="4"/>
        <v>160</v>
      </c>
      <c r="H36">
        <f t="shared" si="4"/>
        <v>160</v>
      </c>
    </row>
    <row r="37" spans="4:8" ht="15">
      <c r="D37" s="11">
        <f>SUM(D34:D36)</f>
        <v>2520</v>
      </c>
      <c r="E37" s="11">
        <f>SUM(E34:E36)</f>
        <v>2520</v>
      </c>
      <c r="F37" s="11">
        <f>SUM(F34:F36)</f>
        <v>2520</v>
      </c>
      <c r="G37" s="11">
        <f>SUM(G34:G36)</f>
        <v>2520</v>
      </c>
      <c r="H37" s="11">
        <f>SUM(H34:H36)</f>
        <v>2520</v>
      </c>
    </row>
  </sheetData>
  <sheetProtection/>
  <mergeCells count="1">
    <mergeCell ref="D32:H32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0">
      <selection activeCell="H21" sqref="H21"/>
    </sheetView>
  </sheetViews>
  <sheetFormatPr defaultColWidth="11.421875" defaultRowHeight="15"/>
  <cols>
    <col min="2" max="2" width="4.00390625" style="0" bestFit="1" customWidth="1"/>
    <col min="3" max="3" width="28.140625" style="0" bestFit="1" customWidth="1"/>
    <col min="4" max="8" width="10.57421875" style="0" bestFit="1" customWidth="1"/>
  </cols>
  <sheetData>
    <row r="2" ht="15">
      <c r="C2" t="s">
        <v>188</v>
      </c>
    </row>
    <row r="3" ht="15">
      <c r="C3" t="s">
        <v>189</v>
      </c>
    </row>
    <row r="5" spans="3:4" ht="15">
      <c r="C5" t="s">
        <v>39</v>
      </c>
      <c r="D5" s="10" t="s">
        <v>226</v>
      </c>
    </row>
    <row r="6" spans="3:8" ht="15">
      <c r="C6" t="s">
        <v>35</v>
      </c>
      <c r="D6" s="11">
        <f>Ingresos!O20</f>
        <v>140356.6666666667</v>
      </c>
      <c r="E6" s="11"/>
      <c r="F6" s="11"/>
      <c r="G6" s="11"/>
      <c r="H6" s="11"/>
    </row>
    <row r="7" spans="2:5" ht="15">
      <c r="B7" s="36"/>
      <c r="C7" s="37" t="s">
        <v>183</v>
      </c>
      <c r="D7" s="38">
        <f>SUM(D8:D11)</f>
        <v>69976.18433333335</v>
      </c>
      <c r="E7" s="16"/>
    </row>
    <row r="8" spans="2:4" ht="15">
      <c r="B8" s="36" t="s">
        <v>191</v>
      </c>
      <c r="C8" s="36" t="s">
        <v>192</v>
      </c>
      <c r="D8" s="39">
        <f>Gastos!O26</f>
        <v>44631.86800000001</v>
      </c>
    </row>
    <row r="9" spans="2:4" ht="15">
      <c r="B9" s="36" t="s">
        <v>191</v>
      </c>
      <c r="C9" s="36" t="s">
        <v>178</v>
      </c>
      <c r="D9" s="39">
        <f>Gastos!O57</f>
        <v>20036.74000000001</v>
      </c>
    </row>
    <row r="10" spans="2:4" ht="15">
      <c r="B10" s="36" t="s">
        <v>193</v>
      </c>
      <c r="C10" s="36" t="s">
        <v>203</v>
      </c>
      <c r="D10" s="58">
        <f>Depreciaciones!F36</f>
        <v>2787.5763333333334</v>
      </c>
    </row>
    <row r="11" spans="2:4" ht="15">
      <c r="B11" s="36" t="s">
        <v>193</v>
      </c>
      <c r="C11" s="36" t="s">
        <v>238</v>
      </c>
      <c r="D11" s="58">
        <f>Amortizaciones!D37</f>
        <v>2520</v>
      </c>
    </row>
    <row r="12" spans="2:4" ht="15">
      <c r="B12" s="36" t="s">
        <v>194</v>
      </c>
      <c r="C12" s="37" t="s">
        <v>195</v>
      </c>
      <c r="D12" s="38">
        <f>D6-D7</f>
        <v>70380.48233333333</v>
      </c>
    </row>
    <row r="13" spans="2:4" ht="15">
      <c r="B13" s="36"/>
      <c r="C13" s="37"/>
      <c r="D13" s="38"/>
    </row>
    <row r="14" spans="2:4" ht="15">
      <c r="B14" s="36" t="s">
        <v>191</v>
      </c>
      <c r="C14" s="37" t="s">
        <v>225</v>
      </c>
      <c r="D14" s="39">
        <f>Amortizaciones!D9+Amortizaciones!D28</f>
        <v>13998.132497999999</v>
      </c>
    </row>
    <row r="15" spans="2:4" ht="15">
      <c r="B15" s="36"/>
      <c r="C15" s="37"/>
      <c r="D15" s="38"/>
    </row>
    <row r="16" spans="2:4" ht="15">
      <c r="B16" s="36" t="s">
        <v>194</v>
      </c>
      <c r="C16" s="37" t="s">
        <v>196</v>
      </c>
      <c r="D16" s="38">
        <f>+D12-D14</f>
        <v>56382.349835333334</v>
      </c>
    </row>
    <row r="17" spans="2:4" ht="15">
      <c r="B17" s="40"/>
      <c r="C17" s="37"/>
      <c r="D17" s="38"/>
    </row>
    <row r="18" spans="2:5" ht="15">
      <c r="B18" s="36" t="s">
        <v>191</v>
      </c>
      <c r="C18" s="37" t="s">
        <v>197</v>
      </c>
      <c r="D18" s="38">
        <f>+D16*0.15</f>
        <v>8457.3524753</v>
      </c>
      <c r="E18" s="19"/>
    </row>
    <row r="19" spans="2:4" ht="15">
      <c r="B19" s="36" t="s">
        <v>194</v>
      </c>
      <c r="C19" s="37" t="s">
        <v>198</v>
      </c>
      <c r="D19" s="38">
        <f>+D16-D18</f>
        <v>47924.99736003333</v>
      </c>
    </row>
    <row r="20" spans="2:4" ht="15">
      <c r="B20" s="40"/>
      <c r="C20" s="37"/>
      <c r="D20" s="38"/>
    </row>
    <row r="21" spans="2:4" ht="15">
      <c r="B21" s="36" t="s">
        <v>191</v>
      </c>
      <c r="C21" s="37" t="s">
        <v>199</v>
      </c>
      <c r="D21" s="38">
        <f>+D19*0.25</f>
        <v>11981.249340008333</v>
      </c>
    </row>
    <row r="22" spans="2:4" ht="15">
      <c r="B22" s="40"/>
      <c r="C22" s="37"/>
      <c r="D22" s="38"/>
    </row>
    <row r="23" spans="2:4" ht="15">
      <c r="B23" s="36" t="s">
        <v>194</v>
      </c>
      <c r="C23" s="37" t="s">
        <v>200</v>
      </c>
      <c r="D23" s="38">
        <f>D19-D21</f>
        <v>35943.748020025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windows xp</cp:lastModifiedBy>
  <dcterms:created xsi:type="dcterms:W3CDTF">2010-07-10T16:09:27Z</dcterms:created>
  <dcterms:modified xsi:type="dcterms:W3CDTF">2010-09-22T23:36:00Z</dcterms:modified>
  <cp:category/>
  <cp:version/>
  <cp:contentType/>
  <cp:contentStatus/>
</cp:coreProperties>
</file>