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11475" tabRatio="946" activeTab="5"/>
  </bookViews>
  <sheets>
    <sheet name="MAQUINARIA" sheetId="1" r:id="rId1"/>
    <sheet name="DEPRECIACIÓN" sheetId="11" r:id="rId2"/>
    <sheet name="COSTOS" sheetId="2" r:id="rId3"/>
    <sheet name="cotizacion historica oro" sheetId="4" r:id="rId4"/>
    <sheet name="INGRESOS estáticos" sheetId="8" r:id="rId5"/>
    <sheet name="Flujo de caja estático" sheetId="5" r:id="rId6"/>
    <sheet name="Prestamos" sheetId="6" r:id="rId7"/>
    <sheet name="Reinversion" sheetId="7" r:id="rId8"/>
    <sheet name="Punto Equilibrio" sheetId="12" r:id="rId9"/>
    <sheet name="sensibilidad" sheetId="14" r:id="rId10"/>
  </sheets>
  <externalReferences>
    <externalReference r:id="rId11"/>
  </externalReferences>
  <definedNames>
    <definedName name="solver_adj" localSheetId="9" hidden="1">sensibilidad!$D$4</definedName>
    <definedName name="solver_cvg" localSheetId="9" hidden="1">0.0001</definedName>
    <definedName name="solver_drv" localSheetId="9" hidden="1">1</definedName>
    <definedName name="solver_est" localSheetId="9" hidden="1">1</definedName>
    <definedName name="solver_itr" localSheetId="9" hidden="1">100</definedName>
    <definedName name="solver_lhs1" localSheetId="9" hidden="1">sensibilidad!$C$2</definedName>
    <definedName name="solver_lhs2" localSheetId="9" hidden="1">sensibilidad!$D$2</definedName>
    <definedName name="solver_lhs3" localSheetId="9" hidden="1">sensibilidad!$E$2</definedName>
    <definedName name="solver_lhs4" localSheetId="9" hidden="1">sensibilidad!$E$9:$I$9</definedName>
    <definedName name="solver_lhs5" localSheetId="9" hidden="1">sensibilidad!$E$10:$I$10</definedName>
    <definedName name="solver_lhs6" localSheetId="9" hidden="1">sensibilidad!$D$4</definedName>
    <definedName name="solver_lin" localSheetId="9" hidden="1">2</definedName>
    <definedName name="solver_neg" localSheetId="9" hidden="1">2</definedName>
    <definedName name="solver_num" localSheetId="9" hidden="1">6</definedName>
    <definedName name="solver_nwt" localSheetId="9" hidden="1">1</definedName>
    <definedName name="solver_opt" localSheetId="9" hidden="1">sensibilidad!$D$29</definedName>
    <definedName name="solver_pre" localSheetId="9" hidden="1">0.000001</definedName>
    <definedName name="solver_rel1" localSheetId="9" hidden="1">3</definedName>
    <definedName name="solver_rel2" localSheetId="9" hidden="1">3</definedName>
    <definedName name="solver_rel3" localSheetId="9" hidden="1">3</definedName>
    <definedName name="solver_rel4" localSheetId="9" hidden="1">3</definedName>
    <definedName name="solver_rel5" localSheetId="9" hidden="1">3</definedName>
    <definedName name="solver_rel6" localSheetId="9" hidden="1">3</definedName>
    <definedName name="solver_rhs1" localSheetId="9" hidden="1">0</definedName>
    <definedName name="solver_rhs2" localSheetId="9" hidden="1">0</definedName>
    <definedName name="solver_rhs3" localSheetId="9" hidden="1">0</definedName>
    <definedName name="solver_rhs4" localSheetId="9" hidden="1">0</definedName>
    <definedName name="solver_rhs5" localSheetId="9" hidden="1">0</definedName>
    <definedName name="solver_rhs6" localSheetId="9" hidden="1">0</definedName>
    <definedName name="solver_scl" localSheetId="9" hidden="1">2</definedName>
    <definedName name="solver_sho" localSheetId="9" hidden="1">2</definedName>
    <definedName name="solver_tim" localSheetId="9" hidden="1">100</definedName>
    <definedName name="solver_tol" localSheetId="9" hidden="1">0.05</definedName>
    <definedName name="solver_typ" localSheetId="9" hidden="1">3</definedName>
    <definedName name="solver_val" localSheetId="9" hidden="1">0</definedName>
  </definedNames>
  <calcPr calcId="125725" calcOnSave="0"/>
</workbook>
</file>

<file path=xl/calcChain.xml><?xml version="1.0" encoding="utf-8"?>
<calcChain xmlns="http://schemas.openxmlformats.org/spreadsheetml/2006/main">
  <c r="F10" i="14"/>
  <c r="G10"/>
  <c r="H10" s="1"/>
  <c r="B25" i="8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I10" i="14" l="1"/>
  <c r="F9" i="7" l="1"/>
  <c r="D9"/>
  <c r="C9"/>
  <c r="G8"/>
  <c r="G7"/>
  <c r="G9" s="1"/>
  <c r="I22" i="14" s="1"/>
  <c r="E6" i="7"/>
  <c r="E5"/>
  <c r="E9" s="1"/>
  <c r="G22" i="14" s="1"/>
  <c r="K11" i="12"/>
  <c r="L10"/>
  <c r="L9"/>
  <c r="L8"/>
  <c r="L7"/>
  <c r="L6"/>
  <c r="L5"/>
  <c r="F5"/>
  <c r="L4"/>
  <c r="F4"/>
  <c r="L3"/>
  <c r="L11" s="1"/>
  <c r="F3"/>
  <c r="F7" s="1"/>
  <c r="D84" i="8"/>
  <c r="C84"/>
  <c r="E84"/>
  <c r="D83"/>
  <c r="C83"/>
  <c r="E83"/>
  <c r="D82"/>
  <c r="C82"/>
  <c r="E82"/>
  <c r="D81"/>
  <c r="C81"/>
  <c r="E81"/>
  <c r="D80"/>
  <c r="C80"/>
  <c r="E80"/>
  <c r="D79"/>
  <c r="C79"/>
  <c r="E79"/>
  <c r="D78"/>
  <c r="C78"/>
  <c r="E78"/>
  <c r="D77"/>
  <c r="C77"/>
  <c r="E77"/>
  <c r="D76"/>
  <c r="C76"/>
  <c r="E76"/>
  <c r="D75"/>
  <c r="C75"/>
  <c r="E75"/>
  <c r="D74"/>
  <c r="C74"/>
  <c r="E74"/>
  <c r="D73"/>
  <c r="C73"/>
  <c r="E73"/>
  <c r="F84" s="1"/>
  <c r="Q42" s="1"/>
  <c r="D72"/>
  <c r="C72"/>
  <c r="E72" s="1"/>
  <c r="D71"/>
  <c r="C71"/>
  <c r="E71" s="1"/>
  <c r="D70"/>
  <c r="C70"/>
  <c r="E70" s="1"/>
  <c r="D69"/>
  <c r="C69"/>
  <c r="E69" s="1"/>
  <c r="D68"/>
  <c r="C68"/>
  <c r="E68" s="1"/>
  <c r="D67"/>
  <c r="C67"/>
  <c r="E67" s="1"/>
  <c r="D66"/>
  <c r="C66"/>
  <c r="E66" s="1"/>
  <c r="D65"/>
  <c r="C65"/>
  <c r="E65" s="1"/>
  <c r="D64"/>
  <c r="C64"/>
  <c r="E64" s="1"/>
  <c r="D63"/>
  <c r="C63"/>
  <c r="E63" s="1"/>
  <c r="D62"/>
  <c r="C62"/>
  <c r="E62" s="1"/>
  <c r="Q61"/>
  <c r="P61"/>
  <c r="O61"/>
  <c r="N61"/>
  <c r="M61"/>
  <c r="D61"/>
  <c r="C61"/>
  <c r="E61" s="1"/>
  <c r="Q60"/>
  <c r="P60"/>
  <c r="O60"/>
  <c r="N60"/>
  <c r="M60"/>
  <c r="D60"/>
  <c r="C60"/>
  <c r="E60"/>
  <c r="Q59"/>
  <c r="P59"/>
  <c r="O59"/>
  <c r="N59"/>
  <c r="M59"/>
  <c r="R59" s="1"/>
  <c r="D59"/>
  <c r="C59"/>
  <c r="E59"/>
  <c r="Q58"/>
  <c r="P58"/>
  <c r="O58"/>
  <c r="N58"/>
  <c r="M58"/>
  <c r="R58" s="1"/>
  <c r="D58"/>
  <c r="C58"/>
  <c r="E58"/>
  <c r="Q57"/>
  <c r="P57"/>
  <c r="O57"/>
  <c r="N57"/>
  <c r="M57"/>
  <c r="R57" s="1"/>
  <c r="D57"/>
  <c r="C57"/>
  <c r="E57"/>
  <c r="Q56"/>
  <c r="P56"/>
  <c r="O56"/>
  <c r="N56"/>
  <c r="M56"/>
  <c r="R56" s="1"/>
  <c r="D56"/>
  <c r="C56"/>
  <c r="E56"/>
  <c r="Q55"/>
  <c r="P55"/>
  <c r="O55"/>
  <c r="N55"/>
  <c r="M55"/>
  <c r="R55" s="1"/>
  <c r="D55"/>
  <c r="C55"/>
  <c r="E55"/>
  <c r="Q54"/>
  <c r="P54"/>
  <c r="O54"/>
  <c r="N54"/>
  <c r="M54"/>
  <c r="R54" s="1"/>
  <c r="D54"/>
  <c r="C54"/>
  <c r="E54"/>
  <c r="Q53"/>
  <c r="P53"/>
  <c r="O53"/>
  <c r="N53"/>
  <c r="M53"/>
  <c r="R53" s="1"/>
  <c r="D53"/>
  <c r="C53"/>
  <c r="E53"/>
  <c r="Q52"/>
  <c r="P52"/>
  <c r="O52"/>
  <c r="N52"/>
  <c r="M52"/>
  <c r="R52" s="1"/>
  <c r="D52"/>
  <c r="C52"/>
  <c r="E52"/>
  <c r="Q51"/>
  <c r="P51"/>
  <c r="O51"/>
  <c r="N51"/>
  <c r="M51"/>
  <c r="R51" s="1"/>
  <c r="D51"/>
  <c r="C51"/>
  <c r="E51"/>
  <c r="Q50"/>
  <c r="Q62" s="1"/>
  <c r="P50"/>
  <c r="P62" s="1"/>
  <c r="O50"/>
  <c r="O62" s="1"/>
  <c r="N50"/>
  <c r="N62" s="1"/>
  <c r="M50"/>
  <c r="M62" s="1"/>
  <c r="D50"/>
  <c r="C50"/>
  <c r="E50"/>
  <c r="D49"/>
  <c r="C49"/>
  <c r="E49"/>
  <c r="F60" s="1"/>
  <c r="O42" s="1"/>
  <c r="D48"/>
  <c r="C48"/>
  <c r="E48" s="1"/>
  <c r="D47"/>
  <c r="C47"/>
  <c r="E47" s="1"/>
  <c r="D46"/>
  <c r="C46"/>
  <c r="E46" s="1"/>
  <c r="D45"/>
  <c r="C45"/>
  <c r="E45" s="1"/>
  <c r="D44"/>
  <c r="C44"/>
  <c r="E44" s="1"/>
  <c r="D43"/>
  <c r="C43"/>
  <c r="E43"/>
  <c r="D42"/>
  <c r="C42"/>
  <c r="E42" s="1"/>
  <c r="D41"/>
  <c r="C41"/>
  <c r="E41" s="1"/>
  <c r="D40"/>
  <c r="C40"/>
  <c r="E40" s="1"/>
  <c r="D39"/>
  <c r="C39"/>
  <c r="E39" s="1"/>
  <c r="D38"/>
  <c r="C38"/>
  <c r="E38" s="1"/>
  <c r="D37"/>
  <c r="C37"/>
  <c r="E37" s="1"/>
  <c r="D36"/>
  <c r="O36" s="1"/>
  <c r="C36"/>
  <c r="N36" s="1"/>
  <c r="M36"/>
  <c r="D35"/>
  <c r="O35" s="1"/>
  <c r="C35"/>
  <c r="N35" s="1"/>
  <c r="M35"/>
  <c r="P35" s="1"/>
  <c r="D34"/>
  <c r="O34" s="1"/>
  <c r="C34"/>
  <c r="N34" s="1"/>
  <c r="M34"/>
  <c r="D33"/>
  <c r="O33" s="1"/>
  <c r="C33"/>
  <c r="N33" s="1"/>
  <c r="M33"/>
  <c r="P33" s="1"/>
  <c r="D32"/>
  <c r="O32" s="1"/>
  <c r="C32"/>
  <c r="N32" s="1"/>
  <c r="M32"/>
  <c r="D31"/>
  <c r="O31" s="1"/>
  <c r="C31"/>
  <c r="N31" s="1"/>
  <c r="M31"/>
  <c r="P31" s="1"/>
  <c r="D30"/>
  <c r="O30" s="1"/>
  <c r="C30"/>
  <c r="N30" s="1"/>
  <c r="N37" s="1"/>
  <c r="M30"/>
  <c r="K29"/>
  <c r="D29"/>
  <c r="O29" s="1"/>
  <c r="C29"/>
  <c r="N29" s="1"/>
  <c r="M29"/>
  <c r="D28"/>
  <c r="O28" s="1"/>
  <c r="C28"/>
  <c r="N28" s="1"/>
  <c r="E28"/>
  <c r="D27"/>
  <c r="O27" s="1"/>
  <c r="C27"/>
  <c r="N27" s="1"/>
  <c r="E27"/>
  <c r="D26"/>
  <c r="O26" s="1"/>
  <c r="C26"/>
  <c r="N26" s="1"/>
  <c r="E26"/>
  <c r="D25"/>
  <c r="O25" s="1"/>
  <c r="C25"/>
  <c r="N25" s="1"/>
  <c r="E25"/>
  <c r="J48" i="4"/>
  <c r="I48"/>
  <c r="H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G48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F4"/>
  <c r="F48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E4"/>
  <c r="E48" s="1"/>
  <c r="B51" i="2"/>
  <c r="B52" s="1"/>
  <c r="G44"/>
  <c r="H44" s="1"/>
  <c r="E44"/>
  <c r="G43"/>
  <c r="H43" s="1"/>
  <c r="E43"/>
  <c r="G42"/>
  <c r="H42" s="1"/>
  <c r="E42"/>
  <c r="F41"/>
  <c r="G41" s="1"/>
  <c r="H41" s="1"/>
  <c r="E41"/>
  <c r="F40"/>
  <c r="G40" s="1"/>
  <c r="H40" s="1"/>
  <c r="E40"/>
  <c r="F39"/>
  <c r="G39" s="1"/>
  <c r="H39" s="1"/>
  <c r="E39"/>
  <c r="F38"/>
  <c r="G38" s="1"/>
  <c r="H38" s="1"/>
  <c r="E38"/>
  <c r="F37"/>
  <c r="G37" s="1"/>
  <c r="H37" s="1"/>
  <c r="E37"/>
  <c r="F36"/>
  <c r="F45" s="1"/>
  <c r="E36"/>
  <c r="B32"/>
  <c r="C31"/>
  <c r="D31" s="1"/>
  <c r="E31" s="1"/>
  <c r="C30"/>
  <c r="D30" s="1"/>
  <c r="E30" s="1"/>
  <c r="C29"/>
  <c r="D29" s="1"/>
  <c r="E29" s="1"/>
  <c r="C28"/>
  <c r="D28" s="1"/>
  <c r="E28" s="1"/>
  <c r="C27"/>
  <c r="D27" s="1"/>
  <c r="E27" s="1"/>
  <c r="C26"/>
  <c r="D26" s="1"/>
  <c r="E26" s="1"/>
  <c r="C25"/>
  <c r="C32" s="1"/>
  <c r="D20"/>
  <c r="E20" s="1"/>
  <c r="B20"/>
  <c r="C18"/>
  <c r="C19" s="1"/>
  <c r="D17"/>
  <c r="E17" s="1"/>
  <c r="B17"/>
  <c r="D16"/>
  <c r="E16" s="1"/>
  <c r="B16"/>
  <c r="D15"/>
  <c r="E15" s="1"/>
  <c r="B15"/>
  <c r="D10"/>
  <c r="E10" s="1"/>
  <c r="F10" s="1"/>
  <c r="G10" s="1"/>
  <c r="D9"/>
  <c r="E9" s="1"/>
  <c r="F9" s="1"/>
  <c r="G9" s="1"/>
  <c r="D8"/>
  <c r="E8" s="1"/>
  <c r="F8" s="1"/>
  <c r="G8" s="1"/>
  <c r="D7"/>
  <c r="E7" s="1"/>
  <c r="F7" s="1"/>
  <c r="G7" s="1"/>
  <c r="D6"/>
  <c r="E6" s="1"/>
  <c r="F6" s="1"/>
  <c r="G6" s="1"/>
  <c r="D5"/>
  <c r="E5" s="1"/>
  <c r="F5" s="1"/>
  <c r="G5" s="1"/>
  <c r="D4"/>
  <c r="D29" i="11"/>
  <c r="F29" s="1"/>
  <c r="G29" s="1"/>
  <c r="D28"/>
  <c r="F28" s="1"/>
  <c r="G28" s="1"/>
  <c r="D27"/>
  <c r="F27" s="1"/>
  <c r="G27" s="1"/>
  <c r="D26"/>
  <c r="F26" s="1"/>
  <c r="G26" s="1"/>
  <c r="D25"/>
  <c r="F25" s="1"/>
  <c r="G25" s="1"/>
  <c r="D24"/>
  <c r="F24" s="1"/>
  <c r="G24" s="1"/>
  <c r="D23"/>
  <c r="F23" s="1"/>
  <c r="G23" s="1"/>
  <c r="D22"/>
  <c r="F22" s="1"/>
  <c r="G22" s="1"/>
  <c r="D21"/>
  <c r="F21" s="1"/>
  <c r="G21" s="1"/>
  <c r="D20"/>
  <c r="F20" s="1"/>
  <c r="G20" s="1"/>
  <c r="D19"/>
  <c r="F19" s="1"/>
  <c r="G19" s="1"/>
  <c r="D18"/>
  <c r="F18" s="1"/>
  <c r="G18" s="1"/>
  <c r="D17"/>
  <c r="F17" s="1"/>
  <c r="G17" s="1"/>
  <c r="D16"/>
  <c r="F16" s="1"/>
  <c r="G16" s="1"/>
  <c r="D15"/>
  <c r="F15" s="1"/>
  <c r="G15" s="1"/>
  <c r="D14"/>
  <c r="F14" s="1"/>
  <c r="G14" s="1"/>
  <c r="D13"/>
  <c r="F13" s="1"/>
  <c r="G13" s="1"/>
  <c r="D12"/>
  <c r="F12" s="1"/>
  <c r="G12" s="1"/>
  <c r="D11"/>
  <c r="F11" s="1"/>
  <c r="G11" s="1"/>
  <c r="D10"/>
  <c r="F10" s="1"/>
  <c r="G10" s="1"/>
  <c r="D9"/>
  <c r="F9" s="1"/>
  <c r="G9" s="1"/>
  <c r="D8"/>
  <c r="F8" s="1"/>
  <c r="G8" s="1"/>
  <c r="D7"/>
  <c r="F7" s="1"/>
  <c r="G7" s="1"/>
  <c r="D6"/>
  <c r="F6" s="1"/>
  <c r="G6" s="1"/>
  <c r="D5"/>
  <c r="F5" s="1"/>
  <c r="G5" s="1"/>
  <c r="D4"/>
  <c r="F4" s="1"/>
  <c r="G4" s="1"/>
  <c r="D3"/>
  <c r="F3" s="1"/>
  <c r="G3" s="1"/>
  <c r="D2"/>
  <c r="D30" s="1"/>
  <c r="D51" i="1"/>
  <c r="D50"/>
  <c r="D49"/>
  <c r="D48"/>
  <c r="D52" s="1"/>
  <c r="D43"/>
  <c r="D42"/>
  <c r="D41"/>
  <c r="D40"/>
  <c r="D44" s="1"/>
  <c r="B36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E3"/>
  <c r="F3" s="1"/>
  <c r="E2"/>
  <c r="F2" s="1"/>
  <c r="I3" i="14"/>
  <c r="H3"/>
  <c r="K2"/>
  <c r="E3"/>
  <c r="D3"/>
  <c r="C3"/>
  <c r="F37"/>
  <c r="C36"/>
  <c r="H29" s="1"/>
  <c r="E2" i="6"/>
  <c r="F33" i="5"/>
  <c r="C32"/>
  <c r="F3" i="14"/>
  <c r="G3" s="1"/>
  <c r="H25" i="5"/>
  <c r="M29" s="1"/>
  <c r="I14" i="14" l="1"/>
  <c r="I20" s="1"/>
  <c r="H14"/>
  <c r="H20" s="1"/>
  <c r="G14"/>
  <c r="G20" s="1"/>
  <c r="F14"/>
  <c r="F20" s="1"/>
  <c r="E14"/>
  <c r="E20" s="1"/>
  <c r="F2" i="11"/>
  <c r="G2" s="1"/>
  <c r="E10" i="5"/>
  <c r="I10"/>
  <c r="H10"/>
  <c r="G10"/>
  <c r="F10"/>
  <c r="F16" s="1"/>
  <c r="D25" i="2"/>
  <c r="G36"/>
  <c r="H36" s="1"/>
  <c r="C51"/>
  <c r="R60" i="8"/>
  <c r="R61"/>
  <c r="F72"/>
  <c r="P42" s="1"/>
  <c r="M37"/>
  <c r="P30"/>
  <c r="P29"/>
  <c r="O37"/>
  <c r="P32"/>
  <c r="P34"/>
  <c r="P36"/>
  <c r="F48"/>
  <c r="N42" s="1"/>
  <c r="M25"/>
  <c r="P25" s="1"/>
  <c r="M26"/>
  <c r="P26" s="1"/>
  <c r="M27"/>
  <c r="P27" s="1"/>
  <c r="M28"/>
  <c r="P28" s="1"/>
  <c r="E30"/>
  <c r="E31"/>
  <c r="E32"/>
  <c r="E33"/>
  <c r="E34"/>
  <c r="E35"/>
  <c r="E36"/>
  <c r="E29"/>
  <c r="R50"/>
  <c r="R62" s="1"/>
  <c r="B48" i="4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H45"/>
  <c r="G45" i="2"/>
  <c r="E45"/>
  <c r="H45" s="1"/>
  <c r="D32"/>
  <c r="E25"/>
  <c r="E32" s="1"/>
  <c r="D11"/>
  <c r="E4"/>
  <c r="F4" s="1"/>
  <c r="G4" s="1"/>
  <c r="G11" s="1"/>
  <c r="D19"/>
  <c r="E19" s="1"/>
  <c r="B19"/>
  <c r="B18"/>
  <c r="B21" s="1"/>
  <c r="D18"/>
  <c r="E18" s="1"/>
  <c r="C21"/>
  <c r="F11"/>
  <c r="E11"/>
  <c r="C5" i="6" s="1"/>
  <c r="D24" i="14" s="1"/>
  <c r="I24" s="1"/>
  <c r="G30" i="11"/>
  <c r="I22" i="5" s="1"/>
  <c r="G8" i="1"/>
  <c r="G12"/>
  <c r="G16"/>
  <c r="G20"/>
  <c r="G2"/>
  <c r="F4"/>
  <c r="G4" s="1"/>
  <c r="G6"/>
  <c r="G10"/>
  <c r="G14"/>
  <c r="G18"/>
  <c r="G3"/>
  <c r="G5"/>
  <c r="G7"/>
  <c r="G9"/>
  <c r="G11"/>
  <c r="G13"/>
  <c r="G15"/>
  <c r="G17"/>
  <c r="G19"/>
  <c r="E21"/>
  <c r="E16" i="5"/>
  <c r="I16"/>
  <c r="G16"/>
  <c r="H16"/>
  <c r="E11" i="14" l="1"/>
  <c r="F11"/>
  <c r="G11"/>
  <c r="H11"/>
  <c r="I11"/>
  <c r="D51" i="2"/>
  <c r="E9" i="14"/>
  <c r="E12" s="1"/>
  <c r="F9"/>
  <c r="F12" s="1"/>
  <c r="G9"/>
  <c r="G12" s="1"/>
  <c r="H9"/>
  <c r="H12" s="1"/>
  <c r="I9"/>
  <c r="I12" s="1"/>
  <c r="F5" i="5"/>
  <c r="G5"/>
  <c r="I5"/>
  <c r="E5"/>
  <c r="H5"/>
  <c r="D20"/>
  <c r="F36" i="8"/>
  <c r="M42" s="1"/>
  <c r="G36"/>
  <c r="P43"/>
  <c r="N43"/>
  <c r="Q43"/>
  <c r="O43"/>
  <c r="M43"/>
  <c r="P37"/>
  <c r="E21" i="2"/>
  <c r="D21"/>
  <c r="H6" i="5"/>
  <c r="E6"/>
  <c r="I6"/>
  <c r="F6"/>
  <c r="G21" i="1"/>
  <c r="E25" s="1"/>
  <c r="F21"/>
  <c r="I18" i="5"/>
  <c r="D19"/>
  <c r="G18"/>
  <c r="G7"/>
  <c r="I7"/>
  <c r="F7"/>
  <c r="H7"/>
  <c r="E7"/>
  <c r="D23" i="14" l="1"/>
  <c r="C4" i="6"/>
  <c r="E8" i="5"/>
  <c r="I4"/>
  <c r="I8" i="14" s="1"/>
  <c r="G6" i="5"/>
  <c r="G8" s="1"/>
  <c r="H8"/>
  <c r="I8"/>
  <c r="F8"/>
  <c r="G4"/>
  <c r="G8" i="14" s="1"/>
  <c r="H4" i="5"/>
  <c r="H8" i="14" s="1"/>
  <c r="F4" i="5"/>
  <c r="F8" i="14" s="1"/>
  <c r="C6" i="6" l="1"/>
  <c r="J31" i="5" s="1"/>
  <c r="L31" s="1"/>
  <c r="C9" i="6"/>
  <c r="I20" i="5"/>
  <c r="E4"/>
  <c r="E8" i="14" s="1"/>
  <c r="D11" i="6" l="1"/>
  <c r="E13" i="14" s="1"/>
  <c r="E15" s="1"/>
  <c r="H12" i="6"/>
  <c r="I21" i="14" s="1"/>
  <c r="G12" i="6"/>
  <c r="H21" i="14" s="1"/>
  <c r="F12" i="6"/>
  <c r="G21" i="14" s="1"/>
  <c r="E12" i="6"/>
  <c r="F21" i="14" s="1"/>
  <c r="D12" i="6"/>
  <c r="E21" i="14" s="1"/>
  <c r="F4" i="6"/>
  <c r="E16" i="14" l="1"/>
  <c r="E17"/>
  <c r="D21" i="5"/>
  <c r="D23" s="1"/>
  <c r="D25" i="14"/>
  <c r="D27" s="1"/>
  <c r="E4" i="6"/>
  <c r="D24" i="5"/>
  <c r="D9" i="6"/>
  <c r="E17" i="5"/>
  <c r="G17"/>
  <c r="I17"/>
  <c r="F17"/>
  <c r="H17"/>
  <c r="E9"/>
  <c r="E11" s="1"/>
  <c r="D10" i="6"/>
  <c r="D28" i="14" l="1"/>
  <c r="E18"/>
  <c r="E19"/>
  <c r="E27" s="1"/>
  <c r="E11" i="6"/>
  <c r="F13" i="14" s="1"/>
  <c r="F15" s="1"/>
  <c r="F16" s="1"/>
  <c r="F17" s="1"/>
  <c r="E9" i="6"/>
  <c r="E12" i="5"/>
  <c r="F18" i="14" l="1"/>
  <c r="F19"/>
  <c r="F27" s="1"/>
  <c r="E28"/>
  <c r="F28" s="1"/>
  <c r="E13" i="5"/>
  <c r="E10" i="6"/>
  <c r="F9" i="5"/>
  <c r="F11" s="1"/>
  <c r="F11" i="6"/>
  <c r="G13" i="14" s="1"/>
  <c r="G15" s="1"/>
  <c r="F9" i="6"/>
  <c r="G16" i="14" l="1"/>
  <c r="G17"/>
  <c r="E14" i="5"/>
  <c r="E15" s="1"/>
  <c r="F10" i="6"/>
  <c r="G9" i="5"/>
  <c r="G11" s="1"/>
  <c r="G11" i="6"/>
  <c r="H13" i="14" s="1"/>
  <c r="H15" s="1"/>
  <c r="H16" s="1"/>
  <c r="H17" s="1"/>
  <c r="G9" i="6"/>
  <c r="F12" i="5"/>
  <c r="F13" s="1"/>
  <c r="H18" i="14" l="1"/>
  <c r="H19"/>
  <c r="H27" s="1"/>
  <c r="G18"/>
  <c r="G19"/>
  <c r="G27" s="1"/>
  <c r="E23" i="5"/>
  <c r="F14"/>
  <c r="F15" s="1"/>
  <c r="F23" s="1"/>
  <c r="K32" s="1"/>
  <c r="H11" i="6"/>
  <c r="I13" i="14" s="1"/>
  <c r="I15" s="1"/>
  <c r="I16" s="1"/>
  <c r="I17" s="1"/>
  <c r="H9" i="6"/>
  <c r="G12" i="5"/>
  <c r="H9"/>
  <c r="H11" s="1"/>
  <c r="G10" i="6"/>
  <c r="I18" i="14" l="1"/>
  <c r="I19"/>
  <c r="I27" s="1"/>
  <c r="D29"/>
  <c r="D30"/>
  <c r="G28"/>
  <c r="H28" s="1"/>
  <c r="I28" s="1"/>
  <c r="E24" i="5"/>
  <c r="K31"/>
  <c r="M31" s="1"/>
  <c r="J32" s="1"/>
  <c r="L32" s="1"/>
  <c r="M32" s="1"/>
  <c r="J33" s="1"/>
  <c r="L33" s="1"/>
  <c r="F24"/>
  <c r="G13"/>
  <c r="I9"/>
  <c r="I11" s="1"/>
  <c r="H10" i="6"/>
  <c r="H12" i="5"/>
  <c r="H13" s="1"/>
  <c r="H14" l="1"/>
  <c r="H15"/>
  <c r="H23" s="1"/>
  <c r="K34" s="1"/>
  <c r="G14"/>
  <c r="G15"/>
  <c r="G23" s="1"/>
  <c r="I12"/>
  <c r="G24" l="1"/>
  <c r="H24" s="1"/>
  <c r="K33"/>
  <c r="M33" s="1"/>
  <c r="J34" s="1"/>
  <c r="L34" s="1"/>
  <c r="M34" s="1"/>
  <c r="J35" s="1"/>
  <c r="L35" s="1"/>
  <c r="I13"/>
  <c r="I14" l="1"/>
  <c r="I15" s="1"/>
  <c r="I23" s="1"/>
  <c r="K35" s="1"/>
  <c r="M35" s="1"/>
  <c r="D26" l="1"/>
  <c r="D25"/>
  <c r="I24"/>
</calcChain>
</file>

<file path=xl/sharedStrings.xml><?xml version="1.0" encoding="utf-8"?>
<sst xmlns="http://schemas.openxmlformats.org/spreadsheetml/2006/main" count="361" uniqueCount="249">
  <si>
    <t>EQUIPOS</t>
  </si>
  <si>
    <t>CANTIDAD</t>
  </si>
  <si>
    <t>REFENCIA</t>
  </si>
  <si>
    <t>PRECIO/UNI</t>
  </si>
  <si>
    <t>TOTAL</t>
  </si>
  <si>
    <t>IVA</t>
  </si>
  <si>
    <t>PRECIO FINAL</t>
  </si>
  <si>
    <t>Trituradora de quijada</t>
  </si>
  <si>
    <t>PE-250      250x400</t>
  </si>
  <si>
    <t>Trituradora de impacto</t>
  </si>
  <si>
    <t>PF0504      500x400</t>
  </si>
  <si>
    <t>Alimentador de caja primario</t>
  </si>
  <si>
    <t>600x500</t>
  </si>
  <si>
    <t xml:space="preserve">Alimentador de pendulo </t>
  </si>
  <si>
    <t>600x600</t>
  </si>
  <si>
    <t>Zaranda clasificatoria</t>
  </si>
  <si>
    <t>ZD918</t>
  </si>
  <si>
    <t>Zaranda clasificadora doble</t>
  </si>
  <si>
    <t>ZD1224</t>
  </si>
  <si>
    <t>Faja transportadora primaria</t>
  </si>
  <si>
    <t>TD75B   7</t>
  </si>
  <si>
    <t>Faja transportadora secun.</t>
  </si>
  <si>
    <t>TD75B   17</t>
  </si>
  <si>
    <t>Celdas de flotaciòn</t>
  </si>
  <si>
    <t>Molino de Bolas</t>
  </si>
  <si>
    <t>1200x2400</t>
  </si>
  <si>
    <t>Bolas de acero</t>
  </si>
  <si>
    <t xml:space="preserve">Silos </t>
  </si>
  <si>
    <t>Montaje</t>
  </si>
  <si>
    <t>Bombas eléctricas</t>
  </si>
  <si>
    <t>2HP</t>
  </si>
  <si>
    <t>Bombas de Sólidos</t>
  </si>
  <si>
    <t>15HP</t>
  </si>
  <si>
    <t>Nupson</t>
  </si>
  <si>
    <t>5HP</t>
  </si>
  <si>
    <t>Volqueta</t>
  </si>
  <si>
    <t>20ton</t>
  </si>
  <si>
    <t>Gallineta</t>
  </si>
  <si>
    <t>CONCEPTO</t>
  </si>
  <si>
    <t>COSTO</t>
  </si>
  <si>
    <t>Reestructuración del terreno</t>
  </si>
  <si>
    <t>Cimentación</t>
  </si>
  <si>
    <t>Caseta guardia</t>
  </si>
  <si>
    <t>Oficinas</t>
  </si>
  <si>
    <t>Costo terreno</t>
  </si>
  <si>
    <t>Piscinas de concentrado</t>
  </si>
  <si>
    <t>Piscinas de relaves</t>
  </si>
  <si>
    <t>Patio de secado</t>
  </si>
  <si>
    <t>Bodega</t>
  </si>
  <si>
    <t>Imprevistos</t>
  </si>
  <si>
    <t>Total</t>
  </si>
  <si>
    <t>INVERSION INICIAL</t>
  </si>
  <si>
    <t xml:space="preserve">Reactivos </t>
  </si>
  <si>
    <t>Kg/ton</t>
  </si>
  <si>
    <t>Costo</t>
  </si>
  <si>
    <t>$ Día</t>
  </si>
  <si>
    <t>$ Mes</t>
  </si>
  <si>
    <t>$ Año</t>
  </si>
  <si>
    <t>reac.Kg</t>
  </si>
  <si>
    <t>120 ton</t>
  </si>
  <si>
    <t>3000 ton</t>
  </si>
  <si>
    <t>36000 ton</t>
  </si>
  <si>
    <t>/ton</t>
  </si>
  <si>
    <t>Carbon activado</t>
  </si>
  <si>
    <t>CN</t>
  </si>
  <si>
    <t>Z-6</t>
  </si>
  <si>
    <t>ER-350</t>
  </si>
  <si>
    <t>Cal</t>
  </si>
  <si>
    <t>Sulfato Zinc</t>
  </si>
  <si>
    <t>Acero</t>
  </si>
  <si>
    <t>MANO DE OBRA</t>
  </si>
  <si>
    <t>Jefe planta</t>
  </si>
  <si>
    <t>Gerente de planta</t>
  </si>
  <si>
    <t>3 Jefe de turno</t>
  </si>
  <si>
    <t>33 Obreros</t>
  </si>
  <si>
    <t>Prestaciones</t>
  </si>
  <si>
    <t xml:space="preserve">Secado y otros. </t>
  </si>
  <si>
    <t>secretaria</t>
  </si>
  <si>
    <t>contador</t>
  </si>
  <si>
    <t>3 guardias</t>
  </si>
  <si>
    <t>Concepto</t>
  </si>
  <si>
    <t>USD/Día</t>
  </si>
  <si>
    <t>USD/Mes</t>
  </si>
  <si>
    <t>USD/Año</t>
  </si>
  <si>
    <t>Costo/ton</t>
  </si>
  <si>
    <t>COSTOS INDIRECTOS</t>
  </si>
  <si>
    <t>Item</t>
  </si>
  <si>
    <t>Descripcion</t>
  </si>
  <si>
    <t>costo</t>
  </si>
  <si>
    <t>uni/mes</t>
  </si>
  <si>
    <t>USD/DIA</t>
  </si>
  <si>
    <t>USD/MES</t>
  </si>
  <si>
    <t>USD/AÑO</t>
  </si>
  <si>
    <t>COSTO/ton</t>
  </si>
  <si>
    <t>alcohol Ind.</t>
  </si>
  <si>
    <t>Caneca 55lt</t>
  </si>
  <si>
    <t>Borax</t>
  </si>
  <si>
    <t>Fundas 25 kl</t>
  </si>
  <si>
    <t>Diesel</t>
  </si>
  <si>
    <t>Tanques 55gl</t>
  </si>
  <si>
    <t>Gas</t>
  </si>
  <si>
    <t>Industrial</t>
  </si>
  <si>
    <t>Sal</t>
  </si>
  <si>
    <t xml:space="preserve">Fundas </t>
  </si>
  <si>
    <t>Soda caustica</t>
  </si>
  <si>
    <t>Energia electrica</t>
  </si>
  <si>
    <t>Agua potable</t>
  </si>
  <si>
    <t>COSTOS DIRECTOS</t>
  </si>
  <si>
    <t>INGRESOS</t>
  </si>
  <si>
    <t>Oro 3000 tnx5 grx95%xx93%xprecio oro/28,35</t>
  </si>
  <si>
    <t>Plata 3000tnx50grx80%xx98%xprecio gramos/28,35</t>
  </si>
  <si>
    <t>Cobre 3000 tnx2200x0,01x80%x0,98xprecio en libras</t>
  </si>
  <si>
    <t>COSTO DE MINA</t>
  </si>
  <si>
    <t>Transporte</t>
  </si>
  <si>
    <t>FLUJO DE CAJA</t>
  </si>
  <si>
    <t>AÑO</t>
  </si>
  <si>
    <t>INGRESOS POR VENTA</t>
  </si>
  <si>
    <t>COSTOS TOTALES</t>
  </si>
  <si>
    <t>UTILIDAD ANTES DE IMPUESTO</t>
  </si>
  <si>
    <t>UTILIDAD NETA</t>
  </si>
  <si>
    <t>VALOR DE DESECHO</t>
  </si>
  <si>
    <t>VAN</t>
  </si>
  <si>
    <t>TASA DE DESCUENTO</t>
  </si>
  <si>
    <t>TIR</t>
  </si>
  <si>
    <t>Internet</t>
  </si>
  <si>
    <t>Suministros Varios</t>
  </si>
  <si>
    <t>Gastos Varios</t>
  </si>
  <si>
    <t>Movilización</t>
  </si>
  <si>
    <t>INVERSIÓNES: AÑO 0</t>
  </si>
  <si>
    <t>PERÍODO</t>
  </si>
  <si>
    <t>CUOTA</t>
  </si>
  <si>
    <t xml:space="preserve">INTERÉS </t>
  </si>
  <si>
    <t xml:space="preserve">AMORTIZACIÓN </t>
  </si>
  <si>
    <t>SALDO</t>
  </si>
  <si>
    <t xml:space="preserve">INVERSION INICIAL </t>
  </si>
  <si>
    <t>EQUIPOS DE COMPUTACIÓN</t>
  </si>
  <si>
    <t>COSTO UNITARIO</t>
  </si>
  <si>
    <t>COMPUTADORAS</t>
  </si>
  <si>
    <t>IMPRESORAS</t>
  </si>
  <si>
    <t>FOTOCOPIADORAS</t>
  </si>
  <si>
    <t>FAX</t>
  </si>
  <si>
    <t>MUEBLES Y ENSERES</t>
  </si>
  <si>
    <t>ESCRITORIO</t>
  </si>
  <si>
    <t>SILLAS</t>
  </si>
  <si>
    <t>ARCHIVADORES</t>
  </si>
  <si>
    <t>MINI-NEVERA</t>
  </si>
  <si>
    <t>CALENDARIO DE REINVERSIÓN</t>
  </si>
  <si>
    <t>AÑOS</t>
  </si>
  <si>
    <t>FLUJO ACUMULADO</t>
  </si>
  <si>
    <t>MESES</t>
  </si>
  <si>
    <t>ORO</t>
  </si>
  <si>
    <t>PLATA</t>
  </si>
  <si>
    <t>COBRE</t>
  </si>
  <si>
    <t>Precio Promedio oro</t>
  </si>
  <si>
    <t>Precio Promedio plata</t>
  </si>
  <si>
    <t>Precio Promedio cobre</t>
  </si>
  <si>
    <t>Tasa</t>
  </si>
  <si>
    <t>promedio crecimiento metales</t>
  </si>
  <si>
    <t>Capital accionistas</t>
  </si>
  <si>
    <t>Total depreciación</t>
  </si>
  <si>
    <t>Camioneta</t>
  </si>
  <si>
    <t>Rf</t>
  </si>
  <si>
    <t>Rm</t>
  </si>
  <si>
    <t>Re=Rf+B*(Rm-Rf)</t>
  </si>
  <si>
    <t>Préstamo</t>
  </si>
  <si>
    <t>Costos Fijos</t>
  </si>
  <si>
    <t>Precio</t>
  </si>
  <si>
    <t>Costos Variables</t>
  </si>
  <si>
    <t>costo/ton</t>
  </si>
  <si>
    <t>Ingreso/ton</t>
  </si>
  <si>
    <t>PUNTO EQUILIBRIO</t>
  </si>
  <si>
    <t>Q</t>
  </si>
  <si>
    <t>ton</t>
  </si>
  <si>
    <t>$</t>
  </si>
  <si>
    <t>$/ton</t>
  </si>
  <si>
    <t>Tasa descuento</t>
  </si>
  <si>
    <t>TMAR</t>
  </si>
  <si>
    <t>CAPITAL TRABAJO</t>
  </si>
  <si>
    <t>Beta Empresas Comparables</t>
  </si>
  <si>
    <t>Greystar Resources</t>
  </si>
  <si>
    <t>Colombia</t>
  </si>
  <si>
    <t>Beta=1,57</t>
  </si>
  <si>
    <t>ADMINISTRATIVO</t>
  </si>
  <si>
    <t>Beta</t>
  </si>
  <si>
    <t>oro</t>
  </si>
  <si>
    <t>plata</t>
  </si>
  <si>
    <t>cobre</t>
  </si>
  <si>
    <t>suma</t>
  </si>
  <si>
    <t>cambio oro van 0</t>
  </si>
  <si>
    <t>cambio cobre van 0</t>
  </si>
  <si>
    <t>incremento precio</t>
  </si>
  <si>
    <t>TERRENO</t>
  </si>
  <si>
    <t>VIDA ÚTIL</t>
  </si>
  <si>
    <t>DEP. ANUAL</t>
  </si>
  <si>
    <t>AÑOS DEPREC.</t>
  </si>
  <si>
    <t>DEP. ACUM</t>
  </si>
  <si>
    <t>VALOR EN LIBROS</t>
  </si>
  <si>
    <t>COSTO DE MANO DE OBRA</t>
  </si>
  <si>
    <t>Compra de arena</t>
  </si>
  <si>
    <t>TOTAL/MES</t>
  </si>
  <si>
    <t>TOTAL/ANUAL</t>
  </si>
  <si>
    <t>% INGRESOS PROMEDIO</t>
  </si>
  <si>
    <t>PRECIO ORO</t>
  </si>
  <si>
    <t>PRECIO PLATA</t>
  </si>
  <si>
    <t>PRECIO COBRE</t>
  </si>
  <si>
    <t>INGRESOS AÑO 1</t>
  </si>
  <si>
    <t>Meses</t>
  </si>
  <si>
    <t>Ingresos Oro</t>
  </si>
  <si>
    <t>Ingresos Plata</t>
  </si>
  <si>
    <t>Ingresos Cobre</t>
  </si>
  <si>
    <t>Total Ingresos</t>
  </si>
  <si>
    <t>Ingreso Anual</t>
  </si>
  <si>
    <t>COSTOS</t>
  </si>
  <si>
    <t>UTILIDAD PROYECTADA</t>
  </si>
  <si>
    <t>COSTOS AÑO 1</t>
  </si>
  <si>
    <t>DIRECTOS</t>
  </si>
  <si>
    <t>INDIRECTOS</t>
  </si>
  <si>
    <t>GTS. ADM</t>
  </si>
  <si>
    <t>MINA</t>
  </si>
  <si>
    <t>PERSONAL</t>
  </si>
  <si>
    <t>SUELDO MENSUAL</t>
  </si>
  <si>
    <t>TOTAL MENSUAL</t>
  </si>
  <si>
    <t>Jefe de turno</t>
  </si>
  <si>
    <t>Contador</t>
  </si>
  <si>
    <t>Secretaria</t>
  </si>
  <si>
    <t>Obreros</t>
  </si>
  <si>
    <t>Guardias</t>
  </si>
  <si>
    <t>Trabajadores por hora</t>
  </si>
  <si>
    <t>TOTAL DE I.I.</t>
  </si>
  <si>
    <t>Porcentaje</t>
  </si>
  <si>
    <t>(-)COSTOS MATERIA PRIMA</t>
  </si>
  <si>
    <t>(-)COSTOS PLANTA</t>
  </si>
  <si>
    <t>(-)GASTOS ADMINISTRATIVOS</t>
  </si>
  <si>
    <t>(-)GASTOS FINANCIEROS</t>
  </si>
  <si>
    <t>(-)DEPRECIACIÓN</t>
  </si>
  <si>
    <t>UTILIDAD OPERATIVA</t>
  </si>
  <si>
    <t>(-)UTILIDAD TRABAJADORES</t>
  </si>
  <si>
    <t>(-)IMPUESTO 25%</t>
  </si>
  <si>
    <t>(+)DEPRECIACIÓN</t>
  </si>
  <si>
    <t>(-)PAGO DE CAPITAL</t>
  </si>
  <si>
    <t>(-)ADQUISICIÓN DE EQUIPOS</t>
  </si>
  <si>
    <t>(-)INVERSIÓN INICIAL</t>
  </si>
  <si>
    <t>(-)CAPITAL DE TRABAJO</t>
  </si>
  <si>
    <t>(+)PRESTAMO</t>
  </si>
  <si>
    <t>(+)VALOR DE DESECHO</t>
  </si>
  <si>
    <t>PAYBACK</t>
  </si>
  <si>
    <t>SALDO DE INVERSIÓN</t>
  </si>
  <si>
    <t>RENTABILIDAD EXIGIDA</t>
  </si>
  <si>
    <t>RECUPERACIÓN DE INVERSIÓN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</si>
</sst>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&quot;$&quot;\ #,##0.00_);[Red]\(&quot;$&quot;\ #,##0.00\)"/>
    <numFmt numFmtId="165" formatCode="[$$-300A]\ #,##0.00"/>
  </numFmts>
  <fonts count="3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gency FB"/>
      <family val="2"/>
    </font>
    <font>
      <b/>
      <sz val="11"/>
      <color indexed="8"/>
      <name val="Berlin Sans FB Demi"/>
      <family val="2"/>
    </font>
    <font>
      <b/>
      <sz val="10.5"/>
      <color indexed="8"/>
      <name val="Times New Roman"/>
      <family val="1"/>
    </font>
    <font>
      <sz val="12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.5"/>
      <color theme="1"/>
      <name val="Garamond"/>
      <family val="1"/>
    </font>
    <font>
      <sz val="12"/>
      <color theme="1"/>
      <name val="Agency FB"/>
      <family val="2"/>
    </font>
    <font>
      <b/>
      <sz val="18"/>
      <color indexed="8"/>
      <name val="Lucida Sans Typewriter"/>
      <family val="3"/>
    </font>
    <font>
      <sz val="11"/>
      <color indexed="8"/>
      <name val="Forte"/>
      <family val="4"/>
    </font>
    <font>
      <b/>
      <i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5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57"/>
      </bottom>
      <diagonal/>
    </border>
    <border>
      <left/>
      <right style="medium">
        <color indexed="64"/>
      </right>
      <top/>
      <bottom style="medium">
        <color indexed="57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0">
    <xf numFmtId="0" fontId="0" fillId="0" borderId="0" xfId="0"/>
    <xf numFmtId="0" fontId="0" fillId="0" borderId="1" xfId="0" applyBorder="1"/>
    <xf numFmtId="0" fontId="1" fillId="0" borderId="0" xfId="0" applyFont="1"/>
    <xf numFmtId="4" fontId="0" fillId="0" borderId="0" xfId="0" applyNumberFormat="1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4" fontId="1" fillId="0" borderId="0" xfId="0" applyNumberFormat="1" applyFont="1"/>
    <xf numFmtId="0" fontId="0" fillId="0" borderId="0" xfId="0" applyBorder="1"/>
    <xf numFmtId="17" fontId="0" fillId="0" borderId="0" xfId="0" applyNumberFormat="1"/>
    <xf numFmtId="4" fontId="1" fillId="0" borderId="0" xfId="0" applyNumberFormat="1" applyFont="1"/>
    <xf numFmtId="0" fontId="0" fillId="0" borderId="3" xfId="0" applyBorder="1"/>
    <xf numFmtId="43" fontId="0" fillId="0" borderId="3" xfId="1" applyFont="1" applyBorder="1"/>
    <xf numFmtId="43" fontId="0" fillId="0" borderId="4" xfId="1" applyFont="1" applyBorder="1"/>
    <xf numFmtId="0" fontId="4" fillId="0" borderId="5" xfId="0" applyFont="1" applyBorder="1"/>
    <xf numFmtId="43" fontId="0" fillId="0" borderId="1" xfId="1" applyFont="1" applyBorder="1"/>
    <xf numFmtId="43" fontId="0" fillId="0" borderId="6" xfId="1" applyFont="1" applyBorder="1"/>
    <xf numFmtId="43" fontId="0" fillId="0" borderId="7" xfId="1" applyFont="1" applyBorder="1"/>
    <xf numFmtId="43" fontId="3" fillId="0" borderId="3" xfId="0" applyNumberFormat="1" applyFont="1" applyBorder="1"/>
    <xf numFmtId="43" fontId="3" fillId="0" borderId="4" xfId="0" applyNumberFormat="1" applyFont="1" applyBorder="1"/>
    <xf numFmtId="43" fontId="3" fillId="0" borderId="3" xfId="1" applyFont="1" applyBorder="1"/>
    <xf numFmtId="43" fontId="3" fillId="0" borderId="4" xfId="1" applyFont="1" applyBorder="1"/>
    <xf numFmtId="9" fontId="0" fillId="0" borderId="0" xfId="0" applyNumberFormat="1"/>
    <xf numFmtId="43" fontId="0" fillId="0" borderId="1" xfId="0" applyNumberFormat="1" applyBorder="1"/>
    <xf numFmtId="0" fontId="0" fillId="0" borderId="7" xfId="0" applyBorder="1"/>
    <xf numFmtId="43" fontId="0" fillId="0" borderId="8" xfId="0" applyNumberFormat="1" applyBorder="1"/>
    <xf numFmtId="0" fontId="5" fillId="0" borderId="9" xfId="0" applyFont="1" applyBorder="1" applyAlignment="1">
      <alignment horizontal="center"/>
    </xf>
    <xf numFmtId="43" fontId="0" fillId="0" borderId="0" xfId="0" applyNumberFormat="1"/>
    <xf numFmtId="0" fontId="3" fillId="0" borderId="5" xfId="0" applyFont="1" applyBorder="1" applyAlignment="1">
      <alignment horizontal="center"/>
    </xf>
    <xf numFmtId="0" fontId="0" fillId="0" borderId="5" xfId="0" applyBorder="1"/>
    <xf numFmtId="0" fontId="7" fillId="0" borderId="0" xfId="0" applyFont="1" applyAlignment="1">
      <alignment horizontal="justify"/>
    </xf>
    <xf numFmtId="0" fontId="0" fillId="0" borderId="2" xfId="0" applyBorder="1"/>
    <xf numFmtId="0" fontId="0" fillId="0" borderId="14" xfId="0" applyBorder="1"/>
    <xf numFmtId="43" fontId="0" fillId="0" borderId="8" xfId="1" applyFont="1" applyBorder="1"/>
    <xf numFmtId="43" fontId="0" fillId="0" borderId="17" xfId="1" applyFont="1" applyBorder="1"/>
    <xf numFmtId="43" fontId="0" fillId="0" borderId="16" xfId="1" applyFont="1" applyBorder="1"/>
    <xf numFmtId="43" fontId="0" fillId="0" borderId="20" xfId="1" applyFont="1" applyBorder="1"/>
    <xf numFmtId="10" fontId="0" fillId="0" borderId="19" xfId="2" applyNumberFormat="1" applyFont="1" applyBorder="1"/>
    <xf numFmtId="10" fontId="0" fillId="0" borderId="6" xfId="2" applyNumberFormat="1" applyFont="1" applyBorder="1"/>
    <xf numFmtId="10" fontId="0" fillId="0" borderId="24" xfId="2" applyNumberFormat="1" applyFont="1" applyBorder="1"/>
    <xf numFmtId="0" fontId="1" fillId="0" borderId="25" xfId="0" applyFont="1" applyBorder="1" applyAlignment="1">
      <alignment horizontal="center"/>
    </xf>
    <xf numFmtId="0" fontId="1" fillId="0" borderId="31" xfId="0" applyFont="1" applyBorder="1"/>
    <xf numFmtId="4" fontId="1" fillId="2" borderId="23" xfId="0" applyNumberFormat="1" applyFont="1" applyFill="1" applyBorder="1"/>
    <xf numFmtId="0" fontId="5" fillId="0" borderId="15" xfId="0" applyFont="1" applyBorder="1" applyAlignment="1">
      <alignment horizontal="center"/>
    </xf>
    <xf numFmtId="40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9" xfId="0" applyFont="1" applyBorder="1"/>
    <xf numFmtId="43" fontId="3" fillId="0" borderId="17" xfId="0" applyNumberFormat="1" applyFont="1" applyBorder="1"/>
    <xf numFmtId="43" fontId="3" fillId="0" borderId="16" xfId="0" applyNumberFormat="1" applyFont="1" applyBorder="1"/>
    <xf numFmtId="0" fontId="3" fillId="0" borderId="9" xfId="0" applyFont="1" applyBorder="1" applyAlignment="1">
      <alignment horizontal="center"/>
    </xf>
    <xf numFmtId="10" fontId="0" fillId="2" borderId="26" xfId="2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3" borderId="0" xfId="0" applyFill="1"/>
    <xf numFmtId="0" fontId="0" fillId="3" borderId="37" xfId="0" applyFill="1" applyBorder="1"/>
    <xf numFmtId="0" fontId="1" fillId="3" borderId="37" xfId="0" applyFont="1" applyFill="1" applyBorder="1"/>
    <xf numFmtId="10" fontId="1" fillId="0" borderId="38" xfId="2" applyNumberFormat="1" applyFont="1" applyBorder="1"/>
    <xf numFmtId="10" fontId="1" fillId="0" borderId="5" xfId="2" applyNumberFormat="1" applyFont="1" applyBorder="1"/>
    <xf numFmtId="10" fontId="0" fillId="0" borderId="1" xfId="2" applyNumberFormat="1" applyFont="1" applyBorder="1"/>
    <xf numFmtId="43" fontId="0" fillId="0" borderId="20" xfId="0" applyNumberFormat="1" applyBorder="1"/>
    <xf numFmtId="43" fontId="0" fillId="0" borderId="39" xfId="1" applyFont="1" applyBorder="1"/>
    <xf numFmtId="4" fontId="0" fillId="0" borderId="0" xfId="0" applyNumberFormat="1" applyAlignment="1">
      <alignment horizontal="right"/>
    </xf>
    <xf numFmtId="9" fontId="1" fillId="0" borderId="0" xfId="2" applyFont="1"/>
    <xf numFmtId="10" fontId="5" fillId="0" borderId="9" xfId="2" applyNumberFormat="1" applyFont="1" applyBorder="1" applyAlignment="1">
      <alignment horizontal="center"/>
    </xf>
    <xf numFmtId="10" fontId="0" fillId="0" borderId="0" xfId="2" applyNumberFormat="1" applyFont="1"/>
    <xf numFmtId="9" fontId="0" fillId="0" borderId="1" xfId="2" applyFont="1" applyBorder="1"/>
    <xf numFmtId="43" fontId="0" fillId="0" borderId="0" xfId="1" applyFont="1" applyBorder="1"/>
    <xf numFmtId="0" fontId="0" fillId="0" borderId="1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/>
    <xf numFmtId="0" fontId="11" fillId="0" borderId="3" xfId="0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11" fillId="0" borderId="5" xfId="0" applyFont="1" applyBorder="1" applyAlignment="1"/>
    <xf numFmtId="0" fontId="11" fillId="0" borderId="1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11" fillId="0" borderId="1" xfId="0" applyFont="1" applyBorder="1" applyAlignment="1"/>
    <xf numFmtId="0" fontId="11" fillId="0" borderId="33" xfId="0" applyFont="1" applyBorder="1" applyAlignment="1"/>
    <xf numFmtId="0" fontId="11" fillId="0" borderId="33" xfId="0" applyFont="1" applyBorder="1" applyAlignment="1">
      <alignment horizontal="center"/>
    </xf>
    <xf numFmtId="43" fontId="11" fillId="0" borderId="33" xfId="1" applyFont="1" applyBorder="1" applyAlignment="1">
      <alignment horizontal="center"/>
    </xf>
    <xf numFmtId="43" fontId="10" fillId="4" borderId="17" xfId="1" applyFont="1" applyFill="1" applyBorder="1" applyAlignment="1">
      <alignment horizontal="center"/>
    </xf>
    <xf numFmtId="43" fontId="10" fillId="4" borderId="16" xfId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2" xfId="0" applyFont="1" applyBorder="1"/>
    <xf numFmtId="43" fontId="13" fillId="0" borderId="4" xfId="1" applyFont="1" applyBorder="1" applyAlignment="1">
      <alignment horizontal="right"/>
    </xf>
    <xf numFmtId="0" fontId="13" fillId="0" borderId="5" xfId="0" applyFont="1" applyBorder="1"/>
    <xf numFmtId="43" fontId="13" fillId="0" borderId="6" xfId="1" applyFont="1" applyBorder="1" applyAlignment="1">
      <alignment horizontal="right"/>
    </xf>
    <xf numFmtId="0" fontId="13" fillId="0" borderId="14" xfId="0" applyFont="1" applyBorder="1"/>
    <xf numFmtId="43" fontId="13" fillId="0" borderId="8" xfId="1" applyFont="1" applyBorder="1" applyAlignment="1">
      <alignment horizontal="right"/>
    </xf>
    <xf numFmtId="0" fontId="12" fillId="4" borderId="15" xfId="0" applyFont="1" applyFill="1" applyBorder="1"/>
    <xf numFmtId="43" fontId="12" fillId="4" borderId="16" xfId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center"/>
    </xf>
    <xf numFmtId="0" fontId="0" fillId="0" borderId="0" xfId="0" applyFill="1"/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justify"/>
    </xf>
    <xf numFmtId="0" fontId="15" fillId="0" borderId="3" xfId="0" applyFont="1" applyBorder="1" applyAlignment="1">
      <alignment horizontal="center"/>
    </xf>
    <xf numFmtId="43" fontId="15" fillId="0" borderId="3" xfId="1" applyFont="1" applyBorder="1" applyAlignment="1">
      <alignment horizontal="justify"/>
    </xf>
    <xf numFmtId="43" fontId="15" fillId="0" borderId="4" xfId="1" applyFont="1" applyBorder="1" applyAlignment="1">
      <alignment horizontal="justify"/>
    </xf>
    <xf numFmtId="0" fontId="15" fillId="0" borderId="5" xfId="0" applyFont="1" applyBorder="1" applyAlignment="1">
      <alignment horizontal="justify"/>
    </xf>
    <xf numFmtId="0" fontId="15" fillId="0" borderId="1" xfId="0" applyFont="1" applyBorder="1" applyAlignment="1">
      <alignment horizontal="center"/>
    </xf>
    <xf numFmtId="43" fontId="15" fillId="0" borderId="1" xfId="1" applyFont="1" applyBorder="1" applyAlignment="1">
      <alignment horizontal="justify"/>
    </xf>
    <xf numFmtId="0" fontId="15" fillId="0" borderId="14" xfId="0" applyFont="1" applyBorder="1" applyAlignment="1">
      <alignment horizontal="justify"/>
    </xf>
    <xf numFmtId="0" fontId="15" fillId="0" borderId="7" xfId="0" applyFont="1" applyBorder="1" applyAlignment="1">
      <alignment horizontal="center"/>
    </xf>
    <xf numFmtId="43" fontId="15" fillId="0" borderId="7" xfId="1" applyFont="1" applyBorder="1" applyAlignment="1">
      <alignment horizontal="justify"/>
    </xf>
    <xf numFmtId="43" fontId="15" fillId="0" borderId="8" xfId="1" applyFont="1" applyBorder="1" applyAlignment="1">
      <alignment horizontal="justify"/>
    </xf>
    <xf numFmtId="43" fontId="14" fillId="4" borderId="16" xfId="1" applyFont="1" applyFill="1" applyBorder="1" applyAlignment="1">
      <alignment horizontal="justify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43" fontId="9" fillId="4" borderId="17" xfId="1" applyFont="1" applyFill="1" applyBorder="1"/>
    <xf numFmtId="43" fontId="9" fillId="4" borderId="16" xfId="1" applyFont="1" applyFill="1" applyBorder="1"/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3" fontId="18" fillId="0" borderId="3" xfId="1" applyFont="1" applyBorder="1"/>
    <xf numFmtId="43" fontId="18" fillId="0" borderId="3" xfId="1" applyFont="1" applyBorder="1" applyAlignment="1">
      <alignment horizontal="center"/>
    </xf>
    <xf numFmtId="43" fontId="18" fillId="0" borderId="4" xfId="1" applyFont="1" applyBorder="1"/>
    <xf numFmtId="0" fontId="18" fillId="0" borderId="5" xfId="0" applyFont="1" applyBorder="1"/>
    <xf numFmtId="0" fontId="18" fillId="0" borderId="1" xfId="0" applyFont="1" applyBorder="1" applyAlignment="1">
      <alignment horizontal="center"/>
    </xf>
    <xf numFmtId="43" fontId="18" fillId="0" borderId="1" xfId="1" applyFont="1" applyBorder="1"/>
    <xf numFmtId="43" fontId="18" fillId="0" borderId="1" xfId="1" applyFont="1" applyBorder="1" applyAlignment="1">
      <alignment horizontal="center"/>
    </xf>
    <xf numFmtId="0" fontId="18" fillId="0" borderId="14" xfId="0" applyFont="1" applyBorder="1"/>
    <xf numFmtId="0" fontId="18" fillId="0" borderId="7" xfId="0" applyFont="1" applyBorder="1" applyAlignment="1">
      <alignment horizontal="center"/>
    </xf>
    <xf numFmtId="43" fontId="18" fillId="0" borderId="7" xfId="1" applyFont="1" applyBorder="1"/>
    <xf numFmtId="43" fontId="18" fillId="0" borderId="7" xfId="1" applyFont="1" applyBorder="1" applyAlignment="1">
      <alignment horizontal="center"/>
    </xf>
    <xf numFmtId="43" fontId="18" fillId="0" borderId="8" xfId="1" applyFont="1" applyBorder="1"/>
    <xf numFmtId="43" fontId="17" fillId="5" borderId="17" xfId="1" applyFont="1" applyFill="1" applyBorder="1" applyAlignment="1">
      <alignment horizontal="right"/>
    </xf>
    <xf numFmtId="43" fontId="17" fillId="5" borderId="16" xfId="1" applyFont="1" applyFill="1" applyBorder="1" applyAlignment="1">
      <alignment horizontal="right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2" xfId="0" applyFont="1" applyBorder="1"/>
    <xf numFmtId="43" fontId="18" fillId="0" borderId="3" xfId="1" applyFont="1" applyBorder="1" applyAlignment="1">
      <alignment horizontal="right"/>
    </xf>
    <xf numFmtId="43" fontId="18" fillId="0" borderId="4" xfId="1" applyFont="1" applyBorder="1" applyAlignment="1">
      <alignment horizontal="right"/>
    </xf>
    <xf numFmtId="43" fontId="18" fillId="0" borderId="1" xfId="1" applyFont="1" applyBorder="1" applyAlignment="1">
      <alignment horizontal="right"/>
    </xf>
    <xf numFmtId="43" fontId="18" fillId="0" borderId="6" xfId="1" applyFont="1" applyBorder="1" applyAlignment="1">
      <alignment horizontal="right"/>
    </xf>
    <xf numFmtId="43" fontId="18" fillId="0" borderId="7" xfId="1" applyFont="1" applyBorder="1" applyAlignment="1">
      <alignment horizontal="right"/>
    </xf>
    <xf numFmtId="43" fontId="18" fillId="0" borderId="8" xfId="1" applyFont="1" applyBorder="1" applyAlignment="1">
      <alignment horizontal="right"/>
    </xf>
    <xf numFmtId="0" fontId="17" fillId="4" borderId="15" xfId="0" applyFont="1" applyFill="1" applyBorder="1"/>
    <xf numFmtId="43" fontId="17" fillId="4" borderId="17" xfId="1" applyFont="1" applyFill="1" applyBorder="1" applyAlignment="1">
      <alignment horizontal="right"/>
    </xf>
    <xf numFmtId="43" fontId="17" fillId="4" borderId="16" xfId="1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5" borderId="15" xfId="0" applyFont="1" applyFill="1" applyBorder="1"/>
    <xf numFmtId="43" fontId="17" fillId="5" borderId="17" xfId="1" applyFont="1" applyFill="1" applyBorder="1" applyAlignment="1">
      <alignment horizontal="center"/>
    </xf>
    <xf numFmtId="0" fontId="17" fillId="0" borderId="0" xfId="0" applyFont="1" applyFill="1" applyBorder="1"/>
    <xf numFmtId="43" fontId="17" fillId="0" borderId="0" xfId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5" borderId="17" xfId="1" applyFont="1" applyFill="1" applyBorder="1"/>
    <xf numFmtId="43" fontId="9" fillId="5" borderId="16" xfId="1" applyFont="1" applyFill="1" applyBorder="1"/>
    <xf numFmtId="0" fontId="0" fillId="0" borderId="47" xfId="0" applyBorder="1"/>
    <xf numFmtId="0" fontId="0" fillId="0" borderId="2" xfId="0" applyFill="1" applyBorder="1"/>
    <xf numFmtId="43" fontId="0" fillId="0" borderId="4" xfId="1" applyFont="1" applyBorder="1" applyAlignment="1">
      <alignment horizontal="right"/>
    </xf>
    <xf numFmtId="43" fontId="0" fillId="0" borderId="47" xfId="1" applyFont="1" applyBorder="1"/>
    <xf numFmtId="0" fontId="0" fillId="0" borderId="14" xfId="0" applyFill="1" applyBorder="1"/>
    <xf numFmtId="0" fontId="9" fillId="4" borderId="2" xfId="0" applyFont="1" applyFill="1" applyBorder="1"/>
    <xf numFmtId="43" fontId="0" fillId="4" borderId="4" xfId="1" applyFont="1" applyFill="1" applyBorder="1"/>
    <xf numFmtId="43" fontId="0" fillId="5" borderId="47" xfId="1" applyFont="1" applyFill="1" applyBorder="1"/>
    <xf numFmtId="0" fontId="9" fillId="4" borderId="9" xfId="0" applyFont="1" applyFill="1" applyBorder="1"/>
    <xf numFmtId="43" fontId="9" fillId="4" borderId="24" xfId="0" applyNumberFormat="1" applyFont="1" applyFill="1" applyBorder="1"/>
    <xf numFmtId="43" fontId="0" fillId="0" borderId="0" xfId="0" applyNumberForma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9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wrapText="1"/>
    </xf>
    <xf numFmtId="43" fontId="0" fillId="0" borderId="0" xfId="1" applyFont="1"/>
    <xf numFmtId="0" fontId="9" fillId="0" borderId="0" xfId="0" applyFont="1"/>
    <xf numFmtId="43" fontId="0" fillId="0" borderId="0" xfId="1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20" fillId="0" borderId="0" xfId="0" applyFont="1"/>
    <xf numFmtId="0" fontId="9" fillId="0" borderId="3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3" fontId="0" fillId="0" borderId="31" xfId="1" applyFont="1" applyBorder="1"/>
    <xf numFmtId="0" fontId="0" fillId="0" borderId="14" xfId="0" applyNumberForma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21" fillId="0" borderId="14" xfId="0" applyFont="1" applyBorder="1" applyAlignment="1">
      <alignment horizontal="left"/>
    </xf>
    <xf numFmtId="4" fontId="21" fillId="0" borderId="7" xfId="0" applyNumberFormat="1" applyFont="1" applyBorder="1" applyAlignment="1">
      <alignment horizontal="center"/>
    </xf>
    <xf numFmtId="4" fontId="21" fillId="0" borderId="8" xfId="0" applyNumberFormat="1" applyFont="1" applyBorder="1" applyAlignment="1">
      <alignment horizontal="center"/>
    </xf>
    <xf numFmtId="0" fontId="22" fillId="6" borderId="15" xfId="0" applyFont="1" applyFill="1" applyBorder="1" applyAlignment="1">
      <alignment horizontal="left"/>
    </xf>
    <xf numFmtId="4" fontId="21" fillId="6" borderId="17" xfId="0" applyNumberFormat="1" applyFont="1" applyFill="1" applyBorder="1" applyAlignment="1">
      <alignment horizontal="center"/>
    </xf>
    <xf numFmtId="4" fontId="21" fillId="6" borderId="16" xfId="0" applyNumberFormat="1" applyFont="1" applyFill="1" applyBorder="1" applyAlignment="1">
      <alignment horizontal="center"/>
    </xf>
    <xf numFmtId="165" fontId="0" fillId="0" borderId="31" xfId="0" applyNumberFormat="1" applyBorder="1"/>
    <xf numFmtId="0" fontId="19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3" fontId="0" fillId="0" borderId="33" xfId="1" applyFont="1" applyBorder="1"/>
    <xf numFmtId="43" fontId="0" fillId="0" borderId="24" xfId="1" applyFont="1" applyBorder="1"/>
    <xf numFmtId="0" fontId="9" fillId="0" borderId="15" xfId="0" applyFont="1" applyBorder="1" applyAlignment="1">
      <alignment horizontal="center"/>
    </xf>
    <xf numFmtId="0" fontId="9" fillId="0" borderId="5" xfId="0" applyFont="1" applyBorder="1"/>
    <xf numFmtId="0" fontId="0" fillId="0" borderId="6" xfId="0" applyBorder="1"/>
    <xf numFmtId="43" fontId="18" fillId="0" borderId="6" xfId="1" applyFont="1" applyBorder="1" applyAlignment="1">
      <alignment horizontal="center"/>
    </xf>
    <xf numFmtId="0" fontId="9" fillId="0" borderId="9" xfId="0" applyFont="1" applyBorder="1"/>
    <xf numFmtId="43" fontId="0" fillId="5" borderId="33" xfId="0" applyNumberFormat="1" applyFill="1" applyBorder="1"/>
    <xf numFmtId="0" fontId="9" fillId="0" borderId="24" xfId="0" applyFont="1" applyBorder="1"/>
    <xf numFmtId="0" fontId="18" fillId="0" borderId="1" xfId="0" applyFont="1" applyFill="1" applyBorder="1" applyAlignment="1">
      <alignment horizontal="center"/>
    </xf>
    <xf numFmtId="43" fontId="18" fillId="0" borderId="8" xfId="1" applyFont="1" applyBorder="1" applyAlignment="1">
      <alignment horizontal="center"/>
    </xf>
    <xf numFmtId="43" fontId="17" fillId="5" borderId="16" xfId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4" xfId="0" applyBorder="1"/>
    <xf numFmtId="0" fontId="26" fillId="0" borderId="5" xfId="0" applyFont="1" applyBorder="1" applyAlignment="1">
      <alignment horizontal="justify"/>
    </xf>
    <xf numFmtId="0" fontId="26" fillId="0" borderId="14" xfId="0" applyFont="1" applyBorder="1" applyAlignment="1">
      <alignment horizontal="justify"/>
    </xf>
    <xf numFmtId="0" fontId="20" fillId="0" borderId="15" xfId="0" applyFont="1" applyBorder="1"/>
    <xf numFmtId="43" fontId="0" fillId="0" borderId="17" xfId="0" applyNumberFormat="1" applyBorder="1"/>
    <xf numFmtId="43" fontId="0" fillId="0" borderId="16" xfId="0" applyNumberFormat="1" applyBorder="1"/>
    <xf numFmtId="0" fontId="27" fillId="0" borderId="5" xfId="0" applyFont="1" applyBorder="1"/>
    <xf numFmtId="10" fontId="0" fillId="0" borderId="0" xfId="0" applyNumberFormat="1"/>
    <xf numFmtId="4" fontId="0" fillId="0" borderId="54" xfId="0" applyNumberFormat="1" applyBorder="1"/>
    <xf numFmtId="0" fontId="3" fillId="2" borderId="38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7" fillId="0" borderId="15" xfId="0" applyFont="1" applyBorder="1"/>
    <xf numFmtId="4" fontId="0" fillId="0" borderId="16" xfId="0" applyNumberFormat="1" applyBorder="1"/>
    <xf numFmtId="0" fontId="27" fillId="0" borderId="14" xfId="0" applyFont="1" applyBorder="1"/>
    <xf numFmtId="4" fontId="0" fillId="0" borderId="8" xfId="0" applyNumberFormat="1" applyBorder="1"/>
    <xf numFmtId="9" fontId="0" fillId="0" borderId="15" xfId="0" applyNumberFormat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28" fillId="0" borderId="2" xfId="0" applyFont="1" applyBorder="1"/>
    <xf numFmtId="0" fontId="28" fillId="0" borderId="5" xfId="0" applyFont="1" applyBorder="1"/>
    <xf numFmtId="10" fontId="5" fillId="0" borderId="4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0" fontId="30" fillId="0" borderId="9" xfId="2" applyNumberFormat="1" applyFont="1" applyBorder="1"/>
    <xf numFmtId="10" fontId="0" fillId="0" borderId="0" xfId="2" applyNumberFormat="1" applyFont="1" applyBorder="1"/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3" borderId="58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59" xfId="0" applyFill="1" applyBorder="1"/>
    <xf numFmtId="0" fontId="0" fillId="3" borderId="60" xfId="0" applyFill="1" applyBorder="1"/>
    <xf numFmtId="0" fontId="0" fillId="3" borderId="29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32" xfId="0" applyFill="1" applyBorder="1"/>
    <xf numFmtId="0" fontId="0" fillId="3" borderId="10" xfId="0" applyFill="1" applyBorder="1"/>
    <xf numFmtId="0" fontId="0" fillId="3" borderId="34" xfId="0" applyFill="1" applyBorder="1"/>
    <xf numFmtId="10" fontId="32" fillId="0" borderId="23" xfId="0" applyNumberFormat="1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3" fillId="0" borderId="5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9" fontId="0" fillId="0" borderId="48" xfId="2" applyFont="1" applyBorder="1" applyAlignment="1">
      <alignment horizontal="center"/>
    </xf>
    <xf numFmtId="9" fontId="0" fillId="0" borderId="49" xfId="2" applyNumberFormat="1" applyFont="1" applyBorder="1" applyAlignment="1">
      <alignment horizontal="center"/>
    </xf>
    <xf numFmtId="9" fontId="0" fillId="0" borderId="6" xfId="2" applyFont="1" applyBorder="1"/>
    <xf numFmtId="0" fontId="9" fillId="0" borderId="1" xfId="0" applyFont="1" applyBorder="1" applyAlignment="1">
      <alignment horizontal="center"/>
    </xf>
    <xf numFmtId="43" fontId="0" fillId="0" borderId="1" xfId="1" applyFont="1" applyBorder="1" applyAlignment="1"/>
    <xf numFmtId="43" fontId="9" fillId="0" borderId="1" xfId="1" applyFont="1" applyBorder="1"/>
    <xf numFmtId="0" fontId="9" fillId="0" borderId="47" xfId="0" applyFont="1" applyBorder="1" applyAlignment="1">
      <alignment horizontal="center"/>
    </xf>
    <xf numFmtId="43" fontId="0" fillId="0" borderId="47" xfId="1" applyFont="1" applyBorder="1" applyAlignment="1"/>
    <xf numFmtId="0" fontId="5" fillId="6" borderId="31" xfId="0" applyFont="1" applyFill="1" applyBorder="1" applyAlignment="1">
      <alignment horizontal="center"/>
    </xf>
    <xf numFmtId="40" fontId="5" fillId="6" borderId="31" xfId="0" applyNumberFormat="1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10" fontId="5" fillId="6" borderId="57" xfId="2" applyNumberFormat="1" applyFont="1" applyFill="1" applyBorder="1" applyAlignment="1">
      <alignment horizontal="center"/>
    </xf>
    <xf numFmtId="43" fontId="33" fillId="0" borderId="1" xfId="1" applyFont="1" applyBorder="1" applyAlignment="1">
      <alignment horizontal="center"/>
    </xf>
    <xf numFmtId="43" fontId="33" fillId="0" borderId="6" xfId="1" applyFont="1" applyBorder="1" applyAlignment="1">
      <alignment horizontal="center"/>
    </xf>
    <xf numFmtId="43" fontId="33" fillId="0" borderId="33" xfId="1" applyFont="1" applyBorder="1" applyAlignment="1">
      <alignment horizontal="center"/>
    </xf>
    <xf numFmtId="43" fontId="33" fillId="0" borderId="24" xfId="1" applyFont="1" applyBorder="1" applyAlignment="1">
      <alignment horizontal="center"/>
    </xf>
    <xf numFmtId="0" fontId="14" fillId="4" borderId="15" xfId="0" applyFont="1" applyFill="1" applyBorder="1" applyAlignment="1">
      <alignment horizontal="justify"/>
    </xf>
    <xf numFmtId="0" fontId="14" fillId="4" borderId="17" xfId="0" applyFont="1" applyFill="1" applyBorder="1" applyAlignment="1">
      <alignment horizontal="justify"/>
    </xf>
    <xf numFmtId="0" fontId="14" fillId="4" borderId="41" xfId="0" applyFont="1" applyFill="1" applyBorder="1" applyAlignment="1">
      <alignment horizontal="justify"/>
    </xf>
    <xf numFmtId="0" fontId="14" fillId="4" borderId="42" xfId="0" applyFont="1" applyFill="1" applyBorder="1" applyAlignment="1">
      <alignment horizontal="justify"/>
    </xf>
    <xf numFmtId="0" fontId="14" fillId="4" borderId="43" xfId="0" applyFont="1" applyFill="1" applyBorder="1" applyAlignment="1">
      <alignment horizontal="justify"/>
    </xf>
    <xf numFmtId="0" fontId="10" fillId="4" borderId="32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16" fillId="4" borderId="46" xfId="0" applyFont="1" applyFill="1" applyBorder="1" applyAlignment="1">
      <alignment horizontal="left"/>
    </xf>
    <xf numFmtId="0" fontId="16" fillId="4" borderId="43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5" borderId="32" xfId="0" applyFont="1" applyFill="1" applyBorder="1" applyAlignment="1">
      <alignment horizontal="left"/>
    </xf>
    <xf numFmtId="0" fontId="17" fillId="5" borderId="10" xfId="0" applyFont="1" applyFill="1" applyBorder="1" applyAlignment="1">
      <alignment horizontal="left"/>
    </xf>
    <xf numFmtId="0" fontId="17" fillId="5" borderId="40" xfId="0" applyFont="1" applyFill="1" applyBorder="1" applyAlignment="1">
      <alignment horizontal="left"/>
    </xf>
    <xf numFmtId="0" fontId="9" fillId="5" borderId="32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9" fillId="5" borderId="4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left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6" fillId="0" borderId="3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7" fillId="5" borderId="41" xfId="0" applyFont="1" applyFill="1" applyBorder="1" applyAlignment="1">
      <alignment horizontal="left"/>
    </xf>
    <xf numFmtId="0" fontId="17" fillId="5" borderId="43" xfId="0" applyFont="1" applyFill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19444444444444456"/>
          <c:w val="0.55833333333333335"/>
          <c:h val="0.52083333333333359"/>
        </c:manualLayout>
      </c:layout>
      <c:lineChart>
        <c:grouping val="standard"/>
        <c:ser>
          <c:idx val="0"/>
          <c:order val="0"/>
          <c:tx>
            <c:strRef>
              <c:f>'cotizacion historica oro'!$B$2</c:f>
              <c:strCache>
                <c:ptCount val="1"/>
                <c:pt idx="0">
                  <c:v>PRECIO ORO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0.32855708661417332"/>
                  <c:y val="-0.1014938757655295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ly"/>
            <c:order val="6"/>
          </c:trendline>
          <c:cat>
            <c:numRef>
              <c:f>'cotizacion historica oro'!$A$3:$A$47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'cotizacion historica oro'!$B$3:$B$47</c:f>
              <c:numCache>
                <c:formatCode>_-* #,##0.00\ _€_-;\-* #,##0.00\ _€_-;_-* "-"??\ _€_-;_-@_-</c:formatCode>
                <c:ptCount val="45"/>
                <c:pt idx="0">
                  <c:v>631.16999999999996</c:v>
                </c:pt>
                <c:pt idx="1">
                  <c:v>664.75</c:v>
                </c:pt>
                <c:pt idx="2">
                  <c:v>654.9</c:v>
                </c:pt>
                <c:pt idx="3">
                  <c:v>679.37</c:v>
                </c:pt>
                <c:pt idx="4">
                  <c:v>666.86</c:v>
                </c:pt>
                <c:pt idx="5">
                  <c:v>655.49</c:v>
                </c:pt>
                <c:pt idx="6">
                  <c:v>665.3</c:v>
                </c:pt>
                <c:pt idx="7">
                  <c:v>665.41</c:v>
                </c:pt>
                <c:pt idx="8">
                  <c:v>712.65</c:v>
                </c:pt>
                <c:pt idx="9">
                  <c:v>754.6</c:v>
                </c:pt>
                <c:pt idx="10">
                  <c:v>806.25</c:v>
                </c:pt>
                <c:pt idx="11">
                  <c:v>803.2</c:v>
                </c:pt>
                <c:pt idx="12">
                  <c:v>889.6</c:v>
                </c:pt>
                <c:pt idx="13">
                  <c:v>922.3</c:v>
                </c:pt>
                <c:pt idx="14">
                  <c:v>968.43</c:v>
                </c:pt>
                <c:pt idx="15">
                  <c:v>909.7</c:v>
                </c:pt>
                <c:pt idx="16">
                  <c:v>888.66</c:v>
                </c:pt>
                <c:pt idx="17">
                  <c:v>889.49</c:v>
                </c:pt>
                <c:pt idx="18">
                  <c:v>939.77</c:v>
                </c:pt>
                <c:pt idx="19">
                  <c:v>839.02</c:v>
                </c:pt>
                <c:pt idx="20">
                  <c:v>829.93</c:v>
                </c:pt>
                <c:pt idx="21">
                  <c:v>806.62</c:v>
                </c:pt>
                <c:pt idx="22">
                  <c:v>760.86</c:v>
                </c:pt>
                <c:pt idx="23">
                  <c:v>816.19</c:v>
                </c:pt>
                <c:pt idx="24">
                  <c:v>858.69</c:v>
                </c:pt>
                <c:pt idx="25">
                  <c:v>943.16</c:v>
                </c:pt>
                <c:pt idx="26">
                  <c:v>924.27</c:v>
                </c:pt>
                <c:pt idx="27">
                  <c:v>890.2</c:v>
                </c:pt>
                <c:pt idx="28">
                  <c:v>928.64</c:v>
                </c:pt>
                <c:pt idx="29">
                  <c:v>945.67</c:v>
                </c:pt>
                <c:pt idx="30">
                  <c:v>934.23</c:v>
                </c:pt>
                <c:pt idx="31">
                  <c:v>949.38</c:v>
                </c:pt>
                <c:pt idx="32">
                  <c:v>996.59</c:v>
                </c:pt>
                <c:pt idx="33">
                  <c:v>1043.1600000000001</c:v>
                </c:pt>
                <c:pt idx="34">
                  <c:v>1127.04</c:v>
                </c:pt>
                <c:pt idx="35">
                  <c:v>1134.72</c:v>
                </c:pt>
                <c:pt idx="36">
                  <c:v>1117.96</c:v>
                </c:pt>
                <c:pt idx="37">
                  <c:v>1095.4100000000001</c:v>
                </c:pt>
                <c:pt idx="38">
                  <c:v>1113.94</c:v>
                </c:pt>
                <c:pt idx="39">
                  <c:v>1148.69</c:v>
                </c:pt>
                <c:pt idx="40">
                  <c:v>1205.43</c:v>
                </c:pt>
                <c:pt idx="41">
                  <c:v>1232.92</c:v>
                </c:pt>
                <c:pt idx="42">
                  <c:v>1192.97</c:v>
                </c:pt>
                <c:pt idx="43">
                  <c:v>1215.81</c:v>
                </c:pt>
                <c:pt idx="44">
                  <c:v>1255.6300000000001</c:v>
                </c:pt>
              </c:numCache>
            </c:numRef>
          </c:val>
        </c:ser>
        <c:marker val="1"/>
        <c:axId val="87579264"/>
        <c:axId val="87601536"/>
      </c:lineChart>
      <c:catAx>
        <c:axId val="87579264"/>
        <c:scaling>
          <c:orientation val="minMax"/>
        </c:scaling>
        <c:axPos val="b"/>
        <c:numFmt formatCode="dd/mm/yyyy" sourceLinked="0"/>
        <c:tickLblPos val="nextTo"/>
        <c:crossAx val="87601536"/>
        <c:crosses val="autoZero"/>
        <c:auto val="1"/>
        <c:lblAlgn val="ctr"/>
        <c:lblOffset val="100"/>
      </c:catAx>
      <c:valAx>
        <c:axId val="87601536"/>
        <c:scaling>
          <c:orientation val="minMax"/>
        </c:scaling>
        <c:axPos val="l"/>
        <c:majorGridlines/>
        <c:numFmt formatCode="_-* #,##0.00\ _€_-;\-* #,##0.00\ _€_-;_-* &quot;-&quot;??\ _€_-;_-@_-" sourceLinked="1"/>
        <c:tickLblPos val="nextTo"/>
        <c:crossAx val="875792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33333333333373E-2"/>
          <c:y val="0.19444444444444456"/>
          <c:w val="0.58541666666666636"/>
          <c:h val="0.52083333333333359"/>
        </c:manualLayout>
      </c:layout>
      <c:lineChart>
        <c:grouping val="standard"/>
        <c:ser>
          <c:idx val="0"/>
          <c:order val="0"/>
          <c:tx>
            <c:strRef>
              <c:f>'cotizacion historica oro'!$C$2</c:f>
              <c:strCache>
                <c:ptCount val="1"/>
                <c:pt idx="0">
                  <c:v>PRECIO PLATA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  <c:dispRSqr val="1"/>
            <c:dispEq val="1"/>
            <c:trendlineLbl>
              <c:layout>
                <c:manualLayout>
                  <c:x val="0.36123359580052494"/>
                  <c:y val="-0.11147018081073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cat>
            <c:numRef>
              <c:f>'cotizacion historica oro'!$A$3:$A$47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'cotizacion historica oro'!$C$3:$C$47</c:f>
              <c:numCache>
                <c:formatCode>_-* #,##0.00\ _€_-;\-* #,##0.00\ _€_-;_-* "-"??\ _€_-;_-@_-</c:formatCode>
                <c:ptCount val="45"/>
                <c:pt idx="0">
                  <c:v>12.84</c:v>
                </c:pt>
                <c:pt idx="1">
                  <c:v>13.91</c:v>
                </c:pt>
                <c:pt idx="2">
                  <c:v>13.18</c:v>
                </c:pt>
                <c:pt idx="3">
                  <c:v>13.74</c:v>
                </c:pt>
                <c:pt idx="4">
                  <c:v>13.14</c:v>
                </c:pt>
                <c:pt idx="5">
                  <c:v>13.14</c:v>
                </c:pt>
                <c:pt idx="6">
                  <c:v>12.91</c:v>
                </c:pt>
                <c:pt idx="7">
                  <c:v>12.36</c:v>
                </c:pt>
                <c:pt idx="8">
                  <c:v>12.83</c:v>
                </c:pt>
                <c:pt idx="9">
                  <c:v>13.67</c:v>
                </c:pt>
                <c:pt idx="10">
                  <c:v>14.7</c:v>
                </c:pt>
                <c:pt idx="11">
                  <c:v>14.3</c:v>
                </c:pt>
                <c:pt idx="12">
                  <c:v>15.96</c:v>
                </c:pt>
                <c:pt idx="13">
                  <c:v>17.559999999999999</c:v>
                </c:pt>
                <c:pt idx="14">
                  <c:v>19.510000000000002</c:v>
                </c:pt>
                <c:pt idx="15">
                  <c:v>17.5</c:v>
                </c:pt>
                <c:pt idx="16">
                  <c:v>17.05</c:v>
                </c:pt>
                <c:pt idx="17">
                  <c:v>16.97</c:v>
                </c:pt>
                <c:pt idx="18">
                  <c:v>18.03</c:v>
                </c:pt>
                <c:pt idx="19">
                  <c:v>14.69</c:v>
                </c:pt>
                <c:pt idx="20">
                  <c:v>12.37</c:v>
                </c:pt>
                <c:pt idx="21">
                  <c:v>10.44</c:v>
                </c:pt>
                <c:pt idx="22">
                  <c:v>9.86</c:v>
                </c:pt>
                <c:pt idx="23">
                  <c:v>10.28</c:v>
                </c:pt>
                <c:pt idx="24">
                  <c:v>11.29</c:v>
                </c:pt>
                <c:pt idx="25">
                  <c:v>13.41</c:v>
                </c:pt>
                <c:pt idx="26">
                  <c:v>13.11</c:v>
                </c:pt>
                <c:pt idx="27">
                  <c:v>12.51</c:v>
                </c:pt>
                <c:pt idx="28">
                  <c:v>14.03</c:v>
                </c:pt>
                <c:pt idx="29">
                  <c:v>14.65</c:v>
                </c:pt>
                <c:pt idx="30">
                  <c:v>13.36</c:v>
                </c:pt>
                <c:pt idx="31">
                  <c:v>14.35</c:v>
                </c:pt>
                <c:pt idx="32">
                  <c:v>16.39</c:v>
                </c:pt>
                <c:pt idx="33">
                  <c:v>17.239999999999998</c:v>
                </c:pt>
                <c:pt idx="34">
                  <c:v>17.809999999999999</c:v>
                </c:pt>
                <c:pt idx="35">
                  <c:v>17.670000000000002</c:v>
                </c:pt>
                <c:pt idx="36">
                  <c:v>17.78</c:v>
                </c:pt>
                <c:pt idx="37">
                  <c:v>15.87</c:v>
                </c:pt>
                <c:pt idx="38">
                  <c:v>17.11</c:v>
                </c:pt>
                <c:pt idx="39">
                  <c:v>18.100000000000001</c:v>
                </c:pt>
                <c:pt idx="40">
                  <c:v>18.41</c:v>
                </c:pt>
                <c:pt idx="41">
                  <c:v>18.45</c:v>
                </c:pt>
                <c:pt idx="42">
                  <c:v>17.963000000000001</c:v>
                </c:pt>
                <c:pt idx="43">
                  <c:v>18.36</c:v>
                </c:pt>
                <c:pt idx="44">
                  <c:v>20.02</c:v>
                </c:pt>
              </c:numCache>
            </c:numRef>
          </c:val>
        </c:ser>
        <c:marker val="1"/>
        <c:axId val="88147456"/>
        <c:axId val="88148992"/>
      </c:lineChart>
      <c:catAx>
        <c:axId val="88147456"/>
        <c:scaling>
          <c:orientation val="minMax"/>
        </c:scaling>
        <c:axPos val="b"/>
        <c:numFmt formatCode="dd/mm/yyyy" sourceLinked="0"/>
        <c:tickLblPos val="nextTo"/>
        <c:crossAx val="88148992"/>
        <c:crosses val="autoZero"/>
        <c:auto val="1"/>
        <c:lblAlgn val="ctr"/>
        <c:lblOffset val="100"/>
      </c:catAx>
      <c:valAx>
        <c:axId val="88148992"/>
        <c:scaling>
          <c:orientation val="minMax"/>
        </c:scaling>
        <c:axPos val="l"/>
        <c:majorGridlines/>
        <c:numFmt formatCode="_-* #,##0.00\ _€_-;\-* #,##0.00\ _€_-;_-* &quot;-&quot;??\ _€_-;_-@_-" sourceLinked="1"/>
        <c:tickLblPos val="nextTo"/>
        <c:crossAx val="881474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13</xdr:col>
      <xdr:colOff>161925</xdr:colOff>
      <xdr:row>15</xdr:row>
      <xdr:rowOff>76200</xdr:rowOff>
    </xdr:to>
    <xdr:graphicFrame macro="">
      <xdr:nvGraphicFramePr>
        <xdr:cNvPr id="204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180975</xdr:rowOff>
    </xdr:from>
    <xdr:to>
      <xdr:col>13</xdr:col>
      <xdr:colOff>161925</xdr:colOff>
      <xdr:row>31</xdr:row>
      <xdr:rowOff>66675</xdr:rowOff>
    </xdr:to>
    <xdr:graphicFrame macro="">
      <xdr:nvGraphicFramePr>
        <xdr:cNvPr id="205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5</xdr:col>
      <xdr:colOff>247650</xdr:colOff>
      <xdr:row>14</xdr:row>
      <xdr:rowOff>161925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4286250" cy="2619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33</xdr:row>
      <xdr:rowOff>148563</xdr:rowOff>
    </xdr:from>
    <xdr:to>
      <xdr:col>3</xdr:col>
      <xdr:colOff>1048879</xdr:colOff>
      <xdr:row>46</xdr:row>
      <xdr:rowOff>166688</xdr:rowOff>
    </xdr:to>
    <xdr:pic>
      <xdr:nvPicPr>
        <xdr:cNvPr id="61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723" t="47556" r="34306" b="12555"/>
        <a:stretch>
          <a:fillRect/>
        </a:stretch>
      </xdr:blipFill>
      <xdr:spPr bwMode="auto">
        <a:xfrm>
          <a:off x="71438" y="7054188"/>
          <a:ext cx="3656347" cy="2542250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2</xdr:row>
      <xdr:rowOff>180975</xdr:rowOff>
    </xdr:from>
    <xdr:to>
      <xdr:col>2</xdr:col>
      <xdr:colOff>390525</xdr:colOff>
      <xdr:row>5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561975"/>
          <a:ext cx="1266825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647700</xdr:colOff>
      <xdr:row>2</xdr:row>
      <xdr:rowOff>152400</xdr:rowOff>
    </xdr:from>
    <xdr:to>
      <xdr:col>2</xdr:col>
      <xdr:colOff>390525</xdr:colOff>
      <xdr:row>5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561975"/>
          <a:ext cx="1266825" cy="457200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37</xdr:row>
      <xdr:rowOff>76200</xdr:rowOff>
    </xdr:from>
    <xdr:to>
      <xdr:col>3</xdr:col>
      <xdr:colOff>914400</xdr:colOff>
      <xdr:row>51</xdr:row>
      <xdr:rowOff>38101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723" t="47556" r="34306" b="12555"/>
        <a:stretch>
          <a:fillRect/>
        </a:stretch>
      </xdr:blipFill>
      <xdr:spPr bwMode="auto">
        <a:xfrm>
          <a:off x="447675" y="7562850"/>
          <a:ext cx="3800475" cy="2638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.EQU/CONFIG~1/Temp/Rar$DI23.9468/5DE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QUINARIA"/>
      <sheetName val="DEPRECIACIÓN"/>
      <sheetName val="COSTOS"/>
      <sheetName val="REINVERSION"/>
      <sheetName val="cotizacion historica oro"/>
      <sheetName val="INGRESOS estáticos"/>
      <sheetName val="Flujo de caja estático"/>
      <sheetName val="Prestamos"/>
      <sheetName val="Punto Equilibrio"/>
    </sheetNames>
    <sheetDataSet>
      <sheetData sheetId="0" refreshError="1">
        <row r="40">
          <cell r="D40">
            <v>1800</v>
          </cell>
        </row>
        <row r="41">
          <cell r="D41">
            <v>220</v>
          </cell>
        </row>
        <row r="42">
          <cell r="D42">
            <v>817</v>
          </cell>
        </row>
        <row r="43">
          <cell r="D43">
            <v>120</v>
          </cell>
        </row>
      </sheetData>
      <sheetData sheetId="1" refreshError="1"/>
      <sheetData sheetId="2" refreshError="1">
        <row r="11">
          <cell r="E11">
            <v>46350</v>
          </cell>
          <cell r="G11">
            <v>15.45</v>
          </cell>
        </row>
        <row r="21">
          <cell r="C21">
            <v>54000</v>
          </cell>
          <cell r="E21">
            <v>18</v>
          </cell>
        </row>
        <row r="32">
          <cell r="C32">
            <v>5800</v>
          </cell>
          <cell r="D32">
            <v>73800</v>
          </cell>
        </row>
        <row r="45">
          <cell r="F45">
            <v>10301.299999999999</v>
          </cell>
          <cell r="H45">
            <v>3.4337666666666662</v>
          </cell>
        </row>
        <row r="51">
          <cell r="B51">
            <v>345000</v>
          </cell>
          <cell r="D51">
            <v>115</v>
          </cell>
        </row>
      </sheetData>
      <sheetData sheetId="3" refreshError="1"/>
      <sheetData sheetId="4" refreshError="1">
        <row r="48">
          <cell r="H48">
            <v>912.7784444444444</v>
          </cell>
          <cell r="I48">
            <v>15.084955555555554</v>
          </cell>
          <cell r="J48">
            <v>297.43266666666659</v>
          </cell>
        </row>
      </sheetData>
      <sheetData sheetId="5" refreshError="1">
        <row r="36">
          <cell r="G36">
            <v>196.26329452149704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opLeftCell="A16" workbookViewId="0">
      <selection activeCell="A24" sqref="A24:B24"/>
    </sheetView>
  </sheetViews>
  <sheetFormatPr baseColWidth="10" defaultRowHeight="15"/>
  <cols>
    <col min="1" max="1" width="34.85546875" customWidth="1"/>
    <col min="2" max="2" width="18" bestFit="1" customWidth="1"/>
    <col min="3" max="3" width="21.140625" bestFit="1" customWidth="1"/>
    <col min="4" max="4" width="17.85546875" bestFit="1" customWidth="1"/>
    <col min="5" max="5" width="14.42578125" bestFit="1" customWidth="1"/>
    <col min="6" max="6" width="13.28515625" bestFit="1" customWidth="1"/>
    <col min="7" max="7" width="14.42578125" bestFit="1" customWidth="1"/>
    <col min="8" max="8" width="16.85546875" customWidth="1"/>
  </cols>
  <sheetData>
    <row r="1" spans="1:7" ht="16.5" thickBot="1">
      <c r="A1" s="72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4" t="s">
        <v>6</v>
      </c>
    </row>
    <row r="2" spans="1:7" ht="16.5" thickTop="1">
      <c r="A2" s="75" t="s">
        <v>7</v>
      </c>
      <c r="B2" s="76">
        <v>1</v>
      </c>
      <c r="C2" s="76" t="s">
        <v>8</v>
      </c>
      <c r="D2" s="77">
        <v>8920</v>
      </c>
      <c r="E2" s="77">
        <f>+D2*B2</f>
        <v>8920</v>
      </c>
      <c r="F2" s="77">
        <f t="shared" ref="F2:F16" si="0">(E2*0.12)</f>
        <v>1070.3999999999999</v>
      </c>
      <c r="G2" s="78">
        <f>(E2+F2)</f>
        <v>9990.4</v>
      </c>
    </row>
    <row r="3" spans="1:7" ht="15.75">
      <c r="A3" s="79" t="s">
        <v>9</v>
      </c>
      <c r="B3" s="80">
        <v>1</v>
      </c>
      <c r="C3" s="80" t="s">
        <v>10</v>
      </c>
      <c r="D3" s="81">
        <v>12290</v>
      </c>
      <c r="E3" s="81">
        <f t="shared" ref="E3:E20" si="1">+D3*B3</f>
        <v>12290</v>
      </c>
      <c r="F3" s="81">
        <f t="shared" si="0"/>
        <v>1474.8</v>
      </c>
      <c r="G3" s="82">
        <f t="shared" ref="G3:G20" si="2">(E3+F3)</f>
        <v>13764.8</v>
      </c>
    </row>
    <row r="4" spans="1:7" ht="15.75">
      <c r="A4" s="79" t="s">
        <v>11</v>
      </c>
      <c r="B4" s="80">
        <v>1</v>
      </c>
      <c r="C4" s="80" t="s">
        <v>12</v>
      </c>
      <c r="D4" s="81">
        <v>3529</v>
      </c>
      <c r="E4" s="81">
        <f t="shared" si="1"/>
        <v>3529</v>
      </c>
      <c r="F4" s="81">
        <f t="shared" si="0"/>
        <v>423.47999999999996</v>
      </c>
      <c r="G4" s="82">
        <f t="shared" si="2"/>
        <v>3952.48</v>
      </c>
    </row>
    <row r="5" spans="1:7" ht="15.75">
      <c r="A5" s="79" t="s">
        <v>13</v>
      </c>
      <c r="B5" s="80">
        <v>1</v>
      </c>
      <c r="C5" s="80" t="s">
        <v>14</v>
      </c>
      <c r="D5" s="81">
        <v>2829</v>
      </c>
      <c r="E5" s="81">
        <f t="shared" si="1"/>
        <v>2829</v>
      </c>
      <c r="F5" s="81">
        <f t="shared" si="0"/>
        <v>339.47999999999996</v>
      </c>
      <c r="G5" s="82">
        <f t="shared" si="2"/>
        <v>3168.48</v>
      </c>
    </row>
    <row r="6" spans="1:7" ht="15.75">
      <c r="A6" s="79" t="s">
        <v>15</v>
      </c>
      <c r="B6" s="80">
        <v>1</v>
      </c>
      <c r="C6" s="80" t="s">
        <v>16</v>
      </c>
      <c r="D6" s="81">
        <v>4283</v>
      </c>
      <c r="E6" s="81">
        <f t="shared" si="1"/>
        <v>4283</v>
      </c>
      <c r="F6" s="81">
        <f t="shared" si="0"/>
        <v>513.96</v>
      </c>
      <c r="G6" s="82">
        <f t="shared" si="2"/>
        <v>4796.96</v>
      </c>
    </row>
    <row r="7" spans="1:7" ht="15.75">
      <c r="A7" s="79" t="s">
        <v>17</v>
      </c>
      <c r="B7" s="80">
        <v>1</v>
      </c>
      <c r="C7" s="80" t="s">
        <v>18</v>
      </c>
      <c r="D7" s="81">
        <v>5890</v>
      </c>
      <c r="E7" s="81">
        <f t="shared" si="1"/>
        <v>5890</v>
      </c>
      <c r="F7" s="81">
        <f t="shared" si="0"/>
        <v>706.8</v>
      </c>
      <c r="G7" s="82">
        <f t="shared" si="2"/>
        <v>6596.8</v>
      </c>
    </row>
    <row r="8" spans="1:7" ht="15.75">
      <c r="A8" s="79" t="s">
        <v>19</v>
      </c>
      <c r="B8" s="80">
        <v>1</v>
      </c>
      <c r="C8" s="80" t="s">
        <v>20</v>
      </c>
      <c r="D8" s="81">
        <v>52000</v>
      </c>
      <c r="E8" s="81">
        <f t="shared" si="1"/>
        <v>52000</v>
      </c>
      <c r="F8" s="81">
        <f t="shared" si="0"/>
        <v>6240</v>
      </c>
      <c r="G8" s="82">
        <f t="shared" si="2"/>
        <v>58240</v>
      </c>
    </row>
    <row r="9" spans="1:7" ht="15.75">
      <c r="A9" s="79" t="s">
        <v>21</v>
      </c>
      <c r="B9" s="80">
        <v>1</v>
      </c>
      <c r="C9" s="80" t="s">
        <v>22</v>
      </c>
      <c r="D9" s="81">
        <v>7865</v>
      </c>
      <c r="E9" s="81">
        <f t="shared" si="1"/>
        <v>7865</v>
      </c>
      <c r="F9" s="81">
        <f t="shared" si="0"/>
        <v>943.8</v>
      </c>
      <c r="G9" s="82">
        <f t="shared" si="2"/>
        <v>8808.7999999999993</v>
      </c>
    </row>
    <row r="10" spans="1:7" ht="15.75">
      <c r="A10" s="79" t="s">
        <v>23</v>
      </c>
      <c r="B10" s="80">
        <v>8</v>
      </c>
      <c r="C10" s="80"/>
      <c r="D10" s="81">
        <v>3500</v>
      </c>
      <c r="E10" s="81">
        <f t="shared" si="1"/>
        <v>28000</v>
      </c>
      <c r="F10" s="81">
        <f t="shared" si="0"/>
        <v>3360</v>
      </c>
      <c r="G10" s="82">
        <f t="shared" si="2"/>
        <v>31360</v>
      </c>
    </row>
    <row r="11" spans="1:7" ht="15.75">
      <c r="A11" s="79" t="s">
        <v>24</v>
      </c>
      <c r="B11" s="80">
        <v>1</v>
      </c>
      <c r="C11" s="80" t="s">
        <v>25</v>
      </c>
      <c r="D11" s="81">
        <v>40000</v>
      </c>
      <c r="E11" s="81">
        <f t="shared" si="1"/>
        <v>40000</v>
      </c>
      <c r="F11" s="81">
        <f t="shared" si="0"/>
        <v>4800</v>
      </c>
      <c r="G11" s="82">
        <f t="shared" si="2"/>
        <v>44800</v>
      </c>
    </row>
    <row r="12" spans="1:7" ht="15.75">
      <c r="A12" s="79" t="s">
        <v>26</v>
      </c>
      <c r="B12" s="80">
        <v>10</v>
      </c>
      <c r="C12" s="80"/>
      <c r="D12" s="81">
        <v>1500</v>
      </c>
      <c r="E12" s="81">
        <f t="shared" si="1"/>
        <v>15000</v>
      </c>
      <c r="F12" s="81">
        <f t="shared" si="0"/>
        <v>1800</v>
      </c>
      <c r="G12" s="82">
        <f t="shared" si="2"/>
        <v>16800</v>
      </c>
    </row>
    <row r="13" spans="1:7" ht="15.75">
      <c r="A13" s="79" t="s">
        <v>27</v>
      </c>
      <c r="B13" s="80">
        <v>2</v>
      </c>
      <c r="C13" s="80"/>
      <c r="D13" s="81">
        <v>10000</v>
      </c>
      <c r="E13" s="81">
        <f t="shared" si="1"/>
        <v>20000</v>
      </c>
      <c r="F13" s="81">
        <f t="shared" si="0"/>
        <v>2400</v>
      </c>
      <c r="G13" s="82">
        <f t="shared" si="2"/>
        <v>22400</v>
      </c>
    </row>
    <row r="14" spans="1:7" ht="15.75">
      <c r="A14" s="79" t="s">
        <v>28</v>
      </c>
      <c r="B14" s="80">
        <v>1</v>
      </c>
      <c r="C14" s="80"/>
      <c r="D14" s="81">
        <v>30000</v>
      </c>
      <c r="E14" s="81">
        <f t="shared" si="1"/>
        <v>30000</v>
      </c>
      <c r="F14" s="81">
        <f t="shared" si="0"/>
        <v>3600</v>
      </c>
      <c r="G14" s="82">
        <f t="shared" si="2"/>
        <v>33600</v>
      </c>
    </row>
    <row r="15" spans="1:7" ht="15.75">
      <c r="A15" s="79" t="s">
        <v>29</v>
      </c>
      <c r="B15" s="80">
        <v>4</v>
      </c>
      <c r="C15" s="80" t="s">
        <v>30</v>
      </c>
      <c r="D15" s="81">
        <v>12000</v>
      </c>
      <c r="E15" s="81">
        <f t="shared" si="1"/>
        <v>48000</v>
      </c>
      <c r="F15" s="81">
        <f t="shared" si="0"/>
        <v>5760</v>
      </c>
      <c r="G15" s="82">
        <f t="shared" si="2"/>
        <v>53760</v>
      </c>
    </row>
    <row r="16" spans="1:7" ht="15.75">
      <c r="A16" s="79" t="s">
        <v>31</v>
      </c>
      <c r="B16" s="80">
        <v>3</v>
      </c>
      <c r="C16" s="80" t="s">
        <v>32</v>
      </c>
      <c r="D16" s="81">
        <v>25000</v>
      </c>
      <c r="E16" s="81">
        <f t="shared" si="1"/>
        <v>75000</v>
      </c>
      <c r="F16" s="81">
        <f t="shared" si="0"/>
        <v>9000</v>
      </c>
      <c r="G16" s="82">
        <f t="shared" si="2"/>
        <v>84000</v>
      </c>
    </row>
    <row r="17" spans="1:7" ht="15.75">
      <c r="A17" s="79" t="s">
        <v>33</v>
      </c>
      <c r="B17" s="80">
        <v>3</v>
      </c>
      <c r="C17" s="80" t="s">
        <v>34</v>
      </c>
      <c r="D17" s="81">
        <v>5000</v>
      </c>
      <c r="E17" s="81">
        <f t="shared" si="1"/>
        <v>15000</v>
      </c>
      <c r="F17" s="81">
        <f>(E17*0.12)</f>
        <v>1800</v>
      </c>
      <c r="G17" s="82">
        <f t="shared" si="2"/>
        <v>16800</v>
      </c>
    </row>
    <row r="18" spans="1:7" ht="15.75">
      <c r="A18" s="79" t="s">
        <v>35</v>
      </c>
      <c r="B18" s="80">
        <v>1</v>
      </c>
      <c r="C18" s="80" t="s">
        <v>36</v>
      </c>
      <c r="D18" s="81">
        <v>100000</v>
      </c>
      <c r="E18" s="81">
        <f t="shared" si="1"/>
        <v>100000</v>
      </c>
      <c r="F18" s="81">
        <f>(E18*0.12)</f>
        <v>12000</v>
      </c>
      <c r="G18" s="82">
        <f t="shared" si="2"/>
        <v>112000</v>
      </c>
    </row>
    <row r="19" spans="1:7" ht="15.75">
      <c r="A19" s="83" t="s">
        <v>37</v>
      </c>
      <c r="B19" s="80">
        <v>1</v>
      </c>
      <c r="C19" s="80"/>
      <c r="D19" s="81">
        <v>145000</v>
      </c>
      <c r="E19" s="81">
        <f t="shared" si="1"/>
        <v>145000</v>
      </c>
      <c r="F19" s="81">
        <f>(E19*0.12)</f>
        <v>17400</v>
      </c>
      <c r="G19" s="81">
        <f t="shared" si="2"/>
        <v>162400</v>
      </c>
    </row>
    <row r="20" spans="1:7" ht="16.5" thickBot="1">
      <c r="A20" s="84" t="s">
        <v>160</v>
      </c>
      <c r="B20" s="85">
        <v>1</v>
      </c>
      <c r="C20" s="85"/>
      <c r="D20" s="86">
        <v>40000</v>
      </c>
      <c r="E20" s="86">
        <f t="shared" si="1"/>
        <v>40000</v>
      </c>
      <c r="F20" s="86">
        <f>(E20*0.12)</f>
        <v>4800</v>
      </c>
      <c r="G20" s="86">
        <f t="shared" si="2"/>
        <v>44800</v>
      </c>
    </row>
    <row r="21" spans="1:7" ht="16.5" thickBot="1">
      <c r="A21" s="321" t="s">
        <v>4</v>
      </c>
      <c r="B21" s="322"/>
      <c r="C21" s="322"/>
      <c r="D21" s="323"/>
      <c r="E21" s="87">
        <f>SUM(E2:E20)</f>
        <v>653606</v>
      </c>
      <c r="F21" s="87">
        <f>SUM(F2:F20)</f>
        <v>78432.72</v>
      </c>
      <c r="G21" s="88">
        <f>SUM(G2:G20)</f>
        <v>732038.72</v>
      </c>
    </row>
    <row r="22" spans="1:7" s="101" customFormat="1" ht="15.75">
      <c r="A22" s="99"/>
      <c r="B22" s="99"/>
      <c r="C22" s="99"/>
      <c r="D22" s="99"/>
      <c r="E22" s="100"/>
      <c r="F22" s="100"/>
      <c r="G22" s="100"/>
    </row>
    <row r="23" spans="1:7" ht="15.75" thickBot="1"/>
    <row r="24" spans="1:7" ht="19.5" thickBot="1">
      <c r="A24" s="324" t="s">
        <v>191</v>
      </c>
      <c r="B24" s="325"/>
    </row>
    <row r="25" spans="1:7" ht="20.25" thickTop="1" thickBot="1">
      <c r="A25" s="89" t="s">
        <v>38</v>
      </c>
      <c r="B25" s="90" t="s">
        <v>39</v>
      </c>
      <c r="D25" s="41" t="s">
        <v>51</v>
      </c>
      <c r="E25" s="42">
        <f>+G21+B36+D44+D52</f>
        <v>1108590.72</v>
      </c>
    </row>
    <row r="26" spans="1:7" ht="19.5" thickTop="1">
      <c r="A26" s="91" t="s">
        <v>40</v>
      </c>
      <c r="B26" s="92">
        <v>17500</v>
      </c>
    </row>
    <row r="27" spans="1:7" ht="18.75">
      <c r="A27" s="93" t="s">
        <v>41</v>
      </c>
      <c r="B27" s="94">
        <v>5000</v>
      </c>
      <c r="E27" s="3"/>
    </row>
    <row r="28" spans="1:7" ht="18.75">
      <c r="A28" s="93" t="s">
        <v>42</v>
      </c>
      <c r="B28" s="94">
        <v>2500</v>
      </c>
    </row>
    <row r="29" spans="1:7" ht="18.75">
      <c r="A29" s="93" t="s">
        <v>43</v>
      </c>
      <c r="B29" s="94">
        <v>16000</v>
      </c>
    </row>
    <row r="30" spans="1:7" ht="18.75">
      <c r="A30" s="93" t="s">
        <v>44</v>
      </c>
      <c r="B30" s="94">
        <v>150000</v>
      </c>
    </row>
    <row r="31" spans="1:7" ht="18.75">
      <c r="A31" s="93" t="s">
        <v>45</v>
      </c>
      <c r="B31" s="94">
        <v>14000</v>
      </c>
    </row>
    <row r="32" spans="1:7" ht="18.75">
      <c r="A32" s="93" t="s">
        <v>46</v>
      </c>
      <c r="B32" s="94">
        <v>160000</v>
      </c>
    </row>
    <row r="33" spans="1:5" ht="18.75">
      <c r="A33" s="93" t="s">
        <v>47</v>
      </c>
      <c r="B33" s="94">
        <v>2500</v>
      </c>
    </row>
    <row r="34" spans="1:5" ht="18.75">
      <c r="A34" s="93" t="s">
        <v>48</v>
      </c>
      <c r="B34" s="94">
        <v>900</v>
      </c>
    </row>
    <row r="35" spans="1:5" ht="19.5" thickBot="1">
      <c r="A35" s="95" t="s">
        <v>49</v>
      </c>
      <c r="B35" s="96">
        <v>3615</v>
      </c>
      <c r="E35" s="8"/>
    </row>
    <row r="36" spans="1:5" ht="20.25" thickTop="1" thickBot="1">
      <c r="A36" s="97" t="s">
        <v>50</v>
      </c>
      <c r="B36" s="98">
        <f>SUM(B26:B35)</f>
        <v>372015</v>
      </c>
    </row>
    <row r="38" spans="1:5" ht="15.75" thickBot="1"/>
    <row r="39" spans="1:5" ht="19.5" thickBot="1">
      <c r="A39" s="102" t="s">
        <v>135</v>
      </c>
      <c r="B39" s="103" t="s">
        <v>1</v>
      </c>
      <c r="C39" s="103" t="s">
        <v>136</v>
      </c>
      <c r="D39" s="104" t="s">
        <v>4</v>
      </c>
    </row>
    <row r="40" spans="1:5" ht="19.5" thickTop="1">
      <c r="A40" s="105" t="s">
        <v>137</v>
      </c>
      <c r="B40" s="106">
        <v>3</v>
      </c>
      <c r="C40" s="107">
        <v>600</v>
      </c>
      <c r="D40" s="108">
        <f>+C40*B40</f>
        <v>1800</v>
      </c>
    </row>
    <row r="41" spans="1:5" ht="18.75">
      <c r="A41" s="109" t="s">
        <v>138</v>
      </c>
      <c r="B41" s="110">
        <v>2</v>
      </c>
      <c r="C41" s="111">
        <v>110</v>
      </c>
      <c r="D41" s="108">
        <f t="shared" ref="D41:D43" si="3">+C41*B41</f>
        <v>220</v>
      </c>
    </row>
    <row r="42" spans="1:5" ht="18.75">
      <c r="A42" s="109" t="s">
        <v>139</v>
      </c>
      <c r="B42" s="110">
        <v>1</v>
      </c>
      <c r="C42" s="111">
        <v>817</v>
      </c>
      <c r="D42" s="108">
        <f t="shared" si="3"/>
        <v>817</v>
      </c>
    </row>
    <row r="43" spans="1:5" ht="19.5" thickBot="1">
      <c r="A43" s="112" t="s">
        <v>140</v>
      </c>
      <c r="B43" s="113">
        <v>1</v>
      </c>
      <c r="C43" s="114">
        <v>120</v>
      </c>
      <c r="D43" s="115">
        <f t="shared" si="3"/>
        <v>120</v>
      </c>
    </row>
    <row r="44" spans="1:5" ht="20.25" thickTop="1" thickBot="1">
      <c r="A44" s="316" t="s">
        <v>4</v>
      </c>
      <c r="B44" s="317"/>
      <c r="C44" s="317"/>
      <c r="D44" s="116">
        <f>SUM(D40:D43)</f>
        <v>2957</v>
      </c>
    </row>
    <row r="45" spans="1:5" ht="15.75">
      <c r="A45" s="30"/>
    </row>
    <row r="46" spans="1:5" ht="16.5" thickBot="1">
      <c r="A46" s="30"/>
    </row>
    <row r="47" spans="1:5" ht="19.5" thickBot="1">
      <c r="A47" s="117" t="s">
        <v>141</v>
      </c>
      <c r="B47" s="118" t="s">
        <v>1</v>
      </c>
      <c r="C47" s="118" t="s">
        <v>136</v>
      </c>
      <c r="D47" s="119" t="s">
        <v>4</v>
      </c>
    </row>
    <row r="48" spans="1:5" ht="19.5" thickTop="1">
      <c r="A48" s="105" t="s">
        <v>142</v>
      </c>
      <c r="B48" s="106">
        <v>3</v>
      </c>
      <c r="C48" s="107">
        <v>170</v>
      </c>
      <c r="D48" s="108">
        <f>+C48*B48</f>
        <v>510</v>
      </c>
    </row>
    <row r="49" spans="1:4" ht="18.75">
      <c r="A49" s="109" t="s">
        <v>143</v>
      </c>
      <c r="B49" s="110">
        <v>8</v>
      </c>
      <c r="C49" s="111">
        <v>45</v>
      </c>
      <c r="D49" s="108">
        <f t="shared" ref="D49:D51" si="4">+C49*B49</f>
        <v>360</v>
      </c>
    </row>
    <row r="50" spans="1:4" ht="18.75">
      <c r="A50" s="109" t="s">
        <v>144</v>
      </c>
      <c r="B50" s="110">
        <v>2</v>
      </c>
      <c r="C50" s="111">
        <v>180</v>
      </c>
      <c r="D50" s="108">
        <f t="shared" si="4"/>
        <v>360</v>
      </c>
    </row>
    <row r="51" spans="1:4" ht="19.5" thickBot="1">
      <c r="A51" s="112" t="s">
        <v>145</v>
      </c>
      <c r="B51" s="113">
        <v>1</v>
      </c>
      <c r="C51" s="114">
        <v>350</v>
      </c>
      <c r="D51" s="115">
        <f t="shared" si="4"/>
        <v>350</v>
      </c>
    </row>
    <row r="52" spans="1:4" ht="20.25" thickTop="1" thickBot="1">
      <c r="A52" s="318" t="s">
        <v>4</v>
      </c>
      <c r="B52" s="319"/>
      <c r="C52" s="320"/>
      <c r="D52" s="116">
        <f>+D48+D49+D50+D51</f>
        <v>1580</v>
      </c>
    </row>
  </sheetData>
  <mergeCells count="4">
    <mergeCell ref="A44:C44"/>
    <mergeCell ref="A52:C52"/>
    <mergeCell ref="A21:D21"/>
    <mergeCell ref="A24:B24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U43"/>
  <sheetViews>
    <sheetView topLeftCell="B1" zoomScale="80" zoomScaleNormal="80" workbookViewId="0">
      <selection activeCell="F30" sqref="F30"/>
    </sheetView>
  </sheetViews>
  <sheetFormatPr baseColWidth="10" defaultRowHeight="15"/>
  <cols>
    <col min="1" max="1" width="5.85546875" customWidth="1"/>
    <col min="2" max="2" width="12" customWidth="1"/>
    <col min="3" max="3" width="32.140625" customWidth="1"/>
    <col min="4" max="4" width="17" customWidth="1"/>
    <col min="5" max="5" width="21.5703125" customWidth="1"/>
    <col min="6" max="6" width="22.5703125" customWidth="1"/>
    <col min="7" max="8" width="22.28515625" customWidth="1"/>
    <col min="9" max="9" width="19.85546875" customWidth="1"/>
    <col min="10" max="14" width="32.140625" customWidth="1"/>
    <col min="15" max="19" width="14.140625" bestFit="1" customWidth="1"/>
    <col min="20" max="44" width="11.5703125" bestFit="1" customWidth="1"/>
    <col min="45" max="73" width="13.140625" bestFit="1" customWidth="1"/>
  </cols>
  <sheetData>
    <row r="1" spans="2:73">
      <c r="C1" s="303" t="s">
        <v>184</v>
      </c>
      <c r="D1" s="303" t="s">
        <v>185</v>
      </c>
      <c r="E1" s="306" t="s">
        <v>186</v>
      </c>
      <c r="F1" s="303" t="s">
        <v>187</v>
      </c>
      <c r="G1" s="1"/>
      <c r="H1" s="303" t="s">
        <v>188</v>
      </c>
      <c r="I1" s="303" t="s">
        <v>189</v>
      </c>
    </row>
    <row r="2" spans="2:73">
      <c r="C2" s="304">
        <v>912.7784444444444</v>
      </c>
      <c r="D2" s="304">
        <v>15.084955555555554</v>
      </c>
      <c r="E2" s="307">
        <v>297.43266666666659</v>
      </c>
      <c r="F2" s="304">
        <v>1225.2960666666665</v>
      </c>
      <c r="G2" s="1"/>
      <c r="H2" s="1">
        <v>755.35</v>
      </c>
      <c r="I2" s="1">
        <v>155.88999999999999</v>
      </c>
      <c r="J2">
        <v>738.55</v>
      </c>
      <c r="K2">
        <f>+J2/C2</f>
        <v>0.80912296351335589</v>
      </c>
    </row>
    <row r="3" spans="2:73">
      <c r="C3" s="304">
        <f>3000*5*0.95*0.85*(C2/28.35)</f>
        <v>389983.38300999405</v>
      </c>
      <c r="D3" s="304">
        <f>3000*50*0.8*0.9*(D2/28.35)</f>
        <v>57466.497354497347</v>
      </c>
      <c r="E3" s="307">
        <f>3000*2200*0.01*0.8*0.9*(E2/100)</f>
        <v>141340.00319999998</v>
      </c>
      <c r="F3" s="304">
        <f>+C3+D3+E3</f>
        <v>588789.88356449129</v>
      </c>
      <c r="G3" s="15">
        <f>+F3*12</f>
        <v>7065478.6027738955</v>
      </c>
      <c r="H3" s="62">
        <f>+(H2-C2)/C2</f>
        <v>-0.17247169387338238</v>
      </c>
      <c r="I3" s="62">
        <f>+(I2-E2)/E2</f>
        <v>-0.47588137595287666</v>
      </c>
    </row>
    <row r="4" spans="2:73">
      <c r="C4" s="305" t="s">
        <v>190</v>
      </c>
      <c r="D4" s="15">
        <v>0</v>
      </c>
      <c r="E4" s="70"/>
      <c r="F4" s="27"/>
      <c r="H4" s="68"/>
      <c r="I4" s="68"/>
    </row>
    <row r="5" spans="2:73" ht="15.75" thickBot="1">
      <c r="C5" s="9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2:73" ht="19.5" customHeight="1" thickBot="1">
      <c r="C6" s="357" t="s">
        <v>114</v>
      </c>
      <c r="D6" s="358"/>
      <c r="E6" s="358"/>
      <c r="F6" s="358"/>
      <c r="G6" s="358"/>
      <c r="H6" s="358"/>
      <c r="I6" s="35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2:73" ht="15.75" thickBot="1">
      <c r="C7" s="48" t="s">
        <v>115</v>
      </c>
      <c r="D7" s="49">
        <v>0</v>
      </c>
      <c r="E7" s="49">
        <v>1</v>
      </c>
      <c r="F7" s="49">
        <v>2</v>
      </c>
      <c r="G7" s="49">
        <v>3</v>
      </c>
      <c r="H7" s="49">
        <v>4</v>
      </c>
      <c r="I7" s="50">
        <v>5</v>
      </c>
      <c r="J7" s="3"/>
      <c r="K7" s="3"/>
      <c r="L7" s="3"/>
      <c r="M7" s="3"/>
      <c r="N7" s="3"/>
      <c r="O7" s="5"/>
      <c r="P7" s="5"/>
      <c r="Q7" s="5"/>
      <c r="R7" s="5"/>
      <c r="S7" s="5"/>
    </row>
    <row r="8" spans="2:73" ht="16.5" thickTop="1">
      <c r="C8" s="271" t="s">
        <v>116</v>
      </c>
      <c r="D8" s="11"/>
      <c r="E8" s="12">
        <f>'Flujo de caja estático'!E4</f>
        <v>6790196.2147668414</v>
      </c>
      <c r="F8" s="12">
        <f>'Flujo de caja estático'!F4</f>
        <v>6790196.2147668414</v>
      </c>
      <c r="G8" s="12">
        <f>'Flujo de caja estático'!G4</f>
        <v>6790196.2147668414</v>
      </c>
      <c r="H8" s="12">
        <f>'Flujo de caja estático'!H4</f>
        <v>6790196.2147668414</v>
      </c>
      <c r="I8" s="13">
        <f>'Flujo de caja estático'!I4</f>
        <v>6790196.2147668414</v>
      </c>
      <c r="J8" s="65"/>
      <c r="K8" s="3"/>
      <c r="L8" s="3"/>
      <c r="M8" s="3"/>
      <c r="N8" s="3"/>
      <c r="O8" s="5"/>
      <c r="P8" s="5"/>
      <c r="Q8" s="5"/>
      <c r="R8" s="5"/>
      <c r="S8" s="5"/>
    </row>
    <row r="9" spans="2:73" ht="15.75">
      <c r="C9" s="272" t="s">
        <v>230</v>
      </c>
      <c r="D9" s="1"/>
      <c r="E9" s="15">
        <f>+COSTOS!$C$51</f>
        <v>4140000</v>
      </c>
      <c r="F9" s="15">
        <f>+COSTOS!$C$51</f>
        <v>4140000</v>
      </c>
      <c r="G9" s="15">
        <f>+COSTOS!$C$51</f>
        <v>4140000</v>
      </c>
      <c r="H9" s="15">
        <f>+COSTOS!$C$51</f>
        <v>4140000</v>
      </c>
      <c r="I9" s="16">
        <f>+COSTOS!$C$51</f>
        <v>4140000</v>
      </c>
      <c r="J9" s="66"/>
      <c r="K9" s="10"/>
      <c r="L9" s="10"/>
      <c r="M9" s="10"/>
      <c r="N9" s="10"/>
      <c r="O9" s="5"/>
      <c r="P9" s="5"/>
      <c r="Q9" s="5"/>
      <c r="R9" s="5"/>
      <c r="S9" s="5"/>
    </row>
    <row r="10" spans="2:73" ht="15.75">
      <c r="C10" s="272" t="s">
        <v>231</v>
      </c>
      <c r="D10" s="1"/>
      <c r="E10" s="15">
        <v>1327815.6000000001</v>
      </c>
      <c r="F10" s="15">
        <f>+E10*(1+$D$4)</f>
        <v>1327815.6000000001</v>
      </c>
      <c r="G10" s="15">
        <f>+F10*(1+$D$4)</f>
        <v>1327815.6000000001</v>
      </c>
      <c r="H10" s="15">
        <f>+G10*(1+$D$4)</f>
        <v>1327815.6000000001</v>
      </c>
      <c r="I10" s="16">
        <f>+H10*(1+$D$4)</f>
        <v>1327815.6000000001</v>
      </c>
      <c r="J10" s="10"/>
      <c r="K10" s="10"/>
      <c r="L10" s="10"/>
      <c r="M10" s="10"/>
      <c r="N10" s="10"/>
      <c r="O10" s="5"/>
      <c r="P10" s="5"/>
      <c r="Q10" s="5"/>
      <c r="R10" s="5"/>
      <c r="S10" s="5"/>
    </row>
    <row r="11" spans="2:73" ht="15.75">
      <c r="C11" s="272" t="s">
        <v>232</v>
      </c>
      <c r="D11" s="1"/>
      <c r="E11" s="15">
        <f>+COSTOS!$D$32</f>
        <v>73800</v>
      </c>
      <c r="F11" s="15">
        <f>+COSTOS!$D$32</f>
        <v>73800</v>
      </c>
      <c r="G11" s="15">
        <f>+COSTOS!$D$32</f>
        <v>73800</v>
      </c>
      <c r="H11" s="15">
        <f>+COSTOS!$D$32</f>
        <v>73800</v>
      </c>
      <c r="I11" s="16">
        <f>+COSTOS!$D$32</f>
        <v>73800</v>
      </c>
      <c r="O11" s="5"/>
      <c r="P11" s="5"/>
      <c r="Q11" s="5"/>
      <c r="R11" s="5"/>
      <c r="S11" s="5"/>
    </row>
    <row r="12" spans="2:73" ht="15.75">
      <c r="C12" s="272" t="s">
        <v>117</v>
      </c>
      <c r="D12" s="1"/>
      <c r="E12" s="18">
        <f>SUM(E9:E11)</f>
        <v>5541615.5999999996</v>
      </c>
      <c r="F12" s="18">
        <f>SUM(F9:F11)</f>
        <v>5541615.5999999996</v>
      </c>
      <c r="G12" s="18">
        <f>SUM(G9:G11)</f>
        <v>5541615.5999999996</v>
      </c>
      <c r="H12" s="18">
        <f>SUM(H9:H11)</f>
        <v>5541615.5999999996</v>
      </c>
      <c r="I12" s="19">
        <f>SUM(I9:I11)</f>
        <v>5541615.5999999996</v>
      </c>
    </row>
    <row r="13" spans="2:73" ht="15.75">
      <c r="C13" s="272" t="s">
        <v>233</v>
      </c>
      <c r="D13" s="1"/>
      <c r="E13" s="15">
        <f>+Prestamos!D11</f>
        <v>61231.638780000001</v>
      </c>
      <c r="F13" s="15">
        <f>+Prestamos!E11</f>
        <v>48985.311023999995</v>
      </c>
      <c r="G13" s="15">
        <f>+Prestamos!F11</f>
        <v>36738.983268000004</v>
      </c>
      <c r="H13" s="15">
        <f>+Prestamos!G11</f>
        <v>24492.655512000001</v>
      </c>
      <c r="I13" s="16">
        <f>+Prestamos!H11</f>
        <v>12246.327756000002</v>
      </c>
    </row>
    <row r="14" spans="2:73" ht="16.5" thickBot="1">
      <c r="B14" s="6"/>
      <c r="C14" s="272" t="s">
        <v>234</v>
      </c>
      <c r="D14" s="1"/>
      <c r="E14" s="17">
        <f>DEPRECIACIÓN!$D$30</f>
        <v>161749.41066666669</v>
      </c>
      <c r="F14" s="17">
        <f>DEPRECIACIÓN!$D$30</f>
        <v>161749.41066666669</v>
      </c>
      <c r="G14" s="17">
        <f>DEPRECIACIÓN!$D$30</f>
        <v>161749.41066666669</v>
      </c>
      <c r="H14" s="17">
        <f>DEPRECIACIÓN!$D$30</f>
        <v>161749.41066666669</v>
      </c>
      <c r="I14" s="33">
        <f>DEPRECIACIÓN!$D$30</f>
        <v>161749.41066666669</v>
      </c>
    </row>
    <row r="15" spans="2:73" ht="16.5" thickTop="1">
      <c r="C15" s="272" t="s">
        <v>235</v>
      </c>
      <c r="D15" s="1"/>
      <c r="E15" s="20">
        <f>E8-E12-E13-E14</f>
        <v>1025599.5653201751</v>
      </c>
      <c r="F15" s="20">
        <f>F8-F12-F13-F14</f>
        <v>1037845.8930761751</v>
      </c>
      <c r="G15" s="20">
        <f>G8-G12-G13-G14</f>
        <v>1050092.2208321751</v>
      </c>
      <c r="H15" s="20">
        <f>H8-H12-H13-H14</f>
        <v>1062338.5485881751</v>
      </c>
      <c r="I15" s="21">
        <f>I8-I12-I13-I14</f>
        <v>1074584.8763441751</v>
      </c>
    </row>
    <row r="16" spans="2:73" ht="16.5" thickBot="1">
      <c r="B16" s="22">
        <v>0.15</v>
      </c>
      <c r="C16" s="272" t="s">
        <v>236</v>
      </c>
      <c r="D16" s="1"/>
      <c r="E16" s="17">
        <f>+E15*0.15</f>
        <v>153839.93479802625</v>
      </c>
      <c r="F16" s="17">
        <f>+F15*0.15</f>
        <v>155676.88396142627</v>
      </c>
      <c r="G16" s="17">
        <f>+G15*0.15</f>
        <v>157513.83312482625</v>
      </c>
      <c r="H16" s="17">
        <f>+H15*0.15</f>
        <v>159350.78228822627</v>
      </c>
      <c r="I16" s="33">
        <f>+I15*0.15</f>
        <v>161187.73145162626</v>
      </c>
    </row>
    <row r="17" spans="2:9" ht="16.5" thickTop="1">
      <c r="C17" s="272" t="s">
        <v>118</v>
      </c>
      <c r="D17" s="1"/>
      <c r="E17" s="20">
        <f>+E15-E16</f>
        <v>871759.63052214892</v>
      </c>
      <c r="F17" s="20">
        <f>+F15-F16</f>
        <v>882169.0091147488</v>
      </c>
      <c r="G17" s="20">
        <f>+G15-G16</f>
        <v>892578.38770734891</v>
      </c>
      <c r="H17" s="20">
        <f>+H15-H16</f>
        <v>902987.76629994879</v>
      </c>
      <c r="I17" s="21">
        <f>+I15-I16</f>
        <v>913397.14489254879</v>
      </c>
    </row>
    <row r="18" spans="2:9" ht="16.5" thickBot="1">
      <c r="B18" s="22">
        <v>0.25</v>
      </c>
      <c r="C18" s="272" t="s">
        <v>237</v>
      </c>
      <c r="D18" s="1"/>
      <c r="E18" s="17">
        <f>+E17*0.25</f>
        <v>217939.90763053723</v>
      </c>
      <c r="F18" s="17">
        <f>+F17*0.25</f>
        <v>220542.2522786872</v>
      </c>
      <c r="G18" s="17">
        <f>+G17*0.25</f>
        <v>223144.59692683723</v>
      </c>
      <c r="H18" s="17">
        <f>+H17*0.25</f>
        <v>225746.9415749872</v>
      </c>
      <c r="I18" s="33">
        <f>+I17*0.25</f>
        <v>228349.2862231372</v>
      </c>
    </row>
    <row r="19" spans="2:9" ht="16.5" thickTop="1">
      <c r="C19" s="272" t="s">
        <v>119</v>
      </c>
      <c r="D19" s="1"/>
      <c r="E19" s="20">
        <f>E17-E18</f>
        <v>653819.72289161175</v>
      </c>
      <c r="F19" s="20">
        <f t="shared" ref="F19:I19" si="0">F17-F18</f>
        <v>661626.7568360616</v>
      </c>
      <c r="G19" s="20">
        <f t="shared" si="0"/>
        <v>669433.79078051168</v>
      </c>
      <c r="H19" s="20">
        <f t="shared" si="0"/>
        <v>677240.82472496154</v>
      </c>
      <c r="I19" s="21">
        <f t="shared" si="0"/>
        <v>685047.85866941162</v>
      </c>
    </row>
    <row r="20" spans="2:9" ht="15.75">
      <c r="C20" s="272" t="s">
        <v>238</v>
      </c>
      <c r="D20" s="1"/>
      <c r="E20" s="15">
        <f>+E14</f>
        <v>161749.41066666669</v>
      </c>
      <c r="F20" s="15">
        <f>+F14</f>
        <v>161749.41066666669</v>
      </c>
      <c r="G20" s="15">
        <f>+G14</f>
        <v>161749.41066666669</v>
      </c>
      <c r="H20" s="15">
        <f>+H14</f>
        <v>161749.41066666669</v>
      </c>
      <c r="I20" s="16">
        <f>+I14</f>
        <v>161749.41066666669</v>
      </c>
    </row>
    <row r="21" spans="2:9" ht="15.75">
      <c r="C21" s="272" t="s">
        <v>239</v>
      </c>
      <c r="D21" s="1"/>
      <c r="E21" s="15">
        <f>+Prestamos!D12</f>
        <v>94202.521199999988</v>
      </c>
      <c r="F21" s="15">
        <f>+Prestamos!E12</f>
        <v>94202.521199999988</v>
      </c>
      <c r="G21" s="15">
        <f>+Prestamos!F12</f>
        <v>94202.521199999988</v>
      </c>
      <c r="H21" s="15">
        <f>+Prestamos!G12</f>
        <v>94202.521199999988</v>
      </c>
      <c r="I21" s="16">
        <f>+Prestamos!H12</f>
        <v>94202.521199999988</v>
      </c>
    </row>
    <row r="22" spans="2:9" ht="15.75">
      <c r="C22" s="272" t="s">
        <v>240</v>
      </c>
      <c r="D22" s="1"/>
      <c r="E22" s="15"/>
      <c r="F22" s="15"/>
      <c r="G22" s="15">
        <f>+Reinversion!E9</f>
        <v>2020</v>
      </c>
      <c r="H22" s="15"/>
      <c r="I22" s="16">
        <f>+Reinversion!G9</f>
        <v>937</v>
      </c>
    </row>
    <row r="23" spans="2:9" ht="15.75">
      <c r="C23" s="272" t="s">
        <v>241</v>
      </c>
      <c r="D23" s="23">
        <f>+MAQUINARIA!E25</f>
        <v>1108590.72</v>
      </c>
      <c r="E23" s="15"/>
      <c r="F23" s="69"/>
      <c r="G23" s="69"/>
      <c r="H23" s="69"/>
      <c r="I23" s="302"/>
    </row>
    <row r="24" spans="2:9" ht="15.75">
      <c r="C24" s="272" t="s">
        <v>242</v>
      </c>
      <c r="D24" s="23">
        <f>Prestamos!$C$5</f>
        <v>461451.3</v>
      </c>
      <c r="E24" s="15"/>
      <c r="F24" s="15"/>
      <c r="G24" s="15"/>
      <c r="H24" s="15"/>
      <c r="I24" s="16">
        <f>D24</f>
        <v>461451.3</v>
      </c>
    </row>
    <row r="25" spans="2:9" ht="15.75">
      <c r="C25" s="272" t="s">
        <v>243</v>
      </c>
      <c r="D25" s="63">
        <f>Prestamos!$F$4</f>
        <v>471012.60599999997</v>
      </c>
      <c r="E25" s="36"/>
      <c r="F25" s="36"/>
      <c r="G25" s="36"/>
      <c r="H25" s="36"/>
      <c r="I25" s="64"/>
    </row>
    <row r="26" spans="2:9" ht="16.5" thickBot="1">
      <c r="C26" s="272" t="s">
        <v>244</v>
      </c>
      <c r="D26" s="24"/>
      <c r="E26" s="17"/>
      <c r="F26" s="17"/>
      <c r="G26" s="17"/>
      <c r="H26" s="17"/>
      <c r="I26" s="25">
        <v>75000</v>
      </c>
    </row>
    <row r="27" spans="2:9" ht="16.5" thickTop="1">
      <c r="C27" s="14" t="s">
        <v>114</v>
      </c>
      <c r="D27" s="18">
        <f>-SUM(D23:D24)+D25</f>
        <v>-1099029.4140000001</v>
      </c>
      <c r="E27" s="18">
        <f>SUM(E19+E20-E21-E22)</f>
        <v>721366.61235827848</v>
      </c>
      <c r="F27" s="18">
        <f t="shared" ref="F27:H27" si="1">SUM(F19+F20-F21-F22)</f>
        <v>729173.64630272833</v>
      </c>
      <c r="G27" s="18">
        <f t="shared" si="1"/>
        <v>734960.68024717842</v>
      </c>
      <c r="H27" s="18">
        <f t="shared" si="1"/>
        <v>744787.71419162827</v>
      </c>
      <c r="I27" s="19">
        <f>SUM(I19+I20-I21-I22+I24+I26)</f>
        <v>1288109.0481360783</v>
      </c>
    </row>
    <row r="28" spans="2:9" ht="16.5" thickBot="1">
      <c r="C28" s="51" t="s">
        <v>148</v>
      </c>
      <c r="D28" s="52">
        <f>+D27</f>
        <v>-1099029.4140000001</v>
      </c>
      <c r="E28" s="52">
        <f>+D28+E27</f>
        <v>-377662.80164172163</v>
      </c>
      <c r="F28" s="52">
        <f>+E28+F27</f>
        <v>351510.8446610067</v>
      </c>
      <c r="G28" s="52">
        <f>+F28+G27</f>
        <v>1086471.524908185</v>
      </c>
      <c r="H28" s="52">
        <f>+G28+H27</f>
        <v>1831259.2390998132</v>
      </c>
      <c r="I28" s="53">
        <f>+H28+I27</f>
        <v>3119368.2872358914</v>
      </c>
    </row>
    <row r="29" spans="2:9" ht="15.75" thickBot="1">
      <c r="C29" s="43" t="s">
        <v>121</v>
      </c>
      <c r="D29" s="44">
        <f>NPV(H29,E27:I27)+D27</f>
        <v>1770320.9088435338</v>
      </c>
      <c r="E29" s="45"/>
      <c r="F29" s="378" t="s">
        <v>122</v>
      </c>
      <c r="G29" s="379"/>
      <c r="H29" s="46">
        <f>+C36</f>
        <v>0.13070379999999998</v>
      </c>
      <c r="I29" s="47"/>
    </row>
    <row r="30" spans="2:9" ht="15.75" thickBot="1">
      <c r="C30" s="26" t="s">
        <v>123</v>
      </c>
      <c r="D30" s="67">
        <f>IRR(D27:I27)</f>
        <v>0.63338562176190483</v>
      </c>
    </row>
    <row r="31" spans="2:9">
      <c r="C31" s="27"/>
    </row>
    <row r="33" spans="3:7" ht="15.75" thickBot="1"/>
    <row r="34" spans="3:7" ht="15.75" thickBot="1">
      <c r="C34" s="40" t="s">
        <v>176</v>
      </c>
      <c r="E34" s="60" t="s">
        <v>161</v>
      </c>
      <c r="F34" s="37">
        <v>4.5900000000000003E-2</v>
      </c>
      <c r="G34" s="276"/>
    </row>
    <row r="35" spans="3:7" ht="15.75" thickBot="1">
      <c r="C35" s="278" t="s">
        <v>175</v>
      </c>
      <c r="E35" s="61" t="s">
        <v>162</v>
      </c>
      <c r="F35" s="38">
        <v>0.1045</v>
      </c>
      <c r="G35" s="276"/>
    </row>
    <row r="36" spans="3:7" ht="16.5" thickTop="1" thickBot="1">
      <c r="C36" s="55">
        <f>+Prestamos!D4*(1-sensibilidad!B18)*Prestamos!F2+sensibilidad!F37*(1-Prestamos!F2)</f>
        <v>0.13070379999999998</v>
      </c>
      <c r="E36" s="61" t="s">
        <v>183</v>
      </c>
      <c r="F36" s="16">
        <v>1.69</v>
      </c>
      <c r="G36" s="276"/>
    </row>
    <row r="37" spans="3:7" ht="16.5" thickBot="1">
      <c r="E37" s="275" t="s">
        <v>163</v>
      </c>
      <c r="F37" s="39">
        <f>+F34+F36*(F35-F34)</f>
        <v>0.14493399999999998</v>
      </c>
      <c r="G37" s="276"/>
    </row>
    <row r="39" spans="3:7">
      <c r="E39" s="57"/>
      <c r="F39" s="57"/>
      <c r="G39" s="57"/>
    </row>
    <row r="40" spans="3:7" ht="15.75" thickBot="1">
      <c r="E40" s="58"/>
      <c r="F40" s="59" t="s">
        <v>178</v>
      </c>
      <c r="G40" s="58"/>
    </row>
    <row r="41" spans="3:7">
      <c r="E41" s="57" t="s">
        <v>179</v>
      </c>
      <c r="F41" s="57" t="s">
        <v>180</v>
      </c>
      <c r="G41" s="57" t="s">
        <v>181</v>
      </c>
    </row>
    <row r="42" spans="3:7">
      <c r="E42" s="57"/>
      <c r="F42" s="57"/>
      <c r="G42" s="57"/>
    </row>
    <row r="43" spans="3:7">
      <c r="E43" s="57"/>
      <c r="F43" s="57"/>
      <c r="G43" s="57"/>
    </row>
  </sheetData>
  <mergeCells count="2">
    <mergeCell ref="C6:I6"/>
    <mergeCell ref="F29:G29"/>
  </mergeCells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opLeftCell="A4" workbookViewId="0">
      <selection activeCell="H21" sqref="H21"/>
    </sheetView>
  </sheetViews>
  <sheetFormatPr baseColWidth="10" defaultRowHeight="15"/>
  <cols>
    <col min="1" max="1" width="27.140625" bestFit="1" customWidth="1"/>
    <col min="2" max="2" width="13" bestFit="1" customWidth="1"/>
    <col min="3" max="3" width="9.7109375" bestFit="1" customWidth="1"/>
    <col min="4" max="4" width="13" bestFit="1" customWidth="1"/>
    <col min="6" max="6" width="13" bestFit="1" customWidth="1"/>
    <col min="7" max="7" width="12" bestFit="1" customWidth="1"/>
  </cols>
  <sheetData>
    <row r="1" spans="1:7" ht="30.75" thickBot="1">
      <c r="A1" s="120" t="s">
        <v>0</v>
      </c>
      <c r="B1" s="121" t="s">
        <v>6</v>
      </c>
      <c r="C1" s="121" t="s">
        <v>192</v>
      </c>
      <c r="D1" s="121" t="s">
        <v>193</v>
      </c>
      <c r="E1" s="121" t="s">
        <v>194</v>
      </c>
      <c r="F1" s="121" t="s">
        <v>195</v>
      </c>
      <c r="G1" s="122" t="s">
        <v>196</v>
      </c>
    </row>
    <row r="2" spans="1:7" ht="15.75" thickTop="1">
      <c r="A2" s="31" t="s">
        <v>7</v>
      </c>
      <c r="B2" s="12">
        <v>9990.4</v>
      </c>
      <c r="C2" s="123">
        <v>5</v>
      </c>
      <c r="D2" s="12">
        <f>+$B2/$C2</f>
        <v>1998.08</v>
      </c>
      <c r="E2" s="124">
        <v>5</v>
      </c>
      <c r="F2" s="12">
        <f>D2*E2</f>
        <v>9990.4</v>
      </c>
      <c r="G2" s="13">
        <f>B2-F2</f>
        <v>0</v>
      </c>
    </row>
    <row r="3" spans="1:7">
      <c r="A3" s="29" t="s">
        <v>9</v>
      </c>
      <c r="B3" s="15">
        <v>13764.8</v>
      </c>
      <c r="C3" s="71">
        <v>5</v>
      </c>
      <c r="D3" s="15">
        <f t="shared" ref="D3:D29" si="0">+$B3/$C3</f>
        <v>2752.96</v>
      </c>
      <c r="E3" s="125">
        <v>5</v>
      </c>
      <c r="F3" s="15">
        <f t="shared" ref="F3:F28" si="1">D3*E3</f>
        <v>13764.8</v>
      </c>
      <c r="G3" s="16">
        <f t="shared" ref="G3:G29" si="2">B3-F3</f>
        <v>0</v>
      </c>
    </row>
    <row r="4" spans="1:7">
      <c r="A4" s="29" t="s">
        <v>11</v>
      </c>
      <c r="B4" s="15">
        <v>3952.48</v>
      </c>
      <c r="C4" s="71">
        <v>5</v>
      </c>
      <c r="D4" s="15">
        <f t="shared" si="0"/>
        <v>790.49599999999998</v>
      </c>
      <c r="E4" s="125">
        <v>5</v>
      </c>
      <c r="F4" s="15">
        <f t="shared" si="1"/>
        <v>3952.48</v>
      </c>
      <c r="G4" s="16">
        <f t="shared" si="2"/>
        <v>0</v>
      </c>
    </row>
    <row r="5" spans="1:7">
      <c r="A5" s="29" t="s">
        <v>13</v>
      </c>
      <c r="B5" s="15">
        <v>3168.48</v>
      </c>
      <c r="C5" s="71">
        <v>5</v>
      </c>
      <c r="D5" s="15">
        <f t="shared" si="0"/>
        <v>633.69600000000003</v>
      </c>
      <c r="E5" s="125">
        <v>5</v>
      </c>
      <c r="F5" s="15">
        <f t="shared" si="1"/>
        <v>3168.48</v>
      </c>
      <c r="G5" s="16">
        <f t="shared" si="2"/>
        <v>0</v>
      </c>
    </row>
    <row r="6" spans="1:7">
      <c r="A6" s="29" t="s">
        <v>15</v>
      </c>
      <c r="B6" s="15">
        <v>4796.96</v>
      </c>
      <c r="C6" s="71">
        <v>5</v>
      </c>
      <c r="D6" s="15">
        <f t="shared" si="0"/>
        <v>959.39200000000005</v>
      </c>
      <c r="E6" s="125">
        <v>5</v>
      </c>
      <c r="F6" s="15">
        <f t="shared" si="1"/>
        <v>4796.96</v>
      </c>
      <c r="G6" s="16">
        <f t="shared" si="2"/>
        <v>0</v>
      </c>
    </row>
    <row r="7" spans="1:7">
      <c r="A7" s="29" t="s">
        <v>17</v>
      </c>
      <c r="B7" s="15">
        <v>6596.8</v>
      </c>
      <c r="C7" s="71">
        <v>5</v>
      </c>
      <c r="D7" s="15">
        <f t="shared" si="0"/>
        <v>1319.3600000000001</v>
      </c>
      <c r="E7" s="125">
        <v>5</v>
      </c>
      <c r="F7" s="15">
        <f t="shared" si="1"/>
        <v>6596.8000000000011</v>
      </c>
      <c r="G7" s="16">
        <f t="shared" si="2"/>
        <v>0</v>
      </c>
    </row>
    <row r="8" spans="1:7">
      <c r="A8" s="29" t="s">
        <v>19</v>
      </c>
      <c r="B8" s="15">
        <v>58240</v>
      </c>
      <c r="C8" s="71">
        <v>5</v>
      </c>
      <c r="D8" s="15">
        <f t="shared" si="0"/>
        <v>11648</v>
      </c>
      <c r="E8" s="125">
        <v>5</v>
      </c>
      <c r="F8" s="15">
        <f t="shared" si="1"/>
        <v>58240</v>
      </c>
      <c r="G8" s="16">
        <f t="shared" si="2"/>
        <v>0</v>
      </c>
    </row>
    <row r="9" spans="1:7">
      <c r="A9" s="29" t="s">
        <v>21</v>
      </c>
      <c r="B9" s="15">
        <v>8808.7999999999993</v>
      </c>
      <c r="C9" s="71">
        <v>5</v>
      </c>
      <c r="D9" s="15">
        <f t="shared" si="0"/>
        <v>1761.7599999999998</v>
      </c>
      <c r="E9" s="125">
        <v>5</v>
      </c>
      <c r="F9" s="15">
        <f t="shared" si="1"/>
        <v>8808.7999999999993</v>
      </c>
      <c r="G9" s="16">
        <f t="shared" si="2"/>
        <v>0</v>
      </c>
    </row>
    <row r="10" spans="1:7">
      <c r="A10" s="29" t="s">
        <v>23</v>
      </c>
      <c r="B10" s="15">
        <v>31360</v>
      </c>
      <c r="C10" s="71">
        <v>5</v>
      </c>
      <c r="D10" s="15">
        <f t="shared" si="0"/>
        <v>6272</v>
      </c>
      <c r="E10" s="125">
        <v>5</v>
      </c>
      <c r="F10" s="15">
        <f t="shared" si="1"/>
        <v>31360</v>
      </c>
      <c r="G10" s="16">
        <f t="shared" si="2"/>
        <v>0</v>
      </c>
    </row>
    <row r="11" spans="1:7">
      <c r="A11" s="29" t="s">
        <v>24</v>
      </c>
      <c r="B11" s="15">
        <v>44800</v>
      </c>
      <c r="C11" s="71">
        <v>5</v>
      </c>
      <c r="D11" s="15">
        <f t="shared" si="0"/>
        <v>8960</v>
      </c>
      <c r="E11" s="125">
        <v>5</v>
      </c>
      <c r="F11" s="15">
        <f t="shared" si="1"/>
        <v>44800</v>
      </c>
      <c r="G11" s="16">
        <f t="shared" si="2"/>
        <v>0</v>
      </c>
    </row>
    <row r="12" spans="1:7">
      <c r="A12" s="29" t="s">
        <v>26</v>
      </c>
      <c r="B12" s="15">
        <v>16800</v>
      </c>
      <c r="C12" s="71">
        <v>5</v>
      </c>
      <c r="D12" s="15">
        <f t="shared" si="0"/>
        <v>3360</v>
      </c>
      <c r="E12" s="125">
        <v>5</v>
      </c>
      <c r="F12" s="15">
        <f t="shared" si="1"/>
        <v>16800</v>
      </c>
      <c r="G12" s="16">
        <f t="shared" si="2"/>
        <v>0</v>
      </c>
    </row>
    <row r="13" spans="1:7">
      <c r="A13" s="29" t="s">
        <v>27</v>
      </c>
      <c r="B13" s="15">
        <v>22400</v>
      </c>
      <c r="C13" s="71">
        <v>5</v>
      </c>
      <c r="D13" s="15">
        <f t="shared" si="0"/>
        <v>4480</v>
      </c>
      <c r="E13" s="125">
        <v>5</v>
      </c>
      <c r="F13" s="15">
        <f t="shared" si="1"/>
        <v>22400</v>
      </c>
      <c r="G13" s="16">
        <f t="shared" si="2"/>
        <v>0</v>
      </c>
    </row>
    <row r="14" spans="1:7">
      <c r="A14" s="29" t="s">
        <v>28</v>
      </c>
      <c r="B14" s="15">
        <v>33600</v>
      </c>
      <c r="C14" s="71">
        <v>5</v>
      </c>
      <c r="D14" s="15">
        <f t="shared" si="0"/>
        <v>6720</v>
      </c>
      <c r="E14" s="125">
        <v>5</v>
      </c>
      <c r="F14" s="15">
        <f t="shared" si="1"/>
        <v>33600</v>
      </c>
      <c r="G14" s="16">
        <f t="shared" si="2"/>
        <v>0</v>
      </c>
    </row>
    <row r="15" spans="1:7">
      <c r="A15" s="29" t="s">
        <v>29</v>
      </c>
      <c r="B15" s="15">
        <v>53760</v>
      </c>
      <c r="C15" s="71">
        <v>5</v>
      </c>
      <c r="D15" s="15">
        <f t="shared" si="0"/>
        <v>10752</v>
      </c>
      <c r="E15" s="125">
        <v>5</v>
      </c>
      <c r="F15" s="15">
        <f t="shared" si="1"/>
        <v>53760</v>
      </c>
      <c r="G15" s="16">
        <f t="shared" si="2"/>
        <v>0</v>
      </c>
    </row>
    <row r="16" spans="1:7">
      <c r="A16" s="29" t="s">
        <v>31</v>
      </c>
      <c r="B16" s="15">
        <v>84000</v>
      </c>
      <c r="C16" s="71">
        <v>5</v>
      </c>
      <c r="D16" s="15">
        <f t="shared" si="0"/>
        <v>16800</v>
      </c>
      <c r="E16" s="125">
        <v>5</v>
      </c>
      <c r="F16" s="15">
        <f t="shared" si="1"/>
        <v>84000</v>
      </c>
      <c r="G16" s="16">
        <f t="shared" si="2"/>
        <v>0</v>
      </c>
    </row>
    <row r="17" spans="1:7">
      <c r="A17" s="29" t="s">
        <v>33</v>
      </c>
      <c r="B17" s="15">
        <v>16800</v>
      </c>
      <c r="C17" s="71">
        <v>5</v>
      </c>
      <c r="D17" s="15">
        <f t="shared" si="0"/>
        <v>3360</v>
      </c>
      <c r="E17" s="125">
        <v>5</v>
      </c>
      <c r="F17" s="15">
        <f t="shared" si="1"/>
        <v>16800</v>
      </c>
      <c r="G17" s="16">
        <f t="shared" si="2"/>
        <v>0</v>
      </c>
    </row>
    <row r="18" spans="1:7">
      <c r="A18" s="29" t="s">
        <v>35</v>
      </c>
      <c r="B18" s="15">
        <v>112000</v>
      </c>
      <c r="C18" s="71">
        <v>5</v>
      </c>
      <c r="D18" s="15">
        <f t="shared" si="0"/>
        <v>22400</v>
      </c>
      <c r="E18" s="125">
        <v>5</v>
      </c>
      <c r="F18" s="15">
        <f t="shared" si="1"/>
        <v>112000</v>
      </c>
      <c r="G18" s="16">
        <f t="shared" si="2"/>
        <v>0</v>
      </c>
    </row>
    <row r="19" spans="1:7">
      <c r="A19" s="29" t="s">
        <v>37</v>
      </c>
      <c r="B19" s="15">
        <v>162400</v>
      </c>
      <c r="C19" s="71">
        <v>5</v>
      </c>
      <c r="D19" s="15">
        <f t="shared" si="0"/>
        <v>32480</v>
      </c>
      <c r="E19" s="125">
        <v>5</v>
      </c>
      <c r="F19" s="15">
        <f t="shared" si="1"/>
        <v>162400</v>
      </c>
      <c r="G19" s="16">
        <f t="shared" si="2"/>
        <v>0</v>
      </c>
    </row>
    <row r="20" spans="1:7">
      <c r="A20" s="29" t="s">
        <v>44</v>
      </c>
      <c r="B20" s="15">
        <v>150000</v>
      </c>
      <c r="C20" s="71">
        <v>10</v>
      </c>
      <c r="D20" s="15">
        <f t="shared" si="0"/>
        <v>15000</v>
      </c>
      <c r="E20" s="125">
        <v>5</v>
      </c>
      <c r="F20" s="15">
        <f t="shared" si="1"/>
        <v>75000</v>
      </c>
      <c r="G20" s="16">
        <f t="shared" si="2"/>
        <v>75000</v>
      </c>
    </row>
    <row r="21" spans="1:7">
      <c r="A21" s="29" t="s">
        <v>137</v>
      </c>
      <c r="B21" s="15">
        <v>1800</v>
      </c>
      <c r="C21" s="71">
        <v>3</v>
      </c>
      <c r="D21" s="15">
        <f t="shared" si="0"/>
        <v>600</v>
      </c>
      <c r="E21" s="125">
        <v>3</v>
      </c>
      <c r="F21" s="15">
        <f t="shared" si="1"/>
        <v>1800</v>
      </c>
      <c r="G21" s="16">
        <f t="shared" si="2"/>
        <v>0</v>
      </c>
    </row>
    <row r="22" spans="1:7">
      <c r="A22" s="29" t="s">
        <v>138</v>
      </c>
      <c r="B22" s="15">
        <v>220</v>
      </c>
      <c r="C22" s="71">
        <v>3</v>
      </c>
      <c r="D22" s="15">
        <f t="shared" si="0"/>
        <v>73.333333333333329</v>
      </c>
      <c r="E22" s="125">
        <v>3</v>
      </c>
      <c r="F22" s="15">
        <f t="shared" si="1"/>
        <v>220</v>
      </c>
      <c r="G22" s="16">
        <f t="shared" si="2"/>
        <v>0</v>
      </c>
    </row>
    <row r="23" spans="1:7">
      <c r="A23" s="29" t="s">
        <v>139</v>
      </c>
      <c r="B23" s="15">
        <v>817</v>
      </c>
      <c r="C23" s="71">
        <v>3</v>
      </c>
      <c r="D23" s="15">
        <f t="shared" si="0"/>
        <v>272.33333333333331</v>
      </c>
      <c r="E23" s="125">
        <v>3</v>
      </c>
      <c r="F23" s="15">
        <f t="shared" si="1"/>
        <v>817</v>
      </c>
      <c r="G23" s="16">
        <f t="shared" si="2"/>
        <v>0</v>
      </c>
    </row>
    <row r="24" spans="1:7">
      <c r="A24" s="29" t="s">
        <v>140</v>
      </c>
      <c r="B24" s="15">
        <v>120</v>
      </c>
      <c r="C24" s="71">
        <v>3</v>
      </c>
      <c r="D24" s="15">
        <f t="shared" si="0"/>
        <v>40</v>
      </c>
      <c r="E24" s="125">
        <v>3</v>
      </c>
      <c r="F24" s="15">
        <f t="shared" si="1"/>
        <v>120</v>
      </c>
      <c r="G24" s="16">
        <f t="shared" si="2"/>
        <v>0</v>
      </c>
    </row>
    <row r="25" spans="1:7">
      <c r="A25" s="29" t="s">
        <v>142</v>
      </c>
      <c r="B25" s="15">
        <v>510</v>
      </c>
      <c r="C25" s="71">
        <v>5</v>
      </c>
      <c r="D25" s="15">
        <f t="shared" si="0"/>
        <v>102</v>
      </c>
      <c r="E25" s="125">
        <v>5</v>
      </c>
      <c r="F25" s="15">
        <f t="shared" si="1"/>
        <v>510</v>
      </c>
      <c r="G25" s="16">
        <f t="shared" si="2"/>
        <v>0</v>
      </c>
    </row>
    <row r="26" spans="1:7">
      <c r="A26" s="29" t="s">
        <v>143</v>
      </c>
      <c r="B26" s="15">
        <v>360</v>
      </c>
      <c r="C26" s="71">
        <v>5</v>
      </c>
      <c r="D26" s="15">
        <f t="shared" si="0"/>
        <v>72</v>
      </c>
      <c r="E26" s="125">
        <v>5</v>
      </c>
      <c r="F26" s="15">
        <f t="shared" si="1"/>
        <v>360</v>
      </c>
      <c r="G26" s="16">
        <f t="shared" si="2"/>
        <v>0</v>
      </c>
    </row>
    <row r="27" spans="1:7">
      <c r="A27" s="29" t="s">
        <v>144</v>
      </c>
      <c r="B27" s="15">
        <v>360</v>
      </c>
      <c r="C27" s="71">
        <v>5</v>
      </c>
      <c r="D27" s="15">
        <f t="shared" si="0"/>
        <v>72</v>
      </c>
      <c r="E27" s="125">
        <v>5</v>
      </c>
      <c r="F27" s="15">
        <f t="shared" si="1"/>
        <v>360</v>
      </c>
      <c r="G27" s="16">
        <f t="shared" si="2"/>
        <v>0</v>
      </c>
    </row>
    <row r="28" spans="1:7">
      <c r="A28" s="29" t="s">
        <v>145</v>
      </c>
      <c r="B28" s="15">
        <v>350</v>
      </c>
      <c r="C28" s="71">
        <v>5</v>
      </c>
      <c r="D28" s="15">
        <f t="shared" si="0"/>
        <v>70</v>
      </c>
      <c r="E28" s="125">
        <v>5</v>
      </c>
      <c r="F28" s="15">
        <f t="shared" si="1"/>
        <v>350</v>
      </c>
      <c r="G28" s="16">
        <f t="shared" si="2"/>
        <v>0</v>
      </c>
    </row>
    <row r="29" spans="1:7" ht="15.75" thickBot="1">
      <c r="A29" s="32" t="s">
        <v>160</v>
      </c>
      <c r="B29" s="17">
        <v>40000</v>
      </c>
      <c r="C29" s="126">
        <v>5</v>
      </c>
      <c r="D29" s="17">
        <f t="shared" si="0"/>
        <v>8000</v>
      </c>
      <c r="E29" s="127">
        <v>5</v>
      </c>
      <c r="F29" s="17">
        <f>D29*E29</f>
        <v>40000</v>
      </c>
      <c r="G29" s="33">
        <f t="shared" si="2"/>
        <v>0</v>
      </c>
    </row>
    <row r="30" spans="1:7" ht="16.5" thickTop="1" thickBot="1">
      <c r="A30" s="326" t="s">
        <v>159</v>
      </c>
      <c r="B30" s="327"/>
      <c r="C30" s="327"/>
      <c r="D30" s="128">
        <f>SUM(D2:D29)</f>
        <v>161749.41066666669</v>
      </c>
      <c r="E30" s="328" t="s">
        <v>120</v>
      </c>
      <c r="F30" s="329"/>
      <c r="G30" s="129">
        <f t="shared" ref="G30" si="3">SUM(G2:G29)</f>
        <v>75000</v>
      </c>
    </row>
  </sheetData>
  <mergeCells count="2">
    <mergeCell ref="A30:C30"/>
    <mergeCell ref="E30:F30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sqref="A1:G1"/>
    </sheetView>
  </sheetViews>
  <sheetFormatPr baseColWidth="10" defaultRowHeight="15"/>
  <cols>
    <col min="1" max="1" width="21.140625" customWidth="1"/>
    <col min="2" max="2" width="19.85546875" customWidth="1"/>
    <col min="3" max="3" width="17.28515625" customWidth="1"/>
    <col min="4" max="4" width="16.28515625" customWidth="1"/>
    <col min="5" max="5" width="13.28515625" bestFit="1" customWidth="1"/>
    <col min="6" max="6" width="16.7109375" customWidth="1"/>
    <col min="7" max="7" width="14.42578125" customWidth="1"/>
  </cols>
  <sheetData>
    <row r="1" spans="1:7" ht="16.5" thickBot="1">
      <c r="A1" s="330" t="s">
        <v>107</v>
      </c>
      <c r="B1" s="331"/>
      <c r="C1" s="331"/>
      <c r="D1" s="331"/>
      <c r="E1" s="331"/>
      <c r="F1" s="331"/>
      <c r="G1" s="332"/>
    </row>
    <row r="2" spans="1:7" ht="15.75">
      <c r="A2" s="338" t="s">
        <v>52</v>
      </c>
      <c r="B2" s="340" t="s">
        <v>53</v>
      </c>
      <c r="C2" s="130" t="s">
        <v>54</v>
      </c>
      <c r="D2" s="130" t="s">
        <v>55</v>
      </c>
      <c r="E2" s="130" t="s">
        <v>56</v>
      </c>
      <c r="F2" s="130" t="s">
        <v>57</v>
      </c>
      <c r="G2" s="131" t="s">
        <v>54</v>
      </c>
    </row>
    <row r="3" spans="1:7" ht="16.5" thickBot="1">
      <c r="A3" s="339"/>
      <c r="B3" s="341"/>
      <c r="C3" s="132" t="s">
        <v>58</v>
      </c>
      <c r="D3" s="132" t="s">
        <v>59</v>
      </c>
      <c r="E3" s="132" t="s">
        <v>60</v>
      </c>
      <c r="F3" s="132" t="s">
        <v>61</v>
      </c>
      <c r="G3" s="133" t="s">
        <v>62</v>
      </c>
    </row>
    <row r="4" spans="1:7" ht="16.5" thickTop="1">
      <c r="A4" s="134" t="s">
        <v>63</v>
      </c>
      <c r="B4" s="135">
        <v>2</v>
      </c>
      <c r="C4" s="136">
        <v>4.0999999999999996</v>
      </c>
      <c r="D4" s="137">
        <f>(C4*120)</f>
        <v>491.99999999999994</v>
      </c>
      <c r="E4" s="136">
        <f>(D4*25)</f>
        <v>12299.999999999998</v>
      </c>
      <c r="F4" s="136">
        <f>(E4*12)</f>
        <v>147599.99999999997</v>
      </c>
      <c r="G4" s="138">
        <f>+F4/36000</f>
        <v>4.0999999999999988</v>
      </c>
    </row>
    <row r="5" spans="1:7" ht="15.75">
      <c r="A5" s="139" t="s">
        <v>64</v>
      </c>
      <c r="B5" s="140">
        <v>0.5</v>
      </c>
      <c r="C5" s="141">
        <v>2.96</v>
      </c>
      <c r="D5" s="142">
        <f t="shared" ref="D5:D10" si="0">(C5*120)</f>
        <v>355.2</v>
      </c>
      <c r="E5" s="141">
        <f t="shared" ref="E5:E10" si="1">(D5*25)</f>
        <v>8880</v>
      </c>
      <c r="F5" s="141">
        <f t="shared" ref="F5:F10" si="2">(E5*12)</f>
        <v>106560</v>
      </c>
      <c r="G5" s="138">
        <f t="shared" ref="G5:G10" si="3">+F5/36000</f>
        <v>2.96</v>
      </c>
    </row>
    <row r="6" spans="1:7" ht="15.75">
      <c r="A6" s="139" t="s">
        <v>65</v>
      </c>
      <c r="B6" s="140">
        <v>0.3</v>
      </c>
      <c r="C6" s="141">
        <v>2.75</v>
      </c>
      <c r="D6" s="142">
        <f t="shared" si="0"/>
        <v>330</v>
      </c>
      <c r="E6" s="141">
        <f t="shared" si="1"/>
        <v>8250</v>
      </c>
      <c r="F6" s="141">
        <f t="shared" si="2"/>
        <v>99000</v>
      </c>
      <c r="G6" s="138">
        <f t="shared" si="3"/>
        <v>2.75</v>
      </c>
    </row>
    <row r="7" spans="1:7" ht="15.75">
      <c r="A7" s="139" t="s">
        <v>66</v>
      </c>
      <c r="B7" s="140">
        <v>0.05</v>
      </c>
      <c r="C7" s="141">
        <v>2.6</v>
      </c>
      <c r="D7" s="142">
        <f t="shared" si="0"/>
        <v>312</v>
      </c>
      <c r="E7" s="141">
        <f t="shared" si="1"/>
        <v>7800</v>
      </c>
      <c r="F7" s="141">
        <f t="shared" si="2"/>
        <v>93600</v>
      </c>
      <c r="G7" s="138">
        <f t="shared" si="3"/>
        <v>2.6</v>
      </c>
    </row>
    <row r="8" spans="1:7" ht="15.75">
      <c r="A8" s="139" t="s">
        <v>67</v>
      </c>
      <c r="B8" s="140">
        <v>3</v>
      </c>
      <c r="C8" s="141">
        <v>0.24</v>
      </c>
      <c r="D8" s="142">
        <f t="shared" si="0"/>
        <v>28.799999999999997</v>
      </c>
      <c r="E8" s="141">
        <f t="shared" si="1"/>
        <v>719.99999999999989</v>
      </c>
      <c r="F8" s="141">
        <f t="shared" si="2"/>
        <v>8639.9999999999982</v>
      </c>
      <c r="G8" s="138">
        <f t="shared" si="3"/>
        <v>0.23999999999999994</v>
      </c>
    </row>
    <row r="9" spans="1:7" ht="15.75">
      <c r="A9" s="139" t="s">
        <v>68</v>
      </c>
      <c r="B9" s="140">
        <v>0.7</v>
      </c>
      <c r="C9" s="141">
        <v>0.9</v>
      </c>
      <c r="D9" s="142">
        <f t="shared" si="0"/>
        <v>108</v>
      </c>
      <c r="E9" s="141">
        <f t="shared" si="1"/>
        <v>2700</v>
      </c>
      <c r="F9" s="141">
        <f t="shared" si="2"/>
        <v>32400</v>
      </c>
      <c r="G9" s="138">
        <f t="shared" si="3"/>
        <v>0.9</v>
      </c>
    </row>
    <row r="10" spans="1:7" ht="16.5" thickBot="1">
      <c r="A10" s="143" t="s">
        <v>69</v>
      </c>
      <c r="B10" s="144">
        <v>1.8</v>
      </c>
      <c r="C10" s="145">
        <v>1.9</v>
      </c>
      <c r="D10" s="146">
        <f t="shared" si="0"/>
        <v>228</v>
      </c>
      <c r="E10" s="145">
        <f t="shared" si="1"/>
        <v>5700</v>
      </c>
      <c r="F10" s="145">
        <f t="shared" si="2"/>
        <v>68400</v>
      </c>
      <c r="G10" s="147">
        <f t="shared" si="3"/>
        <v>1.9</v>
      </c>
    </row>
    <row r="11" spans="1:7" ht="17.25" thickTop="1" thickBot="1">
      <c r="A11" s="342" t="s">
        <v>50</v>
      </c>
      <c r="B11" s="343"/>
      <c r="C11" s="344"/>
      <c r="D11" s="148">
        <f>SUM(D4:D10)</f>
        <v>1853.9999999999998</v>
      </c>
      <c r="E11" s="148">
        <f>SUM(E4:E10)</f>
        <v>46350</v>
      </c>
      <c r="F11" s="148">
        <f>SUM(F4:F10)</f>
        <v>556200</v>
      </c>
      <c r="G11" s="149">
        <f>SUM(G4:G10)</f>
        <v>15.45</v>
      </c>
    </row>
    <row r="12" spans="1:7" ht="15.75" thickBot="1"/>
    <row r="13" spans="1:7" ht="16.5" thickBot="1">
      <c r="A13" s="330" t="s">
        <v>197</v>
      </c>
      <c r="B13" s="331"/>
      <c r="C13" s="331"/>
      <c r="D13" s="331"/>
      <c r="E13" s="332"/>
    </row>
    <row r="14" spans="1:7" ht="16.5" thickBot="1">
      <c r="A14" s="150" t="s">
        <v>80</v>
      </c>
      <c r="B14" s="151" t="s">
        <v>81</v>
      </c>
      <c r="C14" s="151" t="s">
        <v>82</v>
      </c>
      <c r="D14" s="151" t="s">
        <v>83</v>
      </c>
      <c r="E14" s="152" t="s">
        <v>84</v>
      </c>
    </row>
    <row r="15" spans="1:7" ht="16.5" thickTop="1">
      <c r="A15" s="153" t="s">
        <v>71</v>
      </c>
      <c r="B15" s="154">
        <f>(C15/25)</f>
        <v>100</v>
      </c>
      <c r="C15" s="154">
        <v>2500</v>
      </c>
      <c r="D15" s="154">
        <f>(C15*12)</f>
        <v>30000</v>
      </c>
      <c r="E15" s="155">
        <f>+D15/36000</f>
        <v>0.83333333333333337</v>
      </c>
    </row>
    <row r="16" spans="1:7" ht="15.75">
      <c r="A16" s="139" t="s">
        <v>72</v>
      </c>
      <c r="B16" s="156">
        <f t="shared" ref="B16:B20" si="4">(C16/25)</f>
        <v>120</v>
      </c>
      <c r="C16" s="156">
        <v>3000</v>
      </c>
      <c r="D16" s="156">
        <f t="shared" ref="D16:D20" si="5">(C16*12)</f>
        <v>36000</v>
      </c>
      <c r="E16" s="157">
        <f t="shared" ref="E16:E20" si="6">+D16/36000</f>
        <v>1</v>
      </c>
    </row>
    <row r="17" spans="1:5" ht="15.75">
      <c r="A17" s="139" t="s">
        <v>73</v>
      </c>
      <c r="B17" s="156">
        <f t="shared" si="4"/>
        <v>84</v>
      </c>
      <c r="C17" s="156">
        <v>2100</v>
      </c>
      <c r="D17" s="156">
        <f t="shared" si="5"/>
        <v>25200</v>
      </c>
      <c r="E17" s="157">
        <f t="shared" si="6"/>
        <v>0.7</v>
      </c>
    </row>
    <row r="18" spans="1:5" ht="15.75">
      <c r="A18" s="139" t="s">
        <v>74</v>
      </c>
      <c r="B18" s="156">
        <f t="shared" si="4"/>
        <v>396</v>
      </c>
      <c r="C18" s="156">
        <f>(300*33)</f>
        <v>9900</v>
      </c>
      <c r="D18" s="156">
        <f t="shared" si="5"/>
        <v>118800</v>
      </c>
      <c r="E18" s="157">
        <f t="shared" si="6"/>
        <v>3.3</v>
      </c>
    </row>
    <row r="19" spans="1:5" ht="15.75">
      <c r="A19" s="139" t="s">
        <v>75</v>
      </c>
      <c r="B19" s="156">
        <f t="shared" si="4"/>
        <v>1400</v>
      </c>
      <c r="C19" s="156">
        <f>+SUM(C15:C18)*2</f>
        <v>35000</v>
      </c>
      <c r="D19" s="156">
        <f t="shared" si="5"/>
        <v>420000</v>
      </c>
      <c r="E19" s="157">
        <f t="shared" si="6"/>
        <v>11.666666666666666</v>
      </c>
    </row>
    <row r="20" spans="1:5" ht="16.5" thickBot="1">
      <c r="A20" s="143" t="s">
        <v>76</v>
      </c>
      <c r="B20" s="158">
        <f t="shared" si="4"/>
        <v>60</v>
      </c>
      <c r="C20" s="158">
        <v>1500</v>
      </c>
      <c r="D20" s="158">
        <f t="shared" si="5"/>
        <v>18000</v>
      </c>
      <c r="E20" s="159">
        <f t="shared" si="6"/>
        <v>0.5</v>
      </c>
    </row>
    <row r="21" spans="1:5" ht="17.25" thickTop="1" thickBot="1">
      <c r="A21" s="160" t="s">
        <v>50</v>
      </c>
      <c r="B21" s="161">
        <f>SUM(B15:B20)</f>
        <v>2160</v>
      </c>
      <c r="C21" s="161">
        <f>SUM(C15:C20)</f>
        <v>54000</v>
      </c>
      <c r="D21" s="161">
        <f>SUM(D15:D20)</f>
        <v>648000</v>
      </c>
      <c r="E21" s="162">
        <f>SUM(E15:E20)</f>
        <v>18</v>
      </c>
    </row>
    <row r="22" spans="1:5" s="101" customFormat="1" ht="16.5" thickBot="1">
      <c r="A22" s="168"/>
      <c r="B22" s="169"/>
      <c r="C22" s="169"/>
      <c r="D22" s="169"/>
      <c r="E22" s="169"/>
    </row>
    <row r="23" spans="1:5" ht="16.5" thickBot="1">
      <c r="A23" s="333" t="s">
        <v>182</v>
      </c>
      <c r="B23" s="334"/>
      <c r="C23" s="334"/>
      <c r="D23" s="334"/>
      <c r="E23" s="335"/>
    </row>
    <row r="24" spans="1:5" ht="16.5" thickBot="1">
      <c r="A24" s="163" t="s">
        <v>80</v>
      </c>
      <c r="B24" s="164" t="s">
        <v>81</v>
      </c>
      <c r="C24" s="164" t="s">
        <v>82</v>
      </c>
      <c r="D24" s="164" t="s">
        <v>83</v>
      </c>
      <c r="E24" s="165" t="s">
        <v>84</v>
      </c>
    </row>
    <row r="25" spans="1:5" ht="16.5" thickTop="1">
      <c r="A25" s="153" t="s">
        <v>127</v>
      </c>
      <c r="B25" s="154">
        <v>50</v>
      </c>
      <c r="C25" s="154">
        <f>+B25*25</f>
        <v>1250</v>
      </c>
      <c r="D25" s="154">
        <f>+C25*12</f>
        <v>15000</v>
      </c>
      <c r="E25" s="155">
        <f>+D25/36000</f>
        <v>0.41666666666666669</v>
      </c>
    </row>
    <row r="26" spans="1:5" ht="15.75">
      <c r="A26" s="139" t="s">
        <v>126</v>
      </c>
      <c r="B26" s="156">
        <v>50</v>
      </c>
      <c r="C26" s="156">
        <f t="shared" ref="C26:C31" si="7">+B26*25</f>
        <v>1250</v>
      </c>
      <c r="D26" s="156">
        <f>+C26*12</f>
        <v>15000</v>
      </c>
      <c r="E26" s="155">
        <f t="shared" ref="E26:E31" si="8">+D26/36000</f>
        <v>0.41666666666666669</v>
      </c>
    </row>
    <row r="27" spans="1:5" ht="15.75">
      <c r="A27" s="139" t="s">
        <v>125</v>
      </c>
      <c r="B27" s="156">
        <v>10</v>
      </c>
      <c r="C27" s="156">
        <f t="shared" si="7"/>
        <v>250</v>
      </c>
      <c r="D27" s="156">
        <f>+C27*12</f>
        <v>3000</v>
      </c>
      <c r="E27" s="155">
        <f t="shared" si="8"/>
        <v>8.3333333333333329E-2</v>
      </c>
    </row>
    <row r="28" spans="1:5" ht="15.75">
      <c r="A28" s="139" t="s">
        <v>124</v>
      </c>
      <c r="B28" s="156">
        <v>2</v>
      </c>
      <c r="C28" s="156">
        <f t="shared" si="7"/>
        <v>50</v>
      </c>
      <c r="D28" s="156">
        <f>+C28*12</f>
        <v>600</v>
      </c>
      <c r="E28" s="155">
        <f t="shared" si="8"/>
        <v>1.6666666666666666E-2</v>
      </c>
    </row>
    <row r="29" spans="1:5" ht="15.75">
      <c r="A29" s="139" t="s">
        <v>77</v>
      </c>
      <c r="B29" s="156">
        <v>12</v>
      </c>
      <c r="C29" s="156">
        <f t="shared" si="7"/>
        <v>300</v>
      </c>
      <c r="D29" s="156">
        <f>(C29*14)</f>
        <v>4200</v>
      </c>
      <c r="E29" s="155">
        <f t="shared" si="8"/>
        <v>0.11666666666666667</v>
      </c>
    </row>
    <row r="30" spans="1:5" ht="15.75">
      <c r="A30" s="139" t="s">
        <v>78</v>
      </c>
      <c r="B30" s="156">
        <v>72</v>
      </c>
      <c r="C30" s="156">
        <f t="shared" si="7"/>
        <v>1800</v>
      </c>
      <c r="D30" s="156">
        <f>(C30*14)</f>
        <v>25200</v>
      </c>
      <c r="E30" s="155">
        <f t="shared" si="8"/>
        <v>0.7</v>
      </c>
    </row>
    <row r="31" spans="1:5" ht="16.5" thickBot="1">
      <c r="A31" s="143" t="s">
        <v>79</v>
      </c>
      <c r="B31" s="158">
        <v>36</v>
      </c>
      <c r="C31" s="158">
        <f t="shared" si="7"/>
        <v>900</v>
      </c>
      <c r="D31" s="158">
        <f t="shared" ref="D31" si="9">(C31*12)</f>
        <v>10800</v>
      </c>
      <c r="E31" s="159">
        <f t="shared" si="8"/>
        <v>0.3</v>
      </c>
    </row>
    <row r="32" spans="1:5" ht="17.25" thickTop="1" thickBot="1">
      <c r="A32" s="166" t="s">
        <v>50</v>
      </c>
      <c r="B32" s="167">
        <f>SUM(B25:B31)</f>
        <v>232</v>
      </c>
      <c r="C32" s="167">
        <f>SUM(C25:C31)</f>
        <v>5800</v>
      </c>
      <c r="D32" s="167">
        <f>SUM(D25:D31)</f>
        <v>73800</v>
      </c>
      <c r="E32" s="149">
        <f>SUM(E25:E31)</f>
        <v>2.0499999999999998</v>
      </c>
    </row>
    <row r="33" spans="1:8" ht="15.75" thickBot="1"/>
    <row r="34" spans="1:8" ht="16.5" thickBot="1">
      <c r="A34" s="330" t="s">
        <v>85</v>
      </c>
      <c r="B34" s="331"/>
      <c r="C34" s="331"/>
      <c r="D34" s="331"/>
      <c r="E34" s="331"/>
      <c r="F34" s="331"/>
      <c r="G34" s="331"/>
      <c r="H34" s="332"/>
    </row>
    <row r="35" spans="1:8" ht="15.75" thickBot="1">
      <c r="A35" s="170" t="s">
        <v>86</v>
      </c>
      <c r="B35" s="171" t="s">
        <v>87</v>
      </c>
      <c r="C35" s="171" t="s">
        <v>88</v>
      </c>
      <c r="D35" s="171" t="s">
        <v>89</v>
      </c>
      <c r="E35" s="171" t="s">
        <v>90</v>
      </c>
      <c r="F35" s="171" t="s">
        <v>91</v>
      </c>
      <c r="G35" s="171" t="s">
        <v>92</v>
      </c>
      <c r="H35" s="172" t="s">
        <v>93</v>
      </c>
    </row>
    <row r="36" spans="1:8" ht="15.75" thickTop="1">
      <c r="A36" s="31" t="s">
        <v>94</v>
      </c>
      <c r="B36" s="11" t="s">
        <v>95</v>
      </c>
      <c r="C36" s="12">
        <v>65</v>
      </c>
      <c r="D36" s="12">
        <v>15</v>
      </c>
      <c r="E36" s="12">
        <f>(F36/25)</f>
        <v>39</v>
      </c>
      <c r="F36" s="12">
        <f>+C36*D36</f>
        <v>975</v>
      </c>
      <c r="G36" s="12">
        <f>(F36*12)</f>
        <v>11700</v>
      </c>
      <c r="H36" s="13">
        <f>+G36/36000</f>
        <v>0.32500000000000001</v>
      </c>
    </row>
    <row r="37" spans="1:8">
      <c r="A37" s="29" t="s">
        <v>96</v>
      </c>
      <c r="B37" s="1" t="s">
        <v>97</v>
      </c>
      <c r="C37" s="15">
        <v>23.21</v>
      </c>
      <c r="D37" s="15">
        <v>30</v>
      </c>
      <c r="E37" s="15">
        <f t="shared" ref="E37:E44" si="10">(F37/25)</f>
        <v>27.852000000000004</v>
      </c>
      <c r="F37" s="15">
        <f t="shared" ref="F37:F41" si="11">+C37*D37</f>
        <v>696.30000000000007</v>
      </c>
      <c r="G37" s="15">
        <f t="shared" ref="G37:G45" si="12">(F37*12)</f>
        <v>8355.6</v>
      </c>
      <c r="H37" s="13">
        <f t="shared" ref="H37:H44" si="13">+G37/36000</f>
        <v>0.2321</v>
      </c>
    </row>
    <row r="38" spans="1:8">
      <c r="A38" s="29" t="s">
        <v>98</v>
      </c>
      <c r="B38" s="1" t="s">
        <v>99</v>
      </c>
      <c r="C38" s="15">
        <v>60</v>
      </c>
      <c r="D38" s="15">
        <v>30</v>
      </c>
      <c r="E38" s="15">
        <f t="shared" si="10"/>
        <v>72</v>
      </c>
      <c r="F38" s="15">
        <f t="shared" si="11"/>
        <v>1800</v>
      </c>
      <c r="G38" s="15">
        <f t="shared" si="12"/>
        <v>21600</v>
      </c>
      <c r="H38" s="13">
        <f t="shared" si="13"/>
        <v>0.6</v>
      </c>
    </row>
    <row r="39" spans="1:8">
      <c r="A39" s="29" t="s">
        <v>100</v>
      </c>
      <c r="B39" s="1" t="s">
        <v>101</v>
      </c>
      <c r="C39" s="15">
        <v>15</v>
      </c>
      <c r="D39" s="15">
        <v>30</v>
      </c>
      <c r="E39" s="15">
        <f t="shared" si="10"/>
        <v>18</v>
      </c>
      <c r="F39" s="15">
        <f t="shared" si="11"/>
        <v>450</v>
      </c>
      <c r="G39" s="15">
        <f t="shared" si="12"/>
        <v>5400</v>
      </c>
      <c r="H39" s="13">
        <f t="shared" si="13"/>
        <v>0.15</v>
      </c>
    </row>
    <row r="40" spans="1:8">
      <c r="A40" s="29" t="s">
        <v>102</v>
      </c>
      <c r="B40" s="1" t="s">
        <v>103</v>
      </c>
      <c r="C40" s="15">
        <v>1</v>
      </c>
      <c r="D40" s="15">
        <v>180</v>
      </c>
      <c r="E40" s="15">
        <f t="shared" si="10"/>
        <v>7.2</v>
      </c>
      <c r="F40" s="15">
        <f t="shared" si="11"/>
        <v>180</v>
      </c>
      <c r="G40" s="15">
        <f t="shared" si="12"/>
        <v>2160</v>
      </c>
      <c r="H40" s="13">
        <f t="shared" si="13"/>
        <v>0.06</v>
      </c>
    </row>
    <row r="41" spans="1:8">
      <c r="A41" s="29" t="s">
        <v>104</v>
      </c>
      <c r="B41" s="1" t="s">
        <v>97</v>
      </c>
      <c r="C41" s="15">
        <v>75</v>
      </c>
      <c r="D41" s="15">
        <v>6</v>
      </c>
      <c r="E41" s="15">
        <f t="shared" si="10"/>
        <v>18</v>
      </c>
      <c r="F41" s="15">
        <f t="shared" si="11"/>
        <v>450</v>
      </c>
      <c r="G41" s="15">
        <f t="shared" si="12"/>
        <v>5400</v>
      </c>
      <c r="H41" s="13">
        <f t="shared" si="13"/>
        <v>0.15</v>
      </c>
    </row>
    <row r="42" spans="1:8">
      <c r="A42" s="29" t="s">
        <v>105</v>
      </c>
      <c r="B42" s="1"/>
      <c r="C42" s="15"/>
      <c r="D42" s="15"/>
      <c r="E42" s="15">
        <f t="shared" si="10"/>
        <v>200</v>
      </c>
      <c r="F42" s="15">
        <v>5000</v>
      </c>
      <c r="G42" s="15">
        <f t="shared" si="12"/>
        <v>60000</v>
      </c>
      <c r="H42" s="13">
        <f t="shared" si="13"/>
        <v>1.6666666666666667</v>
      </c>
    </row>
    <row r="43" spans="1:8">
      <c r="A43" s="29" t="s">
        <v>106</v>
      </c>
      <c r="B43" s="1"/>
      <c r="C43" s="15"/>
      <c r="D43" s="15"/>
      <c r="E43" s="15">
        <f t="shared" si="10"/>
        <v>10</v>
      </c>
      <c r="F43" s="15">
        <v>250</v>
      </c>
      <c r="G43" s="15">
        <f t="shared" si="12"/>
        <v>3000</v>
      </c>
      <c r="H43" s="13">
        <f t="shared" si="13"/>
        <v>8.3333333333333329E-2</v>
      </c>
    </row>
    <row r="44" spans="1:8" ht="15.75" thickBot="1">
      <c r="A44" s="32" t="s">
        <v>49</v>
      </c>
      <c r="B44" s="24"/>
      <c r="C44" s="17"/>
      <c r="D44" s="17"/>
      <c r="E44" s="17">
        <f t="shared" si="10"/>
        <v>20</v>
      </c>
      <c r="F44" s="17">
        <v>500</v>
      </c>
      <c r="G44" s="17">
        <f t="shared" si="12"/>
        <v>6000</v>
      </c>
      <c r="H44" s="33">
        <f t="shared" si="13"/>
        <v>0.16666666666666666</v>
      </c>
    </row>
    <row r="45" spans="1:8" ht="16.5" thickTop="1" thickBot="1">
      <c r="A45" s="345" t="s">
        <v>4</v>
      </c>
      <c r="B45" s="346"/>
      <c r="C45" s="346"/>
      <c r="D45" s="347"/>
      <c r="E45" s="173">
        <f>(F45/25)</f>
        <v>412.05199999999996</v>
      </c>
      <c r="F45" s="173">
        <f>SUM(F36:F44)</f>
        <v>10301.299999999999</v>
      </c>
      <c r="G45" s="173">
        <f t="shared" si="12"/>
        <v>123615.59999999999</v>
      </c>
      <c r="H45" s="174">
        <f t="shared" ref="H45" si="14">(E45/120)</f>
        <v>3.4337666666666662</v>
      </c>
    </row>
    <row r="46" spans="1:8">
      <c r="A46" s="8"/>
      <c r="B46" s="8"/>
      <c r="C46" s="8"/>
      <c r="D46" s="8"/>
      <c r="E46" s="8"/>
      <c r="F46" s="8"/>
      <c r="G46" s="8"/>
      <c r="H46" s="8"/>
    </row>
    <row r="47" spans="1:8" ht="15.75" thickBot="1">
      <c r="A47" s="8"/>
      <c r="B47" s="8"/>
      <c r="C47" s="8"/>
      <c r="D47" s="8"/>
      <c r="E47" s="8"/>
      <c r="F47" s="8"/>
      <c r="G47" s="8"/>
      <c r="H47" s="8"/>
    </row>
    <row r="48" spans="1:8" ht="15.75" thickBot="1">
      <c r="A48" s="336" t="s">
        <v>112</v>
      </c>
      <c r="B48" s="337"/>
      <c r="C48" s="175"/>
      <c r="D48" s="8"/>
      <c r="E48" s="8"/>
      <c r="F48" s="8"/>
      <c r="G48" s="8"/>
      <c r="H48" s="8"/>
    </row>
    <row r="49" spans="1:8" ht="15.75" thickTop="1">
      <c r="A49" s="176" t="s">
        <v>198</v>
      </c>
      <c r="B49" s="177">
        <v>300000</v>
      </c>
      <c r="C49" s="178"/>
      <c r="D49" s="8"/>
      <c r="E49" s="8"/>
      <c r="F49" s="8"/>
      <c r="G49" s="8"/>
      <c r="H49" s="8"/>
    </row>
    <row r="50" spans="1:8" ht="15.75" thickBot="1">
      <c r="A50" s="179" t="s">
        <v>113</v>
      </c>
      <c r="B50" s="33">
        <v>45000</v>
      </c>
      <c r="C50" s="178"/>
      <c r="D50" s="8" t="s">
        <v>168</v>
      </c>
      <c r="E50" s="8"/>
      <c r="F50" s="8"/>
      <c r="G50" s="8"/>
      <c r="H50" s="8"/>
    </row>
    <row r="51" spans="1:8" ht="15.75" thickTop="1">
      <c r="A51" s="180" t="s">
        <v>199</v>
      </c>
      <c r="B51" s="181">
        <f>+B49+B50</f>
        <v>345000</v>
      </c>
      <c r="C51" s="182">
        <f>+B51*12</f>
        <v>4140000</v>
      </c>
      <c r="D51" s="8">
        <f>+C51/36000</f>
        <v>115</v>
      </c>
      <c r="E51" s="8"/>
      <c r="F51" s="8"/>
      <c r="G51" s="8"/>
      <c r="H51" s="8"/>
    </row>
    <row r="52" spans="1:8" ht="15.75" thickBot="1">
      <c r="A52" s="183" t="s">
        <v>200</v>
      </c>
      <c r="B52" s="184">
        <f>B51*12</f>
        <v>4140000</v>
      </c>
      <c r="C52" s="8"/>
      <c r="D52" s="8"/>
      <c r="E52" s="8"/>
      <c r="F52" s="8"/>
      <c r="G52" s="8"/>
      <c r="H52" s="8"/>
    </row>
    <row r="53" spans="1:8">
      <c r="A53" s="8"/>
      <c r="B53" s="8"/>
      <c r="C53" s="8"/>
      <c r="D53" s="8"/>
      <c r="E53" s="8"/>
      <c r="F53" s="8"/>
      <c r="G53" s="8"/>
      <c r="H53" s="8"/>
    </row>
    <row r="54" spans="1:8">
      <c r="A54" s="8"/>
      <c r="B54" s="8"/>
      <c r="C54" s="8"/>
      <c r="D54" s="8"/>
      <c r="E54" s="8"/>
      <c r="F54" s="8"/>
      <c r="G54" s="8"/>
      <c r="H54" s="8"/>
    </row>
    <row r="55" spans="1:8">
      <c r="A55" s="8"/>
      <c r="B55" s="8"/>
      <c r="C55" s="8"/>
      <c r="D55" s="8"/>
      <c r="E55" s="8"/>
      <c r="F55" s="8"/>
      <c r="G55" s="8"/>
      <c r="H55" s="8"/>
    </row>
    <row r="56" spans="1:8">
      <c r="A56" s="8"/>
      <c r="B56" s="8"/>
      <c r="C56" s="8"/>
      <c r="D56" s="8"/>
      <c r="E56" s="8"/>
      <c r="F56" s="8"/>
      <c r="G56" s="8"/>
      <c r="H56" s="8"/>
    </row>
    <row r="57" spans="1:8">
      <c r="A57" s="8"/>
      <c r="B57" s="8"/>
      <c r="C57" s="8"/>
      <c r="D57" s="8"/>
      <c r="E57" s="8"/>
      <c r="F57" s="8"/>
      <c r="G57" s="8"/>
      <c r="H57" s="8"/>
    </row>
    <row r="58" spans="1:8">
      <c r="A58" s="8"/>
      <c r="B58" s="8"/>
      <c r="C58" s="8"/>
      <c r="D58" s="8"/>
      <c r="E58" s="8"/>
      <c r="F58" s="8"/>
      <c r="G58" s="8"/>
      <c r="H58" s="8"/>
    </row>
    <row r="59" spans="1:8">
      <c r="A59" s="8"/>
      <c r="B59" s="8"/>
      <c r="C59" s="8"/>
      <c r="D59" s="8"/>
      <c r="E59" s="8"/>
      <c r="F59" s="8"/>
      <c r="G59" s="8"/>
      <c r="H59" s="8"/>
    </row>
    <row r="60" spans="1:8">
      <c r="A60" s="8"/>
      <c r="B60" s="8"/>
      <c r="C60" s="8"/>
      <c r="D60" s="8"/>
      <c r="E60" s="8"/>
      <c r="F60" s="8"/>
      <c r="G60" s="8"/>
      <c r="H60" s="8"/>
    </row>
    <row r="63" spans="1:8">
      <c r="E63" s="2"/>
    </row>
    <row r="64" spans="1:8">
      <c r="A64" s="4"/>
      <c r="B64" s="6"/>
      <c r="C64" s="3"/>
      <c r="E64" s="3"/>
    </row>
    <row r="65" spans="1:5">
      <c r="A65" s="4"/>
      <c r="B65" s="6"/>
      <c r="C65" s="3"/>
      <c r="E65" s="3"/>
    </row>
    <row r="66" spans="1:5">
      <c r="A66" s="4"/>
      <c r="B66" s="6"/>
      <c r="C66" s="3"/>
      <c r="E66" s="3"/>
    </row>
    <row r="67" spans="1:5">
      <c r="A67" s="4"/>
      <c r="B67" s="6"/>
      <c r="C67" s="3"/>
      <c r="E67" s="3"/>
    </row>
    <row r="68" spans="1:5">
      <c r="A68" s="4"/>
      <c r="B68" s="6"/>
      <c r="C68" s="3"/>
      <c r="E68" s="3"/>
    </row>
    <row r="69" spans="1:5">
      <c r="A69" s="4"/>
      <c r="B69" s="6"/>
      <c r="C69" s="3"/>
      <c r="E69" s="3"/>
    </row>
    <row r="70" spans="1:5">
      <c r="A70" s="4"/>
      <c r="B70" s="6"/>
      <c r="C70" s="3"/>
      <c r="E70" s="3"/>
    </row>
    <row r="71" spans="1:5">
      <c r="A71" s="4"/>
      <c r="B71" s="6"/>
      <c r="C71" s="3"/>
      <c r="E71" s="3"/>
    </row>
    <row r="72" spans="1:5">
      <c r="A72" s="4"/>
      <c r="B72" s="6"/>
      <c r="C72" s="3"/>
      <c r="E72" s="3"/>
    </row>
    <row r="73" spans="1:5">
      <c r="A73" s="4"/>
      <c r="B73" s="6"/>
      <c r="C73" s="3"/>
      <c r="E73" s="3"/>
    </row>
    <row r="74" spans="1:5">
      <c r="A74" s="4"/>
      <c r="B74" s="6"/>
      <c r="C74" s="3"/>
      <c r="E74" s="3"/>
    </row>
    <row r="75" spans="1:5">
      <c r="A75" s="4"/>
      <c r="B75" s="6"/>
      <c r="C75" s="3"/>
      <c r="E75" s="3"/>
    </row>
    <row r="76" spans="1:5">
      <c r="A76" s="4"/>
      <c r="B76" s="6"/>
      <c r="C76" s="3"/>
      <c r="E76" s="3"/>
    </row>
    <row r="77" spans="1:5">
      <c r="A77" s="4"/>
      <c r="B77" s="6"/>
      <c r="C77" s="3"/>
      <c r="E77" s="3"/>
    </row>
    <row r="78" spans="1:5">
      <c r="A78" s="4"/>
      <c r="B78" s="6"/>
      <c r="C78" s="3"/>
      <c r="E78" s="3"/>
    </row>
    <row r="79" spans="1:5">
      <c r="A79" s="4"/>
      <c r="B79" s="6"/>
      <c r="C79" s="3"/>
      <c r="E79" s="3"/>
    </row>
    <row r="80" spans="1:5">
      <c r="A80" s="4"/>
      <c r="B80" s="6"/>
      <c r="C80" s="3"/>
      <c r="E80" s="3"/>
    </row>
    <row r="81" spans="1:5">
      <c r="A81" s="4"/>
      <c r="B81" s="6"/>
      <c r="C81" s="3"/>
      <c r="E81" s="3"/>
    </row>
    <row r="82" spans="1:5">
      <c r="A82" s="4"/>
      <c r="B82" s="6"/>
      <c r="C82" s="3"/>
      <c r="E82" s="3"/>
    </row>
    <row r="83" spans="1:5">
      <c r="A83" s="4"/>
      <c r="B83" s="6"/>
      <c r="C83" s="3"/>
      <c r="E83" s="3"/>
    </row>
    <row r="84" spans="1:5">
      <c r="A84" s="4"/>
      <c r="B84" s="6"/>
      <c r="C84" s="3"/>
      <c r="E84" s="3"/>
    </row>
    <row r="85" spans="1:5">
      <c r="A85" s="4"/>
      <c r="B85" s="6"/>
      <c r="C85" s="3"/>
      <c r="E85" s="3"/>
    </row>
    <row r="86" spans="1:5">
      <c r="A86" s="4"/>
      <c r="B86" s="6"/>
      <c r="C86" s="3"/>
      <c r="E86" s="3"/>
    </row>
    <row r="87" spans="1:5">
      <c r="A87" s="4"/>
      <c r="B87" s="6"/>
      <c r="C87" s="3"/>
      <c r="E87" s="3"/>
    </row>
    <row r="88" spans="1:5">
      <c r="A88" s="4"/>
      <c r="B88" s="6"/>
      <c r="C88" s="3"/>
      <c r="E88" s="3"/>
    </row>
    <row r="89" spans="1:5">
      <c r="A89" s="4"/>
      <c r="B89" s="6"/>
      <c r="C89" s="3"/>
      <c r="E89" s="3"/>
    </row>
    <row r="90" spans="1:5">
      <c r="A90" s="4"/>
      <c r="B90" s="6"/>
      <c r="C90" s="3"/>
      <c r="E90" s="3"/>
    </row>
    <row r="91" spans="1:5">
      <c r="A91" s="4"/>
      <c r="B91" s="6"/>
      <c r="C91" s="3"/>
      <c r="E91" s="3"/>
    </row>
    <row r="92" spans="1:5">
      <c r="A92" s="4"/>
      <c r="B92" s="6"/>
      <c r="C92" s="3"/>
      <c r="E92" s="3"/>
    </row>
    <row r="93" spans="1:5">
      <c r="A93" s="4"/>
      <c r="B93" s="6"/>
      <c r="C93" s="3"/>
      <c r="E93" s="3"/>
    </row>
    <row r="94" spans="1:5">
      <c r="A94" s="4"/>
      <c r="B94" s="6"/>
      <c r="C94" s="3"/>
      <c r="E94" s="3"/>
    </row>
    <row r="95" spans="1:5">
      <c r="A95" s="4"/>
      <c r="B95" s="6"/>
      <c r="C95" s="3"/>
      <c r="E95" s="3"/>
    </row>
    <row r="96" spans="1:5">
      <c r="A96" s="4"/>
      <c r="B96" s="6"/>
      <c r="C96" s="3"/>
      <c r="E96" s="3"/>
    </row>
    <row r="97" spans="1:5">
      <c r="A97" s="4"/>
      <c r="B97" s="6"/>
      <c r="C97" s="3"/>
      <c r="E97" s="3"/>
    </row>
    <row r="98" spans="1:5">
      <c r="A98" s="4"/>
      <c r="B98" s="6"/>
      <c r="C98" s="3"/>
      <c r="E98" s="3"/>
    </row>
    <row r="99" spans="1:5">
      <c r="A99" s="4"/>
      <c r="B99" s="6"/>
      <c r="C99" s="3"/>
      <c r="E99" s="3"/>
    </row>
    <row r="100" spans="1:5">
      <c r="A100" s="4"/>
      <c r="B100" s="6"/>
      <c r="C100" s="3"/>
      <c r="E100" s="3"/>
    </row>
    <row r="101" spans="1:5">
      <c r="A101" s="4"/>
      <c r="B101" s="6"/>
      <c r="C101" s="3"/>
      <c r="E101" s="3"/>
    </row>
    <row r="102" spans="1:5">
      <c r="A102" s="4"/>
      <c r="B102" s="6"/>
      <c r="C102" s="3"/>
      <c r="E102" s="3"/>
    </row>
    <row r="103" spans="1:5">
      <c r="A103" s="4"/>
      <c r="B103" s="6"/>
      <c r="C103" s="3"/>
      <c r="E103" s="3"/>
    </row>
    <row r="104" spans="1:5">
      <c r="A104" s="4"/>
      <c r="B104" s="6"/>
      <c r="C104" s="3"/>
      <c r="E104" s="3"/>
    </row>
    <row r="105" spans="1:5">
      <c r="A105" s="4"/>
      <c r="B105" s="6"/>
      <c r="C105" s="3"/>
      <c r="E105" s="3"/>
    </row>
    <row r="106" spans="1:5">
      <c r="A106" s="4"/>
      <c r="B106" s="6"/>
      <c r="C106" s="3"/>
      <c r="E106" s="3"/>
    </row>
    <row r="107" spans="1:5">
      <c r="A107" s="4"/>
      <c r="B107" s="6"/>
      <c r="C107" s="3"/>
      <c r="E107" s="3"/>
    </row>
    <row r="108" spans="1:5">
      <c r="A108" s="4"/>
      <c r="B108" s="6"/>
      <c r="C108" s="3"/>
      <c r="E108" s="3"/>
    </row>
    <row r="109" spans="1:5">
      <c r="A109" s="4"/>
      <c r="B109" s="6"/>
      <c r="C109" s="3"/>
      <c r="E109" s="3"/>
    </row>
    <row r="110" spans="1:5">
      <c r="A110" s="4"/>
      <c r="B110" s="6"/>
      <c r="C110" s="3"/>
      <c r="E110" s="3"/>
    </row>
    <row r="111" spans="1:5">
      <c r="A111" s="4"/>
      <c r="B111" s="6"/>
      <c r="C111" s="3"/>
      <c r="E111" s="3"/>
    </row>
    <row r="112" spans="1:5">
      <c r="A112" s="4"/>
      <c r="B112" s="6"/>
      <c r="C112" s="3"/>
      <c r="E112" s="3"/>
    </row>
    <row r="113" spans="1:5">
      <c r="A113" s="4"/>
      <c r="B113" s="6"/>
      <c r="C113" s="3"/>
      <c r="E113" s="3"/>
    </row>
    <row r="114" spans="1:5">
      <c r="A114" s="4"/>
      <c r="B114" s="6"/>
      <c r="C114" s="3"/>
      <c r="E114" s="3"/>
    </row>
    <row r="115" spans="1:5">
      <c r="A115" s="4"/>
      <c r="B115" s="6"/>
      <c r="C115" s="3"/>
      <c r="E115" s="3"/>
    </row>
    <row r="116" spans="1:5">
      <c r="A116" s="4"/>
      <c r="B116" s="6"/>
      <c r="C116" s="3"/>
      <c r="E116" s="3"/>
    </row>
    <row r="117" spans="1:5">
      <c r="A117" s="4"/>
      <c r="B117" s="6"/>
      <c r="C117" s="3"/>
      <c r="E117" s="3"/>
    </row>
    <row r="118" spans="1:5">
      <c r="A118" s="4"/>
      <c r="B118" s="6"/>
      <c r="C118" s="3"/>
      <c r="E118" s="3"/>
    </row>
    <row r="119" spans="1:5">
      <c r="A119" s="4"/>
      <c r="B119" s="6"/>
      <c r="C119" s="3"/>
      <c r="E119" s="3"/>
    </row>
    <row r="120" spans="1:5">
      <c r="A120" s="4"/>
      <c r="B120" s="6"/>
      <c r="C120" s="3"/>
      <c r="E120" s="3"/>
    </row>
    <row r="121" spans="1:5">
      <c r="A121" s="4"/>
      <c r="B121" s="6"/>
      <c r="C121" s="3"/>
      <c r="E121" s="3"/>
    </row>
    <row r="122" spans="1:5">
      <c r="A122" s="4"/>
      <c r="B122" s="6"/>
      <c r="C122" s="3"/>
      <c r="E122" s="3"/>
    </row>
    <row r="123" spans="1:5">
      <c r="A123" s="4"/>
      <c r="B123" s="6"/>
      <c r="C123" s="3"/>
      <c r="E123" s="3"/>
    </row>
  </sheetData>
  <mergeCells count="9">
    <mergeCell ref="A1:G1"/>
    <mergeCell ref="A13:E13"/>
    <mergeCell ref="A23:E23"/>
    <mergeCell ref="A34:H34"/>
    <mergeCell ref="A48:B48"/>
    <mergeCell ref="A2:A3"/>
    <mergeCell ref="B2:B3"/>
    <mergeCell ref="A11:C11"/>
    <mergeCell ref="A45:D45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topLeftCell="A39" workbookViewId="0">
      <selection activeCell="H44" sqref="H44"/>
    </sheetView>
  </sheetViews>
  <sheetFormatPr baseColWidth="10" defaultRowHeight="15"/>
  <cols>
    <col min="1" max="1" width="7.42578125" bestFit="1" customWidth="1"/>
    <col min="2" max="2" width="12.42578125" bestFit="1" customWidth="1"/>
    <col min="3" max="3" width="14" bestFit="1" customWidth="1"/>
    <col min="4" max="4" width="14.28515625" bestFit="1" customWidth="1"/>
    <col min="8" max="8" width="14.140625" customWidth="1"/>
    <col min="9" max="9" width="14.85546875" customWidth="1"/>
    <col min="10" max="10" width="17" customWidth="1"/>
  </cols>
  <sheetData>
    <row r="1" spans="1:7">
      <c r="E1" s="348" t="s">
        <v>201</v>
      </c>
      <c r="F1" s="348"/>
      <c r="G1" s="348"/>
    </row>
    <row r="2" spans="1:7">
      <c r="A2" s="186" t="s">
        <v>149</v>
      </c>
      <c r="B2" s="187" t="s">
        <v>202</v>
      </c>
      <c r="C2" s="187" t="s">
        <v>203</v>
      </c>
      <c r="D2" s="187" t="s">
        <v>204</v>
      </c>
      <c r="E2" s="188" t="s">
        <v>150</v>
      </c>
      <c r="F2" s="188" t="s">
        <v>151</v>
      </c>
      <c r="G2" s="188" t="s">
        <v>152</v>
      </c>
    </row>
    <row r="3" spans="1:7">
      <c r="A3" s="189">
        <v>1</v>
      </c>
      <c r="B3" s="15">
        <v>631.16999999999996</v>
      </c>
      <c r="C3" s="15">
        <v>12.84</v>
      </c>
      <c r="D3" s="190">
        <v>257.17</v>
      </c>
    </row>
    <row r="4" spans="1:7">
      <c r="A4" s="189">
        <v>2</v>
      </c>
      <c r="B4" s="15">
        <v>664.75</v>
      </c>
      <c r="C4" s="15">
        <v>13.91</v>
      </c>
      <c r="D4" s="190">
        <v>257.48</v>
      </c>
      <c r="E4" s="191">
        <f>+(B4-B3)/B3</f>
        <v>5.3202782134765661E-2</v>
      </c>
      <c r="F4" s="191">
        <f t="shared" ref="F4:G19" si="0">+(C4-C3)/C3</f>
        <v>8.3333333333333356E-2</v>
      </c>
      <c r="G4" s="191">
        <f t="shared" si="0"/>
        <v>1.2054283158999971E-3</v>
      </c>
    </row>
    <row r="5" spans="1:7">
      <c r="A5" s="189">
        <v>3</v>
      </c>
      <c r="B5" s="15">
        <v>654.9</v>
      </c>
      <c r="C5" s="15">
        <v>13.18</v>
      </c>
      <c r="D5" s="190">
        <v>292.68</v>
      </c>
      <c r="E5" s="191">
        <f t="shared" ref="E5:G47" si="1">+(B5-B4)/B4</f>
        <v>-1.4817600601730008E-2</v>
      </c>
      <c r="F5" s="191">
        <f t="shared" si="0"/>
        <v>-5.248023005032354E-2</v>
      </c>
      <c r="G5" s="191">
        <f t="shared" si="0"/>
        <v>0.13670964735125052</v>
      </c>
    </row>
    <row r="6" spans="1:7">
      <c r="A6" s="189">
        <v>4</v>
      </c>
      <c r="B6" s="15">
        <v>679.37</v>
      </c>
      <c r="C6" s="15">
        <v>13.74</v>
      </c>
      <c r="D6" s="190">
        <v>352.28</v>
      </c>
      <c r="E6" s="191">
        <f t="shared" si="1"/>
        <v>3.7364483127195036E-2</v>
      </c>
      <c r="F6" s="191">
        <f t="shared" si="0"/>
        <v>4.248861911987864E-2</v>
      </c>
      <c r="G6" s="191">
        <f t="shared" si="0"/>
        <v>0.20363536968703008</v>
      </c>
    </row>
    <row r="7" spans="1:7">
      <c r="A7" s="189">
        <v>5</v>
      </c>
      <c r="B7" s="15">
        <v>666.86</v>
      </c>
      <c r="C7" s="15">
        <v>13.14</v>
      </c>
      <c r="D7" s="190">
        <v>348.46</v>
      </c>
      <c r="E7" s="191">
        <f t="shared" si="1"/>
        <v>-1.841411896315703E-2</v>
      </c>
      <c r="F7" s="191">
        <f t="shared" si="0"/>
        <v>-4.3668122270742335E-2</v>
      </c>
      <c r="G7" s="191">
        <f t="shared" si="0"/>
        <v>-1.0843647098898585E-2</v>
      </c>
    </row>
    <row r="8" spans="1:7">
      <c r="A8" s="189">
        <v>6</v>
      </c>
      <c r="B8" s="15">
        <v>655.49</v>
      </c>
      <c r="C8" s="15">
        <v>13.14</v>
      </c>
      <c r="D8" s="190">
        <v>339.1</v>
      </c>
      <c r="E8" s="191">
        <f t="shared" si="1"/>
        <v>-1.7050055483909674E-2</v>
      </c>
      <c r="F8" s="191">
        <f t="shared" si="0"/>
        <v>0</v>
      </c>
      <c r="G8" s="191">
        <f t="shared" si="0"/>
        <v>-2.6861045744131198E-2</v>
      </c>
    </row>
    <row r="9" spans="1:7">
      <c r="A9" s="189">
        <v>7</v>
      </c>
      <c r="B9" s="15">
        <v>665.3</v>
      </c>
      <c r="C9" s="15">
        <v>12.91</v>
      </c>
      <c r="D9" s="190">
        <v>361.69</v>
      </c>
      <c r="E9" s="191">
        <f t="shared" si="1"/>
        <v>1.4965903369997932E-2</v>
      </c>
      <c r="F9" s="191">
        <f t="shared" si="0"/>
        <v>-1.7503805175038082E-2</v>
      </c>
      <c r="G9" s="191">
        <f t="shared" si="0"/>
        <v>6.6617516956649872E-2</v>
      </c>
    </row>
    <row r="10" spans="1:7">
      <c r="A10" s="189">
        <v>8</v>
      </c>
      <c r="B10" s="15">
        <v>665.41</v>
      </c>
      <c r="C10" s="15">
        <v>12.36</v>
      </c>
      <c r="D10" s="190">
        <v>340.81</v>
      </c>
      <c r="E10" s="191">
        <f t="shared" si="1"/>
        <v>1.6533894483693618E-4</v>
      </c>
      <c r="F10" s="191">
        <f t="shared" si="0"/>
        <v>-4.2602633617350942E-2</v>
      </c>
      <c r="G10" s="191">
        <f t="shared" si="0"/>
        <v>-5.7728994442754832E-2</v>
      </c>
    </row>
    <row r="11" spans="1:7">
      <c r="A11" s="189">
        <v>9</v>
      </c>
      <c r="B11" s="15">
        <v>712.65</v>
      </c>
      <c r="C11" s="15">
        <v>12.83</v>
      </c>
      <c r="D11" s="190">
        <v>346.95</v>
      </c>
      <c r="E11" s="191">
        <f t="shared" si="1"/>
        <v>7.0993823357028016E-2</v>
      </c>
      <c r="F11" s="191">
        <f t="shared" si="0"/>
        <v>3.8025889967637595E-2</v>
      </c>
      <c r="G11" s="191">
        <f t="shared" si="0"/>
        <v>1.8015903289222694E-2</v>
      </c>
    </row>
    <row r="12" spans="1:7">
      <c r="A12" s="189">
        <v>10</v>
      </c>
      <c r="B12" s="15">
        <v>754.6</v>
      </c>
      <c r="C12" s="15">
        <v>13.67</v>
      </c>
      <c r="D12" s="190">
        <v>363.26</v>
      </c>
      <c r="E12" s="191">
        <f t="shared" si="1"/>
        <v>5.8864800392899805E-2</v>
      </c>
      <c r="F12" s="191">
        <f t="shared" si="0"/>
        <v>6.5471551052221341E-2</v>
      </c>
      <c r="G12" s="191">
        <f t="shared" si="0"/>
        <v>4.7009655569966863E-2</v>
      </c>
    </row>
    <row r="13" spans="1:7">
      <c r="A13" s="189">
        <v>11</v>
      </c>
      <c r="B13" s="15">
        <v>806.25</v>
      </c>
      <c r="C13" s="15">
        <v>14.7</v>
      </c>
      <c r="D13" s="190">
        <v>316</v>
      </c>
      <c r="E13" s="191">
        <f t="shared" si="1"/>
        <v>6.8446859263185764E-2</v>
      </c>
      <c r="F13" s="191">
        <f t="shared" si="0"/>
        <v>7.534747622531085E-2</v>
      </c>
      <c r="G13" s="191">
        <f t="shared" si="0"/>
        <v>-0.13009965314100091</v>
      </c>
    </row>
    <row r="14" spans="1:7">
      <c r="A14" s="189">
        <v>12</v>
      </c>
      <c r="B14" s="15">
        <v>803.2</v>
      </c>
      <c r="C14" s="15">
        <v>14.3</v>
      </c>
      <c r="D14" s="190">
        <v>298.81</v>
      </c>
      <c r="E14" s="191">
        <f t="shared" si="1"/>
        <v>-3.782945736434052E-3</v>
      </c>
      <c r="F14" s="191">
        <f t="shared" si="0"/>
        <v>-2.7210884353741402E-2</v>
      </c>
      <c r="G14" s="191">
        <f t="shared" si="0"/>
        <v>-5.4398734177215184E-2</v>
      </c>
    </row>
    <row r="15" spans="1:7">
      <c r="A15" s="189">
        <v>13</v>
      </c>
      <c r="B15" s="15">
        <v>889.6</v>
      </c>
      <c r="C15" s="15">
        <v>15.96</v>
      </c>
      <c r="D15" s="190">
        <v>320.27999999999997</v>
      </c>
      <c r="E15" s="191">
        <f t="shared" si="1"/>
        <v>0.10756972111553781</v>
      </c>
      <c r="F15" s="191">
        <f t="shared" si="0"/>
        <v>0.11608391608391609</v>
      </c>
      <c r="G15" s="191">
        <f t="shared" si="0"/>
        <v>7.1851678324018509E-2</v>
      </c>
    </row>
    <row r="16" spans="1:7">
      <c r="A16" s="189">
        <v>14</v>
      </c>
      <c r="B16" s="15">
        <v>922.3</v>
      </c>
      <c r="C16" s="15">
        <v>17.559999999999999</v>
      </c>
      <c r="D16" s="190">
        <v>357.78</v>
      </c>
      <c r="E16" s="191">
        <f t="shared" si="1"/>
        <v>3.675809352517978E-2</v>
      </c>
      <c r="F16" s="191">
        <f t="shared" si="0"/>
        <v>0.1002506265664159</v>
      </c>
      <c r="G16" s="191">
        <f t="shared" si="0"/>
        <v>0.11708505058074187</v>
      </c>
    </row>
    <row r="17" spans="1:7">
      <c r="A17" s="189">
        <v>15</v>
      </c>
      <c r="B17" s="15">
        <v>968.43</v>
      </c>
      <c r="C17" s="15">
        <v>19.510000000000002</v>
      </c>
      <c r="D17" s="190">
        <v>382.8</v>
      </c>
      <c r="E17" s="191">
        <f t="shared" si="1"/>
        <v>5.0016263688604574E-2</v>
      </c>
      <c r="F17" s="191">
        <f t="shared" si="0"/>
        <v>0.11104783599088855</v>
      </c>
      <c r="G17" s="191">
        <f t="shared" si="0"/>
        <v>6.9931242663089158E-2</v>
      </c>
    </row>
    <row r="18" spans="1:7">
      <c r="A18" s="189">
        <v>16</v>
      </c>
      <c r="B18" s="15">
        <v>909.7</v>
      </c>
      <c r="C18" s="15">
        <v>17.5</v>
      </c>
      <c r="D18" s="190">
        <v>393.94</v>
      </c>
      <c r="E18" s="191">
        <f t="shared" si="1"/>
        <v>-6.0644548392759318E-2</v>
      </c>
      <c r="F18" s="191">
        <f t="shared" si="0"/>
        <v>-0.10302409021014872</v>
      </c>
      <c r="G18" s="191">
        <f t="shared" si="0"/>
        <v>2.9101358411703204E-2</v>
      </c>
    </row>
    <row r="19" spans="1:7">
      <c r="A19" s="189">
        <v>17</v>
      </c>
      <c r="B19" s="15">
        <v>888.66</v>
      </c>
      <c r="C19" s="15">
        <v>17.05</v>
      </c>
      <c r="D19" s="190">
        <v>380.24</v>
      </c>
      <c r="E19" s="191">
        <f t="shared" si="1"/>
        <v>-2.3128503902385484E-2</v>
      </c>
      <c r="F19" s="191">
        <f t="shared" si="0"/>
        <v>-2.5714285714285672E-2</v>
      </c>
      <c r="G19" s="191">
        <f t="shared" si="0"/>
        <v>-3.4776869574046777E-2</v>
      </c>
    </row>
    <row r="20" spans="1:7">
      <c r="A20" s="189">
        <v>18</v>
      </c>
      <c r="B20" s="15">
        <v>889.49</v>
      </c>
      <c r="C20" s="15">
        <v>16.97</v>
      </c>
      <c r="D20" s="190">
        <v>374.69</v>
      </c>
      <c r="E20" s="191">
        <f t="shared" si="1"/>
        <v>9.3399050255445388E-4</v>
      </c>
      <c r="F20" s="191">
        <f t="shared" si="1"/>
        <v>-4.6920821114370586E-3</v>
      </c>
      <c r="G20" s="191">
        <f t="shared" si="1"/>
        <v>-1.4596044603408404E-2</v>
      </c>
    </row>
    <row r="21" spans="1:7">
      <c r="A21" s="189">
        <v>19</v>
      </c>
      <c r="B21" s="15">
        <v>939.77</v>
      </c>
      <c r="C21" s="15">
        <v>18.03</v>
      </c>
      <c r="D21" s="190">
        <v>381.65</v>
      </c>
      <c r="E21" s="191">
        <f t="shared" si="1"/>
        <v>5.6526773769238522E-2</v>
      </c>
      <c r="F21" s="191">
        <f t="shared" si="1"/>
        <v>6.2463170300530488E-2</v>
      </c>
      <c r="G21" s="191">
        <f t="shared" si="1"/>
        <v>1.8575355627318529E-2</v>
      </c>
    </row>
    <row r="22" spans="1:7">
      <c r="A22" s="189">
        <v>20</v>
      </c>
      <c r="B22" s="15">
        <v>839.02</v>
      </c>
      <c r="C22" s="15">
        <v>14.69</v>
      </c>
      <c r="D22" s="190">
        <v>346.3</v>
      </c>
      <c r="E22" s="191">
        <f t="shared" si="1"/>
        <v>-0.10720708258403652</v>
      </c>
      <c r="F22" s="191">
        <f t="shared" si="1"/>
        <v>-0.18524681087077102</v>
      </c>
      <c r="G22" s="191">
        <f t="shared" si="1"/>
        <v>-9.2624132058168399E-2</v>
      </c>
    </row>
    <row r="23" spans="1:7">
      <c r="A23" s="189">
        <v>21</v>
      </c>
      <c r="B23" s="15">
        <v>829.93</v>
      </c>
      <c r="C23" s="15">
        <v>12.37</v>
      </c>
      <c r="D23" s="190">
        <v>317.10000000000002</v>
      </c>
      <c r="E23" s="191">
        <f t="shared" si="1"/>
        <v>-1.0834068317799376E-2</v>
      </c>
      <c r="F23" s="191">
        <f t="shared" si="1"/>
        <v>-0.15793056501021105</v>
      </c>
      <c r="G23" s="191">
        <f t="shared" si="1"/>
        <v>-8.431995379728556E-2</v>
      </c>
    </row>
    <row r="24" spans="1:7">
      <c r="A24" s="189">
        <v>22</v>
      </c>
      <c r="B24" s="15">
        <v>806.62</v>
      </c>
      <c r="C24" s="15">
        <v>10.44</v>
      </c>
      <c r="D24" s="190">
        <v>223.43</v>
      </c>
      <c r="E24" s="191">
        <f t="shared" si="1"/>
        <v>-2.8086706107743963E-2</v>
      </c>
      <c r="F24" s="191">
        <f t="shared" si="1"/>
        <v>-0.15602263540824574</v>
      </c>
      <c r="G24" s="191">
        <f t="shared" si="1"/>
        <v>-0.29539577420372126</v>
      </c>
    </row>
    <row r="25" spans="1:7">
      <c r="A25" s="189">
        <v>23</v>
      </c>
      <c r="B25" s="15">
        <v>760.86</v>
      </c>
      <c r="C25" s="15">
        <v>9.86</v>
      </c>
      <c r="D25" s="190">
        <v>168.6</v>
      </c>
      <c r="E25" s="191">
        <f t="shared" si="1"/>
        <v>-5.6730554660186942E-2</v>
      </c>
      <c r="F25" s="191">
        <f t="shared" si="1"/>
        <v>-5.5555555555555566E-2</v>
      </c>
      <c r="G25" s="191">
        <f t="shared" si="1"/>
        <v>-0.24540124423756887</v>
      </c>
    </row>
    <row r="26" spans="1:7">
      <c r="A26" s="189">
        <v>24</v>
      </c>
      <c r="B26" s="15">
        <v>816.19</v>
      </c>
      <c r="C26" s="15">
        <v>10.28</v>
      </c>
      <c r="D26" s="190">
        <v>139.34</v>
      </c>
      <c r="E26" s="191">
        <f t="shared" si="1"/>
        <v>7.2720342770023441E-2</v>
      </c>
      <c r="F26" s="191">
        <f t="shared" si="1"/>
        <v>4.2596348884381331E-2</v>
      </c>
      <c r="G26" s="191">
        <f t="shared" si="1"/>
        <v>-0.17354685646500589</v>
      </c>
    </row>
    <row r="27" spans="1:7">
      <c r="A27" s="189">
        <v>25</v>
      </c>
      <c r="B27" s="15">
        <v>858.69</v>
      </c>
      <c r="C27" s="15">
        <v>11.29</v>
      </c>
      <c r="D27" s="190">
        <v>146.09</v>
      </c>
      <c r="E27" s="191">
        <f t="shared" si="1"/>
        <v>5.2071208909690143E-2</v>
      </c>
      <c r="F27" s="191">
        <f t="shared" si="1"/>
        <v>9.824902723735407E-2</v>
      </c>
      <c r="G27" s="191">
        <f t="shared" si="1"/>
        <v>4.8442658246016936E-2</v>
      </c>
    </row>
    <row r="28" spans="1:7">
      <c r="A28" s="189">
        <v>26</v>
      </c>
      <c r="B28" s="15">
        <v>943.16</v>
      </c>
      <c r="C28" s="15">
        <v>13.41</v>
      </c>
      <c r="D28" s="190">
        <v>150.35</v>
      </c>
      <c r="E28" s="191">
        <f t="shared" si="1"/>
        <v>9.8370774086107796E-2</v>
      </c>
      <c r="F28" s="191">
        <f t="shared" si="1"/>
        <v>0.18777679362267505</v>
      </c>
      <c r="G28" s="191">
        <f t="shared" si="1"/>
        <v>2.9160106783489567E-2</v>
      </c>
    </row>
    <row r="29" spans="1:7">
      <c r="A29" s="189">
        <v>27</v>
      </c>
      <c r="B29" s="15">
        <v>924.27</v>
      </c>
      <c r="C29" s="15">
        <v>13.11</v>
      </c>
      <c r="D29" s="190">
        <v>170.09</v>
      </c>
      <c r="E29" s="191">
        <f t="shared" si="1"/>
        <v>-2.0028415115144818E-2</v>
      </c>
      <c r="F29" s="191">
        <f t="shared" si="1"/>
        <v>-2.2371364653243901E-2</v>
      </c>
      <c r="G29" s="191">
        <f t="shared" si="1"/>
        <v>0.13129364815430669</v>
      </c>
    </row>
    <row r="30" spans="1:7">
      <c r="A30" s="189">
        <v>28</v>
      </c>
      <c r="B30" s="15">
        <v>890.2</v>
      </c>
      <c r="C30" s="15">
        <v>12.51</v>
      </c>
      <c r="D30" s="190">
        <v>199.88</v>
      </c>
      <c r="E30" s="191">
        <f t="shared" si="1"/>
        <v>-3.6861523147997809E-2</v>
      </c>
      <c r="F30" s="191">
        <f t="shared" si="1"/>
        <v>-4.5766590389015996E-2</v>
      </c>
      <c r="G30" s="191">
        <f t="shared" si="1"/>
        <v>0.17514257157975185</v>
      </c>
    </row>
    <row r="31" spans="1:7">
      <c r="A31" s="189">
        <v>29</v>
      </c>
      <c r="B31" s="15">
        <v>928.64</v>
      </c>
      <c r="C31" s="15">
        <v>14.03</v>
      </c>
      <c r="D31" s="190">
        <v>207.23</v>
      </c>
      <c r="E31" s="191">
        <f t="shared" si="1"/>
        <v>4.3181307571332213E-2</v>
      </c>
      <c r="F31" s="191">
        <f t="shared" si="1"/>
        <v>0.12150279776179053</v>
      </c>
      <c r="G31" s="191">
        <f t="shared" si="1"/>
        <v>3.6772063237942736E-2</v>
      </c>
    </row>
    <row r="32" spans="1:7">
      <c r="A32" s="189">
        <v>30</v>
      </c>
      <c r="B32" s="15">
        <v>945.67</v>
      </c>
      <c r="C32" s="15">
        <v>14.65</v>
      </c>
      <c r="D32" s="190">
        <v>227.43</v>
      </c>
      <c r="E32" s="191">
        <f t="shared" si="1"/>
        <v>1.8338645761543735E-2</v>
      </c>
      <c r="F32" s="191">
        <f t="shared" si="1"/>
        <v>4.4191019244476194E-2</v>
      </c>
      <c r="G32" s="191">
        <f t="shared" si="1"/>
        <v>9.747623413598426E-2</v>
      </c>
    </row>
    <row r="33" spans="1:10">
      <c r="A33" s="189">
        <v>31</v>
      </c>
      <c r="B33" s="15">
        <v>934.23</v>
      </c>
      <c r="C33" s="15">
        <v>13.36</v>
      </c>
      <c r="D33" s="190">
        <v>236.57</v>
      </c>
      <c r="E33" s="191">
        <f t="shared" si="1"/>
        <v>-1.2097243224380536E-2</v>
      </c>
      <c r="F33" s="191">
        <f t="shared" si="1"/>
        <v>-8.8054607508532487E-2</v>
      </c>
      <c r="G33" s="191">
        <f t="shared" si="1"/>
        <v>4.0188189772677248E-2</v>
      </c>
    </row>
    <row r="34" spans="1:10">
      <c r="A34" s="189">
        <v>32</v>
      </c>
      <c r="B34" s="15">
        <v>949.38</v>
      </c>
      <c r="C34" s="15">
        <v>14.35</v>
      </c>
      <c r="D34" s="190">
        <v>279.64999999999998</v>
      </c>
      <c r="E34" s="191">
        <f t="shared" si="1"/>
        <v>1.6216563373045157E-2</v>
      </c>
      <c r="F34" s="191">
        <f t="shared" si="1"/>
        <v>7.4101796407185644E-2</v>
      </c>
      <c r="G34" s="191">
        <f t="shared" si="1"/>
        <v>0.1821025489284355</v>
      </c>
    </row>
    <row r="35" spans="1:10">
      <c r="A35" s="189">
        <v>33</v>
      </c>
      <c r="B35" s="15">
        <v>996.59</v>
      </c>
      <c r="C35" s="15">
        <v>16.39</v>
      </c>
      <c r="D35" s="190">
        <v>281.07</v>
      </c>
      <c r="E35" s="191">
        <f t="shared" si="1"/>
        <v>4.9727190376877582E-2</v>
      </c>
      <c r="F35" s="191">
        <f t="shared" si="1"/>
        <v>0.14216027874564466</v>
      </c>
      <c r="G35" s="191">
        <f t="shared" si="1"/>
        <v>5.0777757911675886E-3</v>
      </c>
    </row>
    <row r="36" spans="1:10">
      <c r="A36" s="189">
        <v>34</v>
      </c>
      <c r="B36" s="15">
        <v>1043.1600000000001</v>
      </c>
      <c r="C36" s="15">
        <v>17.239999999999998</v>
      </c>
      <c r="D36" s="190">
        <v>285.22000000000003</v>
      </c>
      <c r="E36" s="191">
        <f t="shared" si="1"/>
        <v>4.6729347073520756E-2</v>
      </c>
      <c r="F36" s="191">
        <f t="shared" si="1"/>
        <v>5.1860890787065149E-2</v>
      </c>
      <c r="G36" s="191">
        <f t="shared" si="1"/>
        <v>1.4765005158857345E-2</v>
      </c>
    </row>
    <row r="37" spans="1:10">
      <c r="A37" s="189">
        <v>35</v>
      </c>
      <c r="B37" s="15">
        <v>1127.04</v>
      </c>
      <c r="C37" s="15">
        <v>17.809999999999999</v>
      </c>
      <c r="D37" s="190">
        <v>302.8</v>
      </c>
      <c r="E37" s="191">
        <f t="shared" si="1"/>
        <v>8.0409524905095939E-2</v>
      </c>
      <c r="F37" s="191">
        <f t="shared" si="1"/>
        <v>3.3062645011600951E-2</v>
      </c>
      <c r="G37" s="191">
        <f t="shared" si="1"/>
        <v>6.1636631372273973E-2</v>
      </c>
    </row>
    <row r="38" spans="1:10">
      <c r="A38" s="189">
        <v>36</v>
      </c>
      <c r="B38" s="15">
        <v>1134.72</v>
      </c>
      <c r="C38" s="15">
        <v>17.670000000000002</v>
      </c>
      <c r="D38" s="190">
        <v>316.69</v>
      </c>
      <c r="E38" s="191">
        <f t="shared" si="1"/>
        <v>6.8143100511073819E-3</v>
      </c>
      <c r="F38" s="191">
        <f t="shared" si="1"/>
        <v>-7.8607523862996645E-3</v>
      </c>
      <c r="G38" s="191">
        <f t="shared" si="1"/>
        <v>4.5871862615587802E-2</v>
      </c>
    </row>
    <row r="39" spans="1:10">
      <c r="A39" s="189">
        <v>37</v>
      </c>
      <c r="B39" s="15">
        <v>1117.96</v>
      </c>
      <c r="C39" s="15">
        <v>17.78</v>
      </c>
      <c r="D39" s="190">
        <v>335.03</v>
      </c>
      <c r="E39" s="191">
        <f t="shared" si="1"/>
        <v>-1.4770163564579801E-2</v>
      </c>
      <c r="F39" s="191">
        <f t="shared" si="1"/>
        <v>6.2252405206564467E-3</v>
      </c>
      <c r="G39" s="191">
        <f t="shared" si="1"/>
        <v>5.7911522308882427E-2</v>
      </c>
    </row>
    <row r="40" spans="1:10">
      <c r="A40" s="189">
        <v>38</v>
      </c>
      <c r="B40" s="15">
        <v>1095.4100000000001</v>
      </c>
      <c r="C40" s="15">
        <v>15.87</v>
      </c>
      <c r="D40" s="190">
        <v>310.63</v>
      </c>
      <c r="E40" s="191">
        <f t="shared" si="1"/>
        <v>-2.0170668002432963E-2</v>
      </c>
      <c r="F40" s="191">
        <f t="shared" si="1"/>
        <v>-0.10742407199100122</v>
      </c>
      <c r="G40" s="191">
        <f t="shared" si="1"/>
        <v>-7.2829298868757955E-2</v>
      </c>
    </row>
    <row r="41" spans="1:10">
      <c r="A41" s="189">
        <v>39</v>
      </c>
      <c r="B41" s="15">
        <v>1113.94</v>
      </c>
      <c r="C41" s="15">
        <v>17.11</v>
      </c>
      <c r="D41" s="190">
        <v>338.51</v>
      </c>
      <c r="E41" s="191">
        <f t="shared" si="1"/>
        <v>1.6916040569284533E-2</v>
      </c>
      <c r="F41" s="191">
        <f t="shared" si="1"/>
        <v>7.8134845620667942E-2</v>
      </c>
      <c r="G41" s="191">
        <f t="shared" si="1"/>
        <v>8.9753082445352975E-2</v>
      </c>
    </row>
    <row r="42" spans="1:10">
      <c r="A42" s="189">
        <v>40</v>
      </c>
      <c r="B42" s="15">
        <v>1148.69</v>
      </c>
      <c r="C42" s="15">
        <v>18.100000000000001</v>
      </c>
      <c r="D42" s="190">
        <v>351.31</v>
      </c>
      <c r="E42" s="191">
        <f t="shared" si="1"/>
        <v>3.119557606334273E-2</v>
      </c>
      <c r="F42" s="191">
        <f t="shared" si="1"/>
        <v>5.7860900058445471E-2</v>
      </c>
      <c r="G42" s="191">
        <f t="shared" si="1"/>
        <v>3.7812767717349594E-2</v>
      </c>
    </row>
    <row r="43" spans="1:10">
      <c r="A43" s="189">
        <v>41</v>
      </c>
      <c r="B43" s="15">
        <v>1205.43</v>
      </c>
      <c r="C43" s="15">
        <v>18.41</v>
      </c>
      <c r="D43" s="190">
        <v>310.14999999999998</v>
      </c>
      <c r="E43" s="191">
        <f t="shared" si="1"/>
        <v>4.9395398236251734E-2</v>
      </c>
      <c r="F43" s="191">
        <f t="shared" si="1"/>
        <v>1.7127071823204349E-2</v>
      </c>
      <c r="G43" s="191">
        <f t="shared" si="1"/>
        <v>-0.11716148131280073</v>
      </c>
    </row>
    <row r="44" spans="1:10">
      <c r="A44" s="189">
        <v>42</v>
      </c>
      <c r="B44" s="15">
        <v>1232.92</v>
      </c>
      <c r="C44" s="15">
        <v>18.45</v>
      </c>
      <c r="D44" s="190">
        <v>294.8</v>
      </c>
      <c r="E44" s="191">
        <f t="shared" si="1"/>
        <v>2.2805140074496244E-2</v>
      </c>
      <c r="F44" s="191">
        <f t="shared" si="1"/>
        <v>2.1727322107549783E-3</v>
      </c>
      <c r="G44" s="191">
        <f t="shared" si="1"/>
        <v>-4.9492181202643773E-2</v>
      </c>
      <c r="H44" s="192" t="s">
        <v>157</v>
      </c>
    </row>
    <row r="45" spans="1:10">
      <c r="A45" s="189">
        <v>43</v>
      </c>
      <c r="B45" s="15">
        <v>1192.97</v>
      </c>
      <c r="C45" s="15">
        <v>17.963000000000001</v>
      </c>
      <c r="D45" s="190">
        <v>305.51</v>
      </c>
      <c r="E45" s="191">
        <f t="shared" si="1"/>
        <v>-3.2402751192291503E-2</v>
      </c>
      <c r="F45" s="191">
        <f t="shared" si="1"/>
        <v>-2.6395663956639476E-2</v>
      </c>
      <c r="G45" s="191">
        <f t="shared" si="1"/>
        <v>3.6329715061058275E-2</v>
      </c>
      <c r="H45" s="191">
        <f>+AVERAGE(E48:G48)</f>
        <v>1.4112285781132501E-2</v>
      </c>
    </row>
    <row r="46" spans="1:10">
      <c r="A46" s="189">
        <v>44</v>
      </c>
      <c r="B46" s="15">
        <v>1215.81</v>
      </c>
      <c r="C46" s="15">
        <v>18.36</v>
      </c>
      <c r="D46" s="190">
        <v>330.39</v>
      </c>
      <c r="E46" s="191">
        <f t="shared" si="1"/>
        <v>1.9145494019128659E-2</v>
      </c>
      <c r="F46" s="191">
        <f t="shared" si="1"/>
        <v>2.2100985358792988E-2</v>
      </c>
      <c r="G46" s="191">
        <f t="shared" si="1"/>
        <v>8.1437596150698816E-2</v>
      </c>
    </row>
    <row r="47" spans="1:10" ht="30">
      <c r="A47" s="189">
        <v>45</v>
      </c>
      <c r="B47" s="191">
        <v>1255.6300000000001</v>
      </c>
      <c r="C47" s="191">
        <v>20.02</v>
      </c>
      <c r="D47" s="193">
        <v>344.23</v>
      </c>
      <c r="E47" s="191">
        <f t="shared" si="1"/>
        <v>3.275182799944084E-2</v>
      </c>
      <c r="F47" s="191">
        <f t="shared" si="1"/>
        <v>9.0413943355119833E-2</v>
      </c>
      <c r="G47" s="191">
        <f t="shared" si="1"/>
        <v>4.1889887708465849E-2</v>
      </c>
      <c r="H47" s="194" t="s">
        <v>153</v>
      </c>
      <c r="I47" s="194" t="s">
        <v>154</v>
      </c>
      <c r="J47" s="194" t="s">
        <v>155</v>
      </c>
    </row>
    <row r="48" spans="1:10">
      <c r="A48" s="189">
        <v>46</v>
      </c>
      <c r="B48" s="191">
        <f>+B47*(1+$E$48)</f>
        <v>1276.6210109633184</v>
      </c>
      <c r="C48" s="191">
        <f>+C47*(1+$F$48)</f>
        <v>20.290508867746102</v>
      </c>
      <c r="D48" s="191">
        <f>+D47*(1+$G$48)</f>
        <v>348.39773470671844</v>
      </c>
      <c r="E48" s="191">
        <f>AVERAGE(E4:E47)</f>
        <v>1.6717513091689621E-2</v>
      </c>
      <c r="F48" s="191">
        <f t="shared" ref="F48:G48" si="2">AVERAGE(F4:F47)</f>
        <v>1.3511931455849195E-2</v>
      </c>
      <c r="G48" s="191">
        <f t="shared" si="2"/>
        <v>1.2107412795858689E-2</v>
      </c>
      <c r="H48" s="15">
        <f>AVERAGE(B3:B47)</f>
        <v>912.7784444444444</v>
      </c>
      <c r="I48" s="15">
        <f t="shared" ref="I48" si="3">AVERAGE(C3:C47)</f>
        <v>15.084955555555554</v>
      </c>
      <c r="J48" s="15">
        <f>AVERAGE(D3:D47)</f>
        <v>297.43266666666659</v>
      </c>
    </row>
    <row r="49" spans="1:4">
      <c r="A49" s="189">
        <v>47</v>
      </c>
      <c r="B49" s="191">
        <f t="shared" ref="B49:B107" si="4">+B48*(1+$E$48)</f>
        <v>1297.9629394272238</v>
      </c>
      <c r="C49" s="191">
        <f t="shared" ref="C49:C107" si="5">+C48*(1+$F$48)</f>
        <v>20.564672832771386</v>
      </c>
      <c r="D49" s="191">
        <f t="shared" ref="D49:D107" si="6">+D48*(1+$G$48)</f>
        <v>352.61592989795474</v>
      </c>
    </row>
    <row r="50" spans="1:4">
      <c r="A50" s="189">
        <v>48</v>
      </c>
      <c r="B50" s="191">
        <f t="shared" si="4"/>
        <v>1319.6616518596263</v>
      </c>
      <c r="C50" s="191">
        <f t="shared" si="5"/>
        <v>20.842541282499756</v>
      </c>
      <c r="D50" s="191">
        <f t="shared" si="6"/>
        <v>356.88519651962486</v>
      </c>
    </row>
    <row r="51" spans="1:4">
      <c r="A51" s="189">
        <v>49</v>
      </c>
      <c r="B51" s="191">
        <f t="shared" si="4"/>
        <v>1341.7231128011904</v>
      </c>
      <c r="C51" s="191">
        <f t="shared" si="5"/>
        <v>21.124164271674598</v>
      </c>
      <c r="D51" s="191">
        <f t="shared" si="6"/>
        <v>361.20615291461911</v>
      </c>
    </row>
    <row r="52" spans="1:4">
      <c r="A52" s="189">
        <v>50</v>
      </c>
      <c r="B52" s="191">
        <f t="shared" si="4"/>
        <v>1364.1533865048668</v>
      </c>
      <c r="C52" s="191">
        <f t="shared" si="5"/>
        <v>21.409592531375562</v>
      </c>
      <c r="D52" s="191">
        <f t="shared" si="6"/>
        <v>365.57942491236048</v>
      </c>
    </row>
    <row r="53" spans="1:4">
      <c r="A53" s="189">
        <v>51</v>
      </c>
      <c r="B53" s="191">
        <f t="shared" si="4"/>
        <v>1386.9586386028348</v>
      </c>
      <c r="C53" s="191">
        <f t="shared" si="5"/>
        <v>21.698877478157168</v>
      </c>
      <c r="D53" s="191">
        <f t="shared" si="6"/>
        <v>370.00564591944703</v>
      </c>
    </row>
    <row r="54" spans="1:4">
      <c r="A54" s="189">
        <v>52</v>
      </c>
      <c r="B54" s="191">
        <f t="shared" si="4"/>
        <v>1410.1451378013098</v>
      </c>
      <c r="C54" s="191">
        <f t="shared" si="5"/>
        <v>21.992071223310898</v>
      </c>
      <c r="D54" s="191">
        <f t="shared" si="6"/>
        <v>374.4854570113921</v>
      </c>
    </row>
    <row r="55" spans="1:4">
      <c r="A55" s="189">
        <v>53</v>
      </c>
      <c r="B55" s="191">
        <f t="shared" si="4"/>
        <v>1433.7192576036857</v>
      </c>
      <c r="C55" s="191">
        <f t="shared" si="5"/>
        <v>22.289226582252429</v>
      </c>
      <c r="D55" s="191">
        <f t="shared" si="6"/>
        <v>379.01950702547481</v>
      </c>
    </row>
    <row r="56" spans="1:4">
      <c r="A56" s="189">
        <v>54</v>
      </c>
      <c r="B56" s="191">
        <f t="shared" si="4"/>
        <v>1457.687478062483</v>
      </c>
      <c r="C56" s="191">
        <f t="shared" si="5"/>
        <v>22.590397084035715</v>
      </c>
      <c r="D56" s="191">
        <f t="shared" si="6"/>
        <v>383.60845265471511</v>
      </c>
    </row>
    <row r="57" spans="1:4">
      <c r="A57" s="189">
        <v>55</v>
      </c>
      <c r="B57" s="191">
        <f t="shared" si="4"/>
        <v>1482.0563875605847</v>
      </c>
      <c r="C57" s="191">
        <f t="shared" si="5"/>
        <v>22.895636980995619</v>
      </c>
      <c r="D57" s="191">
        <f t="shared" si="6"/>
        <v>388.25295854298633</v>
      </c>
    </row>
    <row r="58" spans="1:4">
      <c r="A58" s="189">
        <v>56</v>
      </c>
      <c r="B58" s="191">
        <f t="shared" si="4"/>
        <v>1506.832684622251</v>
      </c>
      <c r="C58" s="191">
        <f t="shared" si="5"/>
        <v>23.205001258520838</v>
      </c>
      <c r="D58" s="191">
        <f t="shared" si="6"/>
        <v>392.95369738127971</v>
      </c>
    </row>
    <row r="59" spans="1:4">
      <c r="A59" s="189">
        <v>57</v>
      </c>
      <c r="B59" s="191">
        <f t="shared" si="4"/>
        <v>1532.0231797544093</v>
      </c>
      <c r="C59" s="191">
        <f t="shared" si="5"/>
        <v>23.518545644958866</v>
      </c>
      <c r="D59" s="191">
        <f t="shared" si="6"/>
        <v>397.7113500051338</v>
      </c>
    </row>
    <row r="60" spans="1:4">
      <c r="A60" s="189">
        <v>58</v>
      </c>
      <c r="B60" s="191">
        <f t="shared" si="4"/>
        <v>1557.6347973187258</v>
      </c>
      <c r="C60" s="191">
        <f t="shared" si="5"/>
        <v>23.836326621654809</v>
      </c>
      <c r="D60" s="191">
        <f t="shared" si="6"/>
        <v>402.52660549324418</v>
      </c>
    </row>
    <row r="61" spans="1:4">
      <c r="A61" s="189">
        <v>59</v>
      </c>
      <c r="B61" s="191">
        <f t="shared" si="4"/>
        <v>1583.6745774349729</v>
      </c>
      <c r="C61" s="191">
        <f t="shared" si="5"/>
        <v>24.158401433125842</v>
      </c>
      <c r="D61" s="191">
        <f t="shared" si="6"/>
        <v>407.40016126726664</v>
      </c>
    </row>
    <row r="62" spans="1:4">
      <c r="A62" s="189">
        <v>60</v>
      </c>
      <c r="B62" s="191">
        <f t="shared" si="4"/>
        <v>1610.1496779162183</v>
      </c>
      <c r="C62" s="191">
        <f t="shared" si="5"/>
        <v>24.484828097373128</v>
      </c>
      <c r="D62" s="191">
        <f t="shared" si="6"/>
        <v>412.33272319282884</v>
      </c>
    </row>
    <row r="63" spans="1:4">
      <c r="A63" s="189">
        <v>61</v>
      </c>
      <c r="B63" s="191">
        <f t="shared" si="4"/>
        <v>1637.0673762363626</v>
      </c>
      <c r="C63" s="191">
        <f t="shared" si="5"/>
        <v>24.815665416333083</v>
      </c>
      <c r="D63" s="191">
        <f t="shared" si="6"/>
        <v>417.32500568176494</v>
      </c>
    </row>
    <row r="64" spans="1:4">
      <c r="A64" s="189">
        <v>62</v>
      </c>
      <c r="B64" s="191">
        <f t="shared" si="4"/>
        <v>1664.435071530572</v>
      </c>
      <c r="C64" s="191">
        <f t="shared" si="5"/>
        <v>25.150972986469863</v>
      </c>
      <c r="D64" s="191">
        <f t="shared" si="6"/>
        <v>422.37773179558815</v>
      </c>
    </row>
    <row r="65" spans="1:4">
      <c r="A65" s="189">
        <v>63</v>
      </c>
      <c r="B65" s="191">
        <f t="shared" si="4"/>
        <v>1692.2602866291518</v>
      </c>
      <c r="C65" s="191">
        <f t="shared" si="5"/>
        <v>25.490811209510959</v>
      </c>
      <c r="D65" s="191">
        <f t="shared" si="6"/>
        <v>427.49163335021581</v>
      </c>
    </row>
    <row r="66" spans="1:4">
      <c r="A66" s="189">
        <v>64</v>
      </c>
      <c r="B66" s="191">
        <f t="shared" si="4"/>
        <v>1720.5506701254212</v>
      </c>
      <c r="C66" s="191">
        <f t="shared" si="5"/>
        <v>25.835241303327862</v>
      </c>
      <c r="D66" s="191">
        <f t="shared" si="6"/>
        <v>432.66745102196273</v>
      </c>
    </row>
    <row r="67" spans="1:4">
      <c r="A67" s="189">
        <v>65</v>
      </c>
      <c r="B67" s="191">
        <f t="shared" si="4"/>
        <v>1749.3139984781583</v>
      </c>
      <c r="C67" s="191">
        <f t="shared" si="5"/>
        <v>26.18432531296375</v>
      </c>
      <c r="D67" s="191">
        <f t="shared" si="6"/>
        <v>437.90593445481761</v>
      </c>
    </row>
    <row r="68" spans="1:4">
      <c r="A68" s="189">
        <v>66</v>
      </c>
      <c r="B68" s="191">
        <f t="shared" si="4"/>
        <v>1778.5581781491928</v>
      </c>
      <c r="C68" s="191">
        <f t="shared" si="5"/>
        <v>26.538126121810173</v>
      </c>
      <c r="D68" s="191">
        <f t="shared" si="6"/>
        <v>443.20784236901835</v>
      </c>
    </row>
    <row r="69" spans="1:4">
      <c r="A69" s="189">
        <v>67</v>
      </c>
      <c r="B69" s="191">
        <f t="shared" si="4"/>
        <v>1808.2912477767336</v>
      </c>
      <c r="C69" s="191">
        <f t="shared" si="5"/>
        <v>26.896707462934753</v>
      </c>
      <c r="D69" s="191">
        <f t="shared" si="6"/>
        <v>448.5739426709419</v>
      </c>
    </row>
    <row r="70" spans="1:4">
      <c r="A70" s="189">
        <v>68</v>
      </c>
      <c r="B70" s="191">
        <f t="shared" si="4"/>
        <v>1838.521380385029</v>
      </c>
      <c r="C70" s="191">
        <f t="shared" si="5"/>
        <v>27.260133930561953</v>
      </c>
      <c r="D70" s="191">
        <f t="shared" si="6"/>
        <v>454.00501256432483</v>
      </c>
    </row>
    <row r="71" spans="1:4">
      <c r="A71" s="189">
        <v>69</v>
      </c>
      <c r="B71" s="191">
        <f t="shared" si="4"/>
        <v>1869.2568856309672</v>
      </c>
      <c r="C71" s="191">
        <f t="shared" si="5"/>
        <v>27.628470991708973</v>
      </c>
      <c r="D71" s="191">
        <f t="shared" si="6"/>
        <v>459.5018386628301</v>
      </c>
    </row>
    <row r="72" spans="1:4">
      <c r="A72" s="189">
        <v>70</v>
      </c>
      <c r="B72" s="191">
        <f t="shared" si="4"/>
        <v>1900.506212088234</v>
      </c>
      <c r="C72" s="191">
        <f t="shared" si="5"/>
        <v>28.001784997978863</v>
      </c>
      <c r="D72" s="191">
        <f t="shared" si="6"/>
        <v>465.06521710397703</v>
      </c>
    </row>
    <row r="73" spans="1:4">
      <c r="A73" s="189">
        <v>71</v>
      </c>
      <c r="B73" s="191">
        <f t="shared" si="4"/>
        <v>1932.2779495696566</v>
      </c>
      <c r="C73" s="191">
        <f t="shared" si="5"/>
        <v>28.380143197512979</v>
      </c>
      <c r="D73" s="191">
        <f t="shared" si="6"/>
        <v>470.69595366445054</v>
      </c>
    </row>
    <row r="74" spans="1:4">
      <c r="A74" s="189">
        <v>72</v>
      </c>
      <c r="B74" s="191">
        <f t="shared" si="4"/>
        <v>1964.5808314883707</v>
      </c>
      <c r="C74" s="191">
        <f t="shared" si="5"/>
        <v>28.763613747104959</v>
      </c>
      <c r="D74" s="191">
        <f t="shared" si="6"/>
        <v>476.39486387680643</v>
      </c>
    </row>
    <row r="75" spans="1:4">
      <c r="A75" s="189">
        <v>73</v>
      </c>
      <c r="B75" s="191">
        <f t="shared" si="4"/>
        <v>1997.4237372584601</v>
      </c>
      <c r="C75" s="191">
        <f t="shared" si="5"/>
        <v>29.152265724478362</v>
      </c>
      <c r="D75" s="191">
        <f t="shared" si="6"/>
        <v>482.16277314758986</v>
      </c>
    </row>
    <row r="76" spans="1:4">
      <c r="A76" s="189">
        <v>74</v>
      </c>
      <c r="B76" s="191">
        <f t="shared" si="4"/>
        <v>2030.8156947357302</v>
      </c>
      <c r="C76" s="191">
        <f t="shared" si="5"/>
        <v>29.546169140730214</v>
      </c>
      <c r="D76" s="191">
        <f t="shared" si="6"/>
        <v>488.00051687688369</v>
      </c>
    </row>
    <row r="77" spans="1:4">
      <c r="A77" s="189">
        <v>75</v>
      </c>
      <c r="B77" s="191">
        <f t="shared" si="4"/>
        <v>2064.7658826992838</v>
      </c>
      <c r="C77" s="191">
        <f t="shared" si="5"/>
        <v>29.945394952942685</v>
      </c>
      <c r="D77" s="191">
        <f t="shared" si="6"/>
        <v>493.90894057930456</v>
      </c>
    </row>
    <row r="78" spans="1:4">
      <c r="A78" s="189">
        <v>76</v>
      </c>
      <c r="B78" s="191">
        <f t="shared" si="4"/>
        <v>2099.2836333745831</v>
      </c>
      <c r="C78" s="191">
        <f t="shared" si="5"/>
        <v>30.350015076965178</v>
      </c>
      <c r="D78" s="191">
        <f t="shared" si="6"/>
        <v>499.88890000646342</v>
      </c>
    </row>
    <row r="79" spans="1:4">
      <c r="A79" s="189">
        <v>77</v>
      </c>
      <c r="B79" s="191">
        <f t="shared" si="4"/>
        <v>2134.3784349986927</v>
      </c>
      <c r="C79" s="191">
        <f t="shared" si="5"/>
        <v>30.760102400369121</v>
      </c>
      <c r="D79" s="191">
        <f t="shared" si="6"/>
        <v>505.94126127090942</v>
      </c>
    </row>
    <row r="80" spans="1:4">
      <c r="A80" s="189">
        <v>78</v>
      </c>
      <c r="B80" s="191">
        <f t="shared" si="4"/>
        <v>2170.0599344284033</v>
      </c>
      <c r="C80" s="191">
        <f t="shared" si="5"/>
        <v>31.17573079557781</v>
      </c>
      <c r="D80" s="191">
        <f t="shared" si="6"/>
        <v>512.06690097157377</v>
      </c>
    </row>
    <row r="81" spans="1:4">
      <c r="A81" s="189">
        <v>79</v>
      </c>
      <c r="B81" s="191">
        <f t="shared" si="4"/>
        <v>2206.3379397919612</v>
      </c>
      <c r="C81" s="191">
        <f t="shared" si="5"/>
        <v>31.596975133173665</v>
      </c>
      <c r="D81" s="191">
        <f t="shared" si="6"/>
        <v>518.26670632073274</v>
      </c>
    </row>
    <row r="82" spans="1:4">
      <c r="A82" s="189">
        <v>80</v>
      </c>
      <c r="B82" s="191">
        <f t="shared" si="4"/>
        <v>2243.2224231851251</v>
      </c>
      <c r="C82" s="191">
        <f t="shared" si="5"/>
        <v>32.023911295385275</v>
      </c>
      <c r="D82" s="191">
        <f t="shared" si="6"/>
        <v>524.54157527250788</v>
      </c>
    </row>
    <row r="83" spans="1:4">
      <c r="A83" s="189">
        <v>81</v>
      </c>
      <c r="B83" s="191">
        <f t="shared" si="4"/>
        <v>2280.7235234122941</v>
      </c>
      <c r="C83" s="191">
        <f t="shared" si="5"/>
        <v>32.456616189756716</v>
      </c>
      <c r="D83" s="191">
        <f t="shared" si="6"/>
        <v>530.89241665292218</v>
      </c>
    </row>
    <row r="84" spans="1:4">
      <c r="A84" s="189">
        <v>82</v>
      </c>
      <c r="B84" s="191">
        <f t="shared" si="4"/>
        <v>2318.8515487734635</v>
      </c>
      <c r="C84" s="191">
        <f t="shared" si="5"/>
        <v>32.89516776300151</v>
      </c>
      <c r="D84" s="191">
        <f t="shared" si="6"/>
        <v>537.32015029153013</v>
      </c>
    </row>
    <row r="85" spans="1:4">
      <c r="A85" s="189">
        <v>83</v>
      </c>
      <c r="B85" s="191">
        <f t="shared" si="4"/>
        <v>2357.6169798977689</v>
      </c>
      <c r="C85" s="191">
        <f t="shared" si="5"/>
        <v>33.339645015043843</v>
      </c>
      <c r="D85" s="191">
        <f t="shared" si="6"/>
        <v>543.82570715464249</v>
      </c>
    </row>
    <row r="86" spans="1:4">
      <c r="A86" s="189">
        <v>84</v>
      </c>
      <c r="B86" s="191">
        <f t="shared" si="4"/>
        <v>2397.0304726243999</v>
      </c>
      <c r="C86" s="191">
        <f t="shared" si="5"/>
        <v>33.790128013249458</v>
      </c>
      <c r="D86" s="191">
        <f t="shared" si="6"/>
        <v>550.41002948016353</v>
      </c>
    </row>
    <row r="87" spans="1:4">
      <c r="A87" s="189">
        <v>85</v>
      </c>
      <c r="B87" s="191">
        <f t="shared" si="4"/>
        <v>2437.1028609316772</v>
      </c>
      <c r="C87" s="191">
        <f t="shared" si="5"/>
        <v>34.246697906848851</v>
      </c>
      <c r="D87" s="191">
        <f t="shared" si="6"/>
        <v>557.0740709140606</v>
      </c>
    </row>
    <row r="88" spans="1:4">
      <c r="A88" s="189">
        <v>86</v>
      </c>
      <c r="B88" s="191">
        <f t="shared" si="4"/>
        <v>2477.8451599150967</v>
      </c>
      <c r="C88" s="191">
        <f t="shared" si="5"/>
        <v>34.709436941555367</v>
      </c>
      <c r="D88" s="191">
        <f t="shared" si="6"/>
        <v>563.81879664848657</v>
      </c>
    </row>
    <row r="89" spans="1:4">
      <c r="A89" s="189">
        <v>87</v>
      </c>
      <c r="B89" s="191">
        <f t="shared" si="4"/>
        <v>2519.2685688151573</v>
      </c>
      <c r="C89" s="191">
        <f t="shared" si="5"/>
        <v>35.17842847438078</v>
      </c>
      <c r="D89" s="191">
        <f t="shared" si="6"/>
        <v>570.64518356157407</v>
      </c>
    </row>
    <row r="90" spans="1:4">
      <c r="A90" s="189">
        <v>88</v>
      </c>
      <c r="B90" s="191">
        <f t="shared" si="4"/>
        <v>2561.384474095807</v>
      </c>
      <c r="C90" s="191">
        <f t="shared" si="5"/>
        <v>35.653756988651104</v>
      </c>
      <c r="D90" s="191">
        <f t="shared" si="6"/>
        <v>577.55422035892263</v>
      </c>
    </row>
    <row r="91" spans="1:4">
      <c r="A91" s="189">
        <v>89</v>
      </c>
      <c r="B91" s="191">
        <f t="shared" si="4"/>
        <v>2604.2044525743545</v>
      </c>
      <c r="C91" s="191">
        <f t="shared" si="5"/>
        <v>36.135508109225263</v>
      </c>
      <c r="D91" s="191">
        <f t="shared" si="6"/>
        <v>584.5469077167985</v>
      </c>
    </row>
    <row r="92" spans="1:4">
      <c r="A92" s="189">
        <v>90</v>
      </c>
      <c r="B92" s="191">
        <f t="shared" si="4"/>
        <v>2647.7402746037028</v>
      </c>
      <c r="C92" s="191">
        <f t="shared" si="5"/>
        <v>36.623768617919396</v>
      </c>
      <c r="D92" s="191">
        <f t="shared" si="6"/>
        <v>591.62425842706853</v>
      </c>
    </row>
    <row r="93" spans="1:4">
      <c r="A93" s="189">
        <v>91</v>
      </c>
      <c r="B93" s="191">
        <f t="shared" si="4"/>
        <v>2692.0039073077842</v>
      </c>
      <c r="C93" s="191">
        <f t="shared" si="5"/>
        <v>37.118626469139599</v>
      </c>
      <c r="D93" s="191">
        <f t="shared" si="6"/>
        <v>598.78729754388883</v>
      </c>
    </row>
    <row r="94" spans="1:4">
      <c r="A94" s="189">
        <v>92</v>
      </c>
      <c r="B94" s="191">
        <f t="shared" si="4"/>
        <v>2737.0075178710817</v>
      </c>
      <c r="C94" s="191">
        <f t="shared" si="5"/>
        <v>37.620170805725884</v>
      </c>
      <c r="D94" s="191">
        <f t="shared" si="6"/>
        <v>606.03706253216933</v>
      </c>
    </row>
    <row r="95" spans="1:4">
      <c r="A95" s="189">
        <v>93</v>
      </c>
      <c r="B95" s="191">
        <f t="shared" si="4"/>
        <v>2782.7634768831444</v>
      </c>
      <c r="C95" s="191">
        <f t="shared" si="5"/>
        <v>38.128491975010192</v>
      </c>
      <c r="D95" s="191">
        <f t="shared" si="6"/>
        <v>613.37460341783594</v>
      </c>
    </row>
    <row r="96" spans="1:4">
      <c r="A96" s="189">
        <v>94</v>
      </c>
      <c r="B96" s="191">
        <f t="shared" si="4"/>
        <v>2829.2843617390145</v>
      </c>
      <c r="C96" s="191">
        <f t="shared" si="5"/>
        <v>38.643681545091425</v>
      </c>
      <c r="D96" s="191">
        <f t="shared" si="6"/>
        <v>620.80098293991182</v>
      </c>
    </row>
    <row r="97" spans="1:4">
      <c r="A97" s="189">
        <v>95</v>
      </c>
      <c r="B97" s="191">
        <f t="shared" si="4"/>
        <v>2876.5829600964994</v>
      </c>
      <c r="C97" s="191">
        <f t="shared" si="5"/>
        <v>39.165832321330363</v>
      </c>
      <c r="D97" s="191">
        <f t="shared" si="6"/>
        <v>628.31727670444013</v>
      </c>
    </row>
    <row r="98" spans="1:4">
      <c r="A98" s="189">
        <v>96</v>
      </c>
      <c r="B98" s="191">
        <f t="shared" si="4"/>
        <v>2924.6722733912438</v>
      </c>
      <c r="C98" s="191">
        <f t="shared" si="5"/>
        <v>39.695038363067461</v>
      </c>
      <c r="D98" s="191">
        <f t="shared" si="6"/>
        <v>635.92457334027051</v>
      </c>
    </row>
    <row r="99" spans="1:4">
      <c r="A99" s="189">
        <v>97</v>
      </c>
      <c r="B99" s="191">
        <f t="shared" si="4"/>
        <v>2973.5655204105637</v>
      </c>
      <c r="C99" s="191">
        <f t="shared" si="5"/>
        <v>40.231395000566529</v>
      </c>
      <c r="D99" s="191">
        <f t="shared" si="6"/>
        <v>643.62397465673143</v>
      </c>
    </row>
    <row r="100" spans="1:4">
      <c r="A100" s="189">
        <v>98</v>
      </c>
      <c r="B100" s="191">
        <f t="shared" si="4"/>
        <v>3023.2761409270242</v>
      </c>
      <c r="C100" s="191">
        <f t="shared" si="5"/>
        <v>40.77499885218738</v>
      </c>
      <c r="D100" s="191">
        <f t="shared" si="6"/>
        <v>651.41659580321175</v>
      </c>
    </row>
    <row r="101" spans="1:4">
      <c r="A101" s="189">
        <v>99</v>
      </c>
      <c r="B101" s="191">
        <f t="shared" si="4"/>
        <v>3073.8177993927648</v>
      </c>
      <c r="C101" s="191">
        <f t="shared" si="5"/>
        <v>41.325947841790466</v>
      </c>
      <c r="D101" s="191">
        <f t="shared" si="6"/>
        <v>659.30356543067421</v>
      </c>
    </row>
    <row r="102" spans="1:4">
      <c r="A102" s="189">
        <v>100</v>
      </c>
      <c r="B102" s="191">
        <f t="shared" si="4"/>
        <v>3125.2043886955821</v>
      </c>
      <c r="C102" s="191">
        <f t="shared" si="5"/>
        <v>41.88434121637674</v>
      </c>
      <c r="D102" s="191">
        <f t="shared" si="6"/>
        <v>667.28602585512476</v>
      </c>
    </row>
    <row r="103" spans="1:4">
      <c r="A103" s="189">
        <v>101</v>
      </c>
      <c r="B103" s="191">
        <f t="shared" si="4"/>
        <v>3177.4500339778065</v>
      </c>
      <c r="C103" s="191">
        <f t="shared" si="5"/>
        <v>42.450279563965822</v>
      </c>
      <c r="D103" s="191">
        <f t="shared" si="6"/>
        <v>675.36513322306075</v>
      </c>
    </row>
    <row r="104" spans="1:4">
      <c r="A104" s="189">
        <v>102</v>
      </c>
      <c r="B104" s="191">
        <f t="shared" si="4"/>
        <v>3230.5690965190201</v>
      </c>
      <c r="C104" s="191">
        <f t="shared" si="5"/>
        <v>43.023864831715763</v>
      </c>
      <c r="D104" s="191">
        <f t="shared" si="6"/>
        <v>683.54205767892245</v>
      </c>
    </row>
    <row r="105" spans="1:4">
      <c r="A105" s="189">
        <v>103</v>
      </c>
      <c r="B105" s="191">
        <f t="shared" si="4"/>
        <v>3284.5761776836848</v>
      </c>
      <c r="C105" s="191">
        <f t="shared" si="5"/>
        <v>43.605200344287624</v>
      </c>
      <c r="D105" s="191">
        <f t="shared" si="6"/>
        <v>691.81798353457179</v>
      </c>
    </row>
    <row r="106" spans="1:4">
      <c r="A106" s="189">
        <v>104</v>
      </c>
      <c r="B106" s="191">
        <f t="shared" si="4"/>
        <v>3339.4861229347639</v>
      </c>
      <c r="C106" s="191">
        <f t="shared" si="5"/>
        <v>44.19439082245821</v>
      </c>
      <c r="D106" s="191">
        <f t="shared" si="6"/>
        <v>700.19410944082347</v>
      </c>
    </row>
    <row r="107" spans="1:4">
      <c r="A107" s="189">
        <v>105</v>
      </c>
      <c r="B107" s="191">
        <f t="shared" si="4"/>
        <v>3395.314025914442</v>
      </c>
      <c r="C107" s="191">
        <f t="shared" si="5"/>
        <v>44.791542401984273</v>
      </c>
      <c r="D107" s="191">
        <f t="shared" si="6"/>
        <v>708.67164856105217</v>
      </c>
    </row>
  </sheetData>
  <mergeCells count="1">
    <mergeCell ref="E1:G1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4"/>
  <sheetViews>
    <sheetView topLeftCell="K44" workbookViewId="0">
      <selection activeCell="A53" sqref="A53"/>
    </sheetView>
  </sheetViews>
  <sheetFormatPr baseColWidth="10" defaultRowHeight="15"/>
  <cols>
    <col min="1" max="1" width="6.85546875" bestFit="1" customWidth="1"/>
    <col min="2" max="2" width="13" bestFit="1" customWidth="1"/>
    <col min="3" max="3" width="13.28515625" bestFit="1" customWidth="1"/>
    <col min="4" max="4" width="14.140625" bestFit="1" customWidth="1"/>
    <col min="5" max="5" width="13.28515625" bestFit="1" customWidth="1"/>
    <col min="6" max="6" width="14.5703125" bestFit="1" customWidth="1"/>
    <col min="13" max="13" width="14.7109375" bestFit="1" customWidth="1"/>
    <col min="14" max="14" width="15.5703125" bestFit="1" customWidth="1"/>
    <col min="15" max="16" width="15.7109375" bestFit="1" customWidth="1"/>
    <col min="17" max="17" width="15.5703125" bestFit="1" customWidth="1"/>
  </cols>
  <sheetData>
    <row r="1" spans="1:5" ht="18.75">
      <c r="A1" s="355" t="s">
        <v>108</v>
      </c>
      <c r="B1" s="355"/>
      <c r="C1" s="355"/>
      <c r="D1" s="355"/>
      <c r="E1" s="355"/>
    </row>
    <row r="18" spans="1:16" ht="18.75">
      <c r="A18" s="356" t="s">
        <v>109</v>
      </c>
      <c r="B18" s="356"/>
      <c r="C18" s="356"/>
      <c r="D18" s="356"/>
      <c r="E18" s="356"/>
    </row>
    <row r="19" spans="1:16" ht="18.75">
      <c r="A19" s="356" t="s">
        <v>110</v>
      </c>
      <c r="B19" s="356"/>
      <c r="C19" s="356"/>
      <c r="D19" s="356"/>
      <c r="E19" s="356"/>
    </row>
    <row r="20" spans="1:16" ht="18.75">
      <c r="A20" s="356" t="s">
        <v>111</v>
      </c>
      <c r="B20" s="356"/>
      <c r="C20" s="356"/>
      <c r="D20" s="356"/>
      <c r="E20" s="356"/>
    </row>
    <row r="21" spans="1:16" ht="18.75">
      <c r="A21" s="195"/>
    </row>
    <row r="22" spans="1:16" ht="15.75" thickBot="1"/>
    <row r="23" spans="1:16" ht="15.75" thickBot="1">
      <c r="L23" s="352" t="s">
        <v>205</v>
      </c>
      <c r="M23" s="353"/>
      <c r="N23" s="353"/>
      <c r="O23" s="353"/>
      <c r="P23" s="354"/>
    </row>
    <row r="24" spans="1:16" ht="15.75" thickBot="1">
      <c r="A24" s="196" t="s">
        <v>206</v>
      </c>
      <c r="B24" s="197" t="s">
        <v>207</v>
      </c>
      <c r="C24" s="197" t="s">
        <v>208</v>
      </c>
      <c r="D24" s="197" t="s">
        <v>209</v>
      </c>
      <c r="E24" s="198" t="s">
        <v>210</v>
      </c>
      <c r="F24" s="199" t="s">
        <v>211</v>
      </c>
      <c r="L24" s="200" t="s">
        <v>149</v>
      </c>
      <c r="M24" s="201" t="s">
        <v>150</v>
      </c>
      <c r="N24" s="201" t="s">
        <v>151</v>
      </c>
      <c r="O24" s="201" t="s">
        <v>152</v>
      </c>
      <c r="P24" s="202" t="s">
        <v>4</v>
      </c>
    </row>
    <row r="25" spans="1:16">
      <c r="A25" s="203">
        <v>1</v>
      </c>
      <c r="B25" s="12">
        <f>3000*5*0.95*0.8*('[1]cotizacion historica oro'!$H$48/28.35)</f>
        <v>367043.18400940619</v>
      </c>
      <c r="C25" s="12">
        <f>3000*50*0.8*0.9*('[1]cotizacion historica oro'!$I$48/28.35)</f>
        <v>57466.497354497347</v>
      </c>
      <c r="D25" s="12">
        <f>3000*2200*0.01*0.8*0.9*('[1]cotizacion historica oro'!$J$48/100)</f>
        <v>141340.00319999998</v>
      </c>
      <c r="E25" s="13">
        <f>+B25+C25+D25</f>
        <v>565849.6845639036</v>
      </c>
      <c r="L25" s="203">
        <v>1</v>
      </c>
      <c r="M25" s="12">
        <f>B25</f>
        <v>367043.18400940619</v>
      </c>
      <c r="N25" s="12">
        <f>C25</f>
        <v>57466.497354497347</v>
      </c>
      <c r="O25" s="12">
        <f>D25</f>
        <v>141340.00319999998</v>
      </c>
      <c r="P25" s="13">
        <f>SUM(M25:O25)</f>
        <v>565849.6845639036</v>
      </c>
    </row>
    <row r="26" spans="1:16">
      <c r="A26" s="204">
        <v>2</v>
      </c>
      <c r="B26" s="12">
        <f>3000*5*0.95*0.8*('[1]cotizacion historica oro'!$H$48/28.35)</f>
        <v>367043.18400940619</v>
      </c>
      <c r="C26" s="15">
        <f>3000*50*0.8*0.9*('[1]cotizacion historica oro'!$I$48/28.35)</f>
        <v>57466.497354497347</v>
      </c>
      <c r="D26" s="15">
        <f>3000*2200*0.01*0.8*0.9*('[1]cotizacion historica oro'!$J$48/100)</f>
        <v>141340.00319999998</v>
      </c>
      <c r="E26" s="16">
        <f t="shared" ref="E26:E84" si="0">+B26+C26+D26</f>
        <v>565849.6845639036</v>
      </c>
      <c r="L26" s="204">
        <v>2</v>
      </c>
      <c r="M26" s="12">
        <f t="shared" ref="M26:O36" si="1">B26</f>
        <v>367043.18400940619</v>
      </c>
      <c r="N26" s="12">
        <f t="shared" si="1"/>
        <v>57466.497354497347</v>
      </c>
      <c r="O26" s="12">
        <f t="shared" si="1"/>
        <v>141340.00319999998</v>
      </c>
      <c r="P26" s="13">
        <f t="shared" ref="P26:P36" si="2">SUM(M26:O26)</f>
        <v>565849.6845639036</v>
      </c>
    </row>
    <row r="27" spans="1:16">
      <c r="A27" s="204">
        <v>3</v>
      </c>
      <c r="B27" s="12">
        <f>3000*5*0.95*0.8*('[1]cotizacion historica oro'!$H$48/28.35)</f>
        <v>367043.18400940619</v>
      </c>
      <c r="C27" s="15">
        <f>3000*50*0.8*0.9*('[1]cotizacion historica oro'!$I$48/28.35)</f>
        <v>57466.497354497347</v>
      </c>
      <c r="D27" s="15">
        <f>3000*2200*0.01*0.8*0.9*('[1]cotizacion historica oro'!$J$48/100)</f>
        <v>141340.00319999998</v>
      </c>
      <c r="E27" s="16">
        <f t="shared" si="0"/>
        <v>565849.6845639036</v>
      </c>
      <c r="L27" s="204">
        <v>3</v>
      </c>
      <c r="M27" s="12">
        <f t="shared" si="1"/>
        <v>367043.18400940619</v>
      </c>
      <c r="N27" s="12">
        <f t="shared" si="1"/>
        <v>57466.497354497347</v>
      </c>
      <c r="O27" s="12">
        <f t="shared" si="1"/>
        <v>141340.00319999998</v>
      </c>
      <c r="P27" s="13">
        <f t="shared" si="2"/>
        <v>565849.6845639036</v>
      </c>
    </row>
    <row r="28" spans="1:16">
      <c r="A28" s="204">
        <v>4</v>
      </c>
      <c r="B28" s="12">
        <f>3000*5*0.95*0.8*('[1]cotizacion historica oro'!$H$48/28.35)</f>
        <v>367043.18400940619</v>
      </c>
      <c r="C28" s="15">
        <f>3000*50*0.8*0.9*('[1]cotizacion historica oro'!$I$48/28.35)</f>
        <v>57466.497354497347</v>
      </c>
      <c r="D28" s="15">
        <f>3000*2200*0.01*0.8*0.9*('[1]cotizacion historica oro'!$J$48/100)</f>
        <v>141340.00319999998</v>
      </c>
      <c r="E28" s="16">
        <f t="shared" si="0"/>
        <v>565849.6845639036</v>
      </c>
      <c r="L28" s="204">
        <v>4</v>
      </c>
      <c r="M28" s="12">
        <f t="shared" si="1"/>
        <v>367043.18400940619</v>
      </c>
      <c r="N28" s="12">
        <f t="shared" si="1"/>
        <v>57466.497354497347</v>
      </c>
      <c r="O28" s="12">
        <f t="shared" si="1"/>
        <v>141340.00319999998</v>
      </c>
      <c r="P28" s="13">
        <f t="shared" si="2"/>
        <v>565849.6845639036</v>
      </c>
    </row>
    <row r="29" spans="1:16">
      <c r="A29" s="204">
        <v>5</v>
      </c>
      <c r="B29" s="12">
        <f>3000*5*0.95*0.8*('[1]cotizacion historica oro'!$H$48/28.35)</f>
        <v>367043.18400940619</v>
      </c>
      <c r="C29" s="15">
        <f>3000*50*0.8*0.9*('[1]cotizacion historica oro'!$I$48/28.35)</f>
        <v>57466.497354497347</v>
      </c>
      <c r="D29" s="15">
        <f>3000*2200*0.01*0.8*0.9*('[1]cotizacion historica oro'!$J$48/100)</f>
        <v>141340.00319999998</v>
      </c>
      <c r="E29" s="16">
        <f t="shared" si="0"/>
        <v>565849.6845639036</v>
      </c>
      <c r="K29">
        <f>1250/28.63</f>
        <v>43.66049598323437</v>
      </c>
      <c r="L29" s="204">
        <v>5</v>
      </c>
      <c r="M29" s="12">
        <f t="shared" si="1"/>
        <v>367043.18400940619</v>
      </c>
      <c r="N29" s="12">
        <f t="shared" si="1"/>
        <v>57466.497354497347</v>
      </c>
      <c r="O29" s="12">
        <f t="shared" si="1"/>
        <v>141340.00319999998</v>
      </c>
      <c r="P29" s="13">
        <f t="shared" si="2"/>
        <v>565849.6845639036</v>
      </c>
    </row>
    <row r="30" spans="1:16">
      <c r="A30" s="204">
        <v>6</v>
      </c>
      <c r="B30" s="12">
        <f>3000*5*0.95*0.8*('[1]cotizacion historica oro'!$H$48/28.35)</f>
        <v>367043.18400940619</v>
      </c>
      <c r="C30" s="15">
        <f>3000*50*0.8*0.9*('[1]cotizacion historica oro'!$I$48/28.35)</f>
        <v>57466.497354497347</v>
      </c>
      <c r="D30" s="15">
        <f>3000*2200*0.01*0.8*0.9*('[1]cotizacion historica oro'!$J$48/100)</f>
        <v>141340.00319999998</v>
      </c>
      <c r="E30" s="16">
        <f t="shared" si="0"/>
        <v>565849.6845639036</v>
      </c>
      <c r="L30" s="204">
        <v>6</v>
      </c>
      <c r="M30" s="12">
        <f t="shared" si="1"/>
        <v>367043.18400940619</v>
      </c>
      <c r="N30" s="12">
        <f t="shared" si="1"/>
        <v>57466.497354497347</v>
      </c>
      <c r="O30" s="12">
        <f t="shared" si="1"/>
        <v>141340.00319999998</v>
      </c>
      <c r="P30" s="13">
        <f t="shared" si="2"/>
        <v>565849.6845639036</v>
      </c>
    </row>
    <row r="31" spans="1:16">
      <c r="A31" s="204">
        <v>7</v>
      </c>
      <c r="B31" s="12">
        <f>3000*5*0.95*0.8*('[1]cotizacion historica oro'!$H$48/28.35)</f>
        <v>367043.18400940619</v>
      </c>
      <c r="C31" s="15">
        <f>3000*50*0.8*0.9*('[1]cotizacion historica oro'!$I$48/28.35)</f>
        <v>57466.497354497347</v>
      </c>
      <c r="D31" s="15">
        <f>3000*2200*0.01*0.8*0.9*('[1]cotizacion historica oro'!$J$48/100)</f>
        <v>141340.00319999998</v>
      </c>
      <c r="E31" s="16">
        <f t="shared" si="0"/>
        <v>565849.6845639036</v>
      </c>
      <c r="L31" s="204">
        <v>7</v>
      </c>
      <c r="M31" s="12">
        <f t="shared" si="1"/>
        <v>367043.18400940619</v>
      </c>
      <c r="N31" s="12">
        <f t="shared" si="1"/>
        <v>57466.497354497347</v>
      </c>
      <c r="O31" s="12">
        <f t="shared" si="1"/>
        <v>141340.00319999998</v>
      </c>
      <c r="P31" s="13">
        <f t="shared" si="2"/>
        <v>565849.6845639036</v>
      </c>
    </row>
    <row r="32" spans="1:16">
      <c r="A32" s="204">
        <v>8</v>
      </c>
      <c r="B32" s="12">
        <f>3000*5*0.95*0.8*('[1]cotizacion historica oro'!$H$48/28.35)</f>
        <v>367043.18400940619</v>
      </c>
      <c r="C32" s="15">
        <f>3000*50*0.8*0.9*('[1]cotizacion historica oro'!$I$48/28.35)</f>
        <v>57466.497354497347</v>
      </c>
      <c r="D32" s="15">
        <f>3000*2200*0.01*0.8*0.9*('[1]cotizacion historica oro'!$J$48/100)</f>
        <v>141340.00319999998</v>
      </c>
      <c r="E32" s="16">
        <f t="shared" si="0"/>
        <v>565849.6845639036</v>
      </c>
      <c r="L32" s="204">
        <v>8</v>
      </c>
      <c r="M32" s="12">
        <f t="shared" si="1"/>
        <v>367043.18400940619</v>
      </c>
      <c r="N32" s="12">
        <f t="shared" si="1"/>
        <v>57466.497354497347</v>
      </c>
      <c r="O32" s="12">
        <f t="shared" si="1"/>
        <v>141340.00319999998</v>
      </c>
      <c r="P32" s="13">
        <f t="shared" si="2"/>
        <v>565849.6845639036</v>
      </c>
    </row>
    <row r="33" spans="1:18">
      <c r="A33" s="204">
        <v>9</v>
      </c>
      <c r="B33" s="12">
        <f>3000*5*0.95*0.8*('[1]cotizacion historica oro'!$H$48/28.35)</f>
        <v>367043.18400940619</v>
      </c>
      <c r="C33" s="15">
        <f>3000*50*0.8*0.9*('[1]cotizacion historica oro'!$I$48/28.35)</f>
        <v>57466.497354497347</v>
      </c>
      <c r="D33" s="15">
        <f>3000*2200*0.01*0.8*0.9*('[1]cotizacion historica oro'!$J$48/100)</f>
        <v>141340.00319999998</v>
      </c>
      <c r="E33" s="16">
        <f t="shared" si="0"/>
        <v>565849.6845639036</v>
      </c>
      <c r="L33" s="204">
        <v>9</v>
      </c>
      <c r="M33" s="12">
        <f t="shared" si="1"/>
        <v>367043.18400940619</v>
      </c>
      <c r="N33" s="12">
        <f t="shared" si="1"/>
        <v>57466.497354497347</v>
      </c>
      <c r="O33" s="12">
        <f t="shared" si="1"/>
        <v>141340.00319999998</v>
      </c>
      <c r="P33" s="13">
        <f t="shared" si="2"/>
        <v>565849.6845639036</v>
      </c>
    </row>
    <row r="34" spans="1:18">
      <c r="A34" s="204">
        <v>10</v>
      </c>
      <c r="B34" s="12">
        <f>3000*5*0.95*0.8*('[1]cotizacion historica oro'!$H$48/28.35)</f>
        <v>367043.18400940619</v>
      </c>
      <c r="C34" s="15">
        <f>3000*50*0.8*0.9*('[1]cotizacion historica oro'!$I$48/28.35)</f>
        <v>57466.497354497347</v>
      </c>
      <c r="D34" s="15">
        <f>3000*2200*0.01*0.8*0.9*('[1]cotizacion historica oro'!$J$48/100)</f>
        <v>141340.00319999998</v>
      </c>
      <c r="E34" s="16">
        <f t="shared" si="0"/>
        <v>565849.6845639036</v>
      </c>
      <c r="L34" s="204">
        <v>10</v>
      </c>
      <c r="M34" s="12">
        <f t="shared" si="1"/>
        <v>367043.18400940619</v>
      </c>
      <c r="N34" s="12">
        <f t="shared" si="1"/>
        <v>57466.497354497347</v>
      </c>
      <c r="O34" s="12">
        <f t="shared" si="1"/>
        <v>141340.00319999998</v>
      </c>
      <c r="P34" s="13">
        <f t="shared" si="2"/>
        <v>565849.6845639036</v>
      </c>
    </row>
    <row r="35" spans="1:18" ht="15.75" thickBot="1">
      <c r="A35" s="204">
        <v>11</v>
      </c>
      <c r="B35" s="12">
        <f>3000*5*0.95*0.8*('[1]cotizacion historica oro'!$H$48/28.35)</f>
        <v>367043.18400940619</v>
      </c>
      <c r="C35" s="15">
        <f>3000*50*0.8*0.9*('[1]cotizacion historica oro'!$I$48/28.35)</f>
        <v>57466.497354497347</v>
      </c>
      <c r="D35" s="15">
        <f>3000*2200*0.01*0.8*0.9*('[1]cotizacion historica oro'!$J$48/100)</f>
        <v>141340.00319999998</v>
      </c>
      <c r="E35" s="16">
        <f t="shared" si="0"/>
        <v>565849.6845639036</v>
      </c>
      <c r="F35" s="8"/>
      <c r="G35" t="s">
        <v>169</v>
      </c>
      <c r="L35" s="204">
        <v>11</v>
      </c>
      <c r="M35" s="12">
        <f t="shared" si="1"/>
        <v>367043.18400940619</v>
      </c>
      <c r="N35" s="12">
        <f t="shared" si="1"/>
        <v>57466.497354497347</v>
      </c>
      <c r="O35" s="12">
        <f t="shared" si="1"/>
        <v>141340.00319999998</v>
      </c>
      <c r="P35" s="13">
        <f t="shared" si="2"/>
        <v>565849.6845639036</v>
      </c>
    </row>
    <row r="36" spans="1:18" ht="15.75" thickBot="1">
      <c r="A36" s="204">
        <v>12</v>
      </c>
      <c r="B36" s="12">
        <f>3000*5*0.95*0.8*('[1]cotizacion historica oro'!$H$48/28.35)</f>
        <v>367043.18400940619</v>
      </c>
      <c r="C36" s="15">
        <f>3000*50*0.8*0.9*('[1]cotizacion historica oro'!$I$48/28.35)</f>
        <v>57466.497354497347</v>
      </c>
      <c r="D36" s="15">
        <f>3000*2200*0.01*0.8*0.9*('[1]cotizacion historica oro'!$J$48/100)</f>
        <v>141340.00319999998</v>
      </c>
      <c r="E36" s="16">
        <f t="shared" si="0"/>
        <v>565849.6845639036</v>
      </c>
      <c r="F36" s="205">
        <f>SUM(E25:E36)</f>
        <v>6790196.2147668414</v>
      </c>
      <c r="G36">
        <f>+F36/36000</f>
        <v>188.61656152130115</v>
      </c>
      <c r="L36" s="206">
        <v>12</v>
      </c>
      <c r="M36" s="17">
        <f t="shared" si="1"/>
        <v>367043.18400940619</v>
      </c>
      <c r="N36" s="17">
        <f t="shared" si="1"/>
        <v>57466.497354497347</v>
      </c>
      <c r="O36" s="17">
        <f t="shared" si="1"/>
        <v>141340.00319999998</v>
      </c>
      <c r="P36" s="33">
        <f t="shared" si="2"/>
        <v>565849.6845639036</v>
      </c>
      <c r="Q36" s="27"/>
    </row>
    <row r="37" spans="1:18" ht="15.75" thickBot="1">
      <c r="A37" s="204">
        <v>13</v>
      </c>
      <c r="B37" s="12">
        <f>3000*5*0.95*0.8*('[1]cotizacion historica oro'!$H$48/28.35)</f>
        <v>367043.18400940619</v>
      </c>
      <c r="C37" s="15">
        <f>3000*50*0.8*0.9*('[1]cotizacion historica oro'!$I$48/28.35)</f>
        <v>57466.497354497347</v>
      </c>
      <c r="D37" s="15">
        <f>3000*2200*0.01*0.8*0.9*('[1]cotizacion historica oro'!$J$48/100)</f>
        <v>141340.00319999998</v>
      </c>
      <c r="E37" s="16">
        <f t="shared" si="0"/>
        <v>565849.6845639036</v>
      </c>
      <c r="L37" s="235" t="s">
        <v>4</v>
      </c>
      <c r="M37" s="34">
        <f>SUM(M30:M36)</f>
        <v>2569302.2880658433</v>
      </c>
      <c r="N37" s="34">
        <f>SUM(N30:N36)</f>
        <v>402265.48148148134</v>
      </c>
      <c r="O37" s="34">
        <f>SUM(O30:O36)</f>
        <v>989380.02239999967</v>
      </c>
      <c r="P37" s="35">
        <f>SUM(P25:P36)</f>
        <v>6790196.2147668414</v>
      </c>
    </row>
    <row r="38" spans="1:18">
      <c r="A38" s="204">
        <v>14</v>
      </c>
      <c r="B38" s="12">
        <f>3000*5*0.95*0.8*('[1]cotizacion historica oro'!$H$48/28.35)</f>
        <v>367043.18400940619</v>
      </c>
      <c r="C38" s="15">
        <f>3000*50*0.8*0.9*('[1]cotizacion historica oro'!$I$48/28.35)</f>
        <v>57466.497354497347</v>
      </c>
      <c r="D38" s="15">
        <f>3000*2200*0.01*0.8*0.9*('[1]cotizacion historica oro'!$J$48/100)</f>
        <v>141340.00319999998</v>
      </c>
      <c r="E38" s="16">
        <f t="shared" si="0"/>
        <v>565849.6845639036</v>
      </c>
      <c r="O38" s="27"/>
    </row>
    <row r="39" spans="1:18">
      <c r="A39" s="204">
        <v>15</v>
      </c>
      <c r="B39" s="12">
        <f>3000*5*0.95*0.8*('[1]cotizacion historica oro'!$H$48/28.35)</f>
        <v>367043.18400940619</v>
      </c>
      <c r="C39" s="15">
        <f>3000*50*0.8*0.9*('[1]cotizacion historica oro'!$I$48/28.35)</f>
        <v>57466.497354497347</v>
      </c>
      <c r="D39" s="15">
        <f>3000*2200*0.01*0.8*0.9*('[1]cotizacion historica oro'!$J$48/100)</f>
        <v>141340.00319999998</v>
      </c>
      <c r="E39" s="16">
        <f t="shared" si="0"/>
        <v>565849.6845639036</v>
      </c>
    </row>
    <row r="40" spans="1:18" ht="15.75" thickBot="1">
      <c r="A40" s="204">
        <v>16</v>
      </c>
      <c r="B40" s="12">
        <f>3000*5*0.95*0.8*('[1]cotizacion historica oro'!$H$48/28.35)</f>
        <v>367043.18400940619</v>
      </c>
      <c r="C40" s="15">
        <f>3000*50*0.8*0.9*('[1]cotizacion historica oro'!$I$48/28.35)</f>
        <v>57466.497354497347</v>
      </c>
      <c r="D40" s="15">
        <f>3000*2200*0.01*0.8*0.9*('[1]cotizacion historica oro'!$J$48/100)</f>
        <v>141340.00319999998</v>
      </c>
      <c r="E40" s="16">
        <f t="shared" si="0"/>
        <v>565849.6845639036</v>
      </c>
    </row>
    <row r="41" spans="1:18" ht="15.75" thickBot="1">
      <c r="A41" s="204">
        <v>17</v>
      </c>
      <c r="B41" s="12">
        <f>3000*5*0.95*0.8*('[1]cotizacion historica oro'!$H$48/28.35)</f>
        <v>367043.18400940619</v>
      </c>
      <c r="C41" s="15">
        <f>3000*50*0.8*0.9*('[1]cotizacion historica oro'!$I$48/28.35)</f>
        <v>57466.497354497347</v>
      </c>
      <c r="D41" s="15">
        <f>3000*2200*0.01*0.8*0.9*('[1]cotizacion historica oro'!$J$48/100)</f>
        <v>141340.00319999998</v>
      </c>
      <c r="E41" s="16">
        <f t="shared" si="0"/>
        <v>565849.6845639036</v>
      </c>
      <c r="L41" s="207" t="s">
        <v>115</v>
      </c>
      <c r="M41" s="208">
        <v>1</v>
      </c>
      <c r="N41" s="208">
        <v>2</v>
      </c>
      <c r="O41" s="208">
        <v>3</v>
      </c>
      <c r="P41" s="208">
        <v>4</v>
      </c>
      <c r="Q41" s="209">
        <v>5</v>
      </c>
    </row>
    <row r="42" spans="1:18" ht="15.75" thickTop="1">
      <c r="A42" s="204">
        <v>18</v>
      </c>
      <c r="B42" s="12">
        <f>3000*5*0.95*0.8*('[1]cotizacion historica oro'!$H$48/28.35)</f>
        <v>367043.18400940619</v>
      </c>
      <c r="C42" s="15">
        <f>3000*50*0.8*0.9*('[1]cotizacion historica oro'!$I$48/28.35)</f>
        <v>57466.497354497347</v>
      </c>
      <c r="D42" s="15">
        <f>3000*2200*0.01*0.8*0.9*('[1]cotizacion historica oro'!$J$48/100)</f>
        <v>141340.00319999998</v>
      </c>
      <c r="E42" s="16">
        <f t="shared" si="0"/>
        <v>565849.6845639036</v>
      </c>
      <c r="L42" s="210" t="s">
        <v>116</v>
      </c>
      <c r="M42" s="12">
        <f>F36</f>
        <v>6790196.2147668414</v>
      </c>
      <c r="N42" s="12">
        <f>F48</f>
        <v>6790196.2147668414</v>
      </c>
      <c r="O42" s="12">
        <f>F60</f>
        <v>6790196.2147668414</v>
      </c>
      <c r="P42" s="12">
        <f>F72</f>
        <v>6790196.2147668414</v>
      </c>
      <c r="Q42" s="13">
        <f>F84</f>
        <v>6790196.2147668414</v>
      </c>
    </row>
    <row r="43" spans="1:18" ht="15.75" thickBot="1">
      <c r="A43" s="204">
        <v>19</v>
      </c>
      <c r="B43" s="12">
        <f>3000*5*0.95*0.8*('[1]cotizacion historica oro'!$H$48/28.35)</f>
        <v>367043.18400940619</v>
      </c>
      <c r="C43" s="15">
        <f>3000*50*0.8*0.9*('[1]cotizacion historica oro'!$I$48/28.35)</f>
        <v>57466.497354497347</v>
      </c>
      <c r="D43" s="15">
        <f>3000*2200*0.01*0.8*0.9*('[1]cotizacion historica oro'!$J$48/100)</f>
        <v>141340.00319999998</v>
      </c>
      <c r="E43" s="16">
        <f t="shared" si="0"/>
        <v>565849.6845639036</v>
      </c>
      <c r="L43" s="211" t="s">
        <v>212</v>
      </c>
      <c r="M43" s="212">
        <f>$R$62</f>
        <v>5537415.5999999987</v>
      </c>
      <c r="N43" s="212">
        <f t="shared" ref="N43:Q43" si="3">$R$62</f>
        <v>5537415.5999999987</v>
      </c>
      <c r="O43" s="212">
        <f t="shared" si="3"/>
        <v>5537415.5999999987</v>
      </c>
      <c r="P43" s="212">
        <f t="shared" si="3"/>
        <v>5537415.5999999987</v>
      </c>
      <c r="Q43" s="213">
        <f t="shared" si="3"/>
        <v>5537415.5999999987</v>
      </c>
    </row>
    <row r="44" spans="1:18" ht="16.5" thickTop="1" thickBot="1">
      <c r="A44" s="204">
        <v>20</v>
      </c>
      <c r="B44" s="12">
        <f>3000*5*0.95*0.8*('[1]cotizacion historica oro'!$H$48/28.35)</f>
        <v>367043.18400940619</v>
      </c>
      <c r="C44" s="15">
        <f>3000*50*0.8*0.9*('[1]cotizacion historica oro'!$I$48/28.35)</f>
        <v>57466.497354497347</v>
      </c>
      <c r="D44" s="15">
        <f>3000*2200*0.01*0.8*0.9*('[1]cotizacion historica oro'!$J$48/100)</f>
        <v>141340.00319999998</v>
      </c>
      <c r="E44" s="16">
        <f t="shared" si="0"/>
        <v>565849.6845639036</v>
      </c>
      <c r="L44" s="214" t="s">
        <v>213</v>
      </c>
      <c r="M44" s="215">
        <v>1528063</v>
      </c>
      <c r="N44" s="215">
        <v>1528063</v>
      </c>
      <c r="O44" s="215">
        <v>1528063</v>
      </c>
      <c r="P44" s="215">
        <v>1528063</v>
      </c>
      <c r="Q44" s="216">
        <v>1528063</v>
      </c>
    </row>
    <row r="45" spans="1:18">
      <c r="A45" s="204">
        <v>21</v>
      </c>
      <c r="B45" s="12">
        <f>3000*5*0.95*0.8*('[1]cotizacion historica oro'!$H$48/28.35)</f>
        <v>367043.18400940619</v>
      </c>
      <c r="C45" s="15">
        <f>3000*50*0.8*0.9*('[1]cotizacion historica oro'!$I$48/28.35)</f>
        <v>57466.497354497347</v>
      </c>
      <c r="D45" s="15">
        <f>3000*2200*0.01*0.8*0.9*('[1]cotizacion historica oro'!$J$48/100)</f>
        <v>141340.00319999998</v>
      </c>
      <c r="E45" s="16">
        <f t="shared" si="0"/>
        <v>565849.6845639036</v>
      </c>
    </row>
    <row r="46" spans="1:18">
      <c r="A46" s="204">
        <v>22</v>
      </c>
      <c r="B46" s="12">
        <f>3000*5*0.95*0.8*('[1]cotizacion historica oro'!$H$48/28.35)</f>
        <v>367043.18400940619</v>
      </c>
      <c r="C46" s="15">
        <f>3000*50*0.8*0.9*('[1]cotizacion historica oro'!$I$48/28.35)</f>
        <v>57466.497354497347</v>
      </c>
      <c r="D46" s="15">
        <f>3000*2200*0.01*0.8*0.9*('[1]cotizacion historica oro'!$J$48/100)</f>
        <v>141340.00319999998</v>
      </c>
      <c r="E46" s="16">
        <f t="shared" si="0"/>
        <v>565849.6845639036</v>
      </c>
    </row>
    <row r="47" spans="1:18" ht="15.75" thickBot="1">
      <c r="A47" s="204">
        <v>23</v>
      </c>
      <c r="B47" s="12">
        <f>3000*5*0.95*0.8*('[1]cotizacion historica oro'!$H$48/28.35)</f>
        <v>367043.18400940619</v>
      </c>
      <c r="C47" s="15">
        <f>3000*50*0.8*0.9*('[1]cotizacion historica oro'!$I$48/28.35)</f>
        <v>57466.497354497347</v>
      </c>
      <c r="D47" s="15">
        <f>3000*2200*0.01*0.8*0.9*('[1]cotizacion historica oro'!$J$48/100)</f>
        <v>141340.00319999998</v>
      </c>
      <c r="E47" s="16">
        <f t="shared" si="0"/>
        <v>565849.6845639036</v>
      </c>
      <c r="J47" s="8"/>
      <c r="K47" s="8"/>
    </row>
    <row r="48" spans="1:18" ht="15.75" thickBot="1">
      <c r="A48" s="204">
        <v>24</v>
      </c>
      <c r="B48" s="12">
        <f>3000*5*0.95*0.8*('[1]cotizacion historica oro'!$H$48/28.35)</f>
        <v>367043.18400940619</v>
      </c>
      <c r="C48" s="15">
        <f>3000*50*0.8*0.9*('[1]cotizacion historica oro'!$I$48/28.35)</f>
        <v>57466.497354497347</v>
      </c>
      <c r="D48" s="15">
        <f>3000*2200*0.01*0.8*0.9*('[1]cotizacion historica oro'!$J$48/100)</f>
        <v>141340.00319999998</v>
      </c>
      <c r="E48" s="16">
        <f t="shared" si="0"/>
        <v>565849.6845639036</v>
      </c>
      <c r="F48" s="217">
        <f>SUM(E37:E48)</f>
        <v>6790196.2147668414</v>
      </c>
      <c r="J48" s="8"/>
      <c r="K48" s="218"/>
      <c r="L48" s="349" t="s">
        <v>214</v>
      </c>
      <c r="M48" s="350"/>
      <c r="N48" s="350"/>
      <c r="O48" s="350"/>
      <c r="P48" s="350"/>
      <c r="Q48" s="350"/>
      <c r="R48" s="351"/>
    </row>
    <row r="49" spans="1:18" ht="15.75" thickBot="1">
      <c r="A49" s="204">
        <v>25</v>
      </c>
      <c r="B49" s="12">
        <f>3000*5*0.95*0.8*('[1]cotizacion historica oro'!$H$48/28.35)</f>
        <v>367043.18400940619</v>
      </c>
      <c r="C49" s="15">
        <f>3000*50*0.8*0.9*('[1]cotizacion historica oro'!$I$48/28.35)</f>
        <v>57466.497354497347</v>
      </c>
      <c r="D49" s="15">
        <f>3000*2200*0.01*0.8*0.9*('[1]cotizacion historica oro'!$J$48/100)</f>
        <v>141340.00319999998</v>
      </c>
      <c r="E49" s="16">
        <f t="shared" si="0"/>
        <v>565849.6845639036</v>
      </c>
      <c r="J49" s="8"/>
      <c r="K49" s="185"/>
      <c r="L49" s="219" t="s">
        <v>149</v>
      </c>
      <c r="M49" s="220" t="s">
        <v>215</v>
      </c>
      <c r="N49" s="220" t="s">
        <v>216</v>
      </c>
      <c r="O49" s="220" t="s">
        <v>70</v>
      </c>
      <c r="P49" s="220" t="s">
        <v>217</v>
      </c>
      <c r="Q49" s="220" t="s">
        <v>218</v>
      </c>
      <c r="R49" s="221" t="s">
        <v>4</v>
      </c>
    </row>
    <row r="50" spans="1:18" ht="15.75" thickTop="1">
      <c r="A50" s="204">
        <v>26</v>
      </c>
      <c r="B50" s="12">
        <f>3000*5*0.95*0.8*('[1]cotizacion historica oro'!$H$48/28.35)</f>
        <v>367043.18400940619</v>
      </c>
      <c r="C50" s="15">
        <f>3000*50*0.8*0.9*('[1]cotizacion historica oro'!$I$48/28.35)</f>
        <v>57466.497354497347</v>
      </c>
      <c r="D50" s="15">
        <f>3000*2200*0.01*0.8*0.9*('[1]cotizacion historica oro'!$J$48/100)</f>
        <v>141340.00319999998</v>
      </c>
      <c r="E50" s="16">
        <f t="shared" si="0"/>
        <v>565849.6845639036</v>
      </c>
      <c r="J50" s="8"/>
      <c r="K50" s="8"/>
      <c r="L50" s="222">
        <v>1</v>
      </c>
      <c r="M50" s="223">
        <f>[1]COSTOS!$E$11</f>
        <v>46350</v>
      </c>
      <c r="N50" s="223">
        <f>[1]COSTOS!$F$45</f>
        <v>10301.299999999999</v>
      </c>
      <c r="O50" s="223">
        <f>[1]COSTOS!$C$21</f>
        <v>54000</v>
      </c>
      <c r="P50" s="223">
        <f>[1]COSTOS!$C$32</f>
        <v>5800</v>
      </c>
      <c r="Q50" s="223">
        <f>[1]COSTOS!$B$51</f>
        <v>345000</v>
      </c>
      <c r="R50" s="224">
        <f>SUM(M50:Q50)</f>
        <v>461451.3</v>
      </c>
    </row>
    <row r="51" spans="1:18">
      <c r="A51" s="204">
        <v>27</v>
      </c>
      <c r="B51" s="12">
        <f>3000*5*0.95*0.8*('[1]cotizacion historica oro'!$H$48/28.35)</f>
        <v>367043.18400940619</v>
      </c>
      <c r="C51" s="15">
        <f>3000*50*0.8*0.9*('[1]cotizacion historica oro'!$I$48/28.35)</f>
        <v>57466.497354497347</v>
      </c>
      <c r="D51" s="15">
        <f>3000*2200*0.01*0.8*0.9*('[1]cotizacion historica oro'!$J$48/100)</f>
        <v>141340.00319999998</v>
      </c>
      <c r="E51" s="16">
        <f t="shared" si="0"/>
        <v>565849.6845639036</v>
      </c>
      <c r="J51" s="8"/>
      <c r="K51" s="8"/>
      <c r="L51" s="225">
        <v>2</v>
      </c>
      <c r="M51" s="226">
        <f>[1]COSTOS!$E$11</f>
        <v>46350</v>
      </c>
      <c r="N51" s="226">
        <f>[1]COSTOS!$F$45</f>
        <v>10301.299999999999</v>
      </c>
      <c r="O51" s="226">
        <f>[1]COSTOS!$C$21</f>
        <v>54000</v>
      </c>
      <c r="P51" s="226">
        <f>[1]COSTOS!$C$32</f>
        <v>5800</v>
      </c>
      <c r="Q51" s="226">
        <f>[1]COSTOS!$B$51</f>
        <v>345000</v>
      </c>
      <c r="R51" s="227">
        <f t="shared" ref="R51:R61" si="4">SUM(M51:Q51)</f>
        <v>461451.3</v>
      </c>
    </row>
    <row r="52" spans="1:18">
      <c r="A52" s="204">
        <v>28</v>
      </c>
      <c r="B52" s="12">
        <f>3000*5*0.95*0.8*('[1]cotizacion historica oro'!$H$48/28.35)</f>
        <v>367043.18400940619</v>
      </c>
      <c r="C52" s="15">
        <f>3000*50*0.8*0.9*('[1]cotizacion historica oro'!$I$48/28.35)</f>
        <v>57466.497354497347</v>
      </c>
      <c r="D52" s="15">
        <f>3000*2200*0.01*0.8*0.9*('[1]cotizacion historica oro'!$J$48/100)</f>
        <v>141340.00319999998</v>
      </c>
      <c r="E52" s="16">
        <f t="shared" si="0"/>
        <v>565849.6845639036</v>
      </c>
      <c r="J52" s="8"/>
      <c r="K52" s="8"/>
      <c r="L52" s="225">
        <v>3</v>
      </c>
      <c r="M52" s="226">
        <f>[1]COSTOS!$E$11</f>
        <v>46350</v>
      </c>
      <c r="N52" s="226">
        <f>[1]COSTOS!$F$45</f>
        <v>10301.299999999999</v>
      </c>
      <c r="O52" s="226">
        <f>[1]COSTOS!$C$21</f>
        <v>54000</v>
      </c>
      <c r="P52" s="226">
        <f>[1]COSTOS!$C$32</f>
        <v>5800</v>
      </c>
      <c r="Q52" s="226">
        <f>[1]COSTOS!$B$51</f>
        <v>345000</v>
      </c>
      <c r="R52" s="227">
        <f t="shared" si="4"/>
        <v>461451.3</v>
      </c>
    </row>
    <row r="53" spans="1:18">
      <c r="A53" s="204">
        <v>29</v>
      </c>
      <c r="B53" s="12">
        <f>3000*5*0.95*0.8*('[1]cotizacion historica oro'!$H$48/28.35)</f>
        <v>367043.18400940619</v>
      </c>
      <c r="C53" s="15">
        <f>3000*50*0.8*0.9*('[1]cotizacion historica oro'!$I$48/28.35)</f>
        <v>57466.497354497347</v>
      </c>
      <c r="D53" s="15">
        <f>3000*2200*0.01*0.8*0.9*('[1]cotizacion historica oro'!$J$48/100)</f>
        <v>141340.00319999998</v>
      </c>
      <c r="E53" s="16">
        <f t="shared" si="0"/>
        <v>565849.6845639036</v>
      </c>
      <c r="J53" s="8"/>
      <c r="K53" s="8"/>
      <c r="L53" s="225">
        <v>4</v>
      </c>
      <c r="M53" s="226">
        <f>[1]COSTOS!$E$11</f>
        <v>46350</v>
      </c>
      <c r="N53" s="226">
        <f>[1]COSTOS!$F$45</f>
        <v>10301.299999999999</v>
      </c>
      <c r="O53" s="226">
        <f>[1]COSTOS!$C$21</f>
        <v>54000</v>
      </c>
      <c r="P53" s="226">
        <f>[1]COSTOS!$C$32</f>
        <v>5800</v>
      </c>
      <c r="Q53" s="226">
        <f>[1]COSTOS!$B$51</f>
        <v>345000</v>
      </c>
      <c r="R53" s="227">
        <f t="shared" si="4"/>
        <v>461451.3</v>
      </c>
    </row>
    <row r="54" spans="1:18">
      <c r="A54" s="204">
        <v>30</v>
      </c>
      <c r="B54" s="12">
        <f>3000*5*0.95*0.8*('[1]cotizacion historica oro'!$H$48/28.35)</f>
        <v>367043.18400940619</v>
      </c>
      <c r="C54" s="15">
        <f>3000*50*0.8*0.9*('[1]cotizacion historica oro'!$I$48/28.35)</f>
        <v>57466.497354497347</v>
      </c>
      <c r="D54" s="15">
        <f>3000*2200*0.01*0.8*0.9*('[1]cotizacion historica oro'!$J$48/100)</f>
        <v>141340.00319999998</v>
      </c>
      <c r="E54" s="16">
        <f t="shared" si="0"/>
        <v>565849.6845639036</v>
      </c>
      <c r="J54" s="8"/>
      <c r="K54" s="8"/>
      <c r="L54" s="225">
        <v>5</v>
      </c>
      <c r="M54" s="226">
        <f>[1]COSTOS!$E$11</f>
        <v>46350</v>
      </c>
      <c r="N54" s="226">
        <f>[1]COSTOS!$F$45</f>
        <v>10301.299999999999</v>
      </c>
      <c r="O54" s="226">
        <f>[1]COSTOS!$C$21</f>
        <v>54000</v>
      </c>
      <c r="P54" s="226">
        <f>[1]COSTOS!$C$32</f>
        <v>5800</v>
      </c>
      <c r="Q54" s="226">
        <f>[1]COSTOS!$B$51</f>
        <v>345000</v>
      </c>
      <c r="R54" s="227">
        <f t="shared" si="4"/>
        <v>461451.3</v>
      </c>
    </row>
    <row r="55" spans="1:18">
      <c r="A55" s="204">
        <v>31</v>
      </c>
      <c r="B55" s="12">
        <f>3000*5*0.95*0.8*('[1]cotizacion historica oro'!$H$48/28.35)</f>
        <v>367043.18400940619</v>
      </c>
      <c r="C55" s="15">
        <f>3000*50*0.8*0.9*('[1]cotizacion historica oro'!$I$48/28.35)</f>
        <v>57466.497354497347</v>
      </c>
      <c r="D55" s="15">
        <f>3000*2200*0.01*0.8*0.9*('[1]cotizacion historica oro'!$J$48/100)</f>
        <v>141340.00319999998</v>
      </c>
      <c r="E55" s="16">
        <f t="shared" si="0"/>
        <v>565849.6845639036</v>
      </c>
      <c r="J55" s="8"/>
      <c r="K55" s="8"/>
      <c r="L55" s="225">
        <v>6</v>
      </c>
      <c r="M55" s="226">
        <f>[1]COSTOS!$E$11</f>
        <v>46350</v>
      </c>
      <c r="N55" s="226">
        <f>[1]COSTOS!$F$45</f>
        <v>10301.299999999999</v>
      </c>
      <c r="O55" s="226">
        <f>[1]COSTOS!$C$21</f>
        <v>54000</v>
      </c>
      <c r="P55" s="226">
        <f>[1]COSTOS!$C$32</f>
        <v>5800</v>
      </c>
      <c r="Q55" s="226">
        <f>[1]COSTOS!$B$51</f>
        <v>345000</v>
      </c>
      <c r="R55" s="227">
        <f t="shared" si="4"/>
        <v>461451.3</v>
      </c>
    </row>
    <row r="56" spans="1:18">
      <c r="A56" s="204">
        <v>32</v>
      </c>
      <c r="B56" s="12">
        <f>3000*5*0.95*0.8*('[1]cotizacion historica oro'!$H$48/28.35)</f>
        <v>367043.18400940619</v>
      </c>
      <c r="C56" s="15">
        <f>3000*50*0.8*0.9*('[1]cotizacion historica oro'!$I$48/28.35)</f>
        <v>57466.497354497347</v>
      </c>
      <c r="D56" s="15">
        <f>3000*2200*0.01*0.8*0.9*('[1]cotizacion historica oro'!$J$48/100)</f>
        <v>141340.00319999998</v>
      </c>
      <c r="E56" s="16">
        <f t="shared" si="0"/>
        <v>565849.6845639036</v>
      </c>
      <c r="J56" s="8"/>
      <c r="K56" s="8"/>
      <c r="L56" s="225">
        <v>7</v>
      </c>
      <c r="M56" s="226">
        <f>[1]COSTOS!$E$11</f>
        <v>46350</v>
      </c>
      <c r="N56" s="226">
        <f>[1]COSTOS!$F$45</f>
        <v>10301.299999999999</v>
      </c>
      <c r="O56" s="226">
        <f>[1]COSTOS!$C$21</f>
        <v>54000</v>
      </c>
      <c r="P56" s="226">
        <f>[1]COSTOS!$C$32</f>
        <v>5800</v>
      </c>
      <c r="Q56" s="226">
        <f>[1]COSTOS!$B$51</f>
        <v>345000</v>
      </c>
      <c r="R56" s="227">
        <f t="shared" si="4"/>
        <v>461451.3</v>
      </c>
    </row>
    <row r="57" spans="1:18">
      <c r="A57" s="204">
        <v>33</v>
      </c>
      <c r="B57" s="12">
        <f>3000*5*0.95*0.8*('[1]cotizacion historica oro'!$H$48/28.35)</f>
        <v>367043.18400940619</v>
      </c>
      <c r="C57" s="15">
        <f>3000*50*0.8*0.9*('[1]cotizacion historica oro'!$I$48/28.35)</f>
        <v>57466.497354497347</v>
      </c>
      <c r="D57" s="15">
        <f>3000*2200*0.01*0.8*0.9*('[1]cotizacion historica oro'!$J$48/100)</f>
        <v>141340.00319999998</v>
      </c>
      <c r="E57" s="16">
        <f t="shared" si="0"/>
        <v>565849.6845639036</v>
      </c>
      <c r="L57" s="225">
        <v>8</v>
      </c>
      <c r="M57" s="226">
        <f>[1]COSTOS!$E$11</f>
        <v>46350</v>
      </c>
      <c r="N57" s="226">
        <f>[1]COSTOS!$F$45</f>
        <v>10301.299999999999</v>
      </c>
      <c r="O57" s="226">
        <f>[1]COSTOS!$C$21</f>
        <v>54000</v>
      </c>
      <c r="P57" s="226">
        <f>[1]COSTOS!$C$32</f>
        <v>5800</v>
      </c>
      <c r="Q57" s="226">
        <f>[1]COSTOS!$B$51</f>
        <v>345000</v>
      </c>
      <c r="R57" s="227">
        <f t="shared" si="4"/>
        <v>461451.3</v>
      </c>
    </row>
    <row r="58" spans="1:18">
      <c r="A58" s="204">
        <v>34</v>
      </c>
      <c r="B58" s="12">
        <f>3000*5*0.95*0.8*('[1]cotizacion historica oro'!$H$48/28.35)</f>
        <v>367043.18400940619</v>
      </c>
      <c r="C58" s="15">
        <f>3000*50*0.8*0.9*('[1]cotizacion historica oro'!$I$48/28.35)</f>
        <v>57466.497354497347</v>
      </c>
      <c r="D58" s="15">
        <f>3000*2200*0.01*0.8*0.9*('[1]cotizacion historica oro'!$J$48/100)</f>
        <v>141340.00319999998</v>
      </c>
      <c r="E58" s="16">
        <f t="shared" si="0"/>
        <v>565849.6845639036</v>
      </c>
      <c r="L58" s="225">
        <v>9</v>
      </c>
      <c r="M58" s="226">
        <f>[1]COSTOS!$E$11</f>
        <v>46350</v>
      </c>
      <c r="N58" s="226">
        <f>[1]COSTOS!$F$45</f>
        <v>10301.299999999999</v>
      </c>
      <c r="O58" s="226">
        <f>[1]COSTOS!$C$21</f>
        <v>54000</v>
      </c>
      <c r="P58" s="226">
        <f>[1]COSTOS!$C$32</f>
        <v>5800</v>
      </c>
      <c r="Q58" s="226">
        <f>[1]COSTOS!$B$51</f>
        <v>345000</v>
      </c>
      <c r="R58" s="227">
        <f t="shared" si="4"/>
        <v>461451.3</v>
      </c>
    </row>
    <row r="59" spans="1:18" ht="15.75" thickBot="1">
      <c r="A59" s="204">
        <v>35</v>
      </c>
      <c r="B59" s="12">
        <f>3000*5*0.95*0.8*('[1]cotizacion historica oro'!$H$48/28.35)</f>
        <v>367043.18400940619</v>
      </c>
      <c r="C59" s="15">
        <f>3000*50*0.8*0.9*('[1]cotizacion historica oro'!$I$48/28.35)</f>
        <v>57466.497354497347</v>
      </c>
      <c r="D59" s="15">
        <f>3000*2200*0.01*0.8*0.9*('[1]cotizacion historica oro'!$J$48/100)</f>
        <v>141340.00319999998</v>
      </c>
      <c r="E59" s="16">
        <f t="shared" si="0"/>
        <v>565849.6845639036</v>
      </c>
      <c r="L59" s="225">
        <v>10</v>
      </c>
      <c r="M59" s="226">
        <f>[1]COSTOS!$E$11</f>
        <v>46350</v>
      </c>
      <c r="N59" s="226">
        <f>[1]COSTOS!$F$45</f>
        <v>10301.299999999999</v>
      </c>
      <c r="O59" s="226">
        <f>[1]COSTOS!$C$21</f>
        <v>54000</v>
      </c>
      <c r="P59" s="226">
        <f>[1]COSTOS!$C$32</f>
        <v>5800</v>
      </c>
      <c r="Q59" s="226">
        <f>[1]COSTOS!$B$51</f>
        <v>345000</v>
      </c>
      <c r="R59" s="227">
        <f t="shared" si="4"/>
        <v>461451.3</v>
      </c>
    </row>
    <row r="60" spans="1:18" ht="15.75" thickBot="1">
      <c r="A60" s="204">
        <v>36</v>
      </c>
      <c r="B60" s="12">
        <f>3000*5*0.95*0.8*('[1]cotizacion historica oro'!$H$48/28.35)</f>
        <v>367043.18400940619</v>
      </c>
      <c r="C60" s="15">
        <f>3000*50*0.8*0.9*('[1]cotizacion historica oro'!$I$48/28.35)</f>
        <v>57466.497354497347</v>
      </c>
      <c r="D60" s="15">
        <f>3000*2200*0.01*0.8*0.9*('[1]cotizacion historica oro'!$J$48/100)</f>
        <v>141340.00319999998</v>
      </c>
      <c r="E60" s="16">
        <f t="shared" si="0"/>
        <v>565849.6845639036</v>
      </c>
      <c r="F60" s="217">
        <f>SUM(E49:E60)</f>
        <v>6790196.2147668414</v>
      </c>
      <c r="L60" s="225">
        <v>11</v>
      </c>
      <c r="M60" s="226">
        <f>[1]COSTOS!$E$11</f>
        <v>46350</v>
      </c>
      <c r="N60" s="226">
        <f>[1]COSTOS!$F$45</f>
        <v>10301.299999999999</v>
      </c>
      <c r="O60" s="226">
        <f>[1]COSTOS!$C$21</f>
        <v>54000</v>
      </c>
      <c r="P60" s="226">
        <f>[1]COSTOS!$C$32</f>
        <v>5800</v>
      </c>
      <c r="Q60" s="226">
        <f>[1]COSTOS!$B$51</f>
        <v>345000</v>
      </c>
      <c r="R60" s="227">
        <f t="shared" si="4"/>
        <v>461451.3</v>
      </c>
    </row>
    <row r="61" spans="1:18" ht="15.75" thickBot="1">
      <c r="A61" s="204">
        <v>37</v>
      </c>
      <c r="B61" s="12">
        <f>3000*5*0.95*0.8*('[1]cotizacion historica oro'!$H$48/28.35)</f>
        <v>367043.18400940619</v>
      </c>
      <c r="C61" s="15">
        <f>3000*50*0.8*0.9*('[1]cotizacion historica oro'!$I$48/28.35)</f>
        <v>57466.497354497347</v>
      </c>
      <c r="D61" s="15">
        <f>3000*2200*0.01*0.8*0.9*('[1]cotizacion historica oro'!$J$48/100)</f>
        <v>141340.00319999998</v>
      </c>
      <c r="E61" s="16">
        <f t="shared" si="0"/>
        <v>565849.6845639036</v>
      </c>
      <c r="L61" s="228">
        <v>12</v>
      </c>
      <c r="M61" s="212">
        <f>[1]COSTOS!$E$11</f>
        <v>46350</v>
      </c>
      <c r="N61" s="212">
        <f>[1]COSTOS!$F$45</f>
        <v>10301.299999999999</v>
      </c>
      <c r="O61" s="212">
        <f>[1]COSTOS!$C$21</f>
        <v>54000</v>
      </c>
      <c r="P61" s="212">
        <f>[1]COSTOS!$C$32</f>
        <v>5800</v>
      </c>
      <c r="Q61" s="212">
        <f>[1]COSTOS!$B$51</f>
        <v>345000</v>
      </c>
      <c r="R61" s="213">
        <f t="shared" si="4"/>
        <v>461451.3</v>
      </c>
    </row>
    <row r="62" spans="1:18" ht="16.5" thickTop="1" thickBot="1">
      <c r="A62" s="204">
        <v>38</v>
      </c>
      <c r="B62" s="12">
        <f>3000*5*0.95*0.8*('[1]cotizacion historica oro'!$H$48/28.35)</f>
        <v>367043.18400940619</v>
      </c>
      <c r="C62" s="15">
        <f>3000*50*0.8*0.9*('[1]cotizacion historica oro'!$I$48/28.35)</f>
        <v>57466.497354497347</v>
      </c>
      <c r="D62" s="15">
        <f>3000*2200*0.01*0.8*0.9*('[1]cotizacion historica oro'!$J$48/100)</f>
        <v>141340.00319999998</v>
      </c>
      <c r="E62" s="16">
        <f t="shared" si="0"/>
        <v>565849.6845639036</v>
      </c>
      <c r="L62" s="229" t="s">
        <v>4</v>
      </c>
      <c r="M62" s="230">
        <f>SUM(M50:M61)</f>
        <v>556200</v>
      </c>
      <c r="N62" s="230">
        <f t="shared" ref="N62:Q62" si="5">SUM(N50:N61)</f>
        <v>123615.60000000002</v>
      </c>
      <c r="O62" s="230">
        <f t="shared" si="5"/>
        <v>648000</v>
      </c>
      <c r="P62" s="230">
        <f t="shared" si="5"/>
        <v>69600</v>
      </c>
      <c r="Q62" s="230">
        <f t="shared" si="5"/>
        <v>4140000</v>
      </c>
      <c r="R62" s="231">
        <f>SUM(R50:R61)</f>
        <v>5537415.5999999987</v>
      </c>
    </row>
    <row r="63" spans="1:18">
      <c r="A63" s="204">
        <v>39</v>
      </c>
      <c r="B63" s="12">
        <f>3000*5*0.95*0.8*('[1]cotizacion historica oro'!$H$48/28.35)</f>
        <v>367043.18400940619</v>
      </c>
      <c r="C63" s="15">
        <f>3000*50*0.8*0.9*('[1]cotizacion historica oro'!$I$48/28.35)</f>
        <v>57466.497354497347</v>
      </c>
      <c r="D63" s="15">
        <f>3000*2200*0.01*0.8*0.9*('[1]cotizacion historica oro'!$J$48/100)</f>
        <v>141340.00319999998</v>
      </c>
      <c r="E63" s="16">
        <f t="shared" si="0"/>
        <v>565849.6845639036</v>
      </c>
    </row>
    <row r="64" spans="1:18">
      <c r="A64" s="204">
        <v>40</v>
      </c>
      <c r="B64" s="12">
        <f>3000*5*0.95*0.8*('[1]cotizacion historica oro'!$H$48/28.35)</f>
        <v>367043.18400940619</v>
      </c>
      <c r="C64" s="15">
        <f>3000*50*0.8*0.9*('[1]cotizacion historica oro'!$I$48/28.35)</f>
        <v>57466.497354497347</v>
      </c>
      <c r="D64" s="15">
        <f>3000*2200*0.01*0.8*0.9*('[1]cotizacion historica oro'!$J$48/100)</f>
        <v>141340.00319999998</v>
      </c>
      <c r="E64" s="16">
        <f t="shared" si="0"/>
        <v>565849.6845639036</v>
      </c>
    </row>
    <row r="65" spans="1:6">
      <c r="A65" s="204">
        <v>41</v>
      </c>
      <c r="B65" s="12">
        <f>3000*5*0.95*0.8*('[1]cotizacion historica oro'!$H$48/28.35)</f>
        <v>367043.18400940619</v>
      </c>
      <c r="C65" s="15">
        <f>3000*50*0.8*0.9*('[1]cotizacion historica oro'!$I$48/28.35)</f>
        <v>57466.497354497347</v>
      </c>
      <c r="D65" s="15">
        <f>3000*2200*0.01*0.8*0.9*('[1]cotizacion historica oro'!$J$48/100)</f>
        <v>141340.00319999998</v>
      </c>
      <c r="E65" s="16">
        <f t="shared" si="0"/>
        <v>565849.6845639036</v>
      </c>
    </row>
    <row r="66" spans="1:6">
      <c r="A66" s="204">
        <v>42</v>
      </c>
      <c r="B66" s="12">
        <f>3000*5*0.95*0.8*('[1]cotizacion historica oro'!$H$48/28.35)</f>
        <v>367043.18400940619</v>
      </c>
      <c r="C66" s="15">
        <f>3000*50*0.8*0.9*('[1]cotizacion historica oro'!$I$48/28.35)</f>
        <v>57466.497354497347</v>
      </c>
      <c r="D66" s="15">
        <f>3000*2200*0.01*0.8*0.9*('[1]cotizacion historica oro'!$J$48/100)</f>
        <v>141340.00319999998</v>
      </c>
      <c r="E66" s="16">
        <f t="shared" si="0"/>
        <v>565849.6845639036</v>
      </c>
    </row>
    <row r="67" spans="1:6">
      <c r="A67" s="204">
        <v>43</v>
      </c>
      <c r="B67" s="12">
        <f>3000*5*0.95*0.8*('[1]cotizacion historica oro'!$H$48/28.35)</f>
        <v>367043.18400940619</v>
      </c>
      <c r="C67" s="15">
        <f>3000*50*0.8*0.9*('[1]cotizacion historica oro'!$I$48/28.35)</f>
        <v>57466.497354497347</v>
      </c>
      <c r="D67" s="15">
        <f>3000*2200*0.01*0.8*0.9*('[1]cotizacion historica oro'!$J$48/100)</f>
        <v>141340.00319999998</v>
      </c>
      <c r="E67" s="16">
        <f t="shared" si="0"/>
        <v>565849.6845639036</v>
      </c>
    </row>
    <row r="68" spans="1:6">
      <c r="A68" s="204">
        <v>44</v>
      </c>
      <c r="B68" s="12">
        <f>3000*5*0.95*0.8*('[1]cotizacion historica oro'!$H$48/28.35)</f>
        <v>367043.18400940619</v>
      </c>
      <c r="C68" s="15">
        <f>3000*50*0.8*0.9*('[1]cotizacion historica oro'!$I$48/28.35)</f>
        <v>57466.497354497347</v>
      </c>
      <c r="D68" s="15">
        <f>3000*2200*0.01*0.8*0.9*('[1]cotizacion historica oro'!$J$48/100)</f>
        <v>141340.00319999998</v>
      </c>
      <c r="E68" s="16">
        <f t="shared" si="0"/>
        <v>565849.6845639036</v>
      </c>
    </row>
    <row r="69" spans="1:6">
      <c r="A69" s="204">
        <v>45</v>
      </c>
      <c r="B69" s="12">
        <f>3000*5*0.95*0.8*('[1]cotizacion historica oro'!$H$48/28.35)</f>
        <v>367043.18400940619</v>
      </c>
      <c r="C69" s="15">
        <f>3000*50*0.8*0.9*('[1]cotizacion historica oro'!$I$48/28.35)</f>
        <v>57466.497354497347</v>
      </c>
      <c r="D69" s="15">
        <f>3000*2200*0.01*0.8*0.9*('[1]cotizacion historica oro'!$J$48/100)</f>
        <v>141340.00319999998</v>
      </c>
      <c r="E69" s="16">
        <f t="shared" si="0"/>
        <v>565849.6845639036</v>
      </c>
    </row>
    <row r="70" spans="1:6">
      <c r="A70" s="204">
        <v>46</v>
      </c>
      <c r="B70" s="12">
        <f>3000*5*0.95*0.8*('[1]cotizacion historica oro'!$H$48/28.35)</f>
        <v>367043.18400940619</v>
      </c>
      <c r="C70" s="15">
        <f>3000*50*0.8*0.9*('[1]cotizacion historica oro'!$I$48/28.35)</f>
        <v>57466.497354497347</v>
      </c>
      <c r="D70" s="15">
        <f>3000*2200*0.01*0.8*0.9*('[1]cotizacion historica oro'!$J$48/100)</f>
        <v>141340.00319999998</v>
      </c>
      <c r="E70" s="16">
        <f t="shared" si="0"/>
        <v>565849.6845639036</v>
      </c>
    </row>
    <row r="71" spans="1:6" ht="15.75" thickBot="1">
      <c r="A71" s="204">
        <v>47</v>
      </c>
      <c r="B71" s="12">
        <f>3000*5*0.95*0.8*('[1]cotizacion historica oro'!$H$48/28.35)</f>
        <v>367043.18400940619</v>
      </c>
      <c r="C71" s="15">
        <f>3000*50*0.8*0.9*('[1]cotizacion historica oro'!$I$48/28.35)</f>
        <v>57466.497354497347</v>
      </c>
      <c r="D71" s="15">
        <f>3000*2200*0.01*0.8*0.9*('[1]cotizacion historica oro'!$J$48/100)</f>
        <v>141340.00319999998</v>
      </c>
      <c r="E71" s="16">
        <f t="shared" si="0"/>
        <v>565849.6845639036</v>
      </c>
    </row>
    <row r="72" spans="1:6" ht="15.75" thickBot="1">
      <c r="A72" s="204">
        <v>48</v>
      </c>
      <c r="B72" s="12">
        <f>3000*5*0.95*0.8*('[1]cotizacion historica oro'!$H$48/28.35)</f>
        <v>367043.18400940619</v>
      </c>
      <c r="C72" s="15">
        <f>3000*50*0.8*0.9*('[1]cotizacion historica oro'!$I$48/28.35)</f>
        <v>57466.497354497347</v>
      </c>
      <c r="D72" s="15">
        <f>3000*2200*0.01*0.8*0.9*('[1]cotizacion historica oro'!$J$48/100)</f>
        <v>141340.00319999998</v>
      </c>
      <c r="E72" s="16">
        <f t="shared" si="0"/>
        <v>565849.6845639036</v>
      </c>
      <c r="F72" s="217">
        <f>SUM(E61:E72)</f>
        <v>6790196.2147668414</v>
      </c>
    </row>
    <row r="73" spans="1:6">
      <c r="A73" s="204">
        <v>49</v>
      </c>
      <c r="B73" s="12">
        <f>3000*5*0.95*0.8*('[1]cotizacion historica oro'!$H$48/28.35)</f>
        <v>367043.18400940619</v>
      </c>
      <c r="C73" s="15">
        <f>3000*50*0.8*0.9*('[1]cotizacion historica oro'!$I$48/28.35)</f>
        <v>57466.497354497347</v>
      </c>
      <c r="D73" s="15">
        <f>3000*2200*0.01*0.8*0.9*('[1]cotizacion historica oro'!$J$48/100)</f>
        <v>141340.00319999998</v>
      </c>
      <c r="E73" s="16">
        <f t="shared" si="0"/>
        <v>565849.6845639036</v>
      </c>
    </row>
    <row r="74" spans="1:6">
      <c r="A74" s="204">
        <v>50</v>
      </c>
      <c r="B74" s="12">
        <f>3000*5*0.95*0.8*('[1]cotizacion historica oro'!$H$48/28.35)</f>
        <v>367043.18400940619</v>
      </c>
      <c r="C74" s="15">
        <f>3000*50*0.8*0.9*('[1]cotizacion historica oro'!$I$48/28.35)</f>
        <v>57466.497354497347</v>
      </c>
      <c r="D74" s="15">
        <f>3000*2200*0.01*0.8*0.9*('[1]cotizacion historica oro'!$J$48/100)</f>
        <v>141340.00319999998</v>
      </c>
      <c r="E74" s="16">
        <f t="shared" si="0"/>
        <v>565849.6845639036</v>
      </c>
    </row>
    <row r="75" spans="1:6">
      <c r="A75" s="204">
        <v>51</v>
      </c>
      <c r="B75" s="12">
        <f>3000*5*0.95*0.8*('[1]cotizacion historica oro'!$H$48/28.35)</f>
        <v>367043.18400940619</v>
      </c>
      <c r="C75" s="15">
        <f>3000*50*0.8*0.9*('[1]cotizacion historica oro'!$I$48/28.35)</f>
        <v>57466.497354497347</v>
      </c>
      <c r="D75" s="15">
        <f>3000*2200*0.01*0.8*0.9*('[1]cotizacion historica oro'!$J$48/100)</f>
        <v>141340.00319999998</v>
      </c>
      <c r="E75" s="16">
        <f t="shared" si="0"/>
        <v>565849.6845639036</v>
      </c>
    </row>
    <row r="76" spans="1:6">
      <c r="A76" s="204">
        <v>52</v>
      </c>
      <c r="B76" s="12">
        <f>3000*5*0.95*0.8*('[1]cotizacion historica oro'!$H$48/28.35)</f>
        <v>367043.18400940619</v>
      </c>
      <c r="C76" s="15">
        <f>3000*50*0.8*0.9*('[1]cotizacion historica oro'!$I$48/28.35)</f>
        <v>57466.497354497347</v>
      </c>
      <c r="D76" s="15">
        <f>3000*2200*0.01*0.8*0.9*('[1]cotizacion historica oro'!$J$48/100)</f>
        <v>141340.00319999998</v>
      </c>
      <c r="E76" s="16">
        <f t="shared" si="0"/>
        <v>565849.6845639036</v>
      </c>
    </row>
    <row r="77" spans="1:6">
      <c r="A77" s="204">
        <v>53</v>
      </c>
      <c r="B77" s="12">
        <f>3000*5*0.95*0.8*('[1]cotizacion historica oro'!$H$48/28.35)</f>
        <v>367043.18400940619</v>
      </c>
      <c r="C77" s="15">
        <f>3000*50*0.8*0.9*('[1]cotizacion historica oro'!$I$48/28.35)</f>
        <v>57466.497354497347</v>
      </c>
      <c r="D77" s="15">
        <f>3000*2200*0.01*0.8*0.9*('[1]cotizacion historica oro'!$J$48/100)</f>
        <v>141340.00319999998</v>
      </c>
      <c r="E77" s="16">
        <f t="shared" si="0"/>
        <v>565849.6845639036</v>
      </c>
    </row>
    <row r="78" spans="1:6">
      <c r="A78" s="204">
        <v>54</v>
      </c>
      <c r="B78" s="12">
        <f>3000*5*0.95*0.8*('[1]cotizacion historica oro'!$H$48/28.35)</f>
        <v>367043.18400940619</v>
      </c>
      <c r="C78" s="15">
        <f>3000*50*0.8*0.9*('[1]cotizacion historica oro'!$I$48/28.35)</f>
        <v>57466.497354497347</v>
      </c>
      <c r="D78" s="15">
        <f>3000*2200*0.01*0.8*0.9*('[1]cotizacion historica oro'!$J$48/100)</f>
        <v>141340.00319999998</v>
      </c>
      <c r="E78" s="16">
        <f t="shared" si="0"/>
        <v>565849.6845639036</v>
      </c>
    </row>
    <row r="79" spans="1:6">
      <c r="A79" s="204">
        <v>55</v>
      </c>
      <c r="B79" s="12">
        <f>3000*5*0.95*0.8*('[1]cotizacion historica oro'!$H$48/28.35)</f>
        <v>367043.18400940619</v>
      </c>
      <c r="C79" s="15">
        <f>3000*50*0.8*0.9*('[1]cotizacion historica oro'!$I$48/28.35)</f>
        <v>57466.497354497347</v>
      </c>
      <c r="D79" s="15">
        <f>3000*2200*0.01*0.8*0.9*('[1]cotizacion historica oro'!$J$48/100)</f>
        <v>141340.00319999998</v>
      </c>
      <c r="E79" s="16">
        <f t="shared" si="0"/>
        <v>565849.6845639036</v>
      </c>
    </row>
    <row r="80" spans="1:6">
      <c r="A80" s="204">
        <v>56</v>
      </c>
      <c r="B80" s="12">
        <f>3000*5*0.95*0.8*('[1]cotizacion historica oro'!$H$48/28.35)</f>
        <v>367043.18400940619</v>
      </c>
      <c r="C80" s="15">
        <f>3000*50*0.8*0.9*('[1]cotizacion historica oro'!$I$48/28.35)</f>
        <v>57466.497354497347</v>
      </c>
      <c r="D80" s="15">
        <f>3000*2200*0.01*0.8*0.9*('[1]cotizacion historica oro'!$J$48/100)</f>
        <v>141340.00319999998</v>
      </c>
      <c r="E80" s="16">
        <f t="shared" si="0"/>
        <v>565849.6845639036</v>
      </c>
    </row>
    <row r="81" spans="1:6">
      <c r="A81" s="204">
        <v>57</v>
      </c>
      <c r="B81" s="12">
        <f>3000*5*0.95*0.8*('[1]cotizacion historica oro'!$H$48/28.35)</f>
        <v>367043.18400940619</v>
      </c>
      <c r="C81" s="15">
        <f>3000*50*0.8*0.9*('[1]cotizacion historica oro'!$I$48/28.35)</f>
        <v>57466.497354497347</v>
      </c>
      <c r="D81" s="15">
        <f>3000*2200*0.01*0.8*0.9*('[1]cotizacion historica oro'!$J$48/100)</f>
        <v>141340.00319999998</v>
      </c>
      <c r="E81" s="16">
        <f t="shared" si="0"/>
        <v>565849.6845639036</v>
      </c>
    </row>
    <row r="82" spans="1:6">
      <c r="A82" s="204">
        <v>58</v>
      </c>
      <c r="B82" s="12">
        <f>3000*5*0.95*0.8*('[1]cotizacion historica oro'!$H$48/28.35)</f>
        <v>367043.18400940619</v>
      </c>
      <c r="C82" s="15">
        <f>3000*50*0.8*0.9*('[1]cotizacion historica oro'!$I$48/28.35)</f>
        <v>57466.497354497347</v>
      </c>
      <c r="D82" s="15">
        <f>3000*2200*0.01*0.8*0.9*('[1]cotizacion historica oro'!$J$48/100)</f>
        <v>141340.00319999998</v>
      </c>
      <c r="E82" s="16">
        <f t="shared" si="0"/>
        <v>565849.6845639036</v>
      </c>
    </row>
    <row r="83" spans="1:6" ht="15.75" thickBot="1">
      <c r="A83" s="204">
        <v>59</v>
      </c>
      <c r="B83" s="12">
        <f>3000*5*0.95*0.8*('[1]cotizacion historica oro'!$H$48/28.35)</f>
        <v>367043.18400940619</v>
      </c>
      <c r="C83" s="15">
        <f>3000*50*0.8*0.9*('[1]cotizacion historica oro'!$I$48/28.35)</f>
        <v>57466.497354497347</v>
      </c>
      <c r="D83" s="15">
        <f>3000*2200*0.01*0.8*0.9*('[1]cotizacion historica oro'!$J$48/100)</f>
        <v>141340.00319999998</v>
      </c>
      <c r="E83" s="16">
        <f t="shared" si="0"/>
        <v>565849.6845639036</v>
      </c>
    </row>
    <row r="84" spans="1:6" ht="15.75" thickBot="1">
      <c r="A84" s="232">
        <v>60</v>
      </c>
      <c r="B84" s="34">
        <f>3000*5*0.95*0.8*('[1]cotizacion historica oro'!$H$48/28.35)</f>
        <v>367043.18400940619</v>
      </c>
      <c r="C84" s="233">
        <f>3000*50*0.8*0.9*('[1]cotizacion historica oro'!$I$48/28.35)</f>
        <v>57466.497354497347</v>
      </c>
      <c r="D84" s="233">
        <f>3000*2200*0.01*0.8*0.9*('[1]cotizacion historica oro'!$J$48/100)</f>
        <v>141340.00319999998</v>
      </c>
      <c r="E84" s="234">
        <f t="shared" si="0"/>
        <v>565849.6845639036</v>
      </c>
      <c r="F84" s="217">
        <f>SUM(E73:E84)</f>
        <v>6790196.2147668414</v>
      </c>
    </row>
  </sheetData>
  <mergeCells count="6">
    <mergeCell ref="L48:R48"/>
    <mergeCell ref="L23:P23"/>
    <mergeCell ref="A1:E1"/>
    <mergeCell ref="A18:E18"/>
    <mergeCell ref="A19:E19"/>
    <mergeCell ref="A20:E20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BU39"/>
  <sheetViews>
    <sheetView tabSelected="1" topLeftCell="A21" zoomScale="80" zoomScaleNormal="80" workbookViewId="0">
      <selection activeCell="I40" sqref="I40"/>
    </sheetView>
  </sheetViews>
  <sheetFormatPr baseColWidth="10" defaultRowHeight="15"/>
  <cols>
    <col min="1" max="1" width="5.85546875" customWidth="1"/>
    <col min="2" max="2" width="12" customWidth="1"/>
    <col min="3" max="3" width="22.28515625" bestFit="1" customWidth="1"/>
    <col min="4" max="4" width="16.85546875" customWidth="1"/>
    <col min="5" max="5" width="16.7109375" customWidth="1"/>
    <col min="6" max="6" width="16.85546875" customWidth="1"/>
    <col min="7" max="8" width="16.7109375" customWidth="1"/>
    <col min="9" max="9" width="16.85546875" customWidth="1"/>
    <col min="10" max="10" width="21.7109375" customWidth="1"/>
    <col min="11" max="11" width="15.5703125" bestFit="1" customWidth="1"/>
    <col min="12" max="12" width="23.7109375" bestFit="1" customWidth="1"/>
    <col min="13" max="13" width="30" bestFit="1" customWidth="1"/>
    <col min="14" max="14" width="32.140625" customWidth="1"/>
    <col min="15" max="19" width="14.140625" bestFit="1" customWidth="1"/>
    <col min="20" max="44" width="11.5703125" bestFit="1" customWidth="1"/>
    <col min="45" max="73" width="13.140625" bestFit="1" customWidth="1"/>
  </cols>
  <sheetData>
    <row r="1" spans="2:73" ht="15.75" thickBot="1">
      <c r="C1" s="9"/>
      <c r="O1" s="7"/>
      <c r="P1" s="7"/>
      <c r="Q1" s="7"/>
      <c r="R1" s="7"/>
      <c r="S1" s="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2:73" ht="19.5" customHeight="1" thickBot="1">
      <c r="C2" s="357" t="s">
        <v>114</v>
      </c>
      <c r="D2" s="358"/>
      <c r="E2" s="358"/>
      <c r="F2" s="358"/>
      <c r="G2" s="358"/>
      <c r="H2" s="358"/>
      <c r="I2" s="35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:73" ht="15.75" thickBot="1">
      <c r="C3" s="48" t="s">
        <v>115</v>
      </c>
      <c r="D3" s="49">
        <v>0</v>
      </c>
      <c r="E3" s="49">
        <v>1</v>
      </c>
      <c r="F3" s="49">
        <v>2</v>
      </c>
      <c r="G3" s="49">
        <v>3</v>
      </c>
      <c r="H3" s="49">
        <v>4</v>
      </c>
      <c r="I3" s="50">
        <v>5</v>
      </c>
      <c r="J3" s="3"/>
      <c r="K3" s="3"/>
      <c r="L3" s="3"/>
      <c r="M3" s="3"/>
      <c r="N3" s="3"/>
      <c r="O3" s="5"/>
      <c r="P3" s="5"/>
      <c r="Q3" s="5"/>
      <c r="R3" s="5"/>
      <c r="S3" s="5"/>
    </row>
    <row r="4" spans="2:73" ht="16.5" thickTop="1">
      <c r="C4" s="271" t="s">
        <v>116</v>
      </c>
      <c r="D4" s="11"/>
      <c r="E4" s="12">
        <f>+'INGRESOS estáticos'!F36</f>
        <v>6790196.2147668414</v>
      </c>
      <c r="F4" s="12">
        <f>+'INGRESOS estáticos'!F48</f>
        <v>6790196.2147668414</v>
      </c>
      <c r="G4" s="12">
        <f>+'INGRESOS estáticos'!F72</f>
        <v>6790196.2147668414</v>
      </c>
      <c r="H4" s="12">
        <f>+'INGRESOS estáticos'!F72</f>
        <v>6790196.2147668414</v>
      </c>
      <c r="I4" s="13">
        <f>+'INGRESOS estáticos'!F84</f>
        <v>6790196.2147668414</v>
      </c>
      <c r="J4" s="3"/>
      <c r="K4" s="3"/>
      <c r="L4" s="3"/>
      <c r="M4" s="3"/>
      <c r="N4" s="3"/>
      <c r="O4" s="5"/>
      <c r="P4" s="5"/>
      <c r="Q4" s="5"/>
      <c r="R4" s="5"/>
      <c r="S4" s="5"/>
    </row>
    <row r="5" spans="2:73" ht="15.75">
      <c r="C5" s="272" t="s">
        <v>230</v>
      </c>
      <c r="D5" s="1"/>
      <c r="E5" s="15">
        <f>+COSTOS!$C$51</f>
        <v>4140000</v>
      </c>
      <c r="F5" s="15">
        <f>+COSTOS!$C$51</f>
        <v>4140000</v>
      </c>
      <c r="G5" s="15">
        <f>+COSTOS!$C$51</f>
        <v>4140000</v>
      </c>
      <c r="H5" s="15">
        <f>+COSTOS!$C$51</f>
        <v>4140000</v>
      </c>
      <c r="I5" s="16">
        <f>+COSTOS!$C$51</f>
        <v>4140000</v>
      </c>
      <c r="J5" s="10"/>
      <c r="K5" s="10"/>
      <c r="L5" s="10"/>
      <c r="M5" s="10"/>
      <c r="N5" s="10"/>
      <c r="O5" s="5"/>
      <c r="P5" s="5"/>
      <c r="Q5" s="5"/>
      <c r="R5" s="5"/>
      <c r="S5" s="5"/>
    </row>
    <row r="6" spans="2:73" ht="15.75">
      <c r="C6" s="272" t="s">
        <v>231</v>
      </c>
      <c r="D6" s="1"/>
      <c r="E6" s="15">
        <f>+COSTOS!$F$11+COSTOS!$D$21+COSTOS!$G$45</f>
        <v>1327815.6000000001</v>
      </c>
      <c r="F6" s="15">
        <f>+COSTOS!$F$11+COSTOS!$D$21+COSTOS!$G$45</f>
        <v>1327815.6000000001</v>
      </c>
      <c r="G6" s="15">
        <f>+COSTOS!$F$11+COSTOS!$D$21+COSTOS!$G$45</f>
        <v>1327815.6000000001</v>
      </c>
      <c r="H6" s="15">
        <f>+COSTOS!$F$11+COSTOS!$D$21+COSTOS!$G$45</f>
        <v>1327815.6000000001</v>
      </c>
      <c r="I6" s="16">
        <f>+COSTOS!$F$11+COSTOS!$D$21+COSTOS!$G$45</f>
        <v>1327815.6000000001</v>
      </c>
      <c r="J6" s="10"/>
      <c r="K6" s="10"/>
      <c r="L6" s="10"/>
      <c r="M6" s="10"/>
      <c r="N6" s="10"/>
      <c r="O6" s="5"/>
      <c r="P6" s="5"/>
      <c r="Q6" s="5"/>
      <c r="R6" s="5"/>
      <c r="S6" s="5"/>
    </row>
    <row r="7" spans="2:73" ht="15.75">
      <c r="C7" s="272" t="s">
        <v>232</v>
      </c>
      <c r="D7" s="1"/>
      <c r="E7" s="15">
        <f>+COSTOS!$D$32</f>
        <v>73800</v>
      </c>
      <c r="F7" s="15">
        <f>+COSTOS!$D$32</f>
        <v>73800</v>
      </c>
      <c r="G7" s="15">
        <f>+COSTOS!$D$32</f>
        <v>73800</v>
      </c>
      <c r="H7" s="15">
        <f>+COSTOS!$D$32</f>
        <v>73800</v>
      </c>
      <c r="I7" s="16">
        <f>+COSTOS!$D$32</f>
        <v>73800</v>
      </c>
      <c r="O7" s="5"/>
      <c r="P7" s="5"/>
      <c r="Q7" s="5"/>
      <c r="R7" s="5"/>
      <c r="S7" s="5"/>
    </row>
    <row r="8" spans="2:73" ht="15.75">
      <c r="C8" s="272" t="s">
        <v>117</v>
      </c>
      <c r="D8" s="1"/>
      <c r="E8" s="18">
        <f>SUM(E5:E7)</f>
        <v>5541615.5999999996</v>
      </c>
      <c r="F8" s="18">
        <f>SUM(F5:F7)</f>
        <v>5541615.5999999996</v>
      </c>
      <c r="G8" s="18">
        <f>SUM(G5:G7)</f>
        <v>5541615.5999999996</v>
      </c>
      <c r="H8" s="18">
        <f>SUM(H5:H7)</f>
        <v>5541615.5999999996</v>
      </c>
      <c r="I8" s="19">
        <f>SUM(I5:I7)</f>
        <v>5541615.5999999996</v>
      </c>
    </row>
    <row r="9" spans="2:73" ht="15.75">
      <c r="C9" s="272" t="s">
        <v>233</v>
      </c>
      <c r="D9" s="1"/>
      <c r="E9" s="15">
        <f>+Prestamos!D11</f>
        <v>61231.638780000001</v>
      </c>
      <c r="F9" s="15">
        <f>+Prestamos!E11</f>
        <v>48985.311023999995</v>
      </c>
      <c r="G9" s="15">
        <f>+Prestamos!F11</f>
        <v>36738.983268000004</v>
      </c>
      <c r="H9" s="15">
        <f>+Prestamos!G11</f>
        <v>24492.655512000001</v>
      </c>
      <c r="I9" s="16">
        <f>+Prestamos!H11</f>
        <v>12246.327756000002</v>
      </c>
    </row>
    <row r="10" spans="2:73" ht="16.5" thickBot="1">
      <c r="B10" s="6"/>
      <c r="C10" s="272" t="s">
        <v>234</v>
      </c>
      <c r="D10" s="1"/>
      <c r="E10" s="17">
        <f>DEPRECIACIÓN!$D$30</f>
        <v>161749.41066666669</v>
      </c>
      <c r="F10" s="17">
        <f>DEPRECIACIÓN!$D$30</f>
        <v>161749.41066666669</v>
      </c>
      <c r="G10" s="17">
        <f>DEPRECIACIÓN!$D$30</f>
        <v>161749.41066666669</v>
      </c>
      <c r="H10" s="17">
        <f>DEPRECIACIÓN!$D$30</f>
        <v>161749.41066666669</v>
      </c>
      <c r="I10" s="33">
        <f>DEPRECIACIÓN!$D$30</f>
        <v>161749.41066666669</v>
      </c>
    </row>
    <row r="11" spans="2:73" ht="16.5" thickTop="1">
      <c r="C11" s="272" t="s">
        <v>235</v>
      </c>
      <c r="D11" s="1"/>
      <c r="E11" s="20">
        <f>E4-E8-E9-E10</f>
        <v>1025599.5653201751</v>
      </c>
      <c r="F11" s="20">
        <f>F4-F8-F9-F10</f>
        <v>1037845.8930761751</v>
      </c>
      <c r="G11" s="20">
        <f>G4-G8-G9-G10</f>
        <v>1050092.2208321751</v>
      </c>
      <c r="H11" s="20">
        <f>H4-H8-H9-H10</f>
        <v>1062338.5485881751</v>
      </c>
      <c r="I11" s="21">
        <f>I4-I8-I9-I10</f>
        <v>1074584.8763441751</v>
      </c>
    </row>
    <row r="12" spans="2:73" ht="16.5" thickBot="1">
      <c r="B12" s="22">
        <v>0.15</v>
      </c>
      <c r="C12" s="272" t="s">
        <v>236</v>
      </c>
      <c r="D12" s="1"/>
      <c r="E12" s="17">
        <f>+E11*0.15</f>
        <v>153839.93479802625</v>
      </c>
      <c r="F12" s="17">
        <f>+F11*0.15</f>
        <v>155676.88396142627</v>
      </c>
      <c r="G12" s="17">
        <f>+G11*0.15</f>
        <v>157513.83312482625</v>
      </c>
      <c r="H12" s="17">
        <f>+H11*0.15</f>
        <v>159350.78228822627</v>
      </c>
      <c r="I12" s="33">
        <f>+I11*0.15</f>
        <v>161187.73145162626</v>
      </c>
    </row>
    <row r="13" spans="2:73" ht="16.5" thickTop="1">
      <c r="C13" s="272" t="s">
        <v>118</v>
      </c>
      <c r="D13" s="1"/>
      <c r="E13" s="20">
        <f>+E11-E12</f>
        <v>871759.63052214892</v>
      </c>
      <c r="F13" s="20">
        <f>+F11-F12</f>
        <v>882169.0091147488</v>
      </c>
      <c r="G13" s="20">
        <f>+G11-G12</f>
        <v>892578.38770734891</v>
      </c>
      <c r="H13" s="20">
        <f>+H11-H12</f>
        <v>902987.76629994879</v>
      </c>
      <c r="I13" s="21">
        <f>+I11-I12</f>
        <v>913397.14489254879</v>
      </c>
    </row>
    <row r="14" spans="2:73" ht="16.5" thickBot="1">
      <c r="B14" s="22">
        <v>0.25</v>
      </c>
      <c r="C14" s="272" t="s">
        <v>237</v>
      </c>
      <c r="D14" s="1"/>
      <c r="E14" s="17">
        <f>+E13*0.25</f>
        <v>217939.90763053723</v>
      </c>
      <c r="F14" s="17">
        <f>+F13*0.25</f>
        <v>220542.2522786872</v>
      </c>
      <c r="G14" s="17">
        <f>+G13*0.25</f>
        <v>223144.59692683723</v>
      </c>
      <c r="H14" s="17">
        <f>+H13*0.25</f>
        <v>225746.9415749872</v>
      </c>
      <c r="I14" s="33">
        <f>+I13*0.25</f>
        <v>228349.2862231372</v>
      </c>
    </row>
    <row r="15" spans="2:73" ht="16.5" thickTop="1">
      <c r="C15" s="272" t="s">
        <v>119</v>
      </c>
      <c r="D15" s="1"/>
      <c r="E15" s="20">
        <f>E13-E14</f>
        <v>653819.72289161175</v>
      </c>
      <c r="F15" s="20">
        <f t="shared" ref="F15:I15" si="0">F13-F14</f>
        <v>661626.7568360616</v>
      </c>
      <c r="G15" s="20">
        <f t="shared" si="0"/>
        <v>669433.79078051168</v>
      </c>
      <c r="H15" s="20">
        <f t="shared" si="0"/>
        <v>677240.82472496154</v>
      </c>
      <c r="I15" s="21">
        <f t="shared" si="0"/>
        <v>685047.85866941162</v>
      </c>
    </row>
    <row r="16" spans="2:73" ht="15.75">
      <c r="C16" s="272" t="s">
        <v>238</v>
      </c>
      <c r="D16" s="1"/>
      <c r="E16" s="15">
        <f>+E10</f>
        <v>161749.41066666669</v>
      </c>
      <c r="F16" s="15">
        <f>+F10</f>
        <v>161749.41066666669</v>
      </c>
      <c r="G16" s="15">
        <f>+G10</f>
        <v>161749.41066666669</v>
      </c>
      <c r="H16" s="15">
        <f>+H10</f>
        <v>161749.41066666669</v>
      </c>
      <c r="I16" s="16">
        <f>+I10</f>
        <v>161749.41066666669</v>
      </c>
    </row>
    <row r="17" spans="3:13" ht="15.75">
      <c r="C17" s="272" t="s">
        <v>239</v>
      </c>
      <c r="D17" s="1"/>
      <c r="E17" s="15">
        <f>+Prestamos!D12</f>
        <v>94202.521199999988</v>
      </c>
      <c r="F17" s="15">
        <f>+Prestamos!E12</f>
        <v>94202.521199999988</v>
      </c>
      <c r="G17" s="15">
        <f>+Prestamos!F12</f>
        <v>94202.521199999988</v>
      </c>
      <c r="H17" s="15">
        <f>+Prestamos!G12</f>
        <v>94202.521199999988</v>
      </c>
      <c r="I17" s="16">
        <f>+Prestamos!H12</f>
        <v>94202.521199999988</v>
      </c>
    </row>
    <row r="18" spans="3:13" ht="15.75">
      <c r="C18" s="272" t="s">
        <v>240</v>
      </c>
      <c r="D18" s="1"/>
      <c r="E18" s="15"/>
      <c r="F18" s="15"/>
      <c r="G18" s="15">
        <f>+Reinversion!E9</f>
        <v>2020</v>
      </c>
      <c r="H18" s="15"/>
      <c r="I18" s="16">
        <f>+Reinversion!G9</f>
        <v>937</v>
      </c>
    </row>
    <row r="19" spans="3:13" ht="15.75">
      <c r="C19" s="272" t="s">
        <v>241</v>
      </c>
      <c r="D19" s="23">
        <f>+MAQUINARIA!E25</f>
        <v>1108590.72</v>
      </c>
      <c r="E19" s="15"/>
      <c r="F19" s="15"/>
      <c r="G19" s="15"/>
      <c r="H19" s="15"/>
      <c r="I19" s="16"/>
    </row>
    <row r="20" spans="3:13" ht="15.75">
      <c r="C20" s="272" t="s">
        <v>242</v>
      </c>
      <c r="D20" s="23">
        <f>+COSTOS!E11+COSTOS!C21+COSTOS!C32+COSTOS!F45+COSTOS!B51</f>
        <v>461451.3</v>
      </c>
      <c r="E20" s="15"/>
      <c r="F20" s="15"/>
      <c r="G20" s="15"/>
      <c r="H20" s="15"/>
      <c r="I20" s="16">
        <f>D20</f>
        <v>461451.3</v>
      </c>
    </row>
    <row r="21" spans="3:13" ht="15.75">
      <c r="C21" s="272" t="s">
        <v>243</v>
      </c>
      <c r="D21" s="63">
        <f>Prestamos!$F$4</f>
        <v>471012.60599999997</v>
      </c>
      <c r="E21" s="36"/>
      <c r="F21" s="36"/>
      <c r="G21" s="36"/>
      <c r="H21" s="36"/>
      <c r="I21" s="64"/>
    </row>
    <row r="22" spans="3:13" ht="16.5" thickBot="1">
      <c r="C22" s="272" t="s">
        <v>244</v>
      </c>
      <c r="D22" s="24"/>
      <c r="E22" s="17"/>
      <c r="F22" s="17"/>
      <c r="G22" s="17"/>
      <c r="H22" s="17"/>
      <c r="I22" s="25">
        <f>DEPRECIACIÓN!$G$30</f>
        <v>75000</v>
      </c>
    </row>
    <row r="23" spans="3:13" ht="16.5" thickTop="1">
      <c r="C23" s="14" t="s">
        <v>114</v>
      </c>
      <c r="D23" s="18">
        <f>-SUM(D19:D20)+D21</f>
        <v>-1099029.4140000001</v>
      </c>
      <c r="E23" s="18">
        <f>SUM(E15+E16-E17-E18)</f>
        <v>721366.61235827848</v>
      </c>
      <c r="F23" s="18">
        <f t="shared" ref="F23:H23" si="1">SUM(F15+F16-F17-F18)</f>
        <v>729173.64630272833</v>
      </c>
      <c r="G23" s="18">
        <f t="shared" si="1"/>
        <v>734960.68024717842</v>
      </c>
      <c r="H23" s="18">
        <f t="shared" si="1"/>
        <v>744787.71419162827</v>
      </c>
      <c r="I23" s="19">
        <f>SUM(I15+I16-I17-I18+I20+I22)</f>
        <v>1288109.0481360783</v>
      </c>
    </row>
    <row r="24" spans="3:13" ht="16.5" thickBot="1">
      <c r="C24" s="51" t="s">
        <v>148</v>
      </c>
      <c r="D24" s="52">
        <f>+D23</f>
        <v>-1099029.4140000001</v>
      </c>
      <c r="E24" s="52">
        <f>+D24+E23</f>
        <v>-377662.80164172163</v>
      </c>
      <c r="F24" s="52">
        <f>+E24+F23</f>
        <v>351510.8446610067</v>
      </c>
      <c r="G24" s="52">
        <f>+F24+G23</f>
        <v>1086471.524908185</v>
      </c>
      <c r="H24" s="52">
        <f>+G24+H23</f>
        <v>1831259.2390998132</v>
      </c>
      <c r="I24" s="53">
        <f>+H24+I23</f>
        <v>3119368.2872358914</v>
      </c>
    </row>
    <row r="25" spans="3:13" ht="15.75" thickBot="1">
      <c r="C25" s="308" t="s">
        <v>121</v>
      </c>
      <c r="D25" s="309">
        <f>NPV(H25,E23:I23)+D23</f>
        <v>1770320.9088435338</v>
      </c>
      <c r="E25" s="274"/>
      <c r="F25" s="360" t="s">
        <v>122</v>
      </c>
      <c r="G25" s="361"/>
      <c r="H25" s="273">
        <f>+C32</f>
        <v>0.13070379999999998</v>
      </c>
      <c r="I25" s="47"/>
    </row>
    <row r="26" spans="3:13" ht="15.75" thickBot="1">
      <c r="C26" s="310" t="s">
        <v>123</v>
      </c>
      <c r="D26" s="311">
        <f>IRR(D23:I23)</f>
        <v>0.63338562176190483</v>
      </c>
      <c r="E26" s="8"/>
      <c r="F26" s="8"/>
      <c r="G26" s="8"/>
      <c r="H26" s="8"/>
      <c r="I26" s="8"/>
      <c r="J26" s="8"/>
    </row>
    <row r="27" spans="3:13">
      <c r="C27" s="27"/>
      <c r="E27" s="8"/>
      <c r="F27" s="8"/>
      <c r="G27" s="8"/>
      <c r="H27" s="8"/>
      <c r="I27" s="8"/>
    </row>
    <row r="28" spans="3:13" ht="15.75" thickBot="1"/>
    <row r="29" spans="3:13" ht="19.5" thickBot="1">
      <c r="I29" s="362" t="s">
        <v>245</v>
      </c>
      <c r="J29" s="363"/>
      <c r="K29" s="363"/>
      <c r="L29" s="364"/>
      <c r="M29" s="290">
        <f>$H$25</f>
        <v>0.13070379999999998</v>
      </c>
    </row>
    <row r="30" spans="3:13" ht="15.75" thickBot="1">
      <c r="C30" s="277" t="s">
        <v>176</v>
      </c>
      <c r="E30" s="60" t="s">
        <v>161</v>
      </c>
      <c r="F30" s="37">
        <v>4.5900000000000003E-2</v>
      </c>
      <c r="G30" s="276"/>
      <c r="I30" s="291" t="s">
        <v>129</v>
      </c>
      <c r="J30" s="292" t="s">
        <v>246</v>
      </c>
      <c r="K30" s="292" t="s">
        <v>114</v>
      </c>
      <c r="L30" s="292" t="s">
        <v>247</v>
      </c>
      <c r="M30" s="293" t="s">
        <v>248</v>
      </c>
    </row>
    <row r="31" spans="3:13" ht="15.75" thickBot="1">
      <c r="C31" s="278" t="s">
        <v>175</v>
      </c>
      <c r="E31" s="61" t="s">
        <v>162</v>
      </c>
      <c r="F31" s="38">
        <v>0.1045</v>
      </c>
      <c r="G31" s="276"/>
      <c r="I31" s="294">
        <v>1</v>
      </c>
      <c r="J31" s="312">
        <f>Prestamos!$C$6</f>
        <v>1570042.02</v>
      </c>
      <c r="K31" s="312">
        <f>$E$23</f>
        <v>721366.61235827848</v>
      </c>
      <c r="L31" s="312">
        <f>J31*$M$29</f>
        <v>205210.45817367599</v>
      </c>
      <c r="M31" s="313">
        <f>K31-L31</f>
        <v>516156.15418460249</v>
      </c>
    </row>
    <row r="32" spans="3:13" ht="16.5" thickTop="1" thickBot="1">
      <c r="C32" s="55">
        <f>+Prestamos!D4*(1-'Flujo de caja estático'!B14)*Prestamos!F2+'Flujo de caja estático'!F33*(1-Prestamos!F2)</f>
        <v>0.13070379999999998</v>
      </c>
      <c r="E32" s="61" t="s">
        <v>183</v>
      </c>
      <c r="F32" s="16">
        <v>1.69</v>
      </c>
      <c r="G32" s="276"/>
      <c r="I32" s="294">
        <v>2</v>
      </c>
      <c r="J32" s="312">
        <f>J31-M31</f>
        <v>1053885.8658153976</v>
      </c>
      <c r="K32" s="312">
        <f>$F$23</f>
        <v>729173.64630272833</v>
      </c>
      <c r="L32" s="312">
        <f>J32*$M$29</f>
        <v>137746.88742836253</v>
      </c>
      <c r="M32" s="313">
        <f>K32-L32</f>
        <v>591426.75887436583</v>
      </c>
    </row>
    <row r="33" spans="5:13" ht="16.5" thickBot="1">
      <c r="E33" s="275" t="s">
        <v>163</v>
      </c>
      <c r="F33" s="39">
        <f>+F30+F32*(F31-F30)</f>
        <v>0.14493399999999998</v>
      </c>
      <c r="G33" s="276"/>
      <c r="I33" s="294">
        <v>3</v>
      </c>
      <c r="J33" s="312">
        <f>J32-M32</f>
        <v>462459.10694103176</v>
      </c>
      <c r="K33" s="312">
        <f>$G$23</f>
        <v>734960.68024717842</v>
      </c>
      <c r="L33" s="312">
        <f t="shared" ref="L33:L35" si="2">J33*$M$29</f>
        <v>60445.162621799216</v>
      </c>
      <c r="M33" s="313">
        <f>K33-L33</f>
        <v>674515.51762537914</v>
      </c>
    </row>
    <row r="34" spans="5:13" ht="15.75" thickBot="1">
      <c r="I34" s="294">
        <v>4</v>
      </c>
      <c r="J34" s="312">
        <f>J33-M33</f>
        <v>-212056.41068434739</v>
      </c>
      <c r="K34" s="312">
        <f>$H$23</f>
        <v>744787.71419162827</v>
      </c>
      <c r="L34" s="312">
        <f t="shared" si="2"/>
        <v>-27716.578690804799</v>
      </c>
      <c r="M34" s="313">
        <f t="shared" ref="M34:M35" si="3">K34-L34</f>
        <v>772504.29288243304</v>
      </c>
    </row>
    <row r="35" spans="5:13" ht="15.75" thickBot="1">
      <c r="E35" s="279"/>
      <c r="F35" s="280"/>
      <c r="G35" s="281"/>
      <c r="I35" s="295">
        <v>5</v>
      </c>
      <c r="J35" s="314">
        <f>J34-M34</f>
        <v>-984560.70356678043</v>
      </c>
      <c r="K35" s="314">
        <f>$I$23</f>
        <v>1288109.0481360783</v>
      </c>
      <c r="L35" s="314">
        <f t="shared" si="2"/>
        <v>-128685.82528685173</v>
      </c>
      <c r="M35" s="315">
        <f t="shared" si="3"/>
        <v>1416794.87342293</v>
      </c>
    </row>
    <row r="36" spans="5:13" ht="15.75" thickBot="1">
      <c r="E36" s="282"/>
      <c r="F36" s="59" t="s">
        <v>178</v>
      </c>
      <c r="G36" s="283"/>
    </row>
    <row r="37" spans="5:13">
      <c r="E37" s="284" t="s">
        <v>179</v>
      </c>
      <c r="F37" s="285" t="s">
        <v>180</v>
      </c>
      <c r="G37" s="286" t="s">
        <v>181</v>
      </c>
    </row>
    <row r="38" spans="5:13">
      <c r="E38" s="284"/>
      <c r="F38" s="285"/>
      <c r="G38" s="286"/>
    </row>
    <row r="39" spans="5:13" ht="15.75" thickBot="1">
      <c r="E39" s="287"/>
      <c r="F39" s="288"/>
      <c r="G39" s="289"/>
    </row>
  </sheetData>
  <mergeCells count="3">
    <mergeCell ref="C2:I2"/>
    <mergeCell ref="F25:G25"/>
    <mergeCell ref="I29:L29"/>
  </mergeCells>
  <phoneticPr fontId="8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G2" sqref="G2"/>
    </sheetView>
  </sheetViews>
  <sheetFormatPr baseColWidth="10" defaultRowHeight="15"/>
  <cols>
    <col min="2" max="2" width="23.42578125" customWidth="1"/>
    <col min="3" max="3" width="15.42578125" customWidth="1"/>
    <col min="4" max="4" width="16" customWidth="1"/>
    <col min="5" max="5" width="18" customWidth="1"/>
    <col min="6" max="6" width="19" customWidth="1"/>
    <col min="7" max="7" width="21.140625" customWidth="1"/>
    <col min="8" max="8" width="21.42578125" customWidth="1"/>
    <col min="9" max="9" width="19.7109375" customWidth="1"/>
  </cols>
  <sheetData>
    <row r="1" spans="2:8" ht="15.75" thickBot="1"/>
    <row r="2" spans="2:8" ht="15.75" thickBot="1">
      <c r="D2" s="299" t="s">
        <v>229</v>
      </c>
      <c r="E2" s="300">
        <f>1-F2</f>
        <v>0.7</v>
      </c>
      <c r="F2" s="301">
        <v>0.3</v>
      </c>
    </row>
    <row r="3" spans="2:8" ht="15.75" thickBot="1">
      <c r="B3" s="365" t="s">
        <v>128</v>
      </c>
      <c r="C3" s="366"/>
      <c r="D3" s="296" t="s">
        <v>156</v>
      </c>
      <c r="E3" s="297" t="s">
        <v>158</v>
      </c>
      <c r="F3" s="298" t="s">
        <v>164</v>
      </c>
    </row>
    <row r="4" spans="2:8" ht="16.5" thickTop="1" thickBot="1">
      <c r="B4" s="258" t="s">
        <v>134</v>
      </c>
      <c r="C4" s="260">
        <f>MAQUINARIA!$E$25</f>
        <v>1108590.72</v>
      </c>
      <c r="D4" s="268">
        <v>0.13</v>
      </c>
      <c r="E4" s="269">
        <f>C6-F4</f>
        <v>1099029.4140000001</v>
      </c>
      <c r="F4" s="270">
        <f>+C9</f>
        <v>471012.60599999997</v>
      </c>
    </row>
    <row r="5" spans="2:8" ht="15.75" thickBot="1">
      <c r="B5" s="266" t="s">
        <v>177</v>
      </c>
      <c r="C5" s="267">
        <f>COSTOS!E11+COSTOS!C21+COSTOS!C32+COSTOS!F45+COSTOS!B51</f>
        <v>461451.3</v>
      </c>
      <c r="D5" s="56"/>
    </row>
    <row r="6" spans="2:8" ht="16.5" thickTop="1" thickBot="1">
      <c r="B6" s="264" t="s">
        <v>228</v>
      </c>
      <c r="C6" s="265">
        <f>SUM(C4:C5)</f>
        <v>1570042.02</v>
      </c>
      <c r="D6" s="259"/>
      <c r="E6" s="27"/>
      <c r="F6" s="191"/>
    </row>
    <row r="7" spans="2:8" ht="15.75" thickBot="1"/>
    <row r="8" spans="2:8">
      <c r="B8" s="261" t="s">
        <v>129</v>
      </c>
      <c r="C8" s="262">
        <v>0</v>
      </c>
      <c r="D8" s="262">
        <v>1</v>
      </c>
      <c r="E8" s="262">
        <v>2</v>
      </c>
      <c r="F8" s="262">
        <v>3</v>
      </c>
      <c r="G8" s="262">
        <v>4</v>
      </c>
      <c r="H8" s="263">
        <v>5</v>
      </c>
    </row>
    <row r="9" spans="2:8">
      <c r="B9" s="28" t="s">
        <v>133</v>
      </c>
      <c r="C9" s="15">
        <f>+(C4+C5)*$F$2</f>
        <v>471012.60599999997</v>
      </c>
      <c r="D9" s="15">
        <f>+SUM(C9,-D12,'Flujo de caja estático'!E20)</f>
        <v>376810.08479999995</v>
      </c>
      <c r="E9" s="15">
        <f>+D9-E12+E7</f>
        <v>282607.56359999999</v>
      </c>
      <c r="F9" s="15">
        <f>+E9-F12+F7</f>
        <v>188405.04240000001</v>
      </c>
      <c r="G9" s="15">
        <f>+F9-G12+G7</f>
        <v>94202.521200000017</v>
      </c>
      <c r="H9" s="16">
        <f>+G9-H12+H7</f>
        <v>2.9103830456733704E-11</v>
      </c>
    </row>
    <row r="10" spans="2:8">
      <c r="B10" s="28" t="s">
        <v>130</v>
      </c>
      <c r="C10" s="15"/>
      <c r="D10" s="15">
        <f>+D11+D12</f>
        <v>155434.15998</v>
      </c>
      <c r="E10" s="15">
        <f>+E11+E12</f>
        <v>143187.83222399998</v>
      </c>
      <c r="F10" s="15">
        <f>+F11+F12</f>
        <v>130941.504468</v>
      </c>
      <c r="G10" s="15">
        <f>+G11+G12</f>
        <v>118695.17671199999</v>
      </c>
      <c r="H10" s="16">
        <f>+H11+H12</f>
        <v>106448.84895599999</v>
      </c>
    </row>
    <row r="11" spans="2:8">
      <c r="B11" s="28" t="s">
        <v>131</v>
      </c>
      <c r="C11" s="15"/>
      <c r="D11" s="15">
        <f>+C9*$D$4</f>
        <v>61231.638780000001</v>
      </c>
      <c r="E11" s="15">
        <f>+D9*$D$4</f>
        <v>48985.311023999995</v>
      </c>
      <c r="F11" s="15">
        <f>+E9*$D$4</f>
        <v>36738.983268000004</v>
      </c>
      <c r="G11" s="15">
        <f>+F9*$D$4</f>
        <v>24492.655512000001</v>
      </c>
      <c r="H11" s="16">
        <f>+G9*$D$4</f>
        <v>12246.327756000002</v>
      </c>
    </row>
    <row r="12" spans="2:8" ht="15.75" thickBot="1">
      <c r="B12" s="54" t="s">
        <v>132</v>
      </c>
      <c r="C12" s="233"/>
      <c r="D12" s="233">
        <f>+$C$9/5</f>
        <v>94202.521199999988</v>
      </c>
      <c r="E12" s="233">
        <f>+$C$9/5</f>
        <v>94202.521199999988</v>
      </c>
      <c r="F12" s="233">
        <f>+$C$9/5</f>
        <v>94202.521199999988</v>
      </c>
      <c r="G12" s="233">
        <f>+$C$9/5</f>
        <v>94202.521199999988</v>
      </c>
      <c r="H12" s="234">
        <f>+$C$9/5</f>
        <v>94202.521199999988</v>
      </c>
    </row>
  </sheetData>
  <mergeCells count="1">
    <mergeCell ref="B3:C3"/>
  </mergeCells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9"/>
  <sheetViews>
    <sheetView workbookViewId="0">
      <selection activeCell="J24" sqref="J24"/>
    </sheetView>
  </sheetViews>
  <sheetFormatPr baseColWidth="10" defaultRowHeight="15"/>
  <cols>
    <col min="2" max="2" width="33.7109375" bestFit="1" customWidth="1"/>
  </cols>
  <sheetData>
    <row r="1" spans="2:7" ht="15.75" thickBot="1"/>
    <row r="2" spans="2:7" ht="18.75">
      <c r="B2" s="367" t="s">
        <v>146</v>
      </c>
      <c r="C2" s="368"/>
      <c r="D2" s="368"/>
      <c r="E2" s="368"/>
      <c r="F2" s="368"/>
      <c r="G2" s="369"/>
    </row>
    <row r="3" spans="2:7" ht="16.5" thickBot="1">
      <c r="B3" s="248" t="s">
        <v>147</v>
      </c>
      <c r="C3" s="249">
        <v>1</v>
      </c>
      <c r="D3" s="249">
        <v>2</v>
      </c>
      <c r="E3" s="249">
        <v>3</v>
      </c>
      <c r="F3" s="249">
        <v>4</v>
      </c>
      <c r="G3" s="250">
        <v>5</v>
      </c>
    </row>
    <row r="4" spans="2:7" ht="16.5" thickTop="1">
      <c r="B4" s="251" t="s">
        <v>135</v>
      </c>
      <c r="C4" s="11"/>
      <c r="D4" s="11"/>
      <c r="E4" s="11"/>
      <c r="F4" s="11"/>
      <c r="G4" s="252"/>
    </row>
    <row r="5" spans="2:7" ht="15.75">
      <c r="B5" s="253" t="s">
        <v>137</v>
      </c>
      <c r="C5" s="15">
        <v>0</v>
      </c>
      <c r="D5" s="15">
        <v>0</v>
      </c>
      <c r="E5" s="15">
        <f>[1]MAQUINARIA!D40</f>
        <v>1800</v>
      </c>
      <c r="F5" s="15">
        <v>0</v>
      </c>
      <c r="G5" s="16">
        <v>0</v>
      </c>
    </row>
    <row r="6" spans="2:7" ht="15.75">
      <c r="B6" s="253" t="s">
        <v>138</v>
      </c>
      <c r="C6" s="15">
        <v>0</v>
      </c>
      <c r="D6" s="15">
        <v>0</v>
      </c>
      <c r="E6" s="15">
        <f>[1]MAQUINARIA!D41</f>
        <v>220</v>
      </c>
      <c r="F6" s="15">
        <v>0</v>
      </c>
      <c r="G6" s="16">
        <v>0</v>
      </c>
    </row>
    <row r="7" spans="2:7" ht="15.75">
      <c r="B7" s="253" t="s">
        <v>139</v>
      </c>
      <c r="C7" s="15">
        <v>0</v>
      </c>
      <c r="D7" s="15">
        <v>0</v>
      </c>
      <c r="E7" s="15">
        <v>0</v>
      </c>
      <c r="F7" s="15">
        <v>0</v>
      </c>
      <c r="G7" s="16">
        <f>[1]MAQUINARIA!D42</f>
        <v>817</v>
      </c>
    </row>
    <row r="8" spans="2:7" ht="16.5" thickBot="1">
      <c r="B8" s="254" t="s">
        <v>140</v>
      </c>
      <c r="C8" s="17">
        <v>0</v>
      </c>
      <c r="D8" s="17">
        <v>0</v>
      </c>
      <c r="E8" s="17">
        <v>0</v>
      </c>
      <c r="F8" s="17">
        <v>0</v>
      </c>
      <c r="G8" s="33">
        <f>[1]MAQUINARIA!D43</f>
        <v>120</v>
      </c>
    </row>
    <row r="9" spans="2:7" ht="20.25" thickTop="1" thickBot="1">
      <c r="B9" s="255" t="s">
        <v>4</v>
      </c>
      <c r="C9" s="256">
        <f>SUM(C5:C8)</f>
        <v>0</v>
      </c>
      <c r="D9" s="256">
        <f t="shared" ref="D9:G9" si="0">SUM(D5:D8)</f>
        <v>0</v>
      </c>
      <c r="E9" s="256">
        <f t="shared" si="0"/>
        <v>2020</v>
      </c>
      <c r="F9" s="256">
        <f t="shared" si="0"/>
        <v>0</v>
      </c>
      <c r="G9" s="257">
        <f t="shared" si="0"/>
        <v>937</v>
      </c>
    </row>
  </sheetData>
  <mergeCells count="1">
    <mergeCell ref="B2:G2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E1:L11"/>
  <sheetViews>
    <sheetView workbookViewId="0">
      <selection activeCell="E2" sqref="E2:G7"/>
    </sheetView>
  </sheetViews>
  <sheetFormatPr baseColWidth="10" defaultRowHeight="15"/>
  <cols>
    <col min="5" max="5" width="16.85546875" customWidth="1"/>
    <col min="6" max="6" width="13" bestFit="1" customWidth="1"/>
    <col min="9" max="9" width="21.7109375" bestFit="1" customWidth="1"/>
    <col min="10" max="10" width="11.140625" bestFit="1" customWidth="1"/>
    <col min="11" max="11" width="19.140625" bestFit="1" customWidth="1"/>
    <col min="12" max="12" width="17.7109375" bestFit="1" customWidth="1"/>
  </cols>
  <sheetData>
    <row r="1" spans="5:12" ht="16.5" thickBot="1">
      <c r="I1" s="370" t="s">
        <v>219</v>
      </c>
      <c r="J1" s="371"/>
      <c r="K1" s="371"/>
      <c r="L1" s="372"/>
    </row>
    <row r="2" spans="5:12" ht="15.75" thickBot="1">
      <c r="E2" s="373" t="s">
        <v>170</v>
      </c>
      <c r="F2" s="374"/>
      <c r="G2" s="375"/>
      <c r="I2" s="245" t="s">
        <v>38</v>
      </c>
      <c r="J2" s="246" t="s">
        <v>1</v>
      </c>
      <c r="K2" s="246" t="s">
        <v>220</v>
      </c>
      <c r="L2" s="247" t="s">
        <v>221</v>
      </c>
    </row>
    <row r="3" spans="5:12" ht="16.5" thickTop="1">
      <c r="E3" s="236" t="s">
        <v>165</v>
      </c>
      <c r="F3" s="15">
        <f>+[1]COSTOS!D32</f>
        <v>73800</v>
      </c>
      <c r="G3" s="237" t="s">
        <v>173</v>
      </c>
      <c r="I3" s="139" t="s">
        <v>72</v>
      </c>
      <c r="J3" s="140">
        <v>1</v>
      </c>
      <c r="K3" s="142">
        <v>3000</v>
      </c>
      <c r="L3" s="238">
        <f>K3*J3</f>
        <v>3000</v>
      </c>
    </row>
    <row r="4" spans="5:12" ht="15.75">
      <c r="E4" s="236" t="s">
        <v>166</v>
      </c>
      <c r="F4" s="15">
        <f>+'[1]INGRESOS estáticos'!G36</f>
        <v>196.26329452149704</v>
      </c>
      <c r="G4" s="237" t="s">
        <v>174</v>
      </c>
      <c r="H4" s="27"/>
      <c r="I4" s="153" t="s">
        <v>71</v>
      </c>
      <c r="J4" s="135">
        <v>1</v>
      </c>
      <c r="K4" s="137">
        <v>2500</v>
      </c>
      <c r="L4" s="238">
        <f t="shared" ref="L4:L9" si="0">K4*J4</f>
        <v>2500</v>
      </c>
    </row>
    <row r="5" spans="5:12" ht="15.75">
      <c r="E5" s="236" t="s">
        <v>167</v>
      </c>
      <c r="F5" s="15">
        <f>+[1]COSTOS!G11+[1]COSTOS!E21+[1]COSTOS!H45+[1]COSTOS!D51</f>
        <v>151.88376666666667</v>
      </c>
      <c r="G5" s="237" t="s">
        <v>174</v>
      </c>
      <c r="I5" s="139" t="s">
        <v>222</v>
      </c>
      <c r="J5" s="140">
        <v>3</v>
      </c>
      <c r="K5" s="142">
        <v>700</v>
      </c>
      <c r="L5" s="238">
        <f t="shared" si="0"/>
        <v>2100</v>
      </c>
    </row>
    <row r="6" spans="5:12" ht="15.75">
      <c r="E6" s="29"/>
      <c r="F6" s="1"/>
      <c r="G6" s="237"/>
      <c r="I6" s="139" t="s">
        <v>223</v>
      </c>
      <c r="J6" s="140">
        <v>1</v>
      </c>
      <c r="K6" s="142">
        <v>1800</v>
      </c>
      <c r="L6" s="238">
        <f>K6*J6</f>
        <v>1800</v>
      </c>
    </row>
    <row r="7" spans="5:12" ht="16.5" thickBot="1">
      <c r="E7" s="239" t="s">
        <v>171</v>
      </c>
      <c r="F7" s="240">
        <f>+F3/(F4-F5)</f>
        <v>1662.928912660062</v>
      </c>
      <c r="G7" s="241" t="s">
        <v>172</v>
      </c>
      <c r="I7" s="139" t="s">
        <v>224</v>
      </c>
      <c r="J7" s="140">
        <v>1</v>
      </c>
      <c r="K7" s="142">
        <v>300</v>
      </c>
      <c r="L7" s="238">
        <f t="shared" si="0"/>
        <v>300</v>
      </c>
    </row>
    <row r="8" spans="5:12" ht="15.75">
      <c r="I8" s="139" t="s">
        <v>225</v>
      </c>
      <c r="J8" s="140">
        <v>33</v>
      </c>
      <c r="K8" s="142">
        <v>300</v>
      </c>
      <c r="L8" s="238">
        <f t="shared" si="0"/>
        <v>9900</v>
      </c>
    </row>
    <row r="9" spans="5:12" ht="15.75">
      <c r="I9" s="139" t="s">
        <v>226</v>
      </c>
      <c r="J9" s="242">
        <v>3</v>
      </c>
      <c r="K9" s="142">
        <v>300</v>
      </c>
      <c r="L9" s="238">
        <f t="shared" si="0"/>
        <v>900</v>
      </c>
    </row>
    <row r="10" spans="5:12" ht="16.5" thickBot="1">
      <c r="I10" s="143" t="s">
        <v>227</v>
      </c>
      <c r="J10" s="144"/>
      <c r="K10" s="146">
        <v>1500</v>
      </c>
      <c r="L10" s="243">
        <f>K10</f>
        <v>1500</v>
      </c>
    </row>
    <row r="11" spans="5:12" ht="17.25" thickTop="1" thickBot="1">
      <c r="I11" s="376" t="s">
        <v>4</v>
      </c>
      <c r="J11" s="377"/>
      <c r="K11" s="167">
        <f>SUM(K3:K10)</f>
        <v>10400</v>
      </c>
      <c r="L11" s="244">
        <f>SUM(L3:L10)</f>
        <v>22000</v>
      </c>
    </row>
  </sheetData>
  <mergeCells count="3">
    <mergeCell ref="I1:L1"/>
    <mergeCell ref="E2:G2"/>
    <mergeCell ref="I11:J11"/>
  </mergeCells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MAQUINARIA</vt:lpstr>
      <vt:lpstr>DEPRECIACIÓN</vt:lpstr>
      <vt:lpstr>COSTOS</vt:lpstr>
      <vt:lpstr>cotizacion historica oro</vt:lpstr>
      <vt:lpstr>INGRESOS estáticos</vt:lpstr>
      <vt:lpstr>Flujo de caja estático</vt:lpstr>
      <vt:lpstr>Prestamos</vt:lpstr>
      <vt:lpstr>Reinversion</vt:lpstr>
      <vt:lpstr>Punto Equilibrio</vt:lpstr>
      <vt:lpstr>sensibilidad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Creditos ROSI</dc:creator>
  <cp:lastModifiedBy>Admin</cp:lastModifiedBy>
  <dcterms:created xsi:type="dcterms:W3CDTF">2010-09-17T01:37:50Z</dcterms:created>
  <dcterms:modified xsi:type="dcterms:W3CDTF">2010-10-06T17:40:36Z</dcterms:modified>
</cp:coreProperties>
</file>