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90" yWindow="540" windowWidth="6705" windowHeight="8565" tabRatio="998" activeTab="0"/>
  </bookViews>
  <sheets>
    <sheet name="A-5 MovimientoCartera" sheetId="1" r:id="rId1"/>
    <sheet name="A-5-1 Antigüedad de Cartera" sheetId="2" r:id="rId2"/>
    <sheet name="A-5-2 Circularizac" sheetId="3" r:id="rId3"/>
    <sheet name="A-5-3 Rotación" sheetId="4" r:id="rId4"/>
    <sheet name="Hoja1" sheetId="5" r:id="rId5"/>
  </sheets>
  <externalReferences>
    <externalReference r:id="rId8"/>
    <externalReference r:id="rId9"/>
  </externalReferences>
  <definedNames>
    <definedName name="_xlnm.Print_Area" localSheetId="2">'A-5-2 Circularizac'!$A$3:$T$114</definedName>
    <definedName name="_xlnm.Print_Titles" localSheetId="2">'A-5-2 Circularizac'!$1:$5</definedName>
    <definedName name="_xlnm.Print_Titles" localSheetId="3">'A-5-3 Rotación'!$1:$5</definedName>
  </definedNames>
  <calcPr fullCalcOnLoad="1"/>
</workbook>
</file>

<file path=xl/sharedStrings.xml><?xml version="1.0" encoding="utf-8"?>
<sst xmlns="http://schemas.openxmlformats.org/spreadsheetml/2006/main" count="563" uniqueCount="344">
  <si>
    <t>Fecha</t>
  </si>
  <si>
    <t>Total de Promociones y Lubricantes</t>
  </si>
  <si>
    <t>FT 00106862</t>
  </si>
  <si>
    <t>FT 00106863</t>
  </si>
  <si>
    <t>FT 00107014</t>
  </si>
  <si>
    <t>FT 00107015</t>
  </si>
  <si>
    <t>FT 00107132</t>
  </si>
  <si>
    <t>FT 00107133</t>
  </si>
  <si>
    <t>FT 00107191</t>
  </si>
  <si>
    <t>FT 00107192</t>
  </si>
  <si>
    <t>FT 00107212</t>
  </si>
  <si>
    <t>FT 00107300</t>
  </si>
  <si>
    <t>FT 00107301</t>
  </si>
  <si>
    <t>FT 00107321</t>
  </si>
  <si>
    <t>FT 00107448</t>
  </si>
  <si>
    <t>FT 00107449</t>
  </si>
  <si>
    <t>FT 00107076</t>
  </si>
  <si>
    <t>FT 00107077</t>
  </si>
  <si>
    <t>FT 00107118</t>
  </si>
  <si>
    <t>FT 00107119</t>
  </si>
  <si>
    <t>FT 00107137</t>
  </si>
  <si>
    <t>FT 00107138</t>
  </si>
  <si>
    <t>FT 00107179</t>
  </si>
  <si>
    <t>FT 00107180</t>
  </si>
  <si>
    <t>FT 00107183</t>
  </si>
  <si>
    <t>FT 00107184</t>
  </si>
  <si>
    <t>FT 00107203</t>
  </si>
  <si>
    <t>FT 00107204</t>
  </si>
  <si>
    <t>FT 00107268</t>
  </si>
  <si>
    <t>FT 00107269</t>
  </si>
  <si>
    <t>FT 00107285</t>
  </si>
  <si>
    <t>FT 00107286</t>
  </si>
  <si>
    <t>FT 00107287</t>
  </si>
  <si>
    <t>FT 00107340</t>
  </si>
  <si>
    <t>FT 00107341</t>
  </si>
  <si>
    <t>FT 00107398</t>
  </si>
  <si>
    <t>FT 00107399</t>
  </si>
  <si>
    <t>Total de Promociones, Lubricantes Y Notas de Crédito</t>
  </si>
  <si>
    <t>( A-5-1)</t>
  </si>
  <si>
    <t>Ref. Plan Auditoría 3.2.3</t>
  </si>
  <si>
    <t>FZ 101749</t>
  </si>
  <si>
    <t>FZ 110639</t>
  </si>
  <si>
    <t>FZ 110642</t>
  </si>
  <si>
    <t>FZ 110643</t>
  </si>
  <si>
    <t>FZ 110644</t>
  </si>
  <si>
    <t>FZ 110772</t>
  </si>
  <si>
    <t>FZ 110777</t>
  </si>
  <si>
    <t>FZ 110781</t>
  </si>
  <si>
    <t>FZ 110829</t>
  </si>
  <si>
    <t>Total de Facturas</t>
  </si>
  <si>
    <t>Total de Promociones</t>
  </si>
  <si>
    <t>FT  106011</t>
  </si>
  <si>
    <t>FT  106012</t>
  </si>
  <si>
    <t>FT  106013</t>
  </si>
  <si>
    <t>FT  106015</t>
  </si>
  <si>
    <t>FT  106211</t>
  </si>
  <si>
    <t>FT  106212</t>
  </si>
  <si>
    <t>FT  106213</t>
  </si>
  <si>
    <t>FT  106301</t>
  </si>
  <si>
    <t>FT  106302</t>
  </si>
  <si>
    <t>FT  106303</t>
  </si>
  <si>
    <t>FT  106304</t>
  </si>
  <si>
    <t>FT  106371</t>
  </si>
  <si>
    <t>FT  106372</t>
  </si>
  <si>
    <t>FT  106370</t>
  </si>
  <si>
    <t>TOTAL</t>
  </si>
  <si>
    <t>Conforme</t>
  </si>
  <si>
    <t>Inconforme</t>
  </si>
  <si>
    <t>Diferencia</t>
  </si>
  <si>
    <t>Cobros
Posteriores</t>
  </si>
  <si>
    <t>PARTIDAS DESTACADAS:</t>
  </si>
  <si>
    <t>TOTAL  CIRCULARIZADO</t>
  </si>
  <si>
    <t>NO CIRCULARIZADO</t>
  </si>
  <si>
    <t>TOTAL POBLACION</t>
  </si>
  <si>
    <t>Fuente:</t>
  </si>
  <si>
    <t xml:space="preserve"> = Valores tomados del Estado de Cuenta de los Clientes seleccionados</t>
  </si>
  <si>
    <t>Explicación de Marcas</t>
  </si>
  <si>
    <t xml:space="preserve"> = Valores considerados de las Confirmaciones enviadas a los Clientes.</t>
  </si>
  <si>
    <t>Explicación de Diferencias:</t>
  </si>
  <si>
    <t xml:space="preserve"> </t>
  </si>
  <si>
    <t>Valores tomados del Informe del año anterior al 31 de Diciembre del 2006.</t>
  </si>
  <si>
    <t>COMBUSTIBLE &amp; ADITIVOS S.A.</t>
  </si>
  <si>
    <t xml:space="preserve">A continuación calculamos el índice de rotación de cartera con la finalidad de conocer cuantos </t>
  </si>
  <si>
    <t>dias la Compañía tarda en recuperar sus ventas:</t>
  </si>
  <si>
    <t>Sara Vivar Naula</t>
  </si>
  <si>
    <t>Estación de Servicio # 1</t>
  </si>
  <si>
    <t>Estación de Servicio # 2</t>
  </si>
  <si>
    <t>Estación de Servicio # 3</t>
  </si>
  <si>
    <t>Estación de Servicio # 4</t>
  </si>
  <si>
    <t>Estación de Servicio # 5</t>
  </si>
  <si>
    <t>Estación de Servicio # 6</t>
  </si>
  <si>
    <t>Estación de Servicio # 7</t>
  </si>
  <si>
    <t>Estación de Servicio # 8</t>
  </si>
  <si>
    <t>Estación de Servicio # 9</t>
  </si>
  <si>
    <t>Estación de Servicio # 10</t>
  </si>
  <si>
    <t>Estación de Servicio # 11</t>
  </si>
  <si>
    <t>Estación de Servicio # 12</t>
  </si>
  <si>
    <t>Estación de Servicio # 13</t>
  </si>
  <si>
    <t>Estación de Servicio # 14</t>
  </si>
  <si>
    <t>Estación de Servicio # 15</t>
  </si>
  <si>
    <t>Estación de Servicio # 16</t>
  </si>
  <si>
    <t>Estación de Servicio # 17</t>
  </si>
  <si>
    <t>Estación de Servicio # 18</t>
  </si>
  <si>
    <t>Estación de Servicio # 19</t>
  </si>
  <si>
    <t>Estación de Servicio # 20</t>
  </si>
  <si>
    <t>Estación de Servicio # 21</t>
  </si>
  <si>
    <t>Propia</t>
  </si>
  <si>
    <t>Saldos Contables al 31-Dic-07</t>
  </si>
  <si>
    <t>% 
Analizado</t>
  </si>
  <si>
    <t>Dealer</t>
  </si>
  <si>
    <t>Las diferencias se origina porque la compañía no da de baja a la cuenta por cobrar hasta que no se verifique que el efectivo haya sido depositado en sus cuentas bancarias, por lo tanto las siguientes facturas son las que ya han sido disminuidas del saldo por cobrar por la E/S:</t>
  </si>
  <si>
    <t>Total Promociones no consideradas por Cliente</t>
  </si>
  <si>
    <t>REVISIÓN DE FACTURAS:</t>
  </si>
  <si>
    <t>Marzo-2008</t>
  </si>
  <si>
    <t>Esta división representa el 79% del total de las ventas y está relacionada con el mercado de transporte terrestre.  Es la división que se ha mantenido estable con relación al año 2006.La rotación de esta cartera se mantiene estable a pesar que se evidencia una disminución de 1 día en su rotación en relación al año 2006, pero no está de acuerdo a la política de crédito de la Compañía, que va de 5 días máximo.</t>
  </si>
  <si>
    <t>Representa el 1% del total de los ingresos de la Compañía. Los productos de esta división se componen de aditivos y aceites utilizados para el mantenimiento de automóviles.Esta división también se ha mantenido estable con relación al año 2006  y si cumple con la política de crédito establecida por la Compañía, que va de 56 días máximo.</t>
  </si>
  <si>
    <t>Es la división que en el año 2007 mayor crecimiento tuvo en relación al año 2006.  Representa el 20% del total de los ingresos de la Compañía. este producto se incrementó porque la Compañía aumentó su red con 5 nuevas estaciones de servicios. Adicionalmente en el mercado se impulsó y se introdujo el uso de los vehículos a diesel, y si cumple con la política de crédito establecida por la Compañía, que va de 5 días máximo.</t>
  </si>
  <si>
    <t>Prueba Realizada:</t>
  </si>
  <si>
    <t xml:space="preserve"> = Valores tomados del Detalle de Cuenta Bancaria de los bancos con que opera la compañía.</t>
  </si>
  <si>
    <t>Nota 1.-</t>
  </si>
  <si>
    <t>ANÁLISIS CUENTAS POR COBRAR-CLIENTES</t>
  </si>
  <si>
    <t>ANÁLISIS DE ROTACIÓN DE CARTERA</t>
  </si>
  <si>
    <t>(A)</t>
  </si>
  <si>
    <t>MOVIMIENTO DE CARTERA</t>
  </si>
  <si>
    <t>A/T 31DE DICIEMBRE DEL 2007</t>
  </si>
  <si>
    <t>Código</t>
  </si>
  <si>
    <t>Detalle</t>
  </si>
  <si>
    <t>Saldo al
31-Dic-2006</t>
  </si>
  <si>
    <t>Adiciones</t>
  </si>
  <si>
    <t>Cobros</t>
  </si>
  <si>
    <t>Notas de
Crédito</t>
  </si>
  <si>
    <t>Bajas</t>
  </si>
  <si>
    <t>Ajustes</t>
  </si>
  <si>
    <t>Saldo al 
31-Dic-2007</t>
  </si>
  <si>
    <t>36.6552.001</t>
  </si>
  <si>
    <t>40.6552.001</t>
  </si>
  <si>
    <t>CLIENTES</t>
  </si>
  <si>
    <t>xxxxxx</t>
  </si>
  <si>
    <t>Base de selección.-</t>
  </si>
  <si>
    <t>11.6.552.001</t>
  </si>
  <si>
    <t>Clientes Locales USD</t>
  </si>
  <si>
    <t>COMBUSTIBLES</t>
  </si>
  <si>
    <t>12.6.552.001</t>
  </si>
  <si>
    <t>OTROS MENORES</t>
  </si>
  <si>
    <t>13.6.552.003</t>
  </si>
  <si>
    <t>Explicación de Marcas:</t>
  </si>
  <si>
    <t>Saldos sgn. Confirmación al 31/Dic/07</t>
  </si>
  <si>
    <t>Procedimiento Alternativo</t>
  </si>
  <si>
    <t>Cartera según modulo</t>
  </si>
  <si>
    <t>Otros</t>
  </si>
  <si>
    <t>Anticipo de Clientes</t>
  </si>
  <si>
    <t>-</t>
  </si>
  <si>
    <t>No. Factura</t>
  </si>
  <si>
    <t>Monto</t>
  </si>
  <si>
    <t>Banco</t>
  </si>
  <si>
    <t>Otras Fact/.</t>
  </si>
  <si>
    <t>Total Cobrado</t>
  </si>
  <si>
    <t>No.</t>
  </si>
  <si>
    <t>1.-</t>
  </si>
  <si>
    <t>2.-</t>
  </si>
  <si>
    <t>3.-</t>
  </si>
  <si>
    <t>4.-</t>
  </si>
  <si>
    <t>5.-</t>
  </si>
  <si>
    <t>6.-</t>
  </si>
  <si>
    <t>7.-</t>
  </si>
  <si>
    <t>8.-</t>
  </si>
  <si>
    <t>9.-</t>
  </si>
  <si>
    <t>10.-</t>
  </si>
  <si>
    <t>11.-</t>
  </si>
  <si>
    <t>12.-</t>
  </si>
  <si>
    <t>13.-</t>
  </si>
  <si>
    <t>14.-</t>
  </si>
  <si>
    <t>15.-</t>
  </si>
  <si>
    <t>16.-</t>
  </si>
  <si>
    <t>17.-</t>
  </si>
  <si>
    <t>18.-</t>
  </si>
  <si>
    <t>19.-</t>
  </si>
  <si>
    <t>20.-</t>
  </si>
  <si>
    <t>Combustibles</t>
  </si>
  <si>
    <t>Lubricantes</t>
  </si>
  <si>
    <t>DISTRIBUIDOR</t>
  </si>
  <si>
    <t>A/T 31 DE DICIEMBRE DEL 2007</t>
  </si>
  <si>
    <t>LUBRICANTES</t>
  </si>
  <si>
    <t>Lubricant y Otros</t>
  </si>
  <si>
    <t>Crédito en el "Estado de Cuenta"</t>
  </si>
  <si>
    <t>Combust.</t>
  </si>
  <si>
    <t>Asesor</t>
  </si>
  <si>
    <t>Veces en el año de rotación</t>
  </si>
  <si>
    <t>Días de rotación</t>
  </si>
  <si>
    <t>(B)</t>
  </si>
  <si>
    <t xml:space="preserve">(A) </t>
  </si>
  <si>
    <t>Circularización Cuentas por Cobrar</t>
  </si>
  <si>
    <t>FL 00110759</t>
  </si>
  <si>
    <t>FL 00110760</t>
  </si>
  <si>
    <t>FL 00110895</t>
  </si>
  <si>
    <t>FL 00110896</t>
  </si>
  <si>
    <t>FL 00110897</t>
  </si>
  <si>
    <t>FL 00110962</t>
  </si>
  <si>
    <t>FL 00110963</t>
  </si>
  <si>
    <t>FL 00111107</t>
  </si>
  <si>
    <t>FL 00111111</t>
  </si>
  <si>
    <t>FL 00111113</t>
  </si>
  <si>
    <t>FL 00111233</t>
  </si>
  <si>
    <t xml:space="preserve">Las Notas de Crédito corresponden a valores a favor, que los clientes tienen al final de un periodo, y este lo compensan con la deuda que tienen y el asiento es el siguiente: </t>
  </si>
  <si>
    <t>Db.</t>
  </si>
  <si>
    <t>Cr.</t>
  </si>
  <si>
    <t>21.-</t>
  </si>
  <si>
    <t>21 MUESTRAS</t>
  </si>
  <si>
    <t>A-5-1</t>
  </si>
  <si>
    <t>A-5</t>
  </si>
  <si>
    <r>
      <t xml:space="preserve">Preparado por:  </t>
    </r>
    <r>
      <rPr>
        <sz val="10"/>
        <rFont val="NovareseITCTT"/>
        <family val="0"/>
      </rPr>
      <t>Raquel Guamán/Sara Vivar</t>
    </r>
  </si>
  <si>
    <t>Mayo-2008</t>
  </si>
  <si>
    <t>División combustibles:</t>
  </si>
  <si>
    <t>División lubricantes:</t>
  </si>
  <si>
    <t>Ventas a crédito</t>
  </si>
  <si>
    <t>Cuentas por cobrar promedio</t>
  </si>
  <si>
    <t>División diesel:</t>
  </si>
  <si>
    <t>(C)</t>
  </si>
  <si>
    <t xml:space="preserve">Ventas </t>
  </si>
  <si>
    <t>Fecha:</t>
  </si>
  <si>
    <t>Preparado por:</t>
  </si>
  <si>
    <t>Tomado de los estados financieros de la Compañía a las fechas indicadas</t>
  </si>
  <si>
    <t>Análisis División Combustibles:</t>
  </si>
  <si>
    <t>Análisis División Lubricantes:</t>
  </si>
  <si>
    <t>Análisis División Diesel:</t>
  </si>
  <si>
    <t>Saldo Cuentas por cobrar</t>
  </si>
  <si>
    <t>Saldo Ventas</t>
  </si>
  <si>
    <t>Diesel</t>
  </si>
  <si>
    <t>Bitumen</t>
  </si>
  <si>
    <t>Variación</t>
  </si>
  <si>
    <t>Explicación de Letras</t>
  </si>
  <si>
    <t>( A - 4 )</t>
  </si>
  <si>
    <t>Valores tomados de mayores contables cortados al 31 de diciembre del 2007.</t>
  </si>
  <si>
    <t>Dealer-Nueva</t>
  </si>
  <si>
    <t>Mayo-2007</t>
  </si>
  <si>
    <t xml:space="preserve">Ref. </t>
  </si>
  <si>
    <r>
      <t xml:space="preserve">Preparado por:  </t>
    </r>
    <r>
      <rPr>
        <sz val="10"/>
        <rFont val="Arial"/>
        <family val="2"/>
      </rPr>
      <t>Raquel Guamán Pacheco</t>
    </r>
  </si>
  <si>
    <t>Hasta la fecha de nuestra revisión no hemos recibido la respuesta a las confirmaciones de saldos de clientes, por lo tanto es una limitación que será mencionado en nuestras conclusiones de auditoria.</t>
  </si>
  <si>
    <t>Los saldos escogidos para proceder a la circularización, tanto de los dealers como de las E/S propias corresponden a los saldos más representativos al 31-Dic-2007.</t>
  </si>
  <si>
    <t>(A-5-1)</t>
  </si>
  <si>
    <t>Según Est. de Cuenta.</t>
  </si>
  <si>
    <t>REPORTE OPERATIVO VS. LIBROS</t>
  </si>
  <si>
    <t>A</t>
  </si>
  <si>
    <t>B</t>
  </si>
  <si>
    <t>C</t>
  </si>
  <si>
    <t>D</t>
  </si>
  <si>
    <t>E</t>
  </si>
  <si>
    <t>Nombre</t>
  </si>
  <si>
    <t>Pendiente</t>
  </si>
  <si>
    <t>Corriente</t>
  </si>
  <si>
    <t>1 - 30</t>
  </si>
  <si>
    <t>31 -  60</t>
  </si>
  <si>
    <t>61 - 360</t>
  </si>
  <si>
    <t>Sobr 360</t>
  </si>
  <si>
    <t>%</t>
  </si>
  <si>
    <t>Grand Total según reporte operativo</t>
  </si>
  <si>
    <t>Nota 2.-</t>
  </si>
  <si>
    <t>Nota 3.-</t>
  </si>
  <si>
    <t>Reporte proporcionado por el Departamento de Cobranzas</t>
  </si>
  <si>
    <t>No es politica de la Compañía enviar confirmaciones períodicas a sus clientes (E/S).</t>
  </si>
  <si>
    <t>A-5-3</t>
  </si>
  <si>
    <t>El 90% de la cartera corresponde a Combustibles que es la división top en la Compañía. La componen las E/S que forman la denominada "Red de estaciones de la compañía" la cual está compuesta por 32 E/S Propias y 30 Dealers (Distribuidores), por lo tanto hemos escogido como muestra para confirmar saldos al 31 de diciembre del 2007, a 9 E/S propias, 9 E/S dealers y 3 E/S nuevas que empezaron a operar a partir del año 2007.</t>
  </si>
  <si>
    <t>( A - 5 )</t>
  </si>
  <si>
    <t>Estación de Servicio # 22</t>
  </si>
  <si>
    <t>Estación de Servicio # 24</t>
  </si>
  <si>
    <t>Estación de Servicio # 25</t>
  </si>
  <si>
    <t>Estación de Servicio # 26</t>
  </si>
  <si>
    <t>Estación de Servicio # 27</t>
  </si>
  <si>
    <t>Estación de Servicio # 28</t>
  </si>
  <si>
    <t>Estación de Servicio # 29</t>
  </si>
  <si>
    <t>Estación de Servicio # 30</t>
  </si>
  <si>
    <t>Estación de Servicio # 31</t>
  </si>
  <si>
    <t>Estación de Servicio # 32</t>
  </si>
  <si>
    <t>Estación de Servicio # 33</t>
  </si>
  <si>
    <t>Estación de Servicio # 34</t>
  </si>
  <si>
    <t>Estación de Servicio # 35</t>
  </si>
  <si>
    <t>Otros Clientes # 1</t>
  </si>
  <si>
    <t>Estación de Servicio # 36</t>
  </si>
  <si>
    <t>Estación de Servicio # 37</t>
  </si>
  <si>
    <t>Estación de Servicio # 38</t>
  </si>
  <si>
    <t>Estación de Servicio # 39</t>
  </si>
  <si>
    <t>Estación de Servicio # 40</t>
  </si>
  <si>
    <t>Estación de Servicio # 41</t>
  </si>
  <si>
    <t>Estación de Servicio # 42</t>
  </si>
  <si>
    <t>Estación de Servicio # 43</t>
  </si>
  <si>
    <t>Estación de Servicio # 44</t>
  </si>
  <si>
    <t>Estación de Servicio # 45</t>
  </si>
  <si>
    <t>Estación de Servicio # 46</t>
  </si>
  <si>
    <t>Estación de Servicio # 47</t>
  </si>
  <si>
    <t>Estación de Servicio # 48</t>
  </si>
  <si>
    <t>Estación de Servicio # 49</t>
  </si>
  <si>
    <t>Estación de Servicio # 50</t>
  </si>
  <si>
    <t>Estación de Servicio # 51</t>
  </si>
  <si>
    <t>Estación de Servicio # 52</t>
  </si>
  <si>
    <t>Estación de Servicio # 53</t>
  </si>
  <si>
    <t>Estación de Servicio # 54</t>
  </si>
  <si>
    <t>Estación de Servicio # 55</t>
  </si>
  <si>
    <t>Estación de Servicio # 56</t>
  </si>
  <si>
    <t>Estación de Servicio # 57</t>
  </si>
  <si>
    <t>Estación de Servicio # 59</t>
  </si>
  <si>
    <t>Estación de Servicio # 60</t>
  </si>
  <si>
    <t>Estación de Servicio # 62</t>
  </si>
  <si>
    <t>Otros Clientes # 2</t>
  </si>
  <si>
    <t>Estación de Servicio # 61</t>
  </si>
  <si>
    <t>Otros Clientes # 3</t>
  </si>
  <si>
    <t>Otros Clientes # 4</t>
  </si>
  <si>
    <t>Otros Clientes # 5</t>
  </si>
  <si>
    <t>Otros Clientes # 6</t>
  </si>
  <si>
    <t>Otros Clientes # 7</t>
  </si>
  <si>
    <t>Otros Clientes # 8</t>
  </si>
  <si>
    <t>Otros Clientes # 9</t>
  </si>
  <si>
    <t>Otros Clientes # 10</t>
  </si>
  <si>
    <t>Otros Clientes # 12</t>
  </si>
  <si>
    <t>Otros Clientes # 11</t>
  </si>
  <si>
    <t>Otros Clientes # 13</t>
  </si>
  <si>
    <t>Otros Clientes # 14</t>
  </si>
  <si>
    <t>Otros Clientes # 15</t>
  </si>
  <si>
    <t>Otros Clientes # 16</t>
  </si>
  <si>
    <t>Otros Clientes # 17</t>
  </si>
  <si>
    <t>Otros Clientes # 18</t>
  </si>
  <si>
    <t>Otros Clientes # 19</t>
  </si>
  <si>
    <t>Otros Clientes # 20</t>
  </si>
  <si>
    <t>Otros Clientes # 21</t>
  </si>
  <si>
    <t>Otros Clientes # 22</t>
  </si>
  <si>
    <t>Otros Clientes # 23</t>
  </si>
  <si>
    <t>Otros Clientes # 24</t>
  </si>
  <si>
    <t>Otros Clientes # 25</t>
  </si>
  <si>
    <t>Otros Clientes # 26</t>
  </si>
  <si>
    <t>Otros Clientes # 27</t>
  </si>
  <si>
    <t xml:space="preserve">Preparado por:  </t>
  </si>
  <si>
    <t>Raquel Guamán/Sara Vivar</t>
  </si>
  <si>
    <t>Reporte proporcionado por Dpto. de Cobranzas de Contabilidad.</t>
  </si>
  <si>
    <t>F=
(A+B+C+D+E)</t>
  </si>
  <si>
    <r>
      <t xml:space="preserve">Ver análisis de saldos confirmados en </t>
    </r>
    <r>
      <rPr>
        <b/>
        <sz val="9"/>
        <color indexed="10"/>
        <rFont val="Arial"/>
        <family val="2"/>
      </rPr>
      <t>A-5-2</t>
    </r>
  </si>
  <si>
    <r>
      <t xml:space="preserve">Ver análisis de rotación de la cartera por división en </t>
    </r>
    <r>
      <rPr>
        <b/>
        <sz val="9"/>
        <color indexed="10"/>
        <rFont val="Arial"/>
        <family val="2"/>
      </rPr>
      <t>A-5-3</t>
    </r>
  </si>
  <si>
    <t>DIVISIÓN LUBRICANTES</t>
  </si>
  <si>
    <t>DIVISIÓN COMBUSTIBLES</t>
  </si>
  <si>
    <t>DIVISIÓN ADITIVOS</t>
  </si>
  <si>
    <t>Sobre 360</t>
  </si>
  <si>
    <t>ANEXO 2</t>
  </si>
  <si>
    <t>ANEXO 3</t>
  </si>
  <si>
    <t>ANEXO 4</t>
  </si>
  <si>
    <t>A-5-2</t>
  </si>
  <si>
    <t>ANEXO 5</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</si>
</sst>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 _€_-;\-* #,##0\ _€_-;_-* &quot;-&quot;\ _€_-;_-@_-"/>
    <numFmt numFmtId="173" formatCode="_(&quot;$&quot;* #,##0_);_(&quot;$&quot;* \(#,##0\);_(&quot;$&quot;* &quot;-&quot;_);_(@_)"/>
    <numFmt numFmtId="174" formatCode="_ &quot;S/&quot;* #,##0_ ;_ &quot;S/&quot;* \-#,##0_ ;_ &quot;S/&quot;* &quot;-&quot;_ ;_ @_ "/>
    <numFmt numFmtId="175" formatCode="_ * #,##0_ ;_ * \-#,##0_ ;_ * &quot;-&quot;??_ ;_ @_ "/>
    <numFmt numFmtId="176" formatCode="0.0%"/>
    <numFmt numFmtId="177" formatCode="_(* #,##0_);_(* \(#,##0\);_(* &quot;-&quot;??_);_(@_)"/>
  </numFmts>
  <fonts count="60">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b/>
      <sz val="10"/>
      <name val="NovareseITCTT"/>
      <family val="0"/>
    </font>
    <font>
      <sz val="10"/>
      <name val="NovareseITCTT"/>
      <family val="0"/>
    </font>
    <font>
      <sz val="8"/>
      <name val="NovareseITCTT"/>
      <family val="0"/>
    </font>
    <font>
      <sz val="8"/>
      <name val="Tahoma"/>
      <family val="2"/>
    </font>
    <font>
      <sz val="10"/>
      <name val="Times New Roman"/>
      <family val="0"/>
    </font>
    <font>
      <sz val="9"/>
      <name val="NovareseITCTT"/>
      <family val="0"/>
    </font>
    <font>
      <b/>
      <sz val="12"/>
      <name val="NovareseITCTT"/>
      <family val="0"/>
    </font>
    <font>
      <sz val="8"/>
      <name val="Bookman"/>
      <family val="0"/>
    </font>
    <font>
      <b/>
      <sz val="8"/>
      <name val="Bookman"/>
      <family val="0"/>
    </font>
    <font>
      <b/>
      <sz val="7"/>
      <name val="NovareseITCTT"/>
      <family val="0"/>
    </font>
    <font>
      <u val="single"/>
      <sz val="10"/>
      <name val="NovareseITCTT"/>
      <family val="0"/>
    </font>
    <font>
      <b/>
      <u val="single"/>
      <sz val="10"/>
      <name val="NovareseITCTT"/>
      <family val="0"/>
    </font>
    <font>
      <b/>
      <u val="single"/>
      <sz val="10"/>
      <name val="Arial"/>
      <family val="0"/>
    </font>
    <font>
      <b/>
      <sz val="14"/>
      <name val="NovareseITCTT"/>
      <family val="0"/>
    </font>
    <font>
      <sz val="9"/>
      <name val="Arial"/>
      <family val="2"/>
    </font>
    <font>
      <b/>
      <sz val="9"/>
      <name val="Arial"/>
      <family val="2"/>
    </font>
    <font>
      <b/>
      <u val="single"/>
      <sz val="9"/>
      <name val="Arial"/>
      <family val="2"/>
    </font>
    <font>
      <u val="single"/>
      <sz val="10"/>
      <name val="Arial"/>
      <family val="2"/>
    </font>
    <font>
      <b/>
      <u val="single"/>
      <sz val="18"/>
      <name val="Arial"/>
      <family val="2"/>
    </font>
    <font>
      <sz val="8"/>
      <name val="Arial"/>
      <family val="0"/>
    </font>
    <font>
      <b/>
      <sz val="20"/>
      <name val="NovareseITCTT"/>
      <family val="0"/>
    </font>
    <font>
      <b/>
      <sz val="12"/>
      <name val="Monotype Sorts"/>
      <family val="0"/>
    </font>
    <font>
      <sz val="9"/>
      <name val="Monotype Sorts"/>
      <family val="0"/>
    </font>
    <font>
      <b/>
      <sz val="22"/>
      <name val="NovareseITCTT"/>
      <family val="0"/>
    </font>
    <font>
      <sz val="10"/>
      <name val="Monotype Sorts"/>
      <family val="0"/>
    </font>
    <font>
      <b/>
      <sz val="14"/>
      <name val="Monotype Sorts"/>
      <family val="0"/>
    </font>
    <font>
      <b/>
      <sz val="9"/>
      <name val="NovareseITCTT"/>
      <family val="0"/>
    </font>
    <font>
      <b/>
      <sz val="10"/>
      <name val="Monotype Sorts"/>
      <family val="0"/>
    </font>
    <font>
      <b/>
      <sz val="11"/>
      <name val="Monotype Sorts"/>
      <family val="0"/>
    </font>
    <font>
      <b/>
      <sz val="9"/>
      <name val="Monotype Sorts"/>
      <family val="0"/>
    </font>
    <font>
      <b/>
      <sz val="9"/>
      <color indexed="10"/>
      <name val="Arial"/>
      <family val="2"/>
    </font>
    <font>
      <b/>
      <sz val="9"/>
      <color indexed="12"/>
      <name val="Arial"/>
      <family val="2"/>
    </font>
    <font>
      <sz val="14"/>
      <name val="NovareseITCTT"/>
      <family val="0"/>
    </font>
    <font>
      <b/>
      <sz val="20"/>
      <name val="Arial"/>
      <family val="2"/>
    </font>
    <font>
      <sz val="14"/>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0"/>
    </font>
    <font>
      <b/>
      <sz val="8"/>
      <color indexed="10"/>
      <name val="NovareseITCTT"/>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double"/>
    </border>
    <border>
      <left style="thin"/>
      <right style="thin"/>
      <top style="thin"/>
      <bottom style="double"/>
    </border>
    <border>
      <left>
        <color indexed="63"/>
      </left>
      <right style="medium"/>
      <top>
        <color indexed="63"/>
      </top>
      <bottom>
        <color indexed="63"/>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medium"/>
      <top style="medium"/>
      <bottom style="medium"/>
    </border>
    <border>
      <left style="medium"/>
      <right style="medium"/>
      <top>
        <color indexed="63"/>
      </top>
      <bottom style="medium"/>
    </border>
    <border>
      <left style="thin"/>
      <right style="medium"/>
      <top style="thin"/>
      <bottom style="medium"/>
    </border>
    <border>
      <left>
        <color indexed="63"/>
      </left>
      <right>
        <color indexed="63"/>
      </right>
      <top>
        <color indexed="63"/>
      </top>
      <bottom style="thin"/>
    </border>
    <border>
      <left style="thin"/>
      <right style="thin"/>
      <top style="thin">
        <color indexed="8"/>
      </top>
      <bottom>
        <color indexed="63"/>
      </bottom>
    </border>
    <border>
      <left>
        <color indexed="63"/>
      </left>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style="thin"/>
      <right style="thin"/>
      <top>
        <color indexed="63"/>
      </top>
      <bottom style="double"/>
    </border>
    <border>
      <left style="medium"/>
      <right style="thin"/>
      <top style="thin"/>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4" fillId="6" borderId="0" applyNumberFormat="0" applyBorder="0" applyAlignment="0" applyProtection="0"/>
    <xf numFmtId="0" fontId="45" fillId="11" borderId="1" applyNumberFormat="0" applyAlignment="0" applyProtection="0"/>
    <xf numFmtId="0" fontId="46" fillId="12" borderId="2" applyNumberFormat="0" applyAlignment="0" applyProtection="0"/>
    <xf numFmtId="0" fontId="47" fillId="0" borderId="3" applyNumberFormat="0" applyFill="0" applyAlignment="0" applyProtection="0"/>
    <xf numFmtId="171" fontId="9" fillId="0" borderId="0" applyFont="0" applyFill="0" applyBorder="0" applyAlignment="0" applyProtection="0"/>
    <xf numFmtId="0" fontId="48" fillId="0" borderId="0" applyNumberFormat="0" applyFill="0" applyBorder="0" applyAlignment="0" applyProtection="0"/>
    <xf numFmtId="0" fontId="43" fillId="13"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9"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0" fillId="17" borderId="0" applyNumberFormat="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0" fontId="51" fillId="7" borderId="0" applyNumberFormat="0" applyBorder="0" applyAlignment="0" applyProtection="0"/>
    <xf numFmtId="0" fontId="10" fillId="0" borderId="0">
      <alignment/>
      <protection/>
    </xf>
    <xf numFmtId="0" fontId="13" fillId="0" borderId="0">
      <alignment/>
      <protection/>
    </xf>
    <xf numFmtId="0" fontId="0" fillId="0" borderId="0">
      <alignment/>
      <protection/>
    </xf>
    <xf numFmtId="0" fontId="0" fillId="4" borderId="4" applyNumberFormat="0" applyFont="0" applyAlignment="0" applyProtection="0"/>
    <xf numFmtId="176" fontId="0" fillId="0" borderId="0" applyFont="0" applyFill="0" applyBorder="0" applyAlignment="0" applyProtection="0"/>
    <xf numFmtId="9" fontId="10" fillId="0" borderId="0" applyFont="0" applyFill="0" applyBorder="0" applyAlignment="0" applyProtection="0"/>
    <xf numFmtId="0" fontId="52" fillId="11" borderId="5" applyNumberFormat="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410">
    <xf numFmtId="0" fontId="0" fillId="0" borderId="0" xfId="0" applyAlignment="1">
      <alignment/>
    </xf>
    <xf numFmtId="0" fontId="7" fillId="0" borderId="0" xfId="0" applyFont="1" applyFill="1" applyAlignment="1">
      <alignment/>
    </xf>
    <xf numFmtId="175" fontId="7" fillId="0" borderId="0" xfId="49" applyNumberFormat="1" applyFont="1" applyFill="1" applyAlignment="1">
      <alignment/>
    </xf>
    <xf numFmtId="0" fontId="6" fillId="0" borderId="0" xfId="55" applyFont="1" applyFill="1" applyBorder="1" applyAlignment="1">
      <alignment/>
      <protection/>
    </xf>
    <xf numFmtId="3" fontId="6" fillId="0" borderId="0" xfId="55" applyNumberFormat="1" applyFont="1" applyFill="1" applyBorder="1" applyAlignment="1">
      <alignment/>
      <protection/>
    </xf>
    <xf numFmtId="0" fontId="14" fillId="0" borderId="0" xfId="56" applyFont="1" applyBorder="1">
      <alignment/>
      <protection/>
    </xf>
    <xf numFmtId="0" fontId="13" fillId="0" borderId="0" xfId="56" applyBorder="1">
      <alignment/>
      <protection/>
    </xf>
    <xf numFmtId="0" fontId="14" fillId="0" borderId="0" xfId="56" applyFont="1" applyBorder="1" applyAlignment="1">
      <alignment horizontal="center"/>
      <protection/>
    </xf>
    <xf numFmtId="0" fontId="7" fillId="0" borderId="0" xfId="56" applyFont="1" applyBorder="1">
      <alignment/>
      <protection/>
    </xf>
    <xf numFmtId="0" fontId="6" fillId="0" borderId="0" xfId="56" applyFont="1" applyBorder="1">
      <alignment/>
      <protection/>
    </xf>
    <xf numFmtId="0" fontId="7" fillId="0" borderId="0" xfId="56" applyFont="1" applyBorder="1" applyAlignment="1">
      <alignment horizontal="right"/>
      <protection/>
    </xf>
    <xf numFmtId="43" fontId="8" fillId="0" borderId="0" xfId="56" applyNumberFormat="1" applyFont="1" applyBorder="1">
      <alignment/>
      <protection/>
    </xf>
    <xf numFmtId="43" fontId="13" fillId="0" borderId="0" xfId="56" applyNumberFormat="1" applyBorder="1">
      <alignment/>
      <protection/>
    </xf>
    <xf numFmtId="171" fontId="6" fillId="0" borderId="0" xfId="51" applyFont="1" applyBorder="1" applyAlignment="1">
      <alignment/>
    </xf>
    <xf numFmtId="43" fontId="15" fillId="0" borderId="0" xfId="56" applyNumberFormat="1" applyFont="1" applyBorder="1">
      <alignment/>
      <protection/>
    </xf>
    <xf numFmtId="0" fontId="7" fillId="0" borderId="0" xfId="56" applyFont="1">
      <alignment/>
      <protection/>
    </xf>
    <xf numFmtId="0" fontId="6" fillId="0" borderId="0" xfId="56" applyFont="1">
      <alignment/>
      <protection/>
    </xf>
    <xf numFmtId="0" fontId="7" fillId="0" borderId="10" xfId="56" applyFont="1" applyBorder="1">
      <alignment/>
      <protection/>
    </xf>
    <xf numFmtId="0" fontId="7" fillId="0" borderId="11" xfId="56" applyFont="1" applyBorder="1">
      <alignment/>
      <protection/>
    </xf>
    <xf numFmtId="15" fontId="7" fillId="0" borderId="12" xfId="56" applyNumberFormat="1" applyFont="1" applyBorder="1" applyAlignment="1">
      <alignment horizontal="center"/>
      <protection/>
    </xf>
    <xf numFmtId="0" fontId="12" fillId="0" borderId="10" xfId="56" applyFont="1" applyBorder="1" applyAlignment="1">
      <alignment horizontal="center"/>
      <protection/>
    </xf>
    <xf numFmtId="15" fontId="7" fillId="0" borderId="13" xfId="56" applyNumberFormat="1" applyFont="1" applyBorder="1" applyAlignment="1">
      <alignment horizontal="center"/>
      <protection/>
    </xf>
    <xf numFmtId="0" fontId="7" fillId="0" borderId="0" xfId="0" applyFont="1" applyAlignment="1">
      <alignment/>
    </xf>
    <xf numFmtId="0" fontId="7" fillId="0" borderId="14" xfId="0" applyFont="1" applyBorder="1" applyAlignment="1">
      <alignment/>
    </xf>
    <xf numFmtId="0" fontId="7" fillId="0" borderId="15"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xf>
    <xf numFmtId="0" fontId="7" fillId="0" borderId="0" xfId="0" applyFont="1" applyBorder="1" applyAlignment="1">
      <alignment/>
    </xf>
    <xf numFmtId="0" fontId="7" fillId="0" borderId="17" xfId="0" applyFont="1" applyBorder="1" applyAlignment="1">
      <alignment/>
    </xf>
    <xf numFmtId="0" fontId="16" fillId="0" borderId="0" xfId="0" applyFont="1" applyBorder="1" applyAlignment="1">
      <alignment/>
    </xf>
    <xf numFmtId="177" fontId="7" fillId="0" borderId="0" xfId="49" applyNumberFormat="1" applyFont="1" applyBorder="1" applyAlignment="1">
      <alignment/>
    </xf>
    <xf numFmtId="177" fontId="7" fillId="0" borderId="0" xfId="0" applyNumberFormat="1" applyFont="1" applyAlignment="1">
      <alignment/>
    </xf>
    <xf numFmtId="171" fontId="7" fillId="0" borderId="0" xfId="0" applyNumberFormat="1" applyFont="1" applyBorder="1" applyAlignment="1">
      <alignment/>
    </xf>
    <xf numFmtId="0" fontId="7" fillId="0" borderId="18" xfId="0" applyFont="1" applyBorder="1" applyAlignment="1">
      <alignment/>
    </xf>
    <xf numFmtId="171" fontId="7" fillId="0" borderId="18" xfId="0" applyNumberFormat="1" applyFont="1" applyBorder="1" applyAlignment="1">
      <alignment/>
    </xf>
    <xf numFmtId="171" fontId="7" fillId="0" borderId="19" xfId="0" applyNumberFormat="1" applyFont="1" applyBorder="1" applyAlignment="1">
      <alignment/>
    </xf>
    <xf numFmtId="0" fontId="7" fillId="0" borderId="20" xfId="0" applyFont="1" applyBorder="1" applyAlignment="1">
      <alignment/>
    </xf>
    <xf numFmtId="0" fontId="6" fillId="0" borderId="18" xfId="0" applyFont="1" applyBorder="1" applyAlignment="1">
      <alignment/>
    </xf>
    <xf numFmtId="0" fontId="7" fillId="0" borderId="19" xfId="0" applyFont="1" applyBorder="1" applyAlignment="1">
      <alignment/>
    </xf>
    <xf numFmtId="0" fontId="6" fillId="0" borderId="0" xfId="0" applyFont="1" applyAlignment="1">
      <alignment/>
    </xf>
    <xf numFmtId="177" fontId="6" fillId="0" borderId="0" xfId="49" applyNumberFormat="1" applyFont="1" applyBorder="1" applyAlignment="1">
      <alignment/>
    </xf>
    <xf numFmtId="177" fontId="7" fillId="0" borderId="18" xfId="49" applyNumberFormat="1" applyFont="1" applyBorder="1" applyAlignment="1">
      <alignment/>
    </xf>
    <xf numFmtId="0" fontId="6" fillId="0" borderId="0" xfId="0" applyFont="1" applyBorder="1" applyAlignment="1">
      <alignment horizontal="center"/>
    </xf>
    <xf numFmtId="177" fontId="7" fillId="0" borderId="0" xfId="0" applyNumberFormat="1" applyFont="1" applyBorder="1" applyAlignment="1">
      <alignment/>
    </xf>
    <xf numFmtId="0" fontId="7" fillId="0" borderId="12" xfId="56" applyFont="1" applyBorder="1">
      <alignment/>
      <protection/>
    </xf>
    <xf numFmtId="0" fontId="7" fillId="0" borderId="0" xfId="55" applyFont="1" applyFill="1" applyBorder="1">
      <alignment/>
      <protection/>
    </xf>
    <xf numFmtId="9" fontId="7" fillId="0" borderId="0" xfId="55" applyNumberFormat="1" applyFont="1" applyFill="1" applyBorder="1">
      <alignment/>
      <protection/>
    </xf>
    <xf numFmtId="3" fontId="7" fillId="0" borderId="0" xfId="55" applyNumberFormat="1" applyFont="1" applyFill="1" applyBorder="1">
      <alignment/>
      <protection/>
    </xf>
    <xf numFmtId="0" fontId="6" fillId="0" borderId="0" xfId="55" applyFont="1" applyFill="1" applyBorder="1">
      <alignment/>
      <protection/>
    </xf>
    <xf numFmtId="14" fontId="7" fillId="0" borderId="0" xfId="55" applyNumberFormat="1" applyFont="1" applyFill="1" applyBorder="1" applyAlignment="1">
      <alignment horizontal="center"/>
      <protection/>
    </xf>
    <xf numFmtId="169" fontId="7" fillId="0" borderId="0" xfId="49" applyFont="1" applyFill="1" applyBorder="1" applyAlignment="1">
      <alignment/>
    </xf>
    <xf numFmtId="9" fontId="7" fillId="0" borderId="0" xfId="55" applyNumberFormat="1" applyFont="1" applyFill="1" applyBorder="1" applyAlignment="1">
      <alignment horizontal="left"/>
      <protection/>
    </xf>
    <xf numFmtId="49" fontId="7" fillId="0" borderId="0" xfId="55" applyNumberFormat="1" applyFont="1" applyFill="1" applyBorder="1" applyAlignment="1">
      <alignment wrapText="1"/>
      <protection/>
    </xf>
    <xf numFmtId="49" fontId="0" fillId="0" borderId="0" xfId="0" applyNumberFormat="1" applyFont="1" applyFill="1" applyAlignment="1">
      <alignment wrapText="1"/>
    </xf>
    <xf numFmtId="0" fontId="7" fillId="0" borderId="0" xfId="55" applyNumberFormat="1" applyFont="1" applyFill="1" applyBorder="1" applyAlignment="1">
      <alignment wrapText="1"/>
      <protection/>
    </xf>
    <xf numFmtId="0" fontId="0" fillId="0" borderId="0" xfId="0" applyNumberFormat="1" applyFont="1" applyFill="1" applyAlignment="1">
      <alignment wrapText="1"/>
    </xf>
    <xf numFmtId="3" fontId="7" fillId="0" borderId="0" xfId="55" applyNumberFormat="1" applyFont="1" applyFill="1" applyBorder="1" applyAlignment="1">
      <alignment horizontal="right"/>
      <protection/>
    </xf>
    <xf numFmtId="0" fontId="7" fillId="0" borderId="0" xfId="55" applyFont="1" applyFill="1" applyBorder="1" applyAlignment="1">
      <alignment horizontal="center" vertical="center" wrapText="1"/>
      <protection/>
    </xf>
    <xf numFmtId="3" fontId="6" fillId="0" borderId="0" xfId="55" applyNumberFormat="1" applyFont="1" applyFill="1" applyBorder="1" applyAlignment="1">
      <alignment horizontal="right"/>
      <protection/>
    </xf>
    <xf numFmtId="49" fontId="7" fillId="0" borderId="0" xfId="55" applyNumberFormat="1" applyFont="1" applyFill="1" applyBorder="1" applyAlignment="1">
      <alignment horizontal="center" wrapText="1"/>
      <protection/>
    </xf>
    <xf numFmtId="4" fontId="6" fillId="0" borderId="0" xfId="55" applyNumberFormat="1" applyFont="1" applyFill="1" applyBorder="1">
      <alignment/>
      <protection/>
    </xf>
    <xf numFmtId="3" fontId="6" fillId="0" borderId="0" xfId="55" applyNumberFormat="1" applyFont="1" applyFill="1" applyBorder="1">
      <alignment/>
      <protection/>
    </xf>
    <xf numFmtId="3" fontId="6" fillId="0" borderId="21" xfId="55" applyNumberFormat="1" applyFont="1" applyFill="1" applyBorder="1">
      <alignment/>
      <protection/>
    </xf>
    <xf numFmtId="0" fontId="6" fillId="0" borderId="0" xfId="55" applyFont="1" applyFill="1" applyBorder="1" applyAlignment="1">
      <alignment horizontal="center"/>
      <protection/>
    </xf>
    <xf numFmtId="49" fontId="18" fillId="0" borderId="22" xfId="0" applyNumberFormat="1" applyFont="1" applyFill="1" applyBorder="1" applyAlignment="1">
      <alignment horizontal="center" wrapText="1"/>
    </xf>
    <xf numFmtId="0" fontId="8" fillId="0" borderId="0" xfId="0" applyFont="1" applyFill="1" applyBorder="1" applyAlignment="1">
      <alignment/>
    </xf>
    <xf numFmtId="4" fontId="8"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left"/>
    </xf>
    <xf numFmtId="0" fontId="7" fillId="0" borderId="23" xfId="55" applyFont="1" applyFill="1" applyBorder="1">
      <alignment/>
      <protection/>
    </xf>
    <xf numFmtId="0" fontId="7" fillId="0" borderId="17" xfId="55" applyFont="1" applyFill="1" applyBorder="1">
      <alignment/>
      <protection/>
    </xf>
    <xf numFmtId="0" fontId="7" fillId="0" borderId="20" xfId="55" applyFont="1" applyFill="1" applyBorder="1">
      <alignment/>
      <protection/>
    </xf>
    <xf numFmtId="0" fontId="7" fillId="0" borderId="18" xfId="55" applyFont="1" applyFill="1" applyBorder="1">
      <alignment/>
      <protection/>
    </xf>
    <xf numFmtId="169" fontId="7" fillId="0" borderId="18" xfId="49" applyFont="1" applyFill="1" applyBorder="1" applyAlignment="1">
      <alignment/>
    </xf>
    <xf numFmtId="9" fontId="7" fillId="0" borderId="18" xfId="55" applyNumberFormat="1" applyFont="1" applyFill="1" applyBorder="1">
      <alignment/>
      <protection/>
    </xf>
    <xf numFmtId="0" fontId="6" fillId="0" borderId="0" xfId="55" applyFont="1" applyFill="1" applyBorder="1" applyAlignment="1">
      <alignment horizontal="right"/>
      <protection/>
    </xf>
    <xf numFmtId="3" fontId="17" fillId="0" borderId="0" xfId="55" applyNumberFormat="1" applyFont="1" applyFill="1" applyBorder="1" applyAlignment="1">
      <alignment/>
      <protection/>
    </xf>
    <xf numFmtId="49" fontId="18" fillId="0" borderId="0" xfId="0" applyNumberFormat="1" applyFont="1" applyFill="1" applyBorder="1" applyAlignment="1">
      <alignment horizontal="center" wrapText="1"/>
    </xf>
    <xf numFmtId="3" fontId="6" fillId="0" borderId="21" xfId="55" applyNumberFormat="1" applyFont="1" applyFill="1" applyBorder="1" applyAlignment="1">
      <alignment/>
      <protection/>
    </xf>
    <xf numFmtId="49" fontId="1" fillId="0" borderId="0" xfId="0" applyNumberFormat="1" applyFont="1" applyFill="1" applyBorder="1" applyAlignment="1">
      <alignment wrapText="1"/>
    </xf>
    <xf numFmtId="49" fontId="18" fillId="0" borderId="0" xfId="0" applyNumberFormat="1" applyFont="1" applyFill="1" applyBorder="1" applyAlignment="1">
      <alignment wrapText="1"/>
    </xf>
    <xf numFmtId="3" fontId="6" fillId="0" borderId="24" xfId="55" applyNumberFormat="1" applyFont="1" applyFill="1" applyBorder="1" applyAlignment="1">
      <alignment/>
      <protection/>
    </xf>
    <xf numFmtId="3" fontId="7" fillId="0" borderId="21" xfId="55" applyNumberFormat="1" applyFont="1" applyFill="1" applyBorder="1">
      <alignment/>
      <protection/>
    </xf>
    <xf numFmtId="3" fontId="0" fillId="0" borderId="0" xfId="0" applyNumberFormat="1" applyFont="1" applyFill="1" applyAlignment="1">
      <alignment wrapText="1"/>
    </xf>
    <xf numFmtId="3" fontId="1" fillId="0" borderId="0" xfId="0" applyNumberFormat="1" applyFont="1" applyFill="1" applyAlignment="1">
      <alignment horizontal="right" wrapText="1"/>
    </xf>
    <xf numFmtId="3" fontId="0" fillId="0" borderId="21" xfId="0" applyNumberFormat="1" applyFont="1" applyFill="1" applyBorder="1" applyAlignment="1">
      <alignment horizontal="right" wrapText="1"/>
    </xf>
    <xf numFmtId="0" fontId="19" fillId="0" borderId="0" xfId="55" applyNumberFormat="1" applyFont="1" applyFill="1" applyBorder="1" applyAlignment="1">
      <alignment horizontal="left" wrapText="1"/>
      <protection/>
    </xf>
    <xf numFmtId="49" fontId="18" fillId="0" borderId="12" xfId="0" applyNumberFormat="1" applyFont="1" applyFill="1" applyBorder="1" applyAlignment="1">
      <alignment horizontal="center" vertical="center" wrapText="1"/>
    </xf>
    <xf numFmtId="0" fontId="0" fillId="0" borderId="0" xfId="56" applyFont="1">
      <alignment/>
      <protection/>
    </xf>
    <xf numFmtId="0" fontId="1" fillId="0" borderId="0" xfId="56" applyFont="1">
      <alignment/>
      <protection/>
    </xf>
    <xf numFmtId="49" fontId="20" fillId="0" borderId="0" xfId="55" applyNumberFormat="1" applyFont="1" applyFill="1" applyBorder="1" applyAlignment="1">
      <alignment wrapText="1"/>
      <protection/>
    </xf>
    <xf numFmtId="0" fontId="20" fillId="0" borderId="0" xfId="56" applyFont="1">
      <alignment/>
      <protection/>
    </xf>
    <xf numFmtId="0" fontId="21" fillId="0" borderId="0" xfId="56" applyFont="1">
      <alignment/>
      <protection/>
    </xf>
    <xf numFmtId="0" fontId="21" fillId="0" borderId="25" xfId="56" applyFont="1" applyBorder="1" applyAlignment="1">
      <alignment horizontal="center" wrapText="1"/>
      <protection/>
    </xf>
    <xf numFmtId="0" fontId="21" fillId="0" borderId="12" xfId="56" applyFont="1" applyBorder="1" applyAlignment="1">
      <alignment horizontal="center" wrapText="1"/>
      <protection/>
    </xf>
    <xf numFmtId="0" fontId="20" fillId="0" borderId="10" xfId="56" applyFont="1" applyBorder="1">
      <alignment/>
      <protection/>
    </xf>
    <xf numFmtId="15" fontId="20" fillId="0" borderId="10" xfId="56" applyNumberFormat="1" applyFont="1" applyBorder="1" applyAlignment="1">
      <alignment horizontal="center"/>
      <protection/>
    </xf>
    <xf numFmtId="0" fontId="21" fillId="0" borderId="10" xfId="56" applyFont="1" applyBorder="1">
      <alignment/>
      <protection/>
    </xf>
    <xf numFmtId="0" fontId="20" fillId="0" borderId="10" xfId="56" applyFont="1" applyBorder="1" applyAlignment="1">
      <alignment horizontal="right"/>
      <protection/>
    </xf>
    <xf numFmtId="172" fontId="20" fillId="0" borderId="10" xfId="51" applyNumberFormat="1" applyFont="1" applyBorder="1" applyAlignment="1">
      <alignment/>
    </xf>
    <xf numFmtId="177" fontId="20" fillId="0" borderId="10" xfId="51" applyNumberFormat="1" applyFont="1" applyBorder="1" applyAlignment="1">
      <alignment/>
    </xf>
    <xf numFmtId="171" fontId="20" fillId="0" borderId="10" xfId="51" applyFont="1" applyBorder="1" applyAlignment="1">
      <alignment/>
    </xf>
    <xf numFmtId="177" fontId="20" fillId="0" borderId="13" xfId="56" applyNumberFormat="1" applyFont="1" applyBorder="1">
      <alignment/>
      <protection/>
    </xf>
    <xf numFmtId="169" fontId="20" fillId="0" borderId="10" xfId="49" applyFont="1" applyBorder="1" applyAlignment="1">
      <alignment/>
    </xf>
    <xf numFmtId="0" fontId="20" fillId="0" borderId="0" xfId="56" applyFont="1" applyBorder="1">
      <alignment/>
      <protection/>
    </xf>
    <xf numFmtId="177" fontId="20" fillId="0" borderId="0" xfId="51" applyNumberFormat="1" applyFont="1" applyBorder="1" applyAlignment="1">
      <alignment/>
    </xf>
    <xf numFmtId="177" fontId="20" fillId="0" borderId="11" xfId="51" applyNumberFormat="1" applyFont="1" applyBorder="1" applyAlignment="1">
      <alignment/>
    </xf>
    <xf numFmtId="177" fontId="20" fillId="0" borderId="13" xfId="51" applyNumberFormat="1" applyFont="1" applyBorder="1" applyAlignment="1">
      <alignment/>
    </xf>
    <xf numFmtId="171" fontId="21" fillId="0" borderId="0" xfId="51" applyFont="1" applyAlignment="1">
      <alignment/>
    </xf>
    <xf numFmtId="171" fontId="20" fillId="0" borderId="13" xfId="51" applyFont="1" applyBorder="1" applyAlignment="1">
      <alignment/>
    </xf>
    <xf numFmtId="171" fontId="20" fillId="0" borderId="26" xfId="51" applyFont="1" applyBorder="1" applyAlignment="1">
      <alignment/>
    </xf>
    <xf numFmtId="0" fontId="21" fillId="0" borderId="26" xfId="56" applyFont="1" applyBorder="1">
      <alignment/>
      <protection/>
    </xf>
    <xf numFmtId="0" fontId="21" fillId="0" borderId="25" xfId="56" applyFont="1" applyBorder="1">
      <alignment/>
      <protection/>
    </xf>
    <xf numFmtId="177" fontId="21" fillId="0" borderId="22" xfId="56" applyNumberFormat="1" applyFont="1" applyBorder="1">
      <alignment/>
      <protection/>
    </xf>
    <xf numFmtId="171" fontId="20" fillId="0" borderId="0" xfId="56" applyNumberFormat="1" applyFont="1">
      <alignment/>
      <protection/>
    </xf>
    <xf numFmtId="49" fontId="20" fillId="0" borderId="0" xfId="56" applyNumberFormat="1" applyFont="1">
      <alignment/>
      <protection/>
    </xf>
    <xf numFmtId="0" fontId="20" fillId="0" borderId="0" xfId="56" applyFont="1" applyFill="1">
      <alignment/>
      <protection/>
    </xf>
    <xf numFmtId="0" fontId="20" fillId="0" borderId="0" xfId="56" applyFont="1" applyAlignment="1">
      <alignment horizontal="right"/>
      <protection/>
    </xf>
    <xf numFmtId="0" fontId="20" fillId="0" borderId="0" xfId="56" applyFont="1" applyAlignment="1">
      <alignment horizontal="left"/>
      <protection/>
    </xf>
    <xf numFmtId="0" fontId="1" fillId="0" borderId="0" xfId="56" applyFont="1" applyFill="1">
      <alignment/>
      <protection/>
    </xf>
    <xf numFmtId="0" fontId="0" fillId="0" borderId="0" xfId="0" applyFont="1" applyFill="1" applyAlignment="1">
      <alignment/>
    </xf>
    <xf numFmtId="0" fontId="1" fillId="0" borderId="0" xfId="0" applyFont="1" applyFill="1" applyAlignment="1">
      <alignment/>
    </xf>
    <xf numFmtId="0" fontId="20" fillId="0" borderId="0" xfId="55" applyNumberFormat="1" applyFont="1" applyFill="1" applyBorder="1" applyAlignment="1">
      <alignment wrapText="1"/>
      <protection/>
    </xf>
    <xf numFmtId="0" fontId="20" fillId="0" borderId="0" xfId="0" applyNumberFormat="1" applyFont="1" applyFill="1" applyAlignment="1">
      <alignment wrapText="1"/>
    </xf>
    <xf numFmtId="9" fontId="7" fillId="0" borderId="25" xfId="55" applyNumberFormat="1" applyFont="1" applyFill="1" applyBorder="1">
      <alignment/>
      <protection/>
    </xf>
    <xf numFmtId="0" fontId="7" fillId="0" borderId="25" xfId="55" applyFont="1" applyFill="1" applyBorder="1">
      <alignment/>
      <protection/>
    </xf>
    <xf numFmtId="3" fontId="7" fillId="0" borderId="25" xfId="55" applyNumberFormat="1" applyFont="1" applyFill="1" applyBorder="1">
      <alignment/>
      <protection/>
    </xf>
    <xf numFmtId="169" fontId="7" fillId="0" borderId="25" xfId="55" applyNumberFormat="1" applyFont="1" applyFill="1" applyBorder="1">
      <alignment/>
      <protection/>
    </xf>
    <xf numFmtId="0" fontId="7" fillId="0" borderId="27" xfId="55" applyFont="1" applyFill="1" applyBorder="1">
      <alignment/>
      <protection/>
    </xf>
    <xf numFmtId="17" fontId="7" fillId="0" borderId="0" xfId="56" applyNumberFormat="1" applyFont="1" quotePrefix="1">
      <alignment/>
      <protection/>
    </xf>
    <xf numFmtId="0" fontId="0" fillId="0" borderId="0" xfId="55" applyFont="1" applyFill="1" applyBorder="1">
      <alignment/>
      <protection/>
    </xf>
    <xf numFmtId="0" fontId="20" fillId="0" borderId="17" xfId="55" applyFont="1" applyFill="1" applyBorder="1" applyAlignment="1">
      <alignment horizontal="center"/>
      <protection/>
    </xf>
    <xf numFmtId="0" fontId="20" fillId="0" borderId="0" xfId="55" applyFont="1" applyFill="1" applyBorder="1">
      <alignment/>
      <protection/>
    </xf>
    <xf numFmtId="9" fontId="20" fillId="0" borderId="0" xfId="55" applyNumberFormat="1" applyFont="1" applyFill="1" applyBorder="1">
      <alignment/>
      <protection/>
    </xf>
    <xf numFmtId="0" fontId="20" fillId="0" borderId="28" xfId="55" applyFont="1" applyFill="1" applyBorder="1" applyAlignment="1">
      <alignment horizontal="center"/>
      <protection/>
    </xf>
    <xf numFmtId="0" fontId="22" fillId="0" borderId="25" xfId="55" applyFont="1" applyFill="1" applyBorder="1">
      <alignment/>
      <protection/>
    </xf>
    <xf numFmtId="9" fontId="20" fillId="0" borderId="25" xfId="55" applyNumberFormat="1" applyFont="1" applyFill="1" applyBorder="1">
      <alignment/>
      <protection/>
    </xf>
    <xf numFmtId="0" fontId="20" fillId="0" borderId="25" xfId="55" applyFont="1" applyFill="1" applyBorder="1">
      <alignment/>
      <protection/>
    </xf>
    <xf numFmtId="172" fontId="21" fillId="0" borderId="25" xfId="0" applyNumberFormat="1" applyFont="1" applyFill="1" applyBorder="1" applyAlignment="1">
      <alignment horizontal="center"/>
    </xf>
    <xf numFmtId="169" fontId="20" fillId="0" borderId="25" xfId="49" applyFont="1" applyFill="1" applyBorder="1" applyAlignment="1">
      <alignment/>
    </xf>
    <xf numFmtId="169" fontId="21" fillId="0" borderId="29" xfId="49" applyFont="1" applyFill="1" applyBorder="1" applyAlignment="1">
      <alignment/>
    </xf>
    <xf numFmtId="0" fontId="20" fillId="0" borderId="17" xfId="55" applyFont="1" applyFill="1" applyBorder="1">
      <alignment/>
      <protection/>
    </xf>
    <xf numFmtId="169" fontId="20" fillId="0" borderId="0" xfId="49" applyFont="1" applyFill="1" applyBorder="1" applyAlignment="1">
      <alignment/>
    </xf>
    <xf numFmtId="0" fontId="22" fillId="0" borderId="30" xfId="55" applyFont="1" applyFill="1" applyBorder="1" applyAlignment="1">
      <alignment horizontal="center" vertical="center" wrapText="1"/>
      <protection/>
    </xf>
    <xf numFmtId="9" fontId="21" fillId="0" borderId="30" xfId="55" applyNumberFormat="1" applyFont="1" applyFill="1" applyBorder="1" applyAlignment="1">
      <alignment horizontal="center" vertical="center" wrapText="1"/>
      <protection/>
    </xf>
    <xf numFmtId="3" fontId="22" fillId="0" borderId="30" xfId="55" applyNumberFormat="1" applyFont="1" applyFill="1" applyBorder="1" applyAlignment="1">
      <alignment horizontal="center" vertical="center" wrapText="1"/>
      <protection/>
    </xf>
    <xf numFmtId="3" fontId="22" fillId="0" borderId="31" xfId="55" applyNumberFormat="1" applyFont="1" applyFill="1" applyBorder="1" applyAlignment="1">
      <alignment horizontal="center" vertical="center" wrapText="1"/>
      <protection/>
    </xf>
    <xf numFmtId="0" fontId="21" fillId="0" borderId="31" xfId="0" applyFont="1" applyFill="1" applyBorder="1" applyAlignment="1">
      <alignment horizontal="center" vertical="center" wrapText="1"/>
    </xf>
    <xf numFmtId="3" fontId="21" fillId="0" borderId="31" xfId="55" applyNumberFormat="1" applyFont="1" applyFill="1" applyBorder="1" applyAlignment="1">
      <alignment horizontal="center" vertical="center" wrapText="1"/>
      <protection/>
    </xf>
    <xf numFmtId="3" fontId="0" fillId="0" borderId="29" xfId="55" applyNumberFormat="1" applyFont="1" applyFill="1" applyBorder="1" applyAlignment="1">
      <alignment horizontal="right"/>
      <protection/>
    </xf>
    <xf numFmtId="3" fontId="20" fillId="0" borderId="29" xfId="55" applyNumberFormat="1" applyFont="1" applyFill="1" applyBorder="1" applyAlignment="1">
      <alignment horizontal="right"/>
      <protection/>
    </xf>
    <xf numFmtId="9" fontId="20" fillId="0" borderId="0" xfId="55" applyNumberFormat="1" applyFont="1" applyFill="1" applyBorder="1" applyAlignment="1">
      <alignment horizontal="left"/>
      <protection/>
    </xf>
    <xf numFmtId="0" fontId="21" fillId="0" borderId="0" xfId="55" applyFont="1" applyFill="1" applyBorder="1">
      <alignment/>
      <protection/>
    </xf>
    <xf numFmtId="169" fontId="22" fillId="0" borderId="0" xfId="49" applyFont="1" applyFill="1" applyBorder="1" applyAlignment="1">
      <alignment/>
    </xf>
    <xf numFmtId="169" fontId="21" fillId="0" borderId="0" xfId="49" applyFont="1" applyFill="1" applyBorder="1" applyAlignment="1">
      <alignment/>
    </xf>
    <xf numFmtId="0" fontId="1" fillId="0" borderId="0" xfId="55" applyFont="1" applyFill="1" applyBorder="1">
      <alignment/>
      <protection/>
    </xf>
    <xf numFmtId="0" fontId="1" fillId="0" borderId="0" xfId="56" applyFont="1" applyFill="1" applyBorder="1">
      <alignment/>
      <protection/>
    </xf>
    <xf numFmtId="3" fontId="20" fillId="0" borderId="25" xfId="49" applyNumberFormat="1" applyFont="1" applyFill="1" applyBorder="1" applyAlignment="1">
      <alignment/>
    </xf>
    <xf numFmtId="3" fontId="20" fillId="0" borderId="25" xfId="0" applyNumberFormat="1" applyFont="1" applyFill="1" applyBorder="1" applyAlignment="1">
      <alignment horizontal="center"/>
    </xf>
    <xf numFmtId="3" fontId="20" fillId="0" borderId="25" xfId="55" applyNumberFormat="1" applyFont="1" applyFill="1" applyBorder="1" applyAlignment="1">
      <alignment horizontal="right"/>
      <protection/>
    </xf>
    <xf numFmtId="3" fontId="20" fillId="0" borderId="25" xfId="0" applyNumberFormat="1" applyFont="1" applyFill="1" applyBorder="1" applyAlignment="1">
      <alignment horizontal="right"/>
    </xf>
    <xf numFmtId="3" fontId="20" fillId="0" borderId="25" xfId="55" applyNumberFormat="1" applyFont="1" applyFill="1" applyBorder="1">
      <alignment/>
      <protection/>
    </xf>
    <xf numFmtId="3" fontId="20" fillId="0" borderId="25" xfId="55" applyNumberFormat="1" applyFont="1" applyFill="1" applyBorder="1" applyAlignment="1">
      <alignment/>
      <protection/>
    </xf>
    <xf numFmtId="9" fontId="20" fillId="0" borderId="27" xfId="60" applyFont="1" applyFill="1" applyBorder="1" applyAlignment="1">
      <alignment horizontal="center"/>
    </xf>
    <xf numFmtId="3" fontId="20" fillId="0" borderId="25" xfId="49" applyNumberFormat="1" applyFont="1" applyFill="1" applyBorder="1" applyAlignment="1">
      <alignment horizontal="right"/>
    </xf>
    <xf numFmtId="169" fontId="20" fillId="0" borderId="25" xfId="49" applyFont="1" applyFill="1" applyBorder="1" applyAlignment="1">
      <alignment/>
    </xf>
    <xf numFmtId="0" fontId="20" fillId="0" borderId="32" xfId="55" applyFont="1" applyFill="1" applyBorder="1">
      <alignment/>
      <protection/>
    </xf>
    <xf numFmtId="169" fontId="11" fillId="0" borderId="18" xfId="49" applyFont="1" applyFill="1" applyBorder="1" applyAlignment="1">
      <alignment/>
    </xf>
    <xf numFmtId="9" fontId="11" fillId="0" borderId="18" xfId="55" applyNumberFormat="1" applyFont="1" applyFill="1" applyBorder="1">
      <alignment/>
      <protection/>
    </xf>
    <xf numFmtId="49" fontId="20" fillId="0" borderId="0" xfId="0" applyNumberFormat="1" applyFont="1" applyFill="1" applyAlignment="1">
      <alignment wrapText="1"/>
    </xf>
    <xf numFmtId="0" fontId="20" fillId="0" borderId="0" xfId="55" applyNumberFormat="1" applyFont="1" applyFill="1" applyBorder="1" applyAlignment="1">
      <alignment horizontal="justify" wrapText="1"/>
      <protection/>
    </xf>
    <xf numFmtId="0" fontId="20" fillId="0" borderId="0" xfId="55" applyNumberFormat="1" applyFont="1" applyFill="1" applyBorder="1" applyAlignment="1">
      <alignment horizontal="left" wrapText="1"/>
      <protection/>
    </xf>
    <xf numFmtId="0" fontId="19" fillId="0" borderId="33" xfId="0" applyFont="1" applyFill="1" applyBorder="1" applyAlignment="1">
      <alignment horizontal="left"/>
    </xf>
    <xf numFmtId="49" fontId="18" fillId="0" borderId="12" xfId="0" applyNumberFormat="1" applyFont="1" applyFill="1" applyBorder="1" applyAlignment="1">
      <alignment horizontal="center" wrapText="1"/>
    </xf>
    <xf numFmtId="49" fontId="17" fillId="0" borderId="0" xfId="55" applyNumberFormat="1" applyFont="1" applyFill="1" applyBorder="1" applyAlignment="1">
      <alignment horizontal="center" vertical="center" wrapText="1"/>
      <protection/>
    </xf>
    <xf numFmtId="0" fontId="7" fillId="0" borderId="0" xfId="0" applyFont="1" applyBorder="1" applyAlignment="1">
      <alignment horizontal="center"/>
    </xf>
    <xf numFmtId="3" fontId="7" fillId="0" borderId="0" xfId="0" applyNumberFormat="1" applyFont="1" applyFill="1" applyBorder="1" applyAlignment="1">
      <alignment horizontal="right" wrapText="1"/>
    </xf>
    <xf numFmtId="0" fontId="7" fillId="0" borderId="34" xfId="0" applyFont="1" applyBorder="1" applyAlignment="1">
      <alignment/>
    </xf>
    <xf numFmtId="0" fontId="7" fillId="0" borderId="10" xfId="0" applyFont="1" applyBorder="1" applyAlignment="1">
      <alignment/>
    </xf>
    <xf numFmtId="0" fontId="7" fillId="0" borderId="26" xfId="0" applyFont="1" applyBorder="1" applyAlignment="1">
      <alignment/>
    </xf>
    <xf numFmtId="14" fontId="7" fillId="0" borderId="10" xfId="0" applyNumberFormat="1" applyFont="1" applyFill="1" applyBorder="1" applyAlignment="1">
      <alignment horizontal="right" wrapText="1"/>
    </xf>
    <xf numFmtId="14" fontId="7" fillId="0" borderId="26" xfId="0" applyNumberFormat="1" applyFont="1" applyFill="1" applyBorder="1" applyAlignment="1">
      <alignment horizontal="right" wrapText="1"/>
    </xf>
    <xf numFmtId="49" fontId="18" fillId="0" borderId="35" xfId="0" applyNumberFormat="1" applyFont="1" applyFill="1" applyBorder="1" applyAlignment="1">
      <alignment horizontal="center" wrapText="1"/>
    </xf>
    <xf numFmtId="1" fontId="7" fillId="0" borderId="34" xfId="0" applyNumberFormat="1" applyFont="1" applyBorder="1" applyAlignment="1">
      <alignment/>
    </xf>
    <xf numFmtId="1" fontId="7" fillId="0" borderId="10" xfId="0" applyNumberFormat="1" applyFont="1" applyBorder="1" applyAlignment="1">
      <alignment/>
    </xf>
    <xf numFmtId="1" fontId="7" fillId="0" borderId="26" xfId="0" applyNumberFormat="1" applyFont="1" applyBorder="1" applyAlignment="1">
      <alignment/>
    </xf>
    <xf numFmtId="0" fontId="7" fillId="0" borderId="36" xfId="0" applyFont="1" applyBorder="1" applyAlignment="1">
      <alignment horizontal="center"/>
    </xf>
    <xf numFmtId="0" fontId="7" fillId="0" borderId="11" xfId="0" applyFont="1" applyBorder="1" applyAlignment="1">
      <alignment horizontal="center"/>
    </xf>
    <xf numFmtId="0" fontId="7" fillId="0" borderId="37" xfId="0" applyFont="1" applyBorder="1" applyAlignment="1">
      <alignment horizontal="center"/>
    </xf>
    <xf numFmtId="14" fontId="7" fillId="0" borderId="12" xfId="0" applyNumberFormat="1" applyFont="1" applyFill="1" applyBorder="1" applyAlignment="1">
      <alignment horizontal="right" wrapText="1"/>
    </xf>
    <xf numFmtId="1" fontId="8" fillId="0" borderId="12" xfId="0" applyNumberFormat="1" applyFont="1" applyBorder="1" applyAlignment="1">
      <alignment/>
    </xf>
    <xf numFmtId="1" fontId="8" fillId="0" borderId="10" xfId="0" applyNumberFormat="1" applyFont="1" applyBorder="1" applyAlignment="1">
      <alignment/>
    </xf>
    <xf numFmtId="1" fontId="8" fillId="0" borderId="26" xfId="0" applyNumberFormat="1" applyFont="1" applyBorder="1" applyAlignment="1">
      <alignment/>
    </xf>
    <xf numFmtId="3" fontId="7" fillId="0" borderId="38" xfId="0" applyNumberFormat="1" applyFont="1" applyFill="1" applyBorder="1" applyAlignment="1">
      <alignment horizontal="right" wrapText="1"/>
    </xf>
    <xf numFmtId="3" fontId="7" fillId="0" borderId="13" xfId="0" applyNumberFormat="1" applyFont="1" applyFill="1" applyBorder="1" applyAlignment="1">
      <alignment horizontal="right" wrapText="1"/>
    </xf>
    <xf numFmtId="3" fontId="7" fillId="0" borderId="39" xfId="0" applyNumberFormat="1" applyFont="1" applyFill="1" applyBorder="1" applyAlignment="1">
      <alignment horizontal="right" wrapText="1"/>
    </xf>
    <xf numFmtId="3" fontId="6" fillId="0" borderId="33" xfId="55" applyNumberFormat="1" applyFont="1" applyFill="1" applyBorder="1" applyAlignment="1">
      <alignment/>
      <protection/>
    </xf>
    <xf numFmtId="49" fontId="7" fillId="0" borderId="12" xfId="55" applyNumberFormat="1" applyFont="1" applyFill="1" applyBorder="1" applyAlignment="1">
      <alignment horizontal="center" wrapText="1"/>
      <protection/>
    </xf>
    <xf numFmtId="49" fontId="7" fillId="0" borderId="10" xfId="55" applyNumberFormat="1" applyFont="1" applyFill="1" applyBorder="1" applyAlignment="1">
      <alignment horizontal="center" wrapText="1"/>
      <protection/>
    </xf>
    <xf numFmtId="49" fontId="7" fillId="0" borderId="26" xfId="55" applyNumberFormat="1" applyFont="1" applyFill="1" applyBorder="1" applyAlignment="1">
      <alignment horizontal="center" wrapText="1"/>
      <protection/>
    </xf>
    <xf numFmtId="169" fontId="21" fillId="0" borderId="22" xfId="49" applyFont="1" applyFill="1" applyBorder="1" applyAlignment="1">
      <alignment/>
    </xf>
    <xf numFmtId="169" fontId="21" fillId="0" borderId="40" xfId="49" applyFont="1" applyFill="1" applyBorder="1" applyAlignment="1">
      <alignment/>
    </xf>
    <xf numFmtId="169" fontId="21" fillId="0" borderId="22" xfId="49" applyFont="1" applyFill="1" applyBorder="1" applyAlignment="1">
      <alignment/>
    </xf>
    <xf numFmtId="14" fontId="7" fillId="0" borderId="0" xfId="55" applyNumberFormat="1" applyFont="1" applyFill="1" applyBorder="1" applyAlignment="1" quotePrefix="1">
      <alignment horizontal="center"/>
      <protection/>
    </xf>
    <xf numFmtId="1" fontId="7" fillId="0" borderId="12" xfId="0" applyNumberFormat="1" applyFont="1" applyBorder="1" applyAlignment="1">
      <alignment/>
    </xf>
    <xf numFmtId="3" fontId="7" fillId="0" borderId="12" xfId="0" applyNumberFormat="1" applyFont="1" applyFill="1" applyBorder="1" applyAlignment="1">
      <alignment horizontal="right" wrapText="1"/>
    </xf>
    <xf numFmtId="3" fontId="7" fillId="0" borderId="10" xfId="0" applyNumberFormat="1" applyFont="1" applyFill="1" applyBorder="1" applyAlignment="1">
      <alignment horizontal="right" wrapText="1"/>
    </xf>
    <xf numFmtId="3" fontId="7" fillId="0" borderId="26" xfId="0" applyNumberFormat="1" applyFont="1" applyFill="1" applyBorder="1" applyAlignment="1">
      <alignment horizontal="right" wrapText="1"/>
    </xf>
    <xf numFmtId="49" fontId="18" fillId="0" borderId="26" xfId="0" applyNumberFormat="1" applyFont="1" applyFill="1" applyBorder="1" applyAlignment="1">
      <alignment horizontal="center" vertical="center" wrapText="1"/>
    </xf>
    <xf numFmtId="0" fontId="7" fillId="0" borderId="12" xfId="0" applyFont="1" applyBorder="1" applyAlignment="1">
      <alignment horizontal="center"/>
    </xf>
    <xf numFmtId="0" fontId="7" fillId="0" borderId="10" xfId="0" applyFont="1" applyBorder="1" applyAlignment="1">
      <alignment horizontal="center"/>
    </xf>
    <xf numFmtId="0" fontId="7" fillId="0" borderId="26" xfId="0" applyFont="1" applyBorder="1" applyAlignment="1">
      <alignment horizontal="center"/>
    </xf>
    <xf numFmtId="175" fontId="0" fillId="0" borderId="0" xfId="49" applyNumberFormat="1" applyFont="1" applyFill="1" applyAlignment="1">
      <alignment/>
    </xf>
    <xf numFmtId="14" fontId="0" fillId="0" borderId="0" xfId="0" applyNumberFormat="1" applyFont="1" applyFill="1" applyAlignment="1" quotePrefix="1">
      <alignment/>
    </xf>
    <xf numFmtId="3" fontId="0" fillId="0" borderId="0" xfId="0" applyNumberFormat="1" applyFont="1" applyFill="1" applyBorder="1" applyAlignment="1">
      <alignment/>
    </xf>
    <xf numFmtId="0" fontId="1" fillId="0" borderId="0" xfId="0" applyFont="1" applyBorder="1" applyAlignment="1">
      <alignment/>
    </xf>
    <xf numFmtId="0" fontId="0" fillId="0" borderId="0" xfId="0" applyFont="1" applyBorder="1" applyAlignment="1">
      <alignment/>
    </xf>
    <xf numFmtId="0" fontId="23" fillId="0" borderId="0" xfId="0" applyFont="1" applyBorder="1" applyAlignment="1">
      <alignment/>
    </xf>
    <xf numFmtId="177" fontId="0" fillId="0" borderId="33" xfId="49" applyNumberFormat="1" applyFont="1" applyBorder="1" applyAlignment="1">
      <alignment/>
    </xf>
    <xf numFmtId="177" fontId="0" fillId="0" borderId="0" xfId="49" applyNumberFormat="1" applyFont="1" applyBorder="1" applyAlignment="1">
      <alignment/>
    </xf>
    <xf numFmtId="171" fontId="0" fillId="0" borderId="0" xfId="0" applyNumberFormat="1" applyFont="1" applyBorder="1" applyAlignment="1">
      <alignment/>
    </xf>
    <xf numFmtId="177" fontId="0" fillId="0" borderId="0" xfId="0" applyNumberFormat="1" applyFont="1" applyBorder="1" applyAlignment="1">
      <alignment/>
    </xf>
    <xf numFmtId="0" fontId="1" fillId="0" borderId="15" xfId="0" applyFont="1" applyBorder="1" applyAlignment="1">
      <alignment/>
    </xf>
    <xf numFmtId="0" fontId="1" fillId="0" borderId="15" xfId="0" applyFont="1" applyBorder="1" applyAlignment="1">
      <alignment horizontal="center"/>
    </xf>
    <xf numFmtId="177" fontId="1" fillId="0" borderId="0" xfId="49" applyNumberFormat="1" applyFont="1" applyBorder="1" applyAlignment="1">
      <alignment/>
    </xf>
    <xf numFmtId="0" fontId="1" fillId="0" borderId="0" xfId="0" applyFont="1" applyBorder="1" applyAlignment="1">
      <alignment horizontal="center"/>
    </xf>
    <xf numFmtId="169" fontId="0" fillId="0" borderId="0" xfId="49" applyFont="1" applyBorder="1" applyAlignment="1">
      <alignment horizontal="center"/>
    </xf>
    <xf numFmtId="169" fontId="0" fillId="0" borderId="33" xfId="49" applyFont="1" applyBorder="1" applyAlignment="1">
      <alignment horizontal="center"/>
    </xf>
    <xf numFmtId="169" fontId="1" fillId="0" borderId="0" xfId="49" applyFont="1" applyBorder="1" applyAlignment="1">
      <alignment horizontal="center"/>
    </xf>
    <xf numFmtId="0" fontId="1" fillId="0" borderId="16" xfId="0" applyFont="1" applyBorder="1" applyAlignment="1">
      <alignment horizontal="center"/>
    </xf>
    <xf numFmtId="0" fontId="0" fillId="0" borderId="0" xfId="0" applyFont="1" applyAlignment="1">
      <alignment/>
    </xf>
    <xf numFmtId="177" fontId="0" fillId="0" borderId="23" xfId="49" applyNumberFormat="1" applyFont="1" applyBorder="1" applyAlignment="1">
      <alignment/>
    </xf>
    <xf numFmtId="177" fontId="0" fillId="0" borderId="0" xfId="0" applyNumberFormat="1" applyFont="1" applyAlignment="1">
      <alignment/>
    </xf>
    <xf numFmtId="177" fontId="0" fillId="0" borderId="41" xfId="49" applyNumberFormat="1" applyFont="1" applyBorder="1" applyAlignment="1">
      <alignment/>
    </xf>
    <xf numFmtId="177" fontId="1" fillId="0" borderId="23" xfId="49" applyNumberFormat="1" applyFont="1" applyBorder="1" applyAlignment="1">
      <alignment/>
    </xf>
    <xf numFmtId="177" fontId="1" fillId="0" borderId="0" xfId="49" applyNumberFormat="1" applyFont="1" applyAlignment="1">
      <alignment/>
    </xf>
    <xf numFmtId="0" fontId="1" fillId="0" borderId="23" xfId="0" applyFont="1" applyBorder="1" applyAlignment="1">
      <alignment horizontal="center"/>
    </xf>
    <xf numFmtId="169" fontId="0" fillId="0" borderId="23" xfId="0" applyNumberFormat="1" applyFont="1" applyBorder="1" applyAlignment="1">
      <alignment horizontal="center"/>
    </xf>
    <xf numFmtId="10" fontId="1" fillId="0" borderId="0" xfId="59" applyNumberFormat="1" applyFont="1" applyAlignment="1">
      <alignment/>
    </xf>
    <xf numFmtId="169" fontId="0" fillId="0" borderId="41" xfId="0" applyNumberFormat="1" applyFont="1" applyBorder="1" applyAlignment="1">
      <alignment horizontal="center"/>
    </xf>
    <xf numFmtId="169" fontId="1" fillId="0" borderId="23" xfId="49" applyFont="1" applyBorder="1" applyAlignment="1">
      <alignment horizontal="center"/>
    </xf>
    <xf numFmtId="0" fontId="1" fillId="0" borderId="0" xfId="0" applyFont="1" applyAlignment="1">
      <alignment/>
    </xf>
    <xf numFmtId="0" fontId="0" fillId="0" borderId="0" xfId="0" applyNumberFormat="1" applyFont="1" applyAlignment="1">
      <alignment horizontal="justify" wrapText="1"/>
    </xf>
    <xf numFmtId="0" fontId="0" fillId="0" borderId="23" xfId="0" applyFont="1" applyBorder="1" applyAlignment="1">
      <alignment/>
    </xf>
    <xf numFmtId="171" fontId="0" fillId="0" borderId="23" xfId="0" applyNumberFormat="1" applyFont="1" applyBorder="1" applyAlignment="1">
      <alignment/>
    </xf>
    <xf numFmtId="177" fontId="0" fillId="0" borderId="23" xfId="0" applyNumberFormat="1" applyFont="1" applyBorder="1" applyAlignment="1">
      <alignment/>
    </xf>
    <xf numFmtId="9" fontId="0" fillId="0" borderId="0" xfId="59" applyNumberFormat="1" applyFont="1" applyBorder="1" applyAlignment="1">
      <alignment horizontal="center"/>
    </xf>
    <xf numFmtId="0" fontId="0" fillId="0" borderId="0" xfId="0" applyFont="1" applyFill="1" applyAlignment="1">
      <alignment horizontal="right"/>
    </xf>
    <xf numFmtId="0" fontId="7" fillId="0" borderId="0" xfId="56" applyFont="1" quotePrefix="1">
      <alignment/>
      <protection/>
    </xf>
    <xf numFmtId="17" fontId="0" fillId="0" borderId="0" xfId="56" applyNumberFormat="1" applyFont="1" quotePrefix="1">
      <alignment/>
      <protection/>
    </xf>
    <xf numFmtId="0" fontId="24" fillId="0" borderId="0" xfId="56" applyFont="1" applyAlignment="1">
      <alignment/>
      <protection/>
    </xf>
    <xf numFmtId="0" fontId="7" fillId="0" borderId="0" xfId="55" applyFont="1" applyFill="1" applyBorder="1" applyAlignment="1">
      <alignment vertical="top"/>
      <protection/>
    </xf>
    <xf numFmtId="0" fontId="26" fillId="0" borderId="0" xfId="57" applyFont="1" applyFill="1" applyAlignment="1">
      <alignment horizontal="center"/>
      <protection/>
    </xf>
    <xf numFmtId="0" fontId="18" fillId="0" borderId="0" xfId="0" applyFont="1" applyFill="1" applyAlignment="1">
      <alignment/>
    </xf>
    <xf numFmtId="0" fontId="27" fillId="0" borderId="10" xfId="56" applyFont="1" applyBorder="1" applyAlignment="1">
      <alignment horizontal="center"/>
      <protection/>
    </xf>
    <xf numFmtId="0" fontId="21" fillId="0" borderId="0" xfId="56" applyFont="1" applyAlignment="1">
      <alignment horizontal="center"/>
      <protection/>
    </xf>
    <xf numFmtId="177" fontId="21" fillId="0" borderId="10" xfId="51" applyNumberFormat="1" applyFont="1" applyBorder="1" applyAlignment="1">
      <alignment horizontal="right"/>
    </xf>
    <xf numFmtId="0" fontId="6" fillId="0" borderId="0" xfId="56" applyFont="1" applyAlignment="1">
      <alignment horizontal="center"/>
      <protection/>
    </xf>
    <xf numFmtId="0" fontId="21" fillId="0" borderId="0" xfId="56" applyFont="1" applyAlignment="1">
      <alignment horizontal="right" vertical="center"/>
      <protection/>
    </xf>
    <xf numFmtId="0" fontId="22" fillId="0" borderId="0" xfId="56" applyFont="1">
      <alignment/>
      <protection/>
    </xf>
    <xf numFmtId="0" fontId="28" fillId="0" borderId="0" xfId="56" applyFont="1">
      <alignment/>
      <protection/>
    </xf>
    <xf numFmtId="0" fontId="28" fillId="0" borderId="0" xfId="0" applyFont="1" applyBorder="1" applyAlignment="1">
      <alignment horizontal="right" vertical="center" wrapText="1" shrinkToFit="1"/>
    </xf>
    <xf numFmtId="0" fontId="6" fillId="0" borderId="0" xfId="57" applyFont="1" applyFill="1" applyAlignment="1">
      <alignment horizontal="center"/>
      <protection/>
    </xf>
    <xf numFmtId="0" fontId="1" fillId="0" borderId="17" xfId="0" applyFont="1" applyBorder="1" applyAlignment="1">
      <alignment horizontal="right"/>
    </xf>
    <xf numFmtId="0" fontId="0" fillId="0" borderId="17" xfId="0" applyFont="1" applyBorder="1" applyAlignment="1">
      <alignment/>
    </xf>
    <xf numFmtId="0" fontId="30" fillId="0" borderId="0" xfId="0" applyFont="1" applyBorder="1" applyAlignment="1">
      <alignment horizontal="center"/>
    </xf>
    <xf numFmtId="0" fontId="6" fillId="0" borderId="20" xfId="0" applyFont="1" applyBorder="1" applyAlignment="1">
      <alignment horizontal="right"/>
    </xf>
    <xf numFmtId="0" fontId="30" fillId="0" borderId="0" xfId="0" applyFont="1" applyAlignment="1">
      <alignment horizontal="center"/>
    </xf>
    <xf numFmtId="0" fontId="1" fillId="0" borderId="0" xfId="0" applyFont="1" applyAlignment="1">
      <alignment horizontal="right"/>
    </xf>
    <xf numFmtId="0" fontId="22" fillId="0" borderId="0" xfId="55" applyFont="1" applyFill="1" applyBorder="1">
      <alignment/>
      <protection/>
    </xf>
    <xf numFmtId="0" fontId="21" fillId="0" borderId="0" xfId="55" applyFont="1" applyFill="1" applyBorder="1" applyAlignment="1">
      <alignment horizontal="right"/>
      <protection/>
    </xf>
    <xf numFmtId="0" fontId="0" fillId="0" borderId="0" xfId="0" applyNumberFormat="1" applyFont="1" applyFill="1" applyAlignment="1">
      <alignment wrapText="1"/>
    </xf>
    <xf numFmtId="0" fontId="30" fillId="0" borderId="0" xfId="0" applyFont="1" applyAlignment="1">
      <alignment horizontal="right"/>
    </xf>
    <xf numFmtId="0" fontId="30" fillId="0" borderId="0" xfId="0" applyFont="1" applyBorder="1" applyAlignment="1">
      <alignment horizontal="right" vertical="center" wrapText="1" shrinkToFit="1"/>
    </xf>
    <xf numFmtId="9" fontId="31" fillId="0" borderId="15" xfId="55" applyNumberFormat="1" applyFont="1" applyFill="1" applyBorder="1" applyAlignment="1">
      <alignment horizontal="center" vertical="center" wrapText="1"/>
      <protection/>
    </xf>
    <xf numFmtId="3" fontId="31" fillId="0" borderId="15" xfId="55" applyNumberFormat="1" applyFont="1" applyFill="1" applyBorder="1" applyAlignment="1">
      <alignment horizontal="center" vertical="center" wrapText="1"/>
      <protection/>
    </xf>
    <xf numFmtId="0" fontId="31" fillId="0" borderId="0" xfId="55" applyFont="1" applyFill="1" applyBorder="1" applyAlignment="1">
      <alignment horizontal="center" vertical="center" wrapText="1"/>
      <protection/>
    </xf>
    <xf numFmtId="9" fontId="31" fillId="0" borderId="0" xfId="55" applyNumberFormat="1" applyFont="1" applyFill="1" applyBorder="1" applyAlignment="1">
      <alignment horizontal="center" vertical="center" wrapText="1"/>
      <protection/>
    </xf>
    <xf numFmtId="9" fontId="21" fillId="0" borderId="25" xfId="55" applyNumberFormat="1" applyFont="1" applyFill="1" applyBorder="1" applyAlignment="1">
      <alignment horizontal="center"/>
      <protection/>
    </xf>
    <xf numFmtId="169" fontId="21" fillId="0" borderId="25" xfId="49" applyFont="1" applyFill="1" applyBorder="1" applyAlignment="1">
      <alignment horizontal="right"/>
    </xf>
    <xf numFmtId="9" fontId="6" fillId="0" borderId="0" xfId="55" applyNumberFormat="1" applyFont="1" applyFill="1" applyBorder="1" applyAlignment="1">
      <alignment horizontal="center"/>
      <protection/>
    </xf>
    <xf numFmtId="169" fontId="6" fillId="0" borderId="0" xfId="49" applyFont="1" applyFill="1" applyBorder="1" applyAlignment="1">
      <alignment horizontal="center"/>
    </xf>
    <xf numFmtId="0" fontId="21" fillId="0" borderId="0" xfId="56" applyFont="1" applyFill="1" applyBorder="1" applyAlignment="1">
      <alignment horizontal="center"/>
      <protection/>
    </xf>
    <xf numFmtId="0" fontId="32" fillId="0" borderId="18" xfId="56" applyFont="1" applyFill="1" applyBorder="1" applyAlignment="1">
      <alignment horizontal="center"/>
      <protection/>
    </xf>
    <xf numFmtId="0" fontId="6" fillId="0" borderId="0" xfId="56" applyFont="1" applyFill="1" applyBorder="1" applyAlignment="1">
      <alignment horizontal="center"/>
      <protection/>
    </xf>
    <xf numFmtId="0" fontId="21" fillId="0" borderId="0" xfId="0" applyNumberFormat="1" applyFont="1" applyFill="1" applyBorder="1" applyAlignment="1">
      <alignment horizontal="center" vertical="top"/>
    </xf>
    <xf numFmtId="49" fontId="0" fillId="0" borderId="0" xfId="0" applyNumberFormat="1" applyFont="1" applyFill="1" applyAlignment="1">
      <alignment wrapText="1"/>
    </xf>
    <xf numFmtId="0" fontId="6" fillId="0" borderId="0" xfId="0" applyNumberFormat="1" applyFont="1" applyFill="1" applyBorder="1" applyAlignment="1">
      <alignment horizontal="center" vertical="top"/>
    </xf>
    <xf numFmtId="49" fontId="0" fillId="0" borderId="0" xfId="0" applyNumberFormat="1" applyFont="1" applyFill="1" applyBorder="1" applyAlignment="1">
      <alignment wrapText="1"/>
    </xf>
    <xf numFmtId="14" fontId="0" fillId="0" borderId="12" xfId="0" applyNumberFormat="1" applyFont="1" applyFill="1" applyBorder="1" applyAlignment="1">
      <alignment horizontal="right" wrapText="1"/>
    </xf>
    <xf numFmtId="3" fontId="0" fillId="0" borderId="12" xfId="0" applyNumberFormat="1" applyFont="1" applyFill="1" applyBorder="1" applyAlignment="1">
      <alignment horizontal="right" wrapText="1"/>
    </xf>
    <xf numFmtId="3" fontId="0" fillId="0" borderId="38" xfId="0" applyNumberFormat="1" applyFont="1" applyFill="1" applyBorder="1" applyAlignment="1">
      <alignment wrapText="1"/>
    </xf>
    <xf numFmtId="3" fontId="0" fillId="0" borderId="0" xfId="0" applyNumberFormat="1" applyFont="1" applyFill="1" applyBorder="1" applyAlignment="1">
      <alignment wrapText="1"/>
    </xf>
    <xf numFmtId="14" fontId="0" fillId="0" borderId="10" xfId="0" applyNumberFormat="1" applyFont="1" applyFill="1" applyBorder="1" applyAlignment="1">
      <alignment horizontal="right" wrapText="1"/>
    </xf>
    <xf numFmtId="3" fontId="0" fillId="0" borderId="10" xfId="0" applyNumberFormat="1" applyFont="1" applyFill="1" applyBorder="1" applyAlignment="1">
      <alignment horizontal="right" wrapText="1"/>
    </xf>
    <xf numFmtId="3" fontId="0" fillId="0" borderId="13" xfId="0" applyNumberFormat="1" applyFont="1" applyFill="1" applyBorder="1" applyAlignment="1">
      <alignment wrapText="1"/>
    </xf>
    <xf numFmtId="14" fontId="0" fillId="0" borderId="26" xfId="0" applyNumberFormat="1" applyFont="1" applyFill="1" applyBorder="1" applyAlignment="1">
      <alignment horizontal="right" wrapText="1"/>
    </xf>
    <xf numFmtId="3" fontId="0" fillId="0" borderId="26" xfId="0" applyNumberFormat="1" applyFont="1" applyFill="1" applyBorder="1" applyAlignment="1">
      <alignment horizontal="right" wrapText="1"/>
    </xf>
    <xf numFmtId="3" fontId="0" fillId="0" borderId="39" xfId="0" applyNumberFormat="1" applyFont="1" applyFill="1" applyBorder="1" applyAlignment="1">
      <alignment wrapText="1"/>
    </xf>
    <xf numFmtId="49" fontId="0" fillId="0" borderId="0" xfId="0" applyNumberFormat="1" applyFont="1" applyFill="1" applyAlignment="1">
      <alignment horizontal="left" wrapText="1"/>
    </xf>
    <xf numFmtId="3" fontId="0" fillId="0" borderId="13" xfId="0" applyNumberFormat="1" applyFont="1" applyFill="1" applyBorder="1" applyAlignment="1">
      <alignment horizontal="right" wrapText="1"/>
    </xf>
    <xf numFmtId="3" fontId="0" fillId="0" borderId="39" xfId="0" applyNumberFormat="1" applyFont="1" applyFill="1" applyBorder="1" applyAlignment="1">
      <alignment horizontal="right" wrapText="1"/>
    </xf>
    <xf numFmtId="0" fontId="21" fillId="0" borderId="0" xfId="56" applyFont="1" applyFill="1" applyAlignment="1">
      <alignment horizontal="center"/>
      <protection/>
    </xf>
    <xf numFmtId="0" fontId="33" fillId="0" borderId="0" xfId="55" applyFont="1" applyFill="1" applyBorder="1" applyAlignment="1">
      <alignment horizontal="right"/>
      <protection/>
    </xf>
    <xf numFmtId="0" fontId="34" fillId="0" borderId="0" xfId="55" applyFont="1" applyFill="1" applyBorder="1" applyAlignment="1">
      <alignment horizontal="right"/>
      <protection/>
    </xf>
    <xf numFmtId="0" fontId="35" fillId="0" borderId="0" xfId="55" applyFont="1" applyFill="1" applyBorder="1" applyAlignment="1">
      <alignment horizontal="right"/>
      <protection/>
    </xf>
    <xf numFmtId="0" fontId="17" fillId="0" borderId="0" xfId="55" applyFont="1" applyFill="1" applyBorder="1">
      <alignment/>
      <protection/>
    </xf>
    <xf numFmtId="0" fontId="36" fillId="0" borderId="0" xfId="57" applyFont="1" applyFill="1" applyAlignment="1">
      <alignment/>
      <protection/>
    </xf>
    <xf numFmtId="169" fontId="36" fillId="0" borderId="0" xfId="49" applyFont="1" applyFill="1" applyAlignment="1">
      <alignment horizontal="center"/>
    </xf>
    <xf numFmtId="0" fontId="36" fillId="0" borderId="0" xfId="0" applyNumberFormat="1" applyFont="1" applyFill="1" applyBorder="1" applyAlignment="1">
      <alignment horizontal="center" vertical="top"/>
    </xf>
    <xf numFmtId="169" fontId="20" fillId="0" borderId="0" xfId="49" applyFont="1" applyFill="1" applyAlignment="1">
      <alignment/>
    </xf>
    <xf numFmtId="0" fontId="20" fillId="0" borderId="0" xfId="0" applyFont="1" applyFill="1" applyAlignment="1">
      <alignment/>
    </xf>
    <xf numFmtId="0" fontId="21" fillId="0" borderId="0" xfId="56" applyFont="1" applyFill="1">
      <alignment/>
      <protection/>
    </xf>
    <xf numFmtId="169" fontId="21" fillId="0" borderId="0" xfId="49" applyFont="1" applyFill="1" applyAlignment="1">
      <alignment/>
    </xf>
    <xf numFmtId="169" fontId="20" fillId="0" borderId="0" xfId="49" applyFont="1" applyFill="1" applyAlignment="1" quotePrefix="1">
      <alignment/>
    </xf>
    <xf numFmtId="0" fontId="20" fillId="0" borderId="14" xfId="0" applyFont="1" applyFill="1" applyBorder="1" applyAlignment="1">
      <alignment/>
    </xf>
    <xf numFmtId="169" fontId="37" fillId="0" borderId="15" xfId="49" applyFont="1" applyFill="1" applyBorder="1" applyAlignment="1">
      <alignment horizontal="center"/>
    </xf>
    <xf numFmtId="0" fontId="20" fillId="0" borderId="16" xfId="0" applyFont="1" applyFill="1" applyBorder="1" applyAlignment="1">
      <alignment/>
    </xf>
    <xf numFmtId="0" fontId="20" fillId="0" borderId="17" xfId="0" applyFont="1" applyFill="1" applyBorder="1" applyAlignment="1">
      <alignment/>
    </xf>
    <xf numFmtId="0" fontId="20" fillId="0" borderId="23" xfId="0" applyFont="1" applyFill="1" applyBorder="1" applyAlignment="1">
      <alignment/>
    </xf>
    <xf numFmtId="0" fontId="20" fillId="0" borderId="20" xfId="0" applyFont="1" applyFill="1" applyBorder="1" applyAlignment="1">
      <alignment/>
    </xf>
    <xf numFmtId="0" fontId="20" fillId="0" borderId="19" xfId="0" applyFont="1" applyFill="1" applyBorder="1" applyAlignment="1">
      <alignment/>
    </xf>
    <xf numFmtId="0" fontId="21" fillId="0" borderId="20" xfId="0" applyFont="1" applyFill="1" applyBorder="1" applyAlignment="1">
      <alignment/>
    </xf>
    <xf numFmtId="9" fontId="21" fillId="0" borderId="19" xfId="59" applyNumberFormat="1" applyFont="1" applyFill="1" applyBorder="1" applyAlignment="1">
      <alignment/>
    </xf>
    <xf numFmtId="0" fontId="21" fillId="0" borderId="0" xfId="0" applyFont="1" applyFill="1" applyBorder="1" applyAlignment="1">
      <alignment/>
    </xf>
    <xf numFmtId="9" fontId="21" fillId="0" borderId="0" xfId="59" applyNumberFormat="1" applyFont="1" applyFill="1" applyBorder="1" applyAlignment="1">
      <alignment/>
    </xf>
    <xf numFmtId="0" fontId="21" fillId="0" borderId="0" xfId="0" applyFont="1" applyFill="1" applyAlignment="1">
      <alignment/>
    </xf>
    <xf numFmtId="169" fontId="20" fillId="0" borderId="0" xfId="49" applyFont="1" applyFill="1" applyAlignment="1">
      <alignment wrapText="1"/>
    </xf>
    <xf numFmtId="169" fontId="37" fillId="0" borderId="42" xfId="49" applyFont="1" applyFill="1" applyBorder="1" applyAlignment="1">
      <alignment horizontal="center" wrapText="1"/>
    </xf>
    <xf numFmtId="169" fontId="20" fillId="0" borderId="43" xfId="49" applyFont="1" applyFill="1" applyBorder="1" applyAlignment="1">
      <alignment/>
    </xf>
    <xf numFmtId="169" fontId="20" fillId="0" borderId="31" xfId="49" applyFont="1" applyFill="1" applyBorder="1" applyAlignment="1">
      <alignment/>
    </xf>
    <xf numFmtId="169" fontId="21" fillId="0" borderId="31" xfId="49" applyFont="1" applyFill="1" applyBorder="1" applyAlignment="1">
      <alignment/>
    </xf>
    <xf numFmtId="169" fontId="37" fillId="0" borderId="42" xfId="49" applyFont="1" applyFill="1" applyBorder="1" applyAlignment="1">
      <alignment horizontal="center"/>
    </xf>
    <xf numFmtId="169" fontId="37" fillId="0" borderId="16" xfId="49" applyFont="1" applyFill="1" applyBorder="1" applyAlignment="1">
      <alignment horizontal="center"/>
    </xf>
    <xf numFmtId="169" fontId="20" fillId="0" borderId="23" xfId="49" applyFont="1" applyFill="1" applyBorder="1" applyAlignment="1">
      <alignment/>
    </xf>
    <xf numFmtId="169" fontId="20" fillId="0" borderId="19" xfId="49" applyFont="1" applyFill="1" applyBorder="1" applyAlignment="1">
      <alignment/>
    </xf>
    <xf numFmtId="169" fontId="21" fillId="0" borderId="19" xfId="49" applyFont="1" applyFill="1" applyBorder="1" applyAlignment="1">
      <alignment/>
    </xf>
    <xf numFmtId="0" fontId="21" fillId="0" borderId="44" xfId="0" applyFont="1" applyFill="1" applyBorder="1" applyAlignment="1">
      <alignment horizontal="center"/>
    </xf>
    <xf numFmtId="169" fontId="21" fillId="0" borderId="30" xfId="49" applyFont="1" applyFill="1" applyBorder="1" applyAlignment="1">
      <alignment horizontal="center"/>
    </xf>
    <xf numFmtId="169" fontId="21" fillId="0" borderId="45" xfId="49" applyFont="1" applyFill="1" applyBorder="1" applyAlignment="1">
      <alignment horizontal="center"/>
    </xf>
    <xf numFmtId="169" fontId="21" fillId="0" borderId="45" xfId="49" applyFont="1" applyFill="1" applyBorder="1" applyAlignment="1" quotePrefix="1">
      <alignment horizontal="center"/>
    </xf>
    <xf numFmtId="0" fontId="20" fillId="0" borderId="45" xfId="0" applyFont="1" applyFill="1" applyBorder="1" applyAlignment="1">
      <alignment horizontal="center"/>
    </xf>
    <xf numFmtId="169" fontId="21" fillId="0" borderId="30" xfId="49" applyFont="1" applyFill="1" applyBorder="1" applyAlignment="1" quotePrefix="1">
      <alignment horizontal="center"/>
    </xf>
    <xf numFmtId="169" fontId="21" fillId="0" borderId="46" xfId="49" applyFont="1" applyFill="1" applyBorder="1" applyAlignment="1">
      <alignment horizontal="center"/>
    </xf>
    <xf numFmtId="169" fontId="21" fillId="0" borderId="46" xfId="49" applyFont="1" applyFill="1" applyBorder="1" applyAlignment="1" quotePrefix="1">
      <alignment horizontal="center"/>
    </xf>
    <xf numFmtId="0" fontId="20" fillId="0" borderId="42" xfId="0" applyFont="1" applyFill="1" applyBorder="1" applyAlignment="1">
      <alignment/>
    </xf>
    <xf numFmtId="0" fontId="20" fillId="0" borderId="43" xfId="0" applyFont="1" applyFill="1" applyBorder="1" applyAlignment="1">
      <alignment/>
    </xf>
    <xf numFmtId="0" fontId="20" fillId="0" borderId="31" xfId="0" applyFont="1" applyFill="1" applyBorder="1" applyAlignment="1">
      <alignment/>
    </xf>
    <xf numFmtId="169" fontId="20" fillId="0" borderId="16" xfId="49" applyFont="1" applyFill="1" applyBorder="1" applyAlignment="1">
      <alignment/>
    </xf>
    <xf numFmtId="169" fontId="37" fillId="0" borderId="30" xfId="49" applyFont="1" applyFill="1" applyBorder="1" applyAlignment="1">
      <alignment horizontal="center"/>
    </xf>
    <xf numFmtId="0" fontId="24" fillId="0" borderId="0" xfId="56" applyFont="1" applyAlignment="1">
      <alignment horizontal="center"/>
      <protection/>
    </xf>
    <xf numFmtId="0" fontId="38" fillId="0" borderId="0" xfId="57" applyFont="1" applyFill="1" applyAlignment="1">
      <alignment horizontal="center"/>
      <protection/>
    </xf>
    <xf numFmtId="169" fontId="39" fillId="0" borderId="0" xfId="49" applyFont="1" applyFill="1" applyAlignment="1">
      <alignment horizontal="center"/>
    </xf>
    <xf numFmtId="0" fontId="40" fillId="0" borderId="0" xfId="56" applyFont="1" applyFill="1">
      <alignment/>
      <protection/>
    </xf>
    <xf numFmtId="0" fontId="26" fillId="0" borderId="0" xfId="57" applyFont="1" applyFill="1" applyAlignment="1">
      <alignment horizontal="center" wrapText="1"/>
      <protection/>
    </xf>
    <xf numFmtId="0" fontId="41" fillId="0" borderId="0" xfId="55" applyFont="1" applyFill="1" applyBorder="1">
      <alignment/>
      <protection/>
    </xf>
    <xf numFmtId="0" fontId="29" fillId="0" borderId="0" xfId="57" applyFont="1" applyFill="1" applyAlignment="1">
      <alignment horizontal="center" wrapText="1"/>
      <protection/>
    </xf>
    <xf numFmtId="0" fontId="41" fillId="0" borderId="0" xfId="0" applyFont="1" applyFill="1" applyAlignment="1">
      <alignment/>
    </xf>
    <xf numFmtId="0" fontId="39" fillId="0" borderId="0" xfId="57" applyFont="1" applyFill="1" applyAlignment="1">
      <alignment horizontal="center"/>
      <protection/>
    </xf>
    <xf numFmtId="0" fontId="39" fillId="0" borderId="0" xfId="57" applyFont="1" applyFill="1" applyAlignment="1">
      <alignment horizontal="center" wrapText="1"/>
      <protection/>
    </xf>
    <xf numFmtId="49" fontId="1" fillId="0" borderId="47" xfId="0" applyNumberFormat="1" applyFont="1" applyFill="1" applyBorder="1" applyAlignment="1">
      <alignment horizontal="center" wrapText="1"/>
    </xf>
    <xf numFmtId="49" fontId="20" fillId="0" borderId="0" xfId="55" applyNumberFormat="1" applyFont="1" applyFill="1" applyBorder="1" applyAlignment="1">
      <alignment horizontal="left" wrapText="1"/>
      <protection/>
    </xf>
    <xf numFmtId="49" fontId="17" fillId="0" borderId="12" xfId="55" applyNumberFormat="1" applyFont="1" applyFill="1" applyBorder="1" applyAlignment="1">
      <alignment horizontal="center" vertical="center" wrapText="1"/>
      <protection/>
    </xf>
    <xf numFmtId="49" fontId="17" fillId="0" borderId="10" xfId="55" applyNumberFormat="1" applyFont="1" applyFill="1" applyBorder="1" applyAlignment="1">
      <alignment horizontal="center" vertical="center" wrapText="1"/>
      <protection/>
    </xf>
    <xf numFmtId="49" fontId="1" fillId="0" borderId="25" xfId="0" applyNumberFormat="1" applyFont="1" applyFill="1" applyBorder="1" applyAlignment="1">
      <alignment horizontal="center" wrapText="1"/>
    </xf>
    <xf numFmtId="49" fontId="17" fillId="0" borderId="25" xfId="55" applyNumberFormat="1" applyFont="1" applyFill="1" applyBorder="1" applyAlignment="1">
      <alignment horizontal="center" vertical="center" wrapText="1"/>
      <protection/>
    </xf>
    <xf numFmtId="49" fontId="20" fillId="0" borderId="0" xfId="55" applyNumberFormat="1" applyFont="1" applyFill="1" applyBorder="1" applyAlignment="1">
      <alignment wrapText="1"/>
      <protection/>
    </xf>
    <xf numFmtId="49" fontId="20" fillId="0" borderId="0" xfId="0" applyNumberFormat="1" applyFont="1" applyAlignment="1">
      <alignment wrapText="1"/>
    </xf>
    <xf numFmtId="0" fontId="20" fillId="0" borderId="0" xfId="55" applyNumberFormat="1" applyFont="1" applyFill="1" applyBorder="1" applyAlignment="1">
      <alignment horizontal="justify" wrapText="1"/>
      <protection/>
    </xf>
    <xf numFmtId="0" fontId="24" fillId="0" borderId="0" xfId="56" applyFont="1" applyAlignment="1">
      <alignment horizontal="center"/>
      <protection/>
    </xf>
    <xf numFmtId="0" fontId="19" fillId="0" borderId="33" xfId="55" applyNumberFormat="1" applyFont="1" applyFill="1" applyBorder="1" applyAlignment="1">
      <alignment horizontal="left" wrapText="1"/>
      <protection/>
    </xf>
    <xf numFmtId="49" fontId="1" fillId="0" borderId="48" xfId="0" applyNumberFormat="1" applyFont="1" applyFill="1" applyBorder="1" applyAlignment="1">
      <alignment horizontal="center" wrapText="1"/>
    </xf>
    <xf numFmtId="49" fontId="6" fillId="0" borderId="0" xfId="55" applyNumberFormat="1" applyFont="1" applyFill="1" applyBorder="1" applyAlignment="1">
      <alignment horizontal="right" wrapText="1"/>
      <protection/>
    </xf>
    <xf numFmtId="0" fontId="19" fillId="0" borderId="33" xfId="55" applyNumberFormat="1" applyFont="1" applyFill="1" applyBorder="1" applyAlignment="1">
      <alignment horizontal="center" wrapText="1"/>
      <protection/>
    </xf>
    <xf numFmtId="49" fontId="17" fillId="0" borderId="49" xfId="55" applyNumberFormat="1" applyFont="1" applyFill="1" applyBorder="1" applyAlignment="1">
      <alignment horizontal="center" vertical="center" wrapText="1"/>
      <protection/>
    </xf>
    <xf numFmtId="49" fontId="18" fillId="0" borderId="12" xfId="0" applyNumberFormat="1" applyFont="1" applyFill="1" applyBorder="1" applyAlignment="1">
      <alignment horizontal="center" vertical="center" wrapText="1"/>
    </xf>
    <xf numFmtId="49" fontId="18" fillId="0" borderId="49"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8" fillId="0" borderId="25" xfId="0" applyNumberFormat="1" applyFont="1" applyFill="1" applyBorder="1" applyAlignment="1">
      <alignment horizontal="center" vertical="center" wrapText="1"/>
    </xf>
    <xf numFmtId="0" fontId="20" fillId="0" borderId="0" xfId="55" applyNumberFormat="1" applyFont="1" applyFill="1" applyBorder="1" applyAlignment="1">
      <alignment horizontal="left" wrapText="1"/>
      <protection/>
    </xf>
    <xf numFmtId="0" fontId="22" fillId="0" borderId="44" xfId="55" applyFont="1" applyFill="1" applyBorder="1" applyAlignment="1">
      <alignment horizontal="center"/>
      <protection/>
    </xf>
    <xf numFmtId="0" fontId="22" fillId="0" borderId="46" xfId="55" applyFont="1" applyFill="1" applyBorder="1" applyAlignment="1">
      <alignment horizontal="center"/>
      <protection/>
    </xf>
    <xf numFmtId="0" fontId="22" fillId="0" borderId="45" xfId="55" applyFont="1" applyFill="1" applyBorder="1" applyAlignment="1">
      <alignment horizontal="center"/>
      <protection/>
    </xf>
    <xf numFmtId="3" fontId="22" fillId="0" borderId="44" xfId="55" applyNumberFormat="1" applyFont="1" applyFill="1" applyBorder="1" applyAlignment="1">
      <alignment horizontal="center"/>
      <protection/>
    </xf>
    <xf numFmtId="3" fontId="22" fillId="0" borderId="46" xfId="55" applyNumberFormat="1" applyFont="1" applyFill="1" applyBorder="1" applyAlignment="1">
      <alignment horizontal="center"/>
      <protection/>
    </xf>
    <xf numFmtId="3" fontId="22" fillId="0" borderId="45" xfId="55" applyNumberFormat="1" applyFont="1" applyFill="1" applyBorder="1" applyAlignment="1">
      <alignment horizontal="center"/>
      <protection/>
    </xf>
    <xf numFmtId="0" fontId="21" fillId="0" borderId="50" xfId="55" applyFont="1" applyFill="1" applyBorder="1" applyAlignment="1">
      <alignment horizontal="center"/>
      <protection/>
    </xf>
    <xf numFmtId="0" fontId="21" fillId="0" borderId="29" xfId="55" applyFont="1" applyFill="1" applyBorder="1" applyAlignment="1">
      <alignment horizontal="center"/>
      <protection/>
    </xf>
    <xf numFmtId="0" fontId="22" fillId="0" borderId="14" xfId="55" applyFont="1" applyFill="1" applyBorder="1" applyAlignment="1">
      <alignment horizontal="center" vertical="center" wrapText="1"/>
      <protection/>
    </xf>
    <xf numFmtId="0" fontId="22" fillId="0" borderId="20" xfId="55" applyFont="1" applyFill="1" applyBorder="1" applyAlignment="1">
      <alignment horizontal="center" vertical="center" wrapText="1"/>
      <protection/>
    </xf>
    <xf numFmtId="0" fontId="22" fillId="0" borderId="15" xfId="55" applyFont="1" applyFill="1" applyBorder="1" applyAlignment="1">
      <alignment horizontal="center" vertical="center" wrapText="1"/>
      <protection/>
    </xf>
    <xf numFmtId="0" fontId="22" fillId="0" borderId="18" xfId="55" applyFont="1" applyFill="1" applyBorder="1" applyAlignment="1">
      <alignment horizontal="center" vertical="center" wrapText="1"/>
      <protection/>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31" xfId="0" applyFont="1" applyFill="1" applyBorder="1" applyAlignment="1">
      <alignment horizontal="center" vertical="center" wrapText="1"/>
    </xf>
    <xf numFmtId="3" fontId="21" fillId="0" borderId="44" xfId="55" applyNumberFormat="1" applyFont="1" applyFill="1" applyBorder="1" applyAlignment="1">
      <alignment horizontal="center" vertical="center" wrapText="1"/>
      <protection/>
    </xf>
    <xf numFmtId="3" fontId="21" fillId="0" borderId="45" xfId="55" applyNumberFormat="1"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3" fontId="31" fillId="0" borderId="15" xfId="55" applyNumberFormat="1" applyFont="1" applyFill="1" applyBorder="1" applyAlignment="1">
      <alignment horizontal="center" vertical="center" wrapText="1"/>
      <protection/>
    </xf>
    <xf numFmtId="3" fontId="31" fillId="0" borderId="16" xfId="55" applyNumberFormat="1" applyFont="1" applyFill="1" applyBorder="1" applyAlignment="1">
      <alignment horizontal="center" vertical="center" wrapText="1"/>
      <protection/>
    </xf>
    <xf numFmtId="0" fontId="31" fillId="0" borderId="14" xfId="55" applyFont="1" applyFill="1" applyBorder="1" applyAlignment="1">
      <alignment horizontal="center" vertical="center" wrapText="1"/>
      <protection/>
    </xf>
    <xf numFmtId="0" fontId="31" fillId="0" borderId="15" xfId="55" applyFont="1" applyFill="1" applyBorder="1" applyAlignment="1">
      <alignment horizontal="center" vertical="center" wrapText="1"/>
      <protection/>
    </xf>
    <xf numFmtId="0" fontId="20" fillId="0" borderId="0" xfId="55" applyNumberFormat="1" applyFont="1" applyFill="1" applyBorder="1" applyAlignment="1">
      <alignment wrapText="1"/>
      <protection/>
    </xf>
    <xf numFmtId="0" fontId="20" fillId="0" borderId="0" xfId="0" applyNumberFormat="1" applyFont="1" applyFill="1" applyAlignment="1">
      <alignment wrapText="1"/>
    </xf>
    <xf numFmtId="3" fontId="22" fillId="0" borderId="44" xfId="55" applyNumberFormat="1" applyFont="1" applyFill="1" applyBorder="1" applyAlignment="1">
      <alignment horizontal="center" vertical="center" wrapText="1"/>
      <protection/>
    </xf>
    <xf numFmtId="3" fontId="22" fillId="0" borderId="46" xfId="55" applyNumberFormat="1" applyFont="1" applyFill="1" applyBorder="1" applyAlignment="1">
      <alignment horizontal="center" vertical="center" wrapText="1"/>
      <protection/>
    </xf>
    <xf numFmtId="0" fontId="0" fillId="0" borderId="0" xfId="0" applyNumberFormat="1" applyFont="1" applyAlignment="1">
      <alignment horizontal="justify" wrapText="1"/>
    </xf>
    <xf numFmtId="0" fontId="14" fillId="0" borderId="0" xfId="56" applyFont="1" applyBorder="1" applyAlignment="1">
      <alignment horizont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6531002 - Seguros Prepagados"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5 Mov. Ctas. x Cobrar" xfId="51"/>
    <cellStyle name="Currency" xfId="52"/>
    <cellStyle name="Currency [0]" xfId="53"/>
    <cellStyle name="Neutral" xfId="54"/>
    <cellStyle name="Normal_F-5 Circularizacion cxc Clientes" xfId="55"/>
    <cellStyle name="Normal_F-5 Mov. Ctas. x Cobrar" xfId="56"/>
    <cellStyle name="Normal_T.1.1 Movimiento Patrimonio" xfId="57"/>
    <cellStyle name="Notas" xfId="58"/>
    <cellStyle name="Percent" xfId="59"/>
    <cellStyle name="Porcentual_F-5 Circularizacion cxc Clientes"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17</xdr:row>
      <xdr:rowOff>0</xdr:rowOff>
    </xdr:from>
    <xdr:to>
      <xdr:col>9</xdr:col>
      <xdr:colOff>0</xdr:colOff>
      <xdr:row>17</xdr:row>
      <xdr:rowOff>0</xdr:rowOff>
    </xdr:to>
    <xdr:sp>
      <xdr:nvSpPr>
        <xdr:cNvPr id="1" name="Oval 1"/>
        <xdr:cNvSpPr>
          <a:spLocks/>
        </xdr:cNvSpPr>
      </xdr:nvSpPr>
      <xdr:spPr>
        <a:xfrm>
          <a:off x="7553325" y="3133725"/>
          <a:ext cx="0" cy="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a:t>
          </a:r>
        </a:p>
      </xdr:txBody>
    </xdr:sp>
    <xdr:clientData/>
  </xdr:twoCellAnchor>
  <xdr:twoCellAnchor>
    <xdr:from>
      <xdr:col>2</xdr:col>
      <xdr:colOff>95250</xdr:colOff>
      <xdr:row>8</xdr:row>
      <xdr:rowOff>104775</xdr:rowOff>
    </xdr:from>
    <xdr:to>
      <xdr:col>6</xdr:col>
      <xdr:colOff>304800</xdr:colOff>
      <xdr:row>8</xdr:row>
      <xdr:rowOff>114300</xdr:rowOff>
    </xdr:to>
    <xdr:sp>
      <xdr:nvSpPr>
        <xdr:cNvPr id="2" name="Line 2"/>
        <xdr:cNvSpPr>
          <a:spLocks/>
        </xdr:cNvSpPr>
      </xdr:nvSpPr>
      <xdr:spPr>
        <a:xfrm flipH="1">
          <a:off x="2543175" y="1714500"/>
          <a:ext cx="3181350" cy="9525"/>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8</xdr:row>
      <xdr:rowOff>47625</xdr:rowOff>
    </xdr:from>
    <xdr:to>
      <xdr:col>2</xdr:col>
      <xdr:colOff>95250</xdr:colOff>
      <xdr:row>8</xdr:row>
      <xdr:rowOff>180975</xdr:rowOff>
    </xdr:to>
    <xdr:sp>
      <xdr:nvSpPr>
        <xdr:cNvPr id="3" name="Line 3"/>
        <xdr:cNvSpPr>
          <a:spLocks/>
        </xdr:cNvSpPr>
      </xdr:nvSpPr>
      <xdr:spPr>
        <a:xfrm>
          <a:off x="2514600" y="1657350"/>
          <a:ext cx="28575" cy="1333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666750</xdr:colOff>
      <xdr:row>8</xdr:row>
      <xdr:rowOff>123825</xdr:rowOff>
    </xdr:from>
    <xdr:to>
      <xdr:col>6</xdr:col>
      <xdr:colOff>666750</xdr:colOff>
      <xdr:row>8</xdr:row>
      <xdr:rowOff>123825</xdr:rowOff>
    </xdr:to>
    <xdr:sp>
      <xdr:nvSpPr>
        <xdr:cNvPr id="4" name="Line 4"/>
        <xdr:cNvSpPr>
          <a:spLocks/>
        </xdr:cNvSpPr>
      </xdr:nvSpPr>
      <xdr:spPr>
        <a:xfrm>
          <a:off x="6086475" y="1733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571500</xdr:colOff>
      <xdr:row>8</xdr:row>
      <xdr:rowOff>114300</xdr:rowOff>
    </xdr:from>
    <xdr:to>
      <xdr:col>9</xdr:col>
      <xdr:colOff>666750</xdr:colOff>
      <xdr:row>8</xdr:row>
      <xdr:rowOff>114300</xdr:rowOff>
    </xdr:to>
    <xdr:sp>
      <xdr:nvSpPr>
        <xdr:cNvPr id="5" name="Line 5"/>
        <xdr:cNvSpPr>
          <a:spLocks/>
        </xdr:cNvSpPr>
      </xdr:nvSpPr>
      <xdr:spPr>
        <a:xfrm>
          <a:off x="5991225" y="1724025"/>
          <a:ext cx="22288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8</xdr:row>
      <xdr:rowOff>57150</xdr:rowOff>
    </xdr:from>
    <xdr:to>
      <xdr:col>9</xdr:col>
      <xdr:colOff>714375</xdr:colOff>
      <xdr:row>9</xdr:row>
      <xdr:rowOff>9525</xdr:rowOff>
    </xdr:to>
    <xdr:sp>
      <xdr:nvSpPr>
        <xdr:cNvPr id="6" name="Line 6"/>
        <xdr:cNvSpPr>
          <a:spLocks/>
        </xdr:cNvSpPr>
      </xdr:nvSpPr>
      <xdr:spPr>
        <a:xfrm flipH="1">
          <a:off x="8191500" y="1666875"/>
          <a:ext cx="76200" cy="14287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100</xdr:row>
      <xdr:rowOff>85725</xdr:rowOff>
    </xdr:from>
    <xdr:to>
      <xdr:col>12</xdr:col>
      <xdr:colOff>257175</xdr:colOff>
      <xdr:row>101</xdr:row>
      <xdr:rowOff>161925</xdr:rowOff>
    </xdr:to>
    <xdr:sp>
      <xdr:nvSpPr>
        <xdr:cNvPr id="1" name="Line 20"/>
        <xdr:cNvSpPr>
          <a:spLocks/>
        </xdr:cNvSpPr>
      </xdr:nvSpPr>
      <xdr:spPr>
        <a:xfrm flipV="1">
          <a:off x="10401300" y="18621375"/>
          <a:ext cx="190500" cy="238125"/>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904875</xdr:colOff>
      <xdr:row>72</xdr:row>
      <xdr:rowOff>104775</xdr:rowOff>
    </xdr:from>
    <xdr:to>
      <xdr:col>5</xdr:col>
      <xdr:colOff>104775</xdr:colOff>
      <xdr:row>73</xdr:row>
      <xdr:rowOff>123825</xdr:rowOff>
    </xdr:to>
    <xdr:sp>
      <xdr:nvSpPr>
        <xdr:cNvPr id="2" name="Line 13"/>
        <xdr:cNvSpPr>
          <a:spLocks/>
        </xdr:cNvSpPr>
      </xdr:nvSpPr>
      <xdr:spPr>
        <a:xfrm flipV="1">
          <a:off x="4991100" y="13668375"/>
          <a:ext cx="104775" cy="19050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73</xdr:row>
      <xdr:rowOff>9525</xdr:rowOff>
    </xdr:from>
    <xdr:to>
      <xdr:col>5</xdr:col>
      <xdr:colOff>95250</xdr:colOff>
      <xdr:row>74</xdr:row>
      <xdr:rowOff>9525</xdr:rowOff>
    </xdr:to>
    <xdr:sp>
      <xdr:nvSpPr>
        <xdr:cNvPr id="3" name="Oval 12"/>
        <xdr:cNvSpPr>
          <a:spLocks/>
        </xdr:cNvSpPr>
      </xdr:nvSpPr>
      <xdr:spPr>
        <a:xfrm>
          <a:off x="4886325" y="13744575"/>
          <a:ext cx="200025" cy="171450"/>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B</a:t>
          </a:r>
        </a:p>
      </xdr:txBody>
    </xdr:sp>
    <xdr:clientData/>
  </xdr:twoCellAnchor>
  <xdr:twoCellAnchor>
    <xdr:from>
      <xdr:col>12</xdr:col>
      <xdr:colOff>333375</xdr:colOff>
      <xdr:row>77</xdr:row>
      <xdr:rowOff>47625</xdr:rowOff>
    </xdr:from>
    <xdr:to>
      <xdr:col>12</xdr:col>
      <xdr:colOff>523875</xdr:colOff>
      <xdr:row>78</xdr:row>
      <xdr:rowOff>123825</xdr:rowOff>
    </xdr:to>
    <xdr:sp>
      <xdr:nvSpPr>
        <xdr:cNvPr id="4" name="Line 16"/>
        <xdr:cNvSpPr>
          <a:spLocks/>
        </xdr:cNvSpPr>
      </xdr:nvSpPr>
      <xdr:spPr>
        <a:xfrm flipV="1">
          <a:off x="10668000" y="14439900"/>
          <a:ext cx="190500" cy="24765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76200</xdr:colOff>
      <xdr:row>77</xdr:row>
      <xdr:rowOff>161925</xdr:rowOff>
    </xdr:from>
    <xdr:to>
      <xdr:col>12</xdr:col>
      <xdr:colOff>371475</xdr:colOff>
      <xdr:row>78</xdr:row>
      <xdr:rowOff>161925</xdr:rowOff>
    </xdr:to>
    <xdr:sp>
      <xdr:nvSpPr>
        <xdr:cNvPr id="5" name="Oval 17"/>
        <xdr:cNvSpPr>
          <a:spLocks/>
        </xdr:cNvSpPr>
      </xdr:nvSpPr>
      <xdr:spPr>
        <a:xfrm>
          <a:off x="10410825" y="14554200"/>
          <a:ext cx="295275" cy="171450"/>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C</a:t>
          </a:r>
        </a:p>
      </xdr:txBody>
    </xdr:sp>
    <xdr:clientData/>
  </xdr:twoCellAnchor>
  <xdr:twoCellAnchor>
    <xdr:from>
      <xdr:col>11</xdr:col>
      <xdr:colOff>723900</xdr:colOff>
      <xdr:row>100</xdr:row>
      <xdr:rowOff>152400</xdr:rowOff>
    </xdr:from>
    <xdr:to>
      <xdr:col>12</xdr:col>
      <xdr:colOff>180975</xdr:colOff>
      <xdr:row>102</xdr:row>
      <xdr:rowOff>0</xdr:rowOff>
    </xdr:to>
    <xdr:sp>
      <xdr:nvSpPr>
        <xdr:cNvPr id="6" name="Oval 19"/>
        <xdr:cNvSpPr>
          <a:spLocks/>
        </xdr:cNvSpPr>
      </xdr:nvSpPr>
      <xdr:spPr>
        <a:xfrm>
          <a:off x="10287000" y="18688050"/>
          <a:ext cx="228600" cy="180975"/>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E</a:t>
          </a:r>
        </a:p>
      </xdr:txBody>
    </xdr:sp>
    <xdr:clientData/>
  </xdr:twoCellAnchor>
  <xdr:twoCellAnchor>
    <xdr:from>
      <xdr:col>4</xdr:col>
      <xdr:colOff>904875</xdr:colOff>
      <xdr:row>97</xdr:row>
      <xdr:rowOff>104775</xdr:rowOff>
    </xdr:from>
    <xdr:to>
      <xdr:col>5</xdr:col>
      <xdr:colOff>104775</xdr:colOff>
      <xdr:row>98</xdr:row>
      <xdr:rowOff>123825</xdr:rowOff>
    </xdr:to>
    <xdr:sp>
      <xdr:nvSpPr>
        <xdr:cNvPr id="7" name="Line 24"/>
        <xdr:cNvSpPr>
          <a:spLocks/>
        </xdr:cNvSpPr>
      </xdr:nvSpPr>
      <xdr:spPr>
        <a:xfrm flipV="1">
          <a:off x="4991100" y="18135600"/>
          <a:ext cx="104775" cy="19050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733425</xdr:colOff>
      <xdr:row>98</xdr:row>
      <xdr:rowOff>9525</xdr:rowOff>
    </xdr:from>
    <xdr:to>
      <xdr:col>5</xdr:col>
      <xdr:colOff>57150</xdr:colOff>
      <xdr:row>99</xdr:row>
      <xdr:rowOff>38100</xdr:rowOff>
    </xdr:to>
    <xdr:sp>
      <xdr:nvSpPr>
        <xdr:cNvPr id="8" name="Oval 25"/>
        <xdr:cNvSpPr>
          <a:spLocks/>
        </xdr:cNvSpPr>
      </xdr:nvSpPr>
      <xdr:spPr>
        <a:xfrm>
          <a:off x="4819650" y="18211800"/>
          <a:ext cx="228600" cy="200025"/>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D</a:t>
          </a:r>
        </a:p>
      </xdr:txBody>
    </xdr:sp>
    <xdr:clientData/>
  </xdr:twoCellAnchor>
  <xdr:twoCellAnchor>
    <xdr:from>
      <xdr:col>3</xdr:col>
      <xdr:colOff>600075</xdr:colOff>
      <xdr:row>11</xdr:row>
      <xdr:rowOff>152400</xdr:rowOff>
    </xdr:from>
    <xdr:to>
      <xdr:col>6</xdr:col>
      <xdr:colOff>485775</xdr:colOff>
      <xdr:row>11</xdr:row>
      <xdr:rowOff>152400</xdr:rowOff>
    </xdr:to>
    <xdr:sp>
      <xdr:nvSpPr>
        <xdr:cNvPr id="9" name="Line 28"/>
        <xdr:cNvSpPr>
          <a:spLocks/>
        </xdr:cNvSpPr>
      </xdr:nvSpPr>
      <xdr:spPr>
        <a:xfrm flipV="1">
          <a:off x="3686175" y="2543175"/>
          <a:ext cx="2619375" cy="0"/>
        </a:xfrm>
        <a:prstGeom prst="line">
          <a:avLst/>
        </a:prstGeom>
        <a:noFill/>
        <a:ln w="9525" cmpd="sng">
          <a:solidFill>
            <a:srgbClr val="FF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xdr:colOff>
      <xdr:row>11</xdr:row>
      <xdr:rowOff>142875</xdr:rowOff>
    </xdr:from>
    <xdr:to>
      <xdr:col>9</xdr:col>
      <xdr:colOff>809625</xdr:colOff>
      <xdr:row>11</xdr:row>
      <xdr:rowOff>142875</xdr:rowOff>
    </xdr:to>
    <xdr:sp>
      <xdr:nvSpPr>
        <xdr:cNvPr id="10" name="Line 29"/>
        <xdr:cNvSpPr>
          <a:spLocks/>
        </xdr:cNvSpPr>
      </xdr:nvSpPr>
      <xdr:spPr>
        <a:xfrm>
          <a:off x="8096250" y="2533650"/>
          <a:ext cx="800100" cy="0"/>
        </a:xfrm>
        <a:prstGeom prst="line">
          <a:avLst/>
        </a:prstGeom>
        <a:noFill/>
        <a:ln w="9525" cmpd="sng">
          <a:solidFill>
            <a:srgbClr val="FF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38100</xdr:colOff>
      <xdr:row>11</xdr:row>
      <xdr:rowOff>142875</xdr:rowOff>
    </xdr:from>
    <xdr:to>
      <xdr:col>8</xdr:col>
      <xdr:colOff>800100</xdr:colOff>
      <xdr:row>11</xdr:row>
      <xdr:rowOff>142875</xdr:rowOff>
    </xdr:to>
    <xdr:sp>
      <xdr:nvSpPr>
        <xdr:cNvPr id="11" name="Line 30"/>
        <xdr:cNvSpPr>
          <a:spLocks/>
        </xdr:cNvSpPr>
      </xdr:nvSpPr>
      <xdr:spPr>
        <a:xfrm flipH="1">
          <a:off x="7010400" y="2533650"/>
          <a:ext cx="762000" cy="0"/>
        </a:xfrm>
        <a:prstGeom prst="line">
          <a:avLst/>
        </a:prstGeom>
        <a:noFill/>
        <a:ln w="9525" cmpd="sng">
          <a:solidFill>
            <a:srgbClr val="FF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76200</xdr:colOff>
      <xdr:row>11</xdr:row>
      <xdr:rowOff>142875</xdr:rowOff>
    </xdr:from>
    <xdr:to>
      <xdr:col>19</xdr:col>
      <xdr:colOff>581025</xdr:colOff>
      <xdr:row>11</xdr:row>
      <xdr:rowOff>142875</xdr:rowOff>
    </xdr:to>
    <xdr:sp>
      <xdr:nvSpPr>
        <xdr:cNvPr id="12" name="Line 31"/>
        <xdr:cNvSpPr>
          <a:spLocks/>
        </xdr:cNvSpPr>
      </xdr:nvSpPr>
      <xdr:spPr>
        <a:xfrm>
          <a:off x="14001750" y="2533650"/>
          <a:ext cx="1266825" cy="0"/>
        </a:xfrm>
        <a:prstGeom prst="line">
          <a:avLst/>
        </a:prstGeom>
        <a:noFill/>
        <a:ln w="9525" cmpd="sng">
          <a:solidFill>
            <a:srgbClr val="FF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733425</xdr:colOff>
      <xdr:row>11</xdr:row>
      <xdr:rowOff>123825</xdr:rowOff>
    </xdr:from>
    <xdr:to>
      <xdr:col>14</xdr:col>
      <xdr:colOff>533400</xdr:colOff>
      <xdr:row>11</xdr:row>
      <xdr:rowOff>123825</xdr:rowOff>
    </xdr:to>
    <xdr:sp>
      <xdr:nvSpPr>
        <xdr:cNvPr id="13" name="Line 32"/>
        <xdr:cNvSpPr>
          <a:spLocks/>
        </xdr:cNvSpPr>
      </xdr:nvSpPr>
      <xdr:spPr>
        <a:xfrm>
          <a:off x="11068050" y="2514600"/>
          <a:ext cx="990600" cy="0"/>
        </a:xfrm>
        <a:prstGeom prst="line">
          <a:avLst/>
        </a:prstGeom>
        <a:noFill/>
        <a:ln w="9525" cmpd="sng">
          <a:solidFill>
            <a:srgbClr val="FF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11</xdr:row>
      <xdr:rowOff>152400</xdr:rowOff>
    </xdr:from>
    <xdr:to>
      <xdr:col>3</xdr:col>
      <xdr:colOff>85725</xdr:colOff>
      <xdr:row>11</xdr:row>
      <xdr:rowOff>152400</xdr:rowOff>
    </xdr:to>
    <xdr:sp>
      <xdr:nvSpPr>
        <xdr:cNvPr id="14" name="Line 33"/>
        <xdr:cNvSpPr>
          <a:spLocks/>
        </xdr:cNvSpPr>
      </xdr:nvSpPr>
      <xdr:spPr>
        <a:xfrm flipH="1">
          <a:off x="571500" y="2543175"/>
          <a:ext cx="2600325" cy="0"/>
        </a:xfrm>
        <a:prstGeom prst="line">
          <a:avLst/>
        </a:prstGeom>
        <a:noFill/>
        <a:ln w="9525" cmpd="sng">
          <a:solidFill>
            <a:srgbClr val="FF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142875</xdr:colOff>
      <xdr:row>11</xdr:row>
      <xdr:rowOff>142875</xdr:rowOff>
    </xdr:from>
    <xdr:to>
      <xdr:col>17</xdr:col>
      <xdr:colOff>352425</xdr:colOff>
      <xdr:row>11</xdr:row>
      <xdr:rowOff>142875</xdr:rowOff>
    </xdr:to>
    <xdr:sp>
      <xdr:nvSpPr>
        <xdr:cNvPr id="15" name="Line 34"/>
        <xdr:cNvSpPr>
          <a:spLocks/>
        </xdr:cNvSpPr>
      </xdr:nvSpPr>
      <xdr:spPr>
        <a:xfrm flipH="1" flipV="1">
          <a:off x="12420600" y="2533650"/>
          <a:ext cx="1066800" cy="0"/>
        </a:xfrm>
        <a:prstGeom prst="line">
          <a:avLst/>
        </a:prstGeom>
        <a:noFill/>
        <a:ln w="9525" cmpd="sng">
          <a:solidFill>
            <a:srgbClr val="FF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47625</xdr:colOff>
      <xdr:row>11</xdr:row>
      <xdr:rowOff>123825</xdr:rowOff>
    </xdr:from>
    <xdr:to>
      <xdr:col>12</xdr:col>
      <xdr:colOff>390525</xdr:colOff>
      <xdr:row>11</xdr:row>
      <xdr:rowOff>123825</xdr:rowOff>
    </xdr:to>
    <xdr:sp>
      <xdr:nvSpPr>
        <xdr:cNvPr id="16" name="Line 35"/>
        <xdr:cNvSpPr>
          <a:spLocks/>
        </xdr:cNvSpPr>
      </xdr:nvSpPr>
      <xdr:spPr>
        <a:xfrm flipH="1">
          <a:off x="9610725" y="2514600"/>
          <a:ext cx="1114425" cy="0"/>
        </a:xfrm>
        <a:prstGeom prst="line">
          <a:avLst/>
        </a:prstGeom>
        <a:noFill/>
        <a:ln w="9525" cmpd="sng">
          <a:solidFill>
            <a:srgbClr val="FF0000"/>
          </a:solidFill>
          <a:headEnd type="none"/>
          <a:tailEnd type="diamond"/>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295275</xdr:colOff>
      <xdr:row>11</xdr:row>
      <xdr:rowOff>38100</xdr:rowOff>
    </xdr:from>
    <xdr:to>
      <xdr:col>3</xdr:col>
      <xdr:colOff>295275</xdr:colOff>
      <xdr:row>11</xdr:row>
      <xdr:rowOff>133350</xdr:rowOff>
    </xdr:to>
    <xdr:sp>
      <xdr:nvSpPr>
        <xdr:cNvPr id="17" name="Line 36"/>
        <xdr:cNvSpPr>
          <a:spLocks/>
        </xdr:cNvSpPr>
      </xdr:nvSpPr>
      <xdr:spPr>
        <a:xfrm>
          <a:off x="3381375" y="2428875"/>
          <a:ext cx="0" cy="952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952500</xdr:colOff>
      <xdr:row>11</xdr:row>
      <xdr:rowOff>57150</xdr:rowOff>
    </xdr:from>
    <xdr:to>
      <xdr:col>8</xdr:col>
      <xdr:colOff>1038225</xdr:colOff>
      <xdr:row>11</xdr:row>
      <xdr:rowOff>152400</xdr:rowOff>
    </xdr:to>
    <xdr:sp>
      <xdr:nvSpPr>
        <xdr:cNvPr id="18" name="Line 37"/>
        <xdr:cNvSpPr>
          <a:spLocks/>
        </xdr:cNvSpPr>
      </xdr:nvSpPr>
      <xdr:spPr>
        <a:xfrm>
          <a:off x="7924800" y="2447925"/>
          <a:ext cx="85725" cy="952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695325</xdr:colOff>
      <xdr:row>11</xdr:row>
      <xdr:rowOff>66675</xdr:rowOff>
    </xdr:from>
    <xdr:to>
      <xdr:col>17</xdr:col>
      <xdr:colOff>752475</xdr:colOff>
      <xdr:row>11</xdr:row>
      <xdr:rowOff>133350</xdr:rowOff>
    </xdr:to>
    <xdr:sp>
      <xdr:nvSpPr>
        <xdr:cNvPr id="19" name="Line 41"/>
        <xdr:cNvSpPr>
          <a:spLocks/>
        </xdr:cNvSpPr>
      </xdr:nvSpPr>
      <xdr:spPr>
        <a:xfrm>
          <a:off x="13830300" y="2457450"/>
          <a:ext cx="57150" cy="666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106</xdr:row>
      <xdr:rowOff>38100</xdr:rowOff>
    </xdr:from>
    <xdr:to>
      <xdr:col>0</xdr:col>
      <xdr:colOff>466725</xdr:colOff>
      <xdr:row>106</xdr:row>
      <xdr:rowOff>142875</xdr:rowOff>
    </xdr:to>
    <xdr:sp>
      <xdr:nvSpPr>
        <xdr:cNvPr id="20" name="Line 42"/>
        <xdr:cNvSpPr>
          <a:spLocks/>
        </xdr:cNvSpPr>
      </xdr:nvSpPr>
      <xdr:spPr>
        <a:xfrm>
          <a:off x="466725" y="19554825"/>
          <a:ext cx="0" cy="1047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428625</xdr:colOff>
      <xdr:row>107</xdr:row>
      <xdr:rowOff>180975</xdr:rowOff>
    </xdr:from>
    <xdr:to>
      <xdr:col>0</xdr:col>
      <xdr:colOff>428625</xdr:colOff>
      <xdr:row>107</xdr:row>
      <xdr:rowOff>266700</xdr:rowOff>
    </xdr:to>
    <xdr:sp>
      <xdr:nvSpPr>
        <xdr:cNvPr id="21" name="Line 43"/>
        <xdr:cNvSpPr>
          <a:spLocks/>
        </xdr:cNvSpPr>
      </xdr:nvSpPr>
      <xdr:spPr>
        <a:xfrm>
          <a:off x="428625" y="19859625"/>
          <a:ext cx="0" cy="8572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47625</xdr:colOff>
      <xdr:row>15</xdr:row>
      <xdr:rowOff>0</xdr:rowOff>
    </xdr:from>
    <xdr:to>
      <xdr:col>13</xdr:col>
      <xdr:colOff>333375</xdr:colOff>
      <xdr:row>16</xdr:row>
      <xdr:rowOff>9525</xdr:rowOff>
    </xdr:to>
    <xdr:sp>
      <xdr:nvSpPr>
        <xdr:cNvPr id="22" name="Oval 44"/>
        <xdr:cNvSpPr>
          <a:spLocks/>
        </xdr:cNvSpPr>
      </xdr:nvSpPr>
      <xdr:spPr>
        <a:xfrm>
          <a:off x="11210925" y="3133725"/>
          <a:ext cx="285750" cy="171450"/>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B</a:t>
          </a:r>
        </a:p>
      </xdr:txBody>
    </xdr:sp>
    <xdr:clientData/>
  </xdr:twoCellAnchor>
  <xdr:twoCellAnchor>
    <xdr:from>
      <xdr:col>13</xdr:col>
      <xdr:colOff>200025</xdr:colOff>
      <xdr:row>15</xdr:row>
      <xdr:rowOff>104775</xdr:rowOff>
    </xdr:from>
    <xdr:to>
      <xdr:col>13</xdr:col>
      <xdr:colOff>314325</xdr:colOff>
      <xdr:row>16</xdr:row>
      <xdr:rowOff>85725</xdr:rowOff>
    </xdr:to>
    <xdr:sp>
      <xdr:nvSpPr>
        <xdr:cNvPr id="23" name="Line 45"/>
        <xdr:cNvSpPr>
          <a:spLocks/>
        </xdr:cNvSpPr>
      </xdr:nvSpPr>
      <xdr:spPr>
        <a:xfrm flipH="1">
          <a:off x="11363325" y="3238500"/>
          <a:ext cx="114300" cy="142875"/>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47625</xdr:colOff>
      <xdr:row>17</xdr:row>
      <xdr:rowOff>0</xdr:rowOff>
    </xdr:from>
    <xdr:to>
      <xdr:col>13</xdr:col>
      <xdr:colOff>333375</xdr:colOff>
      <xdr:row>18</xdr:row>
      <xdr:rowOff>9525</xdr:rowOff>
    </xdr:to>
    <xdr:sp>
      <xdr:nvSpPr>
        <xdr:cNvPr id="24" name="Oval 46"/>
        <xdr:cNvSpPr>
          <a:spLocks/>
        </xdr:cNvSpPr>
      </xdr:nvSpPr>
      <xdr:spPr>
        <a:xfrm>
          <a:off x="11210925" y="3476625"/>
          <a:ext cx="285750" cy="171450"/>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C</a:t>
          </a:r>
        </a:p>
      </xdr:txBody>
    </xdr:sp>
    <xdr:clientData/>
  </xdr:twoCellAnchor>
  <xdr:twoCellAnchor>
    <xdr:from>
      <xdr:col>13</xdr:col>
      <xdr:colOff>314325</xdr:colOff>
      <xdr:row>17</xdr:row>
      <xdr:rowOff>104775</xdr:rowOff>
    </xdr:from>
    <xdr:to>
      <xdr:col>13</xdr:col>
      <xdr:colOff>333375</xdr:colOff>
      <xdr:row>18</xdr:row>
      <xdr:rowOff>123825</xdr:rowOff>
    </xdr:to>
    <xdr:sp>
      <xdr:nvSpPr>
        <xdr:cNvPr id="25" name="Line 47"/>
        <xdr:cNvSpPr>
          <a:spLocks/>
        </xdr:cNvSpPr>
      </xdr:nvSpPr>
      <xdr:spPr>
        <a:xfrm flipH="1">
          <a:off x="11477625" y="3581400"/>
          <a:ext cx="19050" cy="180975"/>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47625</xdr:colOff>
      <xdr:row>21</xdr:row>
      <xdr:rowOff>0</xdr:rowOff>
    </xdr:from>
    <xdr:to>
      <xdr:col>13</xdr:col>
      <xdr:colOff>333375</xdr:colOff>
      <xdr:row>21</xdr:row>
      <xdr:rowOff>190500</xdr:rowOff>
    </xdr:to>
    <xdr:sp>
      <xdr:nvSpPr>
        <xdr:cNvPr id="26" name="Oval 48"/>
        <xdr:cNvSpPr>
          <a:spLocks/>
        </xdr:cNvSpPr>
      </xdr:nvSpPr>
      <xdr:spPr>
        <a:xfrm>
          <a:off x="11210925" y="4124325"/>
          <a:ext cx="285750" cy="190500"/>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D</a:t>
          </a:r>
        </a:p>
      </xdr:txBody>
    </xdr:sp>
    <xdr:clientData/>
  </xdr:twoCellAnchor>
  <xdr:twoCellAnchor>
    <xdr:from>
      <xdr:col>13</xdr:col>
      <xdr:colOff>200025</xdr:colOff>
      <xdr:row>21</xdr:row>
      <xdr:rowOff>104775</xdr:rowOff>
    </xdr:from>
    <xdr:to>
      <xdr:col>13</xdr:col>
      <xdr:colOff>314325</xdr:colOff>
      <xdr:row>21</xdr:row>
      <xdr:rowOff>247650</xdr:rowOff>
    </xdr:to>
    <xdr:sp>
      <xdr:nvSpPr>
        <xdr:cNvPr id="27" name="Line 49"/>
        <xdr:cNvSpPr>
          <a:spLocks/>
        </xdr:cNvSpPr>
      </xdr:nvSpPr>
      <xdr:spPr>
        <a:xfrm flipH="1">
          <a:off x="11363325" y="4229100"/>
          <a:ext cx="114300" cy="142875"/>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47625</xdr:colOff>
      <xdr:row>22</xdr:row>
      <xdr:rowOff>0</xdr:rowOff>
    </xdr:from>
    <xdr:to>
      <xdr:col>13</xdr:col>
      <xdr:colOff>333375</xdr:colOff>
      <xdr:row>23</xdr:row>
      <xdr:rowOff>28575</xdr:rowOff>
    </xdr:to>
    <xdr:sp>
      <xdr:nvSpPr>
        <xdr:cNvPr id="28" name="Oval 50"/>
        <xdr:cNvSpPr>
          <a:spLocks/>
        </xdr:cNvSpPr>
      </xdr:nvSpPr>
      <xdr:spPr>
        <a:xfrm>
          <a:off x="11210925" y="4391025"/>
          <a:ext cx="285750" cy="190500"/>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E</a:t>
          </a:r>
        </a:p>
      </xdr:txBody>
    </xdr:sp>
    <xdr:clientData/>
  </xdr:twoCellAnchor>
  <xdr:twoCellAnchor>
    <xdr:from>
      <xdr:col>13</xdr:col>
      <xdr:colOff>314325</xdr:colOff>
      <xdr:row>22</xdr:row>
      <xdr:rowOff>76200</xdr:rowOff>
    </xdr:from>
    <xdr:to>
      <xdr:col>13</xdr:col>
      <xdr:colOff>333375</xdr:colOff>
      <xdr:row>23</xdr:row>
      <xdr:rowOff>95250</xdr:rowOff>
    </xdr:to>
    <xdr:sp>
      <xdr:nvSpPr>
        <xdr:cNvPr id="29" name="Line 51"/>
        <xdr:cNvSpPr>
          <a:spLocks/>
        </xdr:cNvSpPr>
      </xdr:nvSpPr>
      <xdr:spPr>
        <a:xfrm flipH="1">
          <a:off x="11477625" y="4467225"/>
          <a:ext cx="19050" cy="180975"/>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47625</xdr:colOff>
      <xdr:row>30</xdr:row>
      <xdr:rowOff>0</xdr:rowOff>
    </xdr:from>
    <xdr:to>
      <xdr:col>13</xdr:col>
      <xdr:colOff>333375</xdr:colOff>
      <xdr:row>31</xdr:row>
      <xdr:rowOff>28575</xdr:rowOff>
    </xdr:to>
    <xdr:sp>
      <xdr:nvSpPr>
        <xdr:cNvPr id="30" name="Oval 52"/>
        <xdr:cNvSpPr>
          <a:spLocks/>
        </xdr:cNvSpPr>
      </xdr:nvSpPr>
      <xdr:spPr>
        <a:xfrm>
          <a:off x="11210925" y="5686425"/>
          <a:ext cx="285750" cy="190500"/>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F</a:t>
          </a:r>
        </a:p>
      </xdr:txBody>
    </xdr:sp>
    <xdr:clientData/>
  </xdr:twoCellAnchor>
  <xdr:twoCellAnchor>
    <xdr:from>
      <xdr:col>13</xdr:col>
      <xdr:colOff>200025</xdr:colOff>
      <xdr:row>30</xdr:row>
      <xdr:rowOff>142875</xdr:rowOff>
    </xdr:from>
    <xdr:to>
      <xdr:col>13</xdr:col>
      <xdr:colOff>314325</xdr:colOff>
      <xdr:row>31</xdr:row>
      <xdr:rowOff>123825</xdr:rowOff>
    </xdr:to>
    <xdr:sp>
      <xdr:nvSpPr>
        <xdr:cNvPr id="31" name="Line 53"/>
        <xdr:cNvSpPr>
          <a:spLocks/>
        </xdr:cNvSpPr>
      </xdr:nvSpPr>
      <xdr:spPr>
        <a:xfrm flipH="1">
          <a:off x="11363325" y="5829300"/>
          <a:ext cx="114300" cy="142875"/>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657225</xdr:colOff>
      <xdr:row>84</xdr:row>
      <xdr:rowOff>161925</xdr:rowOff>
    </xdr:from>
    <xdr:to>
      <xdr:col>20</xdr:col>
      <xdr:colOff>76200</xdr:colOff>
      <xdr:row>85</xdr:row>
      <xdr:rowOff>142875</xdr:rowOff>
    </xdr:to>
    <xdr:sp>
      <xdr:nvSpPr>
        <xdr:cNvPr id="32" name="Line 56"/>
        <xdr:cNvSpPr>
          <a:spLocks/>
        </xdr:cNvSpPr>
      </xdr:nvSpPr>
      <xdr:spPr>
        <a:xfrm flipH="1" flipV="1">
          <a:off x="15344775" y="15925800"/>
          <a:ext cx="142875" cy="30480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714375</xdr:colOff>
      <xdr:row>85</xdr:row>
      <xdr:rowOff>9525</xdr:rowOff>
    </xdr:from>
    <xdr:to>
      <xdr:col>20</xdr:col>
      <xdr:colOff>171450</xdr:colOff>
      <xdr:row>86</xdr:row>
      <xdr:rowOff>38100</xdr:rowOff>
    </xdr:to>
    <xdr:sp>
      <xdr:nvSpPr>
        <xdr:cNvPr id="33" name="Oval 57"/>
        <xdr:cNvSpPr>
          <a:spLocks/>
        </xdr:cNvSpPr>
      </xdr:nvSpPr>
      <xdr:spPr>
        <a:xfrm>
          <a:off x="15401925" y="16097250"/>
          <a:ext cx="180975" cy="190500"/>
        </a:xfrm>
        <a:prstGeom prst="ellipse">
          <a:avLst/>
        </a:prstGeom>
        <a:solidFill>
          <a:srgbClr val="FFFFFF"/>
        </a:solidFill>
        <a:ln w="9525" cmpd="sng">
          <a:solidFill>
            <a:srgbClr val="FF0000"/>
          </a:solidFill>
          <a:headEnd type="none"/>
          <a:tailEnd type="none"/>
        </a:ln>
      </xdr:spPr>
      <xdr:txBody>
        <a:bodyPr vertOverflow="clip" wrap="square" lIns="27432" tIns="22860" rIns="0" bIns="0"/>
        <a:p>
          <a:pPr algn="l">
            <a:defRPr/>
          </a:pPr>
          <a:r>
            <a:rPr lang="en-US" cap="none" sz="800" b="1" i="0" u="none" baseline="0">
              <a:solidFill>
                <a:srgbClr val="FF0000"/>
              </a:solidFill>
            </a:rPr>
            <a:t>F</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ara\2007\Primax\Papeles%20de%20trabajo\A-15%20Balance%20de%20prueba%20y%20sumari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IMAX\F-5-5%20CARTERA\Cobros%20de%20Carte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
      <sheetName val="PG"/>
      <sheetName val="Flujo"/>
      <sheetName val="Planilla"/>
      <sheetName val="AJES Y REC"/>
      <sheetName val="D-4"/>
      <sheetName val="E-4"/>
      <sheetName val="F-4"/>
      <sheetName val="G-4"/>
      <sheetName val="H-4"/>
      <sheetName val="J-4"/>
      <sheetName val="I-4"/>
      <sheetName val="K-4"/>
      <sheetName val="L-4"/>
      <sheetName val="M-4"/>
      <sheetName val="O-4"/>
      <sheetName val="R-4"/>
      <sheetName val="T-4"/>
      <sheetName val="U-4"/>
      <sheetName val="V-4"/>
      <sheetName val="W-4"/>
      <sheetName val="X-4"/>
      <sheetName val="Y-4"/>
      <sheetName val="Z-4"/>
    </sheetNames>
    <sheetDataSet>
      <sheetData sheetId="17">
        <row r="652">
          <cell r="C652">
            <v>96399215.82999998</v>
          </cell>
          <cell r="E652">
            <v>96235111.00000001</v>
          </cell>
        </row>
        <row r="657">
          <cell r="C657">
            <v>1197084.0099999995</v>
          </cell>
          <cell r="E657">
            <v>1183775.28</v>
          </cell>
        </row>
        <row r="663">
          <cell r="C663">
            <v>23923027.01</v>
          </cell>
          <cell r="E663">
            <v>24544078.240000002</v>
          </cell>
        </row>
        <row r="668">
          <cell r="C668">
            <v>1269468.8500000003</v>
          </cell>
          <cell r="E66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5-5-1"/>
      <sheetName val="F-5-5-2"/>
      <sheetName val="Resumen BOL"/>
      <sheetName val="Pacifico res"/>
      <sheetName val="Base Bol"/>
      <sheetName val="Base Paci"/>
    </sheetNames>
    <sheetDataSet>
      <sheetData sheetId="1">
        <row r="501">
          <cell r="F501">
            <v>48986.12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E8" sqref="E7:E8"/>
    </sheetView>
  </sheetViews>
  <sheetFormatPr defaultColWidth="9.8515625" defaultRowHeight="12.75"/>
  <cols>
    <col min="1" max="1" width="10.8515625" style="15" customWidth="1"/>
    <col min="2" max="2" width="25.8515625" style="15" customWidth="1"/>
    <col min="3" max="3" width="15.7109375" style="15" bestFit="1" customWidth="1"/>
    <col min="4" max="4" width="3.28125" style="15" customWidth="1"/>
    <col min="5" max="5" width="12.7109375" style="15" customWidth="1"/>
    <col min="6" max="6" width="12.8515625" style="15" customWidth="1"/>
    <col min="7" max="7" width="13.57421875" style="15" customWidth="1"/>
    <col min="8" max="8" width="8.8515625" style="15" customWidth="1"/>
    <col min="9" max="9" width="9.57421875" style="15" customWidth="1"/>
    <col min="10" max="10" width="13.140625" style="15" customWidth="1"/>
    <col min="11" max="11" width="12.7109375" style="15" customWidth="1"/>
    <col min="12" max="12" width="12.28125" style="15" customWidth="1"/>
    <col min="13" max="13" width="13.140625" style="15" bestFit="1" customWidth="1"/>
    <col min="14" max="16384" width="9.8515625" style="15" customWidth="1"/>
  </cols>
  <sheetData>
    <row r="1" spans="1:11" s="253" customFormat="1" ht="26.25">
      <c r="A1" s="352" t="s">
        <v>339</v>
      </c>
      <c r="K1" s="359" t="s">
        <v>209</v>
      </c>
    </row>
    <row r="2" spans="1:11" ht="12.75">
      <c r="A2" s="90" t="s">
        <v>81</v>
      </c>
      <c r="B2" s="89"/>
      <c r="I2" s="90" t="s">
        <v>236</v>
      </c>
      <c r="J2" s="89"/>
      <c r="K2" s="89"/>
    </row>
    <row r="3" spans="1:11" ht="12.75">
      <c r="A3" s="120" t="s">
        <v>123</v>
      </c>
      <c r="B3" s="89"/>
      <c r="I3" s="90" t="s">
        <v>219</v>
      </c>
      <c r="J3" s="250" t="s">
        <v>113</v>
      </c>
      <c r="K3" s="89"/>
    </row>
    <row r="4" spans="1:13" ht="12.75">
      <c r="A4" s="90" t="s">
        <v>124</v>
      </c>
      <c r="B4" s="89"/>
      <c r="M4" s="16"/>
    </row>
    <row r="5" spans="1:13" ht="12.75">
      <c r="A5" s="90"/>
      <c r="B5" s="89"/>
      <c r="M5" s="16"/>
    </row>
    <row r="6" spans="1:4" ht="12.75">
      <c r="A6" s="254"/>
      <c r="B6" s="121"/>
      <c r="C6" s="121"/>
      <c r="D6" s="213"/>
    </row>
    <row r="7" ht="12.75">
      <c r="A7" s="89"/>
    </row>
    <row r="8" spans="1:11" ht="24">
      <c r="A8" s="94" t="s">
        <v>125</v>
      </c>
      <c r="B8" s="94" t="s">
        <v>126</v>
      </c>
      <c r="C8" s="94" t="s">
        <v>127</v>
      </c>
      <c r="D8" s="94"/>
      <c r="E8" s="94" t="s">
        <v>128</v>
      </c>
      <c r="F8" s="94" t="s">
        <v>129</v>
      </c>
      <c r="G8" s="94" t="s">
        <v>130</v>
      </c>
      <c r="H8" s="94" t="s">
        <v>131</v>
      </c>
      <c r="I8" s="94" t="s">
        <v>132</v>
      </c>
      <c r="J8" s="95" t="s">
        <v>133</v>
      </c>
      <c r="K8" s="94" t="s">
        <v>148</v>
      </c>
    </row>
    <row r="9" spans="1:11" ht="15">
      <c r="A9" s="96"/>
      <c r="B9" s="96"/>
      <c r="C9" s="97"/>
      <c r="D9" s="97"/>
      <c r="E9" s="96"/>
      <c r="F9" s="96"/>
      <c r="G9" s="255">
        <v>3</v>
      </c>
      <c r="H9" s="17"/>
      <c r="I9" s="18"/>
      <c r="J9" s="19"/>
      <c r="K9" s="45"/>
    </row>
    <row r="10" spans="1:11" ht="15.75">
      <c r="A10" s="96"/>
      <c r="B10" s="98" t="s">
        <v>182</v>
      </c>
      <c r="C10" s="97"/>
      <c r="D10" s="97"/>
      <c r="E10" s="96"/>
      <c r="F10" s="96"/>
      <c r="G10" s="20"/>
      <c r="H10" s="17"/>
      <c r="I10" s="17"/>
      <c r="J10" s="21"/>
      <c r="K10" s="17"/>
    </row>
    <row r="11" spans="1:11" ht="12.75">
      <c r="A11" s="99" t="s">
        <v>139</v>
      </c>
      <c r="B11" s="96" t="s">
        <v>140</v>
      </c>
      <c r="C11" s="100">
        <v>133465.44</v>
      </c>
      <c r="D11" s="100"/>
      <c r="E11" s="101">
        <f>Hoja1!K7</f>
        <v>0</v>
      </c>
      <c r="F11" s="101">
        <f>Hoja1!L7</f>
        <v>0</v>
      </c>
      <c r="G11" s="101">
        <f>Hoja1!I7</f>
        <v>0</v>
      </c>
      <c r="H11" s="101">
        <v>0</v>
      </c>
      <c r="I11" s="102">
        <v>0</v>
      </c>
      <c r="J11" s="103">
        <f>G11+F11+E11+C11</f>
        <v>133465.44</v>
      </c>
      <c r="K11" s="104">
        <v>188314</v>
      </c>
    </row>
    <row r="12" spans="1:11" ht="12.75">
      <c r="A12" s="96"/>
      <c r="B12" s="105"/>
      <c r="C12" s="100"/>
      <c r="D12" s="100"/>
      <c r="E12" s="101"/>
      <c r="F12" s="101"/>
      <c r="G12" s="106"/>
      <c r="H12" s="107"/>
      <c r="I12" s="102"/>
      <c r="J12" s="256" t="s">
        <v>38</v>
      </c>
      <c r="K12" s="96"/>
    </row>
    <row r="13" spans="1:11" ht="12.75">
      <c r="A13" s="96"/>
      <c r="B13" s="98" t="s">
        <v>141</v>
      </c>
      <c r="C13" s="100"/>
      <c r="D13" s="100"/>
      <c r="E13" s="101"/>
      <c r="F13" s="101"/>
      <c r="G13" s="101"/>
      <c r="H13" s="101"/>
      <c r="I13" s="102"/>
      <c r="J13" s="108"/>
      <c r="K13" s="96"/>
    </row>
    <row r="14" spans="1:11" ht="12.75">
      <c r="A14" s="99" t="s">
        <v>142</v>
      </c>
      <c r="B14" s="96" t="s">
        <v>140</v>
      </c>
      <c r="C14" s="100">
        <v>2824957.29</v>
      </c>
      <c r="D14" s="100"/>
      <c r="E14" s="101">
        <f>Hoja1!K10</f>
        <v>0</v>
      </c>
      <c r="F14" s="101">
        <f>Hoja1!L10</f>
        <v>0</v>
      </c>
      <c r="G14" s="101">
        <f>Hoja1!I10</f>
        <v>0</v>
      </c>
      <c r="H14" s="101">
        <v>0</v>
      </c>
      <c r="I14" s="102">
        <v>0</v>
      </c>
      <c r="J14" s="103">
        <f>SUM(C14:I14)</f>
        <v>2824957.29</v>
      </c>
      <c r="K14" s="104">
        <v>2597645</v>
      </c>
    </row>
    <row r="15" spans="1:11" ht="12.75">
      <c r="A15" s="96"/>
      <c r="B15" s="96"/>
      <c r="C15" s="100"/>
      <c r="D15" s="100"/>
      <c r="E15" s="257"/>
      <c r="F15" s="101"/>
      <c r="G15" s="101"/>
      <c r="H15" s="101"/>
      <c r="I15" s="102"/>
      <c r="J15" s="256" t="s">
        <v>38</v>
      </c>
      <c r="K15" s="96"/>
    </row>
    <row r="16" spans="1:11" ht="12.75">
      <c r="A16" s="96"/>
      <c r="B16" s="109" t="s">
        <v>143</v>
      </c>
      <c r="C16" s="100"/>
      <c r="D16" s="100"/>
      <c r="E16" s="101"/>
      <c r="F16" s="101"/>
      <c r="G16" s="101"/>
      <c r="H16" s="101"/>
      <c r="I16" s="102"/>
      <c r="J16" s="108"/>
      <c r="K16" s="96"/>
    </row>
    <row r="17" spans="1:11" ht="12.75">
      <c r="A17" s="99" t="s">
        <v>144</v>
      </c>
      <c r="B17" s="96" t="s">
        <v>140</v>
      </c>
      <c r="C17" s="100">
        <v>80187.6</v>
      </c>
      <c r="D17" s="100"/>
      <c r="E17" s="101">
        <f>Hoja1!K13</f>
        <v>0</v>
      </c>
      <c r="F17" s="101">
        <f>Hoja1!L13</f>
        <v>0</v>
      </c>
      <c r="G17" s="101">
        <f>Hoja1!I13</f>
        <v>0</v>
      </c>
      <c r="H17" s="101">
        <v>0</v>
      </c>
      <c r="I17" s="102">
        <v>0</v>
      </c>
      <c r="J17" s="103">
        <f>SUM(C17:I17)</f>
        <v>80187.6</v>
      </c>
      <c r="K17" s="104">
        <v>84518</v>
      </c>
    </row>
    <row r="18" spans="1:11" ht="12.75">
      <c r="A18" s="99" t="s">
        <v>134</v>
      </c>
      <c r="B18" s="96" t="s">
        <v>140</v>
      </c>
      <c r="C18" s="102">
        <v>0</v>
      </c>
      <c r="D18" s="102"/>
      <c r="E18" s="101">
        <f>Hoja1!K14</f>
        <v>0</v>
      </c>
      <c r="F18" s="101">
        <f>Hoja1!L14</f>
        <v>0</v>
      </c>
      <c r="G18" s="101">
        <v>0</v>
      </c>
      <c r="H18" s="101">
        <v>0</v>
      </c>
      <c r="I18" s="102">
        <v>0</v>
      </c>
      <c r="J18" s="256" t="s">
        <v>38</v>
      </c>
      <c r="K18" s="96"/>
    </row>
    <row r="19" spans="1:11" ht="12.75">
      <c r="A19" s="99" t="s">
        <v>135</v>
      </c>
      <c r="B19" s="96" t="s">
        <v>140</v>
      </c>
      <c r="C19" s="102">
        <v>0</v>
      </c>
      <c r="D19" s="102"/>
      <c r="E19" s="101">
        <f>Hoja1!K15</f>
        <v>0</v>
      </c>
      <c r="F19" s="101">
        <f>Hoja1!L15</f>
        <v>0</v>
      </c>
      <c r="G19" s="101">
        <v>0</v>
      </c>
      <c r="H19" s="101">
        <v>0</v>
      </c>
      <c r="I19" s="102">
        <v>0</v>
      </c>
      <c r="J19" s="110">
        <f>SUM(C19:I19)</f>
        <v>0</v>
      </c>
      <c r="K19" s="96"/>
    </row>
    <row r="20" spans="1:11" ht="12.75">
      <c r="A20" s="99"/>
      <c r="B20" s="96"/>
      <c r="C20" s="102"/>
      <c r="D20" s="102"/>
      <c r="E20" s="101"/>
      <c r="F20" s="102"/>
      <c r="G20" s="101"/>
      <c r="H20" s="101"/>
      <c r="I20" s="111"/>
      <c r="J20" s="110"/>
      <c r="K20" s="96"/>
    </row>
    <row r="21" spans="1:11" ht="13.5" thickBot="1">
      <c r="A21" s="112"/>
      <c r="B21" s="113" t="s">
        <v>136</v>
      </c>
      <c r="C21" s="114">
        <f>SUM(C11:C20)</f>
        <v>3038610.33</v>
      </c>
      <c r="D21" s="114"/>
      <c r="E21" s="114">
        <f aca="true" t="shared" si="0" ref="E21:K21">SUM(E11:E20)</f>
        <v>0</v>
      </c>
      <c r="F21" s="114">
        <f t="shared" si="0"/>
        <v>0</v>
      </c>
      <c r="G21" s="114">
        <f t="shared" si="0"/>
        <v>0</v>
      </c>
      <c r="H21" s="114">
        <f t="shared" si="0"/>
        <v>0</v>
      </c>
      <c r="I21" s="114">
        <f t="shared" si="0"/>
        <v>0</v>
      </c>
      <c r="J21" s="114">
        <f>SUM(J11:J20)</f>
        <v>3038610.33</v>
      </c>
      <c r="K21" s="114">
        <f t="shared" si="0"/>
        <v>2870477</v>
      </c>
    </row>
    <row r="22" spans="3:13" ht="13.5" thickTop="1">
      <c r="C22" s="258"/>
      <c r="D22" s="258"/>
      <c r="I22" s="92"/>
      <c r="J22" s="256" t="s">
        <v>231</v>
      </c>
      <c r="K22" s="256" t="s">
        <v>231</v>
      </c>
      <c r="L22" s="256"/>
      <c r="M22" s="256"/>
    </row>
    <row r="23" spans="1:12" ht="30" customHeight="1">
      <c r="A23" s="259" t="s">
        <v>119</v>
      </c>
      <c r="B23" s="367" t="s">
        <v>203</v>
      </c>
      <c r="C23" s="367"/>
      <c r="D23" s="368"/>
      <c r="E23" s="368"/>
      <c r="F23" s="368"/>
      <c r="G23" s="368"/>
      <c r="H23" s="368"/>
      <c r="I23" s="368"/>
      <c r="J23" s="368"/>
      <c r="L23" s="258"/>
    </row>
    <row r="24" spans="1:10" ht="12.75">
      <c r="A24" s="92"/>
      <c r="B24" s="116"/>
      <c r="C24" s="92"/>
      <c r="D24" s="92"/>
      <c r="E24" s="92"/>
      <c r="F24" s="115"/>
      <c r="G24" s="92"/>
      <c r="H24" s="92"/>
      <c r="I24" s="92"/>
      <c r="J24" s="92"/>
    </row>
    <row r="25" spans="1:10" ht="12.75">
      <c r="A25" s="92"/>
      <c r="B25" s="117" t="s">
        <v>150</v>
      </c>
      <c r="C25" s="92" t="s">
        <v>204</v>
      </c>
      <c r="D25" s="118"/>
      <c r="E25" s="119" t="s">
        <v>137</v>
      </c>
      <c r="F25" s="93"/>
      <c r="G25" s="92"/>
      <c r="H25" s="92"/>
      <c r="I25" s="92"/>
      <c r="J25" s="92"/>
    </row>
    <row r="26" spans="1:10" ht="12.75">
      <c r="A26" s="92"/>
      <c r="B26" s="92" t="s">
        <v>140</v>
      </c>
      <c r="C26" s="92" t="s">
        <v>205</v>
      </c>
      <c r="D26" s="92"/>
      <c r="E26" s="92"/>
      <c r="F26" s="92" t="s">
        <v>137</v>
      </c>
      <c r="G26" s="92"/>
      <c r="H26" s="92"/>
      <c r="I26" s="92"/>
      <c r="J26" s="92"/>
    </row>
    <row r="27" spans="1:10" ht="12.75">
      <c r="A27" s="92"/>
      <c r="B27" s="92"/>
      <c r="C27" s="92"/>
      <c r="D27" s="92"/>
      <c r="E27" s="92"/>
      <c r="F27" s="92"/>
      <c r="G27" s="92"/>
      <c r="H27" s="92"/>
      <c r="I27" s="92"/>
      <c r="J27" s="92"/>
    </row>
    <row r="28" spans="1:10" ht="12.75">
      <c r="A28" s="92"/>
      <c r="B28" s="92"/>
      <c r="C28" s="92"/>
      <c r="D28" s="92"/>
      <c r="E28" s="92"/>
      <c r="F28" s="92"/>
      <c r="G28" s="92"/>
      <c r="H28" s="92"/>
      <c r="I28" s="92"/>
      <c r="J28" s="92"/>
    </row>
    <row r="29" spans="1:10" ht="12.75">
      <c r="A29" s="260" t="s">
        <v>145</v>
      </c>
      <c r="B29" s="92"/>
      <c r="C29" s="92"/>
      <c r="D29" s="92"/>
      <c r="E29" s="92"/>
      <c r="F29" s="92"/>
      <c r="G29" s="92"/>
      <c r="H29" s="92"/>
      <c r="I29" s="92"/>
      <c r="J29" s="92"/>
    </row>
    <row r="30" spans="1:10" ht="12.75">
      <c r="A30" s="261">
        <v>3</v>
      </c>
      <c r="B30" s="92" t="s">
        <v>232</v>
      </c>
      <c r="C30" s="92"/>
      <c r="D30" s="92"/>
      <c r="E30" s="92"/>
      <c r="F30" s="92"/>
      <c r="G30" s="92"/>
      <c r="H30" s="92"/>
      <c r="I30" s="92"/>
      <c r="J30" s="92"/>
    </row>
    <row r="31" spans="1:10" ht="12.75">
      <c r="A31" s="262">
        <v>8</v>
      </c>
      <c r="B31" s="92" t="s">
        <v>80</v>
      </c>
      <c r="C31" s="92"/>
      <c r="D31" s="92"/>
      <c r="E31" s="92"/>
      <c r="F31" s="92"/>
      <c r="G31" s="92"/>
      <c r="H31" s="92"/>
      <c r="I31" s="92"/>
      <c r="J31" s="92"/>
    </row>
    <row r="34" ht="12.75">
      <c r="G34" s="15" t="s">
        <v>79</v>
      </c>
    </row>
  </sheetData>
  <sheetProtection/>
  <mergeCells count="1">
    <mergeCell ref="B23:J23"/>
  </mergeCells>
  <printOptions/>
  <pageMargins left="0.79" right="0.9448818897637796" top="1.56" bottom="0.69" header="0" footer="0"/>
  <pageSetup fitToHeight="1" fitToWidth="1" horizontalDpi="600" verticalDpi="600" orientation="landscape" scale="86" r:id="rId2"/>
  <drawing r:id="rId1"/>
</worksheet>
</file>

<file path=xl/worksheets/sheet2.xml><?xml version="1.0" encoding="utf-8"?>
<worksheet xmlns="http://schemas.openxmlformats.org/spreadsheetml/2006/main" xmlns:r="http://schemas.openxmlformats.org/officeDocument/2006/relationships">
  <dimension ref="A1:I193"/>
  <sheetViews>
    <sheetView zoomScalePageLayoutView="0" workbookViewId="0" topLeftCell="A1">
      <selection activeCell="G1" sqref="G1"/>
    </sheetView>
  </sheetViews>
  <sheetFormatPr defaultColWidth="8.00390625" defaultRowHeight="12.75" outlineLevelRow="2"/>
  <cols>
    <col min="1" max="1" width="24.28125" style="312" customWidth="1"/>
    <col min="2" max="2" width="13.28125" style="311" bestFit="1" customWidth="1"/>
    <col min="3" max="3" width="11.57421875" style="311" customWidth="1"/>
    <col min="4" max="4" width="9.57421875" style="311" bestFit="1" customWidth="1"/>
    <col min="5" max="5" width="10.421875" style="311" customWidth="1"/>
    <col min="6" max="6" width="8.57421875" style="311" customWidth="1"/>
    <col min="7" max="7" width="13.28125" style="311" customWidth="1"/>
    <col min="8" max="8" width="4.8515625" style="312" bestFit="1" customWidth="1"/>
    <col min="9" max="16384" width="8.00390625" style="312" customWidth="1"/>
  </cols>
  <sheetData>
    <row r="1" spans="1:8" ht="26.25">
      <c r="A1" s="354" t="s">
        <v>340</v>
      </c>
      <c r="G1" s="353" t="s">
        <v>208</v>
      </c>
      <c r="H1" s="308"/>
    </row>
    <row r="2" ht="12">
      <c r="A2" s="117"/>
    </row>
    <row r="3" ht="12">
      <c r="A3" s="313" t="str">
        <f>'A-5 MovimientoCartera'!A2</f>
        <v>COMBUSTIBLE &amp; ADITIVOS S.A.</v>
      </c>
    </row>
    <row r="4" spans="1:7" ht="12">
      <c r="A4" s="313" t="s">
        <v>241</v>
      </c>
      <c r="D4" s="314" t="s">
        <v>329</v>
      </c>
      <c r="F4" s="311" t="s">
        <v>330</v>
      </c>
      <c r="G4" s="312"/>
    </row>
    <row r="5" spans="1:7" ht="12">
      <c r="A5" s="313" t="s">
        <v>124</v>
      </c>
      <c r="D5" s="314" t="s">
        <v>219</v>
      </c>
      <c r="F5" s="315" t="s">
        <v>211</v>
      </c>
      <c r="G5" s="312"/>
    </row>
    <row r="7" ht="13.5" thickBot="1">
      <c r="A7" s="122" t="s">
        <v>335</v>
      </c>
    </row>
    <row r="8" spans="1:8" ht="24.75" thickBot="1">
      <c r="A8" s="316"/>
      <c r="B8" s="329" t="s">
        <v>332</v>
      </c>
      <c r="C8" s="333" t="s">
        <v>242</v>
      </c>
      <c r="D8" s="333" t="s">
        <v>243</v>
      </c>
      <c r="E8" s="334" t="s">
        <v>244</v>
      </c>
      <c r="F8" s="334" t="s">
        <v>245</v>
      </c>
      <c r="G8" s="334" t="s">
        <v>246</v>
      </c>
      <c r="H8" s="318"/>
    </row>
    <row r="9" spans="1:8" ht="12.75" thickBot="1">
      <c r="A9" s="338" t="s">
        <v>247</v>
      </c>
      <c r="B9" s="339" t="s">
        <v>248</v>
      </c>
      <c r="C9" s="339" t="s">
        <v>249</v>
      </c>
      <c r="D9" s="343" t="s">
        <v>250</v>
      </c>
      <c r="E9" s="340" t="s">
        <v>251</v>
      </c>
      <c r="F9" s="340" t="s">
        <v>252</v>
      </c>
      <c r="G9" s="340" t="s">
        <v>338</v>
      </c>
      <c r="H9" s="342" t="s">
        <v>254</v>
      </c>
    </row>
    <row r="10" spans="1:8" ht="12" outlineLevel="2">
      <c r="A10" s="319" t="s">
        <v>90</v>
      </c>
      <c r="B10" s="330">
        <v>18642.53</v>
      </c>
      <c r="C10" s="330">
        <v>18643</v>
      </c>
      <c r="D10" s="330"/>
      <c r="E10" s="335"/>
      <c r="F10" s="335"/>
      <c r="G10" s="335"/>
      <c r="H10" s="320"/>
    </row>
    <row r="11" spans="1:8" ht="12" outlineLevel="2">
      <c r="A11" s="319" t="s">
        <v>266</v>
      </c>
      <c r="B11" s="330">
        <v>16674.17</v>
      </c>
      <c r="C11" s="330">
        <v>5634</v>
      </c>
      <c r="D11" s="330">
        <v>9002</v>
      </c>
      <c r="E11" s="335">
        <v>2038</v>
      </c>
      <c r="F11" s="335"/>
      <c r="G11" s="335"/>
      <c r="H11" s="320"/>
    </row>
    <row r="12" spans="1:8" ht="12" outlineLevel="2">
      <c r="A12" s="319" t="s">
        <v>263</v>
      </c>
      <c r="B12" s="330">
        <v>11232.26</v>
      </c>
      <c r="C12" s="330"/>
      <c r="D12" s="330"/>
      <c r="E12" s="335">
        <v>11232</v>
      </c>
      <c r="F12" s="335"/>
      <c r="G12" s="335"/>
      <c r="H12" s="320"/>
    </row>
    <row r="13" spans="1:8" ht="12" outlineLevel="2">
      <c r="A13" s="319" t="s">
        <v>269</v>
      </c>
      <c r="B13" s="330">
        <v>10858.8</v>
      </c>
      <c r="C13" s="330">
        <v>2884</v>
      </c>
      <c r="D13" s="330">
        <v>7685</v>
      </c>
      <c r="E13" s="335"/>
      <c r="F13" s="335">
        <v>290</v>
      </c>
      <c r="G13" s="335"/>
      <c r="H13" s="320"/>
    </row>
    <row r="14" spans="1:8" ht="12" outlineLevel="2">
      <c r="A14" s="319" t="s">
        <v>97</v>
      </c>
      <c r="B14" s="330">
        <v>10663.12</v>
      </c>
      <c r="C14" s="330">
        <v>10663</v>
      </c>
      <c r="D14" s="330"/>
      <c r="E14" s="335"/>
      <c r="F14" s="335"/>
      <c r="G14" s="335"/>
      <c r="H14" s="320"/>
    </row>
    <row r="15" spans="1:8" ht="12" outlineLevel="2">
      <c r="A15" s="319" t="s">
        <v>102</v>
      </c>
      <c r="B15" s="330">
        <v>9846.24</v>
      </c>
      <c r="C15" s="330">
        <v>8729</v>
      </c>
      <c r="D15" s="330">
        <v>1105</v>
      </c>
      <c r="E15" s="335"/>
      <c r="F15" s="335">
        <v>12</v>
      </c>
      <c r="G15" s="335"/>
      <c r="H15" s="320"/>
    </row>
    <row r="16" spans="1:8" ht="12" outlineLevel="2">
      <c r="A16" s="319" t="s">
        <v>278</v>
      </c>
      <c r="B16" s="330">
        <v>8133.94</v>
      </c>
      <c r="C16" s="330">
        <v>377</v>
      </c>
      <c r="D16" s="330">
        <v>7747</v>
      </c>
      <c r="E16" s="335">
        <v>10</v>
      </c>
      <c r="F16" s="335"/>
      <c r="G16" s="335"/>
      <c r="H16" s="320"/>
    </row>
    <row r="17" spans="1:8" ht="12" outlineLevel="2">
      <c r="A17" s="319" t="s">
        <v>267</v>
      </c>
      <c r="B17" s="330">
        <v>7984.1</v>
      </c>
      <c r="C17" s="330">
        <v>3473</v>
      </c>
      <c r="D17" s="330">
        <v>3472</v>
      </c>
      <c r="E17" s="335"/>
      <c r="F17" s="335">
        <v>1039</v>
      </c>
      <c r="G17" s="335"/>
      <c r="H17" s="320"/>
    </row>
    <row r="18" spans="1:8" ht="12" outlineLevel="2">
      <c r="A18" s="319" t="s">
        <v>272</v>
      </c>
      <c r="B18" s="330">
        <v>7330.64</v>
      </c>
      <c r="C18" s="330">
        <v>3136</v>
      </c>
      <c r="D18" s="330">
        <v>1988</v>
      </c>
      <c r="E18" s="335"/>
      <c r="F18" s="335">
        <v>2206</v>
      </c>
      <c r="G18" s="335"/>
      <c r="H18" s="320"/>
    </row>
    <row r="19" spans="1:8" ht="12" outlineLevel="2">
      <c r="A19" s="319" t="s">
        <v>276</v>
      </c>
      <c r="B19" s="330">
        <v>6577.5</v>
      </c>
      <c r="C19" s="330">
        <v>4974</v>
      </c>
      <c r="D19" s="330">
        <v>1603</v>
      </c>
      <c r="E19" s="335"/>
      <c r="F19" s="335"/>
      <c r="G19" s="335"/>
      <c r="H19" s="320"/>
    </row>
    <row r="20" spans="1:8" ht="12" outlineLevel="2">
      <c r="A20" s="319" t="s">
        <v>264</v>
      </c>
      <c r="B20" s="330">
        <v>5477.71</v>
      </c>
      <c r="C20" s="330">
        <v>5450</v>
      </c>
      <c r="D20" s="330"/>
      <c r="E20" s="335"/>
      <c r="F20" s="335">
        <v>28</v>
      </c>
      <c r="G20" s="335"/>
      <c r="H20" s="320"/>
    </row>
    <row r="21" spans="1:8" ht="12" outlineLevel="2">
      <c r="A21" s="319" t="s">
        <v>91</v>
      </c>
      <c r="B21" s="330">
        <v>5432.86</v>
      </c>
      <c r="C21" s="330"/>
      <c r="D21" s="330">
        <v>604</v>
      </c>
      <c r="E21" s="335">
        <v>2786</v>
      </c>
      <c r="F21" s="335">
        <v>2043</v>
      </c>
      <c r="G21" s="335"/>
      <c r="H21" s="320"/>
    </row>
    <row r="22" spans="1:8" ht="12" outlineLevel="2">
      <c r="A22" s="319" t="s">
        <v>89</v>
      </c>
      <c r="B22" s="330">
        <v>5174.78</v>
      </c>
      <c r="C22" s="330">
        <v>5175</v>
      </c>
      <c r="D22" s="330"/>
      <c r="E22" s="335"/>
      <c r="F22" s="335"/>
      <c r="G22" s="335"/>
      <c r="H22" s="320"/>
    </row>
    <row r="23" spans="1:8" ht="12" outlineLevel="2">
      <c r="A23" s="319" t="s">
        <v>105</v>
      </c>
      <c r="B23" s="330">
        <v>4951.73</v>
      </c>
      <c r="C23" s="330">
        <v>2671</v>
      </c>
      <c r="D23" s="330">
        <v>803</v>
      </c>
      <c r="E23" s="335"/>
      <c r="F23" s="335"/>
      <c r="G23" s="335">
        <v>1478</v>
      </c>
      <c r="H23" s="320"/>
    </row>
    <row r="24" spans="1:8" ht="12" outlineLevel="2">
      <c r="A24" s="319" t="s">
        <v>288</v>
      </c>
      <c r="B24" s="330">
        <v>4889.47</v>
      </c>
      <c r="C24" s="330"/>
      <c r="D24" s="330"/>
      <c r="E24" s="335"/>
      <c r="F24" s="335">
        <v>4889</v>
      </c>
      <c r="G24" s="335"/>
      <c r="H24" s="320"/>
    </row>
    <row r="25" spans="1:8" ht="12" outlineLevel="2">
      <c r="A25" s="319" t="s">
        <v>284</v>
      </c>
      <c r="B25" s="330">
        <v>4501.3</v>
      </c>
      <c r="C25" s="330">
        <v>1591</v>
      </c>
      <c r="D25" s="330">
        <v>2910</v>
      </c>
      <c r="E25" s="335"/>
      <c r="F25" s="335"/>
      <c r="G25" s="335"/>
      <c r="H25" s="320"/>
    </row>
    <row r="26" spans="1:8" ht="12" outlineLevel="2">
      <c r="A26" s="319" t="s">
        <v>96</v>
      </c>
      <c r="B26" s="330">
        <v>4076.68</v>
      </c>
      <c r="C26" s="330">
        <v>2464</v>
      </c>
      <c r="D26" s="330"/>
      <c r="E26" s="335">
        <v>1613</v>
      </c>
      <c r="F26" s="335"/>
      <c r="G26" s="335"/>
      <c r="H26" s="320"/>
    </row>
    <row r="27" spans="1:8" ht="12" outlineLevel="2">
      <c r="A27" s="319" t="s">
        <v>92</v>
      </c>
      <c r="B27" s="330">
        <v>3760.2</v>
      </c>
      <c r="C27" s="330"/>
      <c r="D27" s="330"/>
      <c r="E27" s="335">
        <v>495</v>
      </c>
      <c r="F27" s="335">
        <v>3265</v>
      </c>
      <c r="G27" s="335"/>
      <c r="H27" s="320"/>
    </row>
    <row r="28" spans="1:8" ht="12" outlineLevel="2">
      <c r="A28" s="319" t="s">
        <v>279</v>
      </c>
      <c r="B28" s="330">
        <v>3273.54</v>
      </c>
      <c r="C28" s="330">
        <v>3274</v>
      </c>
      <c r="D28" s="330"/>
      <c r="E28" s="335"/>
      <c r="F28" s="335"/>
      <c r="G28" s="335"/>
      <c r="H28" s="320"/>
    </row>
    <row r="29" spans="1:8" ht="12" outlineLevel="2">
      <c r="A29" s="319" t="s">
        <v>289</v>
      </c>
      <c r="B29" s="330">
        <v>3243.53</v>
      </c>
      <c r="C29" s="330">
        <v>3244</v>
      </c>
      <c r="D29" s="330"/>
      <c r="E29" s="335"/>
      <c r="F29" s="335"/>
      <c r="G29" s="335"/>
      <c r="H29" s="320"/>
    </row>
    <row r="30" spans="1:8" ht="12" outlineLevel="2">
      <c r="A30" s="319" t="s">
        <v>98</v>
      </c>
      <c r="B30" s="330">
        <v>3133.55</v>
      </c>
      <c r="C30" s="330">
        <v>3134</v>
      </c>
      <c r="D30" s="330"/>
      <c r="E30" s="335"/>
      <c r="F30" s="335"/>
      <c r="G30" s="335"/>
      <c r="H30" s="320"/>
    </row>
    <row r="31" spans="1:8" ht="12" outlineLevel="2">
      <c r="A31" s="319" t="s">
        <v>282</v>
      </c>
      <c r="B31" s="330">
        <v>2886.14</v>
      </c>
      <c r="C31" s="330">
        <v>1465</v>
      </c>
      <c r="D31" s="330">
        <v>1420</v>
      </c>
      <c r="E31" s="335">
        <v>2</v>
      </c>
      <c r="F31" s="335"/>
      <c r="G31" s="335"/>
      <c r="H31" s="320"/>
    </row>
    <row r="32" spans="1:8" ht="12" outlineLevel="2">
      <c r="A32" s="319" t="s">
        <v>86</v>
      </c>
      <c r="B32" s="330">
        <v>2819.26</v>
      </c>
      <c r="C32" s="330">
        <v>2819</v>
      </c>
      <c r="D32" s="330"/>
      <c r="E32" s="335"/>
      <c r="F32" s="335"/>
      <c r="G32" s="335"/>
      <c r="H32" s="320"/>
    </row>
    <row r="33" spans="1:8" ht="12" outlineLevel="2">
      <c r="A33" s="319" t="s">
        <v>99</v>
      </c>
      <c r="B33" s="330">
        <v>2735.17</v>
      </c>
      <c r="C33" s="330">
        <v>1440</v>
      </c>
      <c r="D33" s="330"/>
      <c r="E33" s="335"/>
      <c r="F33" s="335"/>
      <c r="G33" s="335">
        <v>1295</v>
      </c>
      <c r="H33" s="320"/>
    </row>
    <row r="34" spans="1:8" ht="12" outlineLevel="2">
      <c r="A34" s="319" t="s">
        <v>271</v>
      </c>
      <c r="B34" s="330">
        <v>2710.81</v>
      </c>
      <c r="C34" s="330">
        <v>2711</v>
      </c>
      <c r="D34" s="330"/>
      <c r="E34" s="335"/>
      <c r="F34" s="335"/>
      <c r="G34" s="335"/>
      <c r="H34" s="320"/>
    </row>
    <row r="35" spans="1:8" ht="12" outlineLevel="2">
      <c r="A35" s="319" t="s">
        <v>285</v>
      </c>
      <c r="B35" s="330">
        <v>2478.36</v>
      </c>
      <c r="C35" s="330"/>
      <c r="D35" s="330">
        <v>1393</v>
      </c>
      <c r="E35" s="335"/>
      <c r="F35" s="335">
        <v>1086</v>
      </c>
      <c r="G35" s="335"/>
      <c r="H35" s="320"/>
    </row>
    <row r="36" spans="1:8" ht="12" outlineLevel="2">
      <c r="A36" s="319" t="s">
        <v>302</v>
      </c>
      <c r="B36" s="330">
        <v>2056.9</v>
      </c>
      <c r="C36" s="330"/>
      <c r="D36" s="330"/>
      <c r="E36" s="335"/>
      <c r="F36" s="335"/>
      <c r="G36" s="335">
        <v>2057</v>
      </c>
      <c r="H36" s="320"/>
    </row>
    <row r="37" spans="1:8" ht="12" outlineLevel="2">
      <c r="A37" s="319" t="s">
        <v>268</v>
      </c>
      <c r="B37" s="330">
        <v>1860.03</v>
      </c>
      <c r="C37" s="330">
        <v>1855</v>
      </c>
      <c r="D37" s="330"/>
      <c r="E37" s="335"/>
      <c r="F37" s="335">
        <v>5</v>
      </c>
      <c r="G37" s="335"/>
      <c r="H37" s="320"/>
    </row>
    <row r="38" spans="1:8" ht="12" outlineLevel="2">
      <c r="A38" s="319" t="s">
        <v>292</v>
      </c>
      <c r="B38" s="330">
        <v>1739.58</v>
      </c>
      <c r="C38" s="330"/>
      <c r="D38" s="330"/>
      <c r="E38" s="335"/>
      <c r="F38" s="335">
        <v>1740</v>
      </c>
      <c r="G38" s="335"/>
      <c r="H38" s="320"/>
    </row>
    <row r="39" spans="1:8" ht="12" outlineLevel="2">
      <c r="A39" s="319" t="s">
        <v>283</v>
      </c>
      <c r="B39" s="330">
        <v>1695.11</v>
      </c>
      <c r="C39" s="330">
        <v>680</v>
      </c>
      <c r="D39" s="330">
        <v>1015</v>
      </c>
      <c r="E39" s="335"/>
      <c r="F39" s="335"/>
      <c r="G39" s="335"/>
      <c r="H39" s="320"/>
    </row>
    <row r="40" spans="1:8" ht="12" outlineLevel="2">
      <c r="A40" s="319" t="s">
        <v>274</v>
      </c>
      <c r="B40" s="330">
        <v>1646.01</v>
      </c>
      <c r="C40" s="330">
        <v>619</v>
      </c>
      <c r="D40" s="330">
        <v>1025</v>
      </c>
      <c r="E40" s="335">
        <v>2</v>
      </c>
      <c r="F40" s="335"/>
      <c r="G40" s="335"/>
      <c r="H40" s="320"/>
    </row>
    <row r="41" spans="1:8" ht="12" outlineLevel="2">
      <c r="A41" s="319" t="s">
        <v>301</v>
      </c>
      <c r="B41" s="330">
        <v>1635.36</v>
      </c>
      <c r="C41" s="330">
        <v>1635</v>
      </c>
      <c r="D41" s="330"/>
      <c r="E41" s="335"/>
      <c r="F41" s="335"/>
      <c r="G41" s="335"/>
      <c r="H41" s="320"/>
    </row>
    <row r="42" spans="1:8" ht="12" outlineLevel="2">
      <c r="A42" s="319" t="s">
        <v>293</v>
      </c>
      <c r="B42" s="330">
        <v>1537.14</v>
      </c>
      <c r="C42" s="330">
        <v>625</v>
      </c>
      <c r="D42" s="330">
        <v>912</v>
      </c>
      <c r="E42" s="335"/>
      <c r="F42" s="335"/>
      <c r="G42" s="335"/>
      <c r="H42" s="320"/>
    </row>
    <row r="43" spans="1:8" ht="12" outlineLevel="2">
      <c r="A43" s="319" t="s">
        <v>297</v>
      </c>
      <c r="B43" s="330">
        <v>1150.95</v>
      </c>
      <c r="C43" s="330"/>
      <c r="D43" s="330"/>
      <c r="E43" s="335"/>
      <c r="F43" s="335">
        <v>1147</v>
      </c>
      <c r="G43" s="335">
        <v>4</v>
      </c>
      <c r="H43" s="320"/>
    </row>
    <row r="44" spans="1:8" ht="12" outlineLevel="2">
      <c r="A44" s="319" t="s">
        <v>294</v>
      </c>
      <c r="B44" s="330">
        <v>1046.8</v>
      </c>
      <c r="C44" s="330"/>
      <c r="D44" s="330">
        <v>556</v>
      </c>
      <c r="E44" s="335">
        <v>491</v>
      </c>
      <c r="F44" s="335"/>
      <c r="G44" s="335"/>
      <c r="H44" s="320"/>
    </row>
    <row r="45" spans="1:8" ht="12" outlineLevel="2">
      <c r="A45" s="319" t="s">
        <v>88</v>
      </c>
      <c r="B45" s="330">
        <v>980.45</v>
      </c>
      <c r="C45" s="330">
        <v>842</v>
      </c>
      <c r="D45" s="330"/>
      <c r="E45" s="335"/>
      <c r="F45" s="335">
        <v>139</v>
      </c>
      <c r="G45" s="335"/>
      <c r="H45" s="320"/>
    </row>
    <row r="46" spans="1:8" ht="12" outlineLevel="2">
      <c r="A46" s="319" t="s">
        <v>277</v>
      </c>
      <c r="B46" s="330">
        <v>933.18</v>
      </c>
      <c r="C46" s="330"/>
      <c r="D46" s="330"/>
      <c r="E46" s="335"/>
      <c r="F46" s="335">
        <v>933</v>
      </c>
      <c r="G46" s="335"/>
      <c r="H46" s="320"/>
    </row>
    <row r="47" spans="1:8" ht="12" outlineLevel="2">
      <c r="A47" s="319" t="s">
        <v>93</v>
      </c>
      <c r="B47" s="330">
        <v>906.85</v>
      </c>
      <c r="C47" s="330">
        <v>879</v>
      </c>
      <c r="D47" s="330"/>
      <c r="E47" s="335">
        <v>28</v>
      </c>
      <c r="F47" s="335"/>
      <c r="G47" s="335"/>
      <c r="H47" s="320"/>
    </row>
    <row r="48" spans="1:8" ht="12" outlineLevel="2">
      <c r="A48" s="319" t="s">
        <v>298</v>
      </c>
      <c r="B48" s="330">
        <v>573.39</v>
      </c>
      <c r="C48" s="330"/>
      <c r="D48" s="330">
        <v>573</v>
      </c>
      <c r="E48" s="335"/>
      <c r="F48" s="335"/>
      <c r="G48" s="335"/>
      <c r="H48" s="320"/>
    </row>
    <row r="49" spans="1:8" ht="12" outlineLevel="2">
      <c r="A49" s="319" t="s">
        <v>95</v>
      </c>
      <c r="B49" s="330">
        <v>484.42</v>
      </c>
      <c r="C49" s="330">
        <v>484</v>
      </c>
      <c r="D49" s="330"/>
      <c r="E49" s="335"/>
      <c r="F49" s="335"/>
      <c r="G49" s="335"/>
      <c r="H49" s="320"/>
    </row>
    <row r="50" spans="1:8" ht="12" outlineLevel="2">
      <c r="A50" s="319" t="s">
        <v>101</v>
      </c>
      <c r="B50" s="330">
        <v>420.2</v>
      </c>
      <c r="C50" s="330"/>
      <c r="D50" s="330">
        <v>420</v>
      </c>
      <c r="E50" s="335"/>
      <c r="F50" s="335"/>
      <c r="G50" s="335"/>
      <c r="H50" s="320"/>
    </row>
    <row r="51" spans="1:8" ht="12" outlineLevel="2">
      <c r="A51" s="319" t="s">
        <v>299</v>
      </c>
      <c r="B51" s="330">
        <v>326.93</v>
      </c>
      <c r="C51" s="330"/>
      <c r="D51" s="330"/>
      <c r="E51" s="335"/>
      <c r="F51" s="335">
        <v>327</v>
      </c>
      <c r="G51" s="335"/>
      <c r="H51" s="320"/>
    </row>
    <row r="52" spans="1:8" ht="12" outlineLevel="2">
      <c r="A52" s="319" t="s">
        <v>270</v>
      </c>
      <c r="B52" s="330">
        <v>229.99</v>
      </c>
      <c r="C52" s="330"/>
      <c r="D52" s="330">
        <v>230</v>
      </c>
      <c r="E52" s="335"/>
      <c r="F52" s="335"/>
      <c r="G52" s="335"/>
      <c r="H52" s="320"/>
    </row>
    <row r="53" spans="1:8" ht="12" outlineLevel="2">
      <c r="A53" s="319" t="s">
        <v>281</v>
      </c>
      <c r="B53" s="330">
        <v>0.14</v>
      </c>
      <c r="C53" s="330"/>
      <c r="D53" s="330"/>
      <c r="E53" s="335"/>
      <c r="F53" s="335"/>
      <c r="G53" s="335"/>
      <c r="H53" s="320"/>
    </row>
    <row r="54" spans="1:8" ht="12" outlineLevel="2">
      <c r="A54" s="319" t="s">
        <v>85</v>
      </c>
      <c r="B54" s="330">
        <v>-72.27</v>
      </c>
      <c r="C54" s="330">
        <v>-72</v>
      </c>
      <c r="D54" s="330"/>
      <c r="E54" s="335"/>
      <c r="F54" s="335"/>
      <c r="G54" s="335"/>
      <c r="H54" s="320"/>
    </row>
    <row r="55" spans="1:8" ht="12.75" outlineLevel="2" thickBot="1">
      <c r="A55" s="321" t="s">
        <v>281</v>
      </c>
      <c r="B55" s="331">
        <v>-326</v>
      </c>
      <c r="C55" s="331">
        <v>-326</v>
      </c>
      <c r="D55" s="331"/>
      <c r="E55" s="336"/>
      <c r="F55" s="336"/>
      <c r="G55" s="336"/>
      <c r="H55" s="322"/>
    </row>
    <row r="56" spans="1:8" ht="12.75" outlineLevel="1" thickBot="1">
      <c r="A56" s="323"/>
      <c r="B56" s="332">
        <f aca="true" t="shared" si="0" ref="B56:G56">SUBTOTAL(9,B10:B55)</f>
        <v>188313.55000000005</v>
      </c>
      <c r="C56" s="332">
        <f t="shared" si="0"/>
        <v>101172</v>
      </c>
      <c r="D56" s="332">
        <f t="shared" si="0"/>
        <v>44463</v>
      </c>
      <c r="E56" s="337">
        <f t="shared" si="0"/>
        <v>18697</v>
      </c>
      <c r="F56" s="337">
        <f t="shared" si="0"/>
        <v>19149</v>
      </c>
      <c r="G56" s="337">
        <f t="shared" si="0"/>
        <v>4834</v>
      </c>
      <c r="H56" s="324">
        <f>B56/$B$184</f>
        <v>0.06560357390078377</v>
      </c>
    </row>
    <row r="57" spans="1:8" ht="12" outlineLevel="1">
      <c r="A57" s="325"/>
      <c r="B57" s="155"/>
      <c r="C57" s="155"/>
      <c r="D57" s="155"/>
      <c r="E57" s="155"/>
      <c r="F57" s="155"/>
      <c r="G57" s="155"/>
      <c r="H57" s="326"/>
    </row>
    <row r="58" spans="1:8" ht="12" outlineLevel="1">
      <c r="A58" s="325"/>
      <c r="B58" s="155"/>
      <c r="C58" s="155"/>
      <c r="D58" s="155"/>
      <c r="E58" s="155"/>
      <c r="F58" s="155"/>
      <c r="G58" s="155"/>
      <c r="H58" s="326"/>
    </row>
    <row r="59" spans="1:8" ht="12" outlineLevel="1">
      <c r="A59" s="325"/>
      <c r="B59" s="155"/>
      <c r="C59" s="155"/>
      <c r="D59" s="155"/>
      <c r="E59" s="155"/>
      <c r="F59" s="155"/>
      <c r="G59" s="155"/>
      <c r="H59" s="326"/>
    </row>
    <row r="60" spans="1:8" ht="12" outlineLevel="1">
      <c r="A60" s="325"/>
      <c r="B60" s="155"/>
      <c r="C60" s="155"/>
      <c r="D60" s="155"/>
      <c r="E60" s="155"/>
      <c r="F60" s="155"/>
      <c r="G60" s="155"/>
      <c r="H60" s="326"/>
    </row>
    <row r="61" spans="1:8" ht="12" outlineLevel="1">
      <c r="A61" s="325"/>
      <c r="B61" s="155"/>
      <c r="C61" s="155"/>
      <c r="D61" s="155"/>
      <c r="E61" s="155"/>
      <c r="F61" s="155"/>
      <c r="G61" s="155"/>
      <c r="H61" s="326"/>
    </row>
    <row r="62" spans="1:8" ht="12" outlineLevel="1">
      <c r="A62" s="325"/>
      <c r="B62" s="155"/>
      <c r="C62" s="155"/>
      <c r="D62" s="155"/>
      <c r="E62" s="155"/>
      <c r="F62" s="155"/>
      <c r="G62" s="155"/>
      <c r="H62" s="326"/>
    </row>
    <row r="63" spans="1:8" ht="12" outlineLevel="1">
      <c r="A63" s="325"/>
      <c r="B63" s="155"/>
      <c r="C63" s="155"/>
      <c r="D63" s="155"/>
      <c r="E63" s="155"/>
      <c r="F63" s="155"/>
      <c r="G63" s="155"/>
      <c r="H63" s="326"/>
    </row>
    <row r="64" spans="1:8" ht="12" outlineLevel="1">
      <c r="A64" s="325"/>
      <c r="B64" s="155"/>
      <c r="C64" s="155"/>
      <c r="D64" s="155"/>
      <c r="E64" s="155"/>
      <c r="F64" s="155"/>
      <c r="G64" s="155"/>
      <c r="H64" s="326"/>
    </row>
    <row r="65" spans="1:8" ht="12" outlineLevel="1">
      <c r="A65" s="325"/>
      <c r="B65" s="155"/>
      <c r="C65" s="155"/>
      <c r="D65" s="155"/>
      <c r="E65" s="155"/>
      <c r="F65" s="155"/>
      <c r="G65" s="155"/>
      <c r="H65" s="326"/>
    </row>
    <row r="66" spans="1:8" ht="12" outlineLevel="1">
      <c r="A66" s="325"/>
      <c r="B66" s="155"/>
      <c r="C66" s="155"/>
      <c r="D66" s="155"/>
      <c r="E66" s="155"/>
      <c r="F66" s="155"/>
      <c r="G66" s="155"/>
      <c r="H66" s="326"/>
    </row>
    <row r="67" spans="1:8" ht="13.5" outlineLevel="1" thickBot="1">
      <c r="A67" s="122" t="s">
        <v>336</v>
      </c>
      <c r="B67" s="155"/>
      <c r="C67" s="155"/>
      <c r="D67" s="155"/>
      <c r="E67" s="155"/>
      <c r="F67" s="155"/>
      <c r="G67" s="155"/>
      <c r="H67" s="326"/>
    </row>
    <row r="68" spans="1:8" ht="24.75" outlineLevel="1" thickBot="1">
      <c r="A68" s="316"/>
      <c r="B68" s="329" t="s">
        <v>332</v>
      </c>
      <c r="C68" s="334" t="s">
        <v>242</v>
      </c>
      <c r="D68" s="334" t="s">
        <v>243</v>
      </c>
      <c r="E68" s="334" t="s">
        <v>244</v>
      </c>
      <c r="F68" s="334" t="s">
        <v>245</v>
      </c>
      <c r="G68" s="334" t="s">
        <v>246</v>
      </c>
      <c r="H68" s="318"/>
    </row>
    <row r="69" spans="1:8" ht="12.75" outlineLevel="1" thickBot="1">
      <c r="A69" s="338" t="s">
        <v>247</v>
      </c>
      <c r="B69" s="339" t="s">
        <v>248</v>
      </c>
      <c r="C69" s="340" t="s">
        <v>249</v>
      </c>
      <c r="D69" s="341" t="s">
        <v>250</v>
      </c>
      <c r="E69" s="340" t="s">
        <v>251</v>
      </c>
      <c r="F69" s="340" t="s">
        <v>252</v>
      </c>
      <c r="G69" s="340" t="s">
        <v>338</v>
      </c>
      <c r="H69" s="342" t="s">
        <v>254</v>
      </c>
    </row>
    <row r="70" spans="1:8" ht="12" outlineLevel="2">
      <c r="A70" s="319" t="s">
        <v>85</v>
      </c>
      <c r="B70" s="330">
        <v>121861.98</v>
      </c>
      <c r="C70" s="335">
        <v>120955</v>
      </c>
      <c r="D70" s="335">
        <v>907</v>
      </c>
      <c r="E70" s="335"/>
      <c r="F70" s="335"/>
      <c r="G70" s="335"/>
      <c r="H70" s="320"/>
    </row>
    <row r="71" spans="1:8" ht="12" outlineLevel="2">
      <c r="A71" s="319" t="s">
        <v>86</v>
      </c>
      <c r="B71" s="330">
        <v>108788.66</v>
      </c>
      <c r="C71" s="335">
        <v>103037</v>
      </c>
      <c r="D71" s="335"/>
      <c r="E71" s="335"/>
      <c r="F71" s="335">
        <v>5752</v>
      </c>
      <c r="G71" s="335"/>
      <c r="H71" s="320"/>
    </row>
    <row r="72" spans="1:8" ht="12" outlineLevel="2">
      <c r="A72" s="319" t="s">
        <v>87</v>
      </c>
      <c r="B72" s="330">
        <v>104091.48</v>
      </c>
      <c r="C72" s="335">
        <v>68336</v>
      </c>
      <c r="D72" s="335">
        <v>35755</v>
      </c>
      <c r="E72" s="335"/>
      <c r="F72" s="335"/>
      <c r="G72" s="335"/>
      <c r="H72" s="320"/>
    </row>
    <row r="73" spans="1:8" ht="12" outlineLevel="2">
      <c r="A73" s="319" t="s">
        <v>88</v>
      </c>
      <c r="B73" s="330">
        <v>97342.23</v>
      </c>
      <c r="C73" s="335">
        <v>96892</v>
      </c>
      <c r="D73" s="335">
        <v>450</v>
      </c>
      <c r="E73" s="335"/>
      <c r="F73" s="335"/>
      <c r="G73" s="335"/>
      <c r="H73" s="320"/>
    </row>
    <row r="74" spans="1:8" ht="12" outlineLevel="2">
      <c r="A74" s="319" t="s">
        <v>89</v>
      </c>
      <c r="B74" s="330">
        <v>78828.09</v>
      </c>
      <c r="C74" s="335">
        <v>78828</v>
      </c>
      <c r="D74" s="335"/>
      <c r="E74" s="335"/>
      <c r="F74" s="335"/>
      <c r="G74" s="335"/>
      <c r="H74" s="320"/>
    </row>
    <row r="75" spans="1:8" ht="12" outlineLevel="2">
      <c r="A75" s="319" t="s">
        <v>90</v>
      </c>
      <c r="B75" s="330">
        <v>76059.97</v>
      </c>
      <c r="C75" s="335">
        <v>76060</v>
      </c>
      <c r="D75" s="335"/>
      <c r="E75" s="335"/>
      <c r="F75" s="335"/>
      <c r="G75" s="335"/>
      <c r="H75" s="320"/>
    </row>
    <row r="76" spans="1:8" ht="12" outlineLevel="2">
      <c r="A76" s="319" t="s">
        <v>91</v>
      </c>
      <c r="B76" s="330">
        <v>71600.89</v>
      </c>
      <c r="C76" s="335">
        <v>70951</v>
      </c>
      <c r="D76" s="335">
        <v>650</v>
      </c>
      <c r="E76" s="335"/>
      <c r="F76" s="335"/>
      <c r="G76" s="335"/>
      <c r="H76" s="320"/>
    </row>
    <row r="77" spans="1:8" ht="12" outlineLevel="2">
      <c r="A77" s="319" t="s">
        <v>92</v>
      </c>
      <c r="B77" s="330">
        <v>70812.4</v>
      </c>
      <c r="C77" s="335">
        <v>70362</v>
      </c>
      <c r="D77" s="335">
        <v>450</v>
      </c>
      <c r="E77" s="335"/>
      <c r="F77" s="335"/>
      <c r="G77" s="335"/>
      <c r="H77" s="320"/>
    </row>
    <row r="78" spans="1:8" ht="12" outlineLevel="2">
      <c r="A78" s="319" t="s">
        <v>93</v>
      </c>
      <c r="B78" s="330">
        <v>69007.78</v>
      </c>
      <c r="C78" s="335">
        <v>52832</v>
      </c>
      <c r="D78" s="335">
        <v>16176</v>
      </c>
      <c r="E78" s="335"/>
      <c r="F78" s="335"/>
      <c r="G78" s="335"/>
      <c r="H78" s="320"/>
    </row>
    <row r="79" spans="1:8" ht="12" outlineLevel="2">
      <c r="A79" s="319" t="s">
        <v>94</v>
      </c>
      <c r="B79" s="330">
        <v>63871.65</v>
      </c>
      <c r="C79" s="335">
        <v>63422</v>
      </c>
      <c r="D79" s="335">
        <v>450</v>
      </c>
      <c r="E79" s="335"/>
      <c r="F79" s="335"/>
      <c r="G79" s="335"/>
      <c r="H79" s="320"/>
    </row>
    <row r="80" spans="1:8" ht="12" outlineLevel="2">
      <c r="A80" s="319" t="s">
        <v>95</v>
      </c>
      <c r="B80" s="330">
        <v>62580.8</v>
      </c>
      <c r="C80" s="335">
        <v>45505</v>
      </c>
      <c r="D80" s="335">
        <v>17076</v>
      </c>
      <c r="E80" s="335"/>
      <c r="F80" s="335"/>
      <c r="G80" s="335"/>
      <c r="H80" s="320"/>
    </row>
    <row r="81" spans="1:8" ht="12" outlineLevel="2">
      <c r="A81" s="319" t="s">
        <v>96</v>
      </c>
      <c r="B81" s="330">
        <v>59673</v>
      </c>
      <c r="C81" s="335">
        <v>58873</v>
      </c>
      <c r="D81" s="335">
        <v>800</v>
      </c>
      <c r="E81" s="335"/>
      <c r="F81" s="335"/>
      <c r="G81" s="335"/>
      <c r="H81" s="320"/>
    </row>
    <row r="82" spans="1:8" ht="12" outlineLevel="2">
      <c r="A82" s="319" t="s">
        <v>97</v>
      </c>
      <c r="B82" s="330">
        <v>59447.9</v>
      </c>
      <c r="C82" s="335">
        <v>59448</v>
      </c>
      <c r="D82" s="335"/>
      <c r="E82" s="335"/>
      <c r="F82" s="335"/>
      <c r="G82" s="335"/>
      <c r="H82" s="320"/>
    </row>
    <row r="83" spans="1:8" ht="12" outlineLevel="2">
      <c r="A83" s="319" t="s">
        <v>98</v>
      </c>
      <c r="B83" s="330">
        <v>58736.62</v>
      </c>
      <c r="C83" s="335">
        <v>47680</v>
      </c>
      <c r="D83" s="335">
        <v>11057</v>
      </c>
      <c r="E83" s="335"/>
      <c r="F83" s="335"/>
      <c r="G83" s="335"/>
      <c r="H83" s="320"/>
    </row>
    <row r="84" spans="1:8" ht="12" outlineLevel="2">
      <c r="A84" s="319" t="s">
        <v>99</v>
      </c>
      <c r="B84" s="330">
        <v>55783.61</v>
      </c>
      <c r="C84" s="335">
        <v>55784</v>
      </c>
      <c r="D84" s="335"/>
      <c r="E84" s="335"/>
      <c r="F84" s="335"/>
      <c r="G84" s="335"/>
      <c r="H84" s="320"/>
    </row>
    <row r="85" spans="1:8" ht="12" outlineLevel="2">
      <c r="A85" s="319" t="s">
        <v>100</v>
      </c>
      <c r="B85" s="330">
        <v>52419.22</v>
      </c>
      <c r="C85" s="335">
        <v>52419</v>
      </c>
      <c r="D85" s="335"/>
      <c r="E85" s="335"/>
      <c r="F85" s="335"/>
      <c r="G85" s="335"/>
      <c r="H85" s="320"/>
    </row>
    <row r="86" spans="1:8" ht="12" outlineLevel="2">
      <c r="A86" s="319" t="s">
        <v>101</v>
      </c>
      <c r="B86" s="330">
        <v>52166.08</v>
      </c>
      <c r="C86" s="335">
        <v>51516</v>
      </c>
      <c r="D86" s="335">
        <v>650</v>
      </c>
      <c r="E86" s="335"/>
      <c r="F86" s="335"/>
      <c r="G86" s="335"/>
      <c r="H86" s="320"/>
    </row>
    <row r="87" spans="1:8" ht="12" outlineLevel="2">
      <c r="A87" s="319" t="s">
        <v>102</v>
      </c>
      <c r="B87" s="330">
        <v>50819.07</v>
      </c>
      <c r="C87" s="335">
        <v>50819</v>
      </c>
      <c r="D87" s="335"/>
      <c r="E87" s="335"/>
      <c r="F87" s="335"/>
      <c r="G87" s="335"/>
      <c r="H87" s="320"/>
    </row>
    <row r="88" spans="1:8" ht="12" outlineLevel="2">
      <c r="A88" s="319" t="s">
        <v>103</v>
      </c>
      <c r="B88" s="330">
        <v>49086.12</v>
      </c>
      <c r="C88" s="335">
        <v>48986</v>
      </c>
      <c r="D88" s="335">
        <v>100</v>
      </c>
      <c r="E88" s="335"/>
      <c r="F88" s="335"/>
      <c r="G88" s="335"/>
      <c r="H88" s="320"/>
    </row>
    <row r="89" spans="1:8" ht="12" outlineLevel="2">
      <c r="A89" s="319" t="s">
        <v>104</v>
      </c>
      <c r="B89" s="330">
        <v>48055.59</v>
      </c>
      <c r="C89" s="335">
        <v>48056</v>
      </c>
      <c r="D89" s="335"/>
      <c r="E89" s="335"/>
      <c r="F89" s="335"/>
      <c r="G89" s="335"/>
      <c r="H89" s="320"/>
    </row>
    <row r="90" spans="1:8" ht="12" outlineLevel="2">
      <c r="A90" s="319" t="s">
        <v>275</v>
      </c>
      <c r="B90" s="330">
        <v>47527.97</v>
      </c>
      <c r="C90" s="335">
        <v>38981</v>
      </c>
      <c r="D90" s="335">
        <v>8547</v>
      </c>
      <c r="E90" s="335"/>
      <c r="F90" s="335"/>
      <c r="G90" s="335"/>
      <c r="H90" s="320"/>
    </row>
    <row r="91" spans="1:8" ht="12" outlineLevel="2">
      <c r="A91" s="319" t="s">
        <v>277</v>
      </c>
      <c r="B91" s="330">
        <v>45693.2</v>
      </c>
      <c r="C91" s="335">
        <v>45373</v>
      </c>
      <c r="D91" s="335">
        <v>320</v>
      </c>
      <c r="E91" s="335"/>
      <c r="F91" s="335"/>
      <c r="G91" s="335"/>
      <c r="H91" s="320"/>
    </row>
    <row r="92" spans="1:8" ht="12" outlineLevel="2">
      <c r="A92" s="319" t="s">
        <v>291</v>
      </c>
      <c r="B92" s="330">
        <v>44435.43</v>
      </c>
      <c r="C92" s="335">
        <v>44435</v>
      </c>
      <c r="D92" s="335"/>
      <c r="E92" s="335"/>
      <c r="F92" s="335"/>
      <c r="G92" s="335"/>
      <c r="H92" s="320"/>
    </row>
    <row r="93" spans="1:8" ht="12" outlineLevel="2">
      <c r="A93" s="319" t="s">
        <v>300</v>
      </c>
      <c r="B93" s="330">
        <v>43460.37</v>
      </c>
      <c r="C93" s="335">
        <v>43360</v>
      </c>
      <c r="D93" s="335">
        <v>100</v>
      </c>
      <c r="E93" s="335"/>
      <c r="F93" s="335"/>
      <c r="G93" s="335"/>
      <c r="H93" s="320"/>
    </row>
    <row r="94" spans="1:8" ht="12" outlineLevel="2">
      <c r="A94" s="319" t="s">
        <v>288</v>
      </c>
      <c r="B94" s="330">
        <v>41515.05</v>
      </c>
      <c r="C94" s="335">
        <v>33445</v>
      </c>
      <c r="D94" s="335">
        <v>8070</v>
      </c>
      <c r="E94" s="335"/>
      <c r="F94" s="335"/>
      <c r="G94" s="335"/>
      <c r="H94" s="320"/>
    </row>
    <row r="95" spans="1:8" ht="12" outlineLevel="2">
      <c r="A95" s="319" t="s">
        <v>303</v>
      </c>
      <c r="B95" s="330">
        <v>40098.9</v>
      </c>
      <c r="C95" s="335">
        <v>40099</v>
      </c>
      <c r="D95" s="335"/>
      <c r="E95" s="335"/>
      <c r="F95" s="335"/>
      <c r="G95" s="335"/>
      <c r="H95" s="320"/>
    </row>
    <row r="96" spans="1:8" ht="12" outlineLevel="2">
      <c r="A96" s="319" t="s">
        <v>265</v>
      </c>
      <c r="B96" s="330">
        <v>38750.94</v>
      </c>
      <c r="C96" s="335">
        <v>30326</v>
      </c>
      <c r="D96" s="335">
        <v>8425</v>
      </c>
      <c r="E96" s="335"/>
      <c r="F96" s="335"/>
      <c r="G96" s="335"/>
      <c r="H96" s="320"/>
    </row>
    <row r="97" spans="1:8" ht="12" outlineLevel="2">
      <c r="A97" s="319" t="s">
        <v>278</v>
      </c>
      <c r="B97" s="330">
        <v>38538.95</v>
      </c>
      <c r="C97" s="335">
        <v>37894</v>
      </c>
      <c r="D97" s="335">
        <v>645</v>
      </c>
      <c r="E97" s="335"/>
      <c r="F97" s="335"/>
      <c r="G97" s="335"/>
      <c r="H97" s="320"/>
    </row>
    <row r="98" spans="1:8" ht="12" outlineLevel="2">
      <c r="A98" s="319" t="s">
        <v>264</v>
      </c>
      <c r="B98" s="330">
        <v>37562.41</v>
      </c>
      <c r="C98" s="335">
        <v>32456</v>
      </c>
      <c r="D98" s="335">
        <v>6</v>
      </c>
      <c r="E98" s="335"/>
      <c r="F98" s="335">
        <v>5100</v>
      </c>
      <c r="G98" s="335"/>
      <c r="H98" s="320"/>
    </row>
    <row r="99" spans="1:8" ht="12" outlineLevel="2">
      <c r="A99" s="319" t="s">
        <v>263</v>
      </c>
      <c r="B99" s="330">
        <v>37238.77</v>
      </c>
      <c r="C99" s="335">
        <v>37239</v>
      </c>
      <c r="D99" s="335"/>
      <c r="E99" s="335"/>
      <c r="F99" s="335"/>
      <c r="G99" s="335"/>
      <c r="H99" s="320"/>
    </row>
    <row r="100" spans="1:8" ht="12" outlineLevel="2">
      <c r="A100" s="319" t="s">
        <v>279</v>
      </c>
      <c r="B100" s="330">
        <v>36147.54</v>
      </c>
      <c r="C100" s="335">
        <v>29809</v>
      </c>
      <c r="D100" s="335">
        <v>6339</v>
      </c>
      <c r="E100" s="335"/>
      <c r="F100" s="335"/>
      <c r="G100" s="335"/>
      <c r="H100" s="320"/>
    </row>
    <row r="101" spans="1:8" ht="12" outlineLevel="2">
      <c r="A101" s="319" t="s">
        <v>268</v>
      </c>
      <c r="B101" s="330">
        <v>35668.72</v>
      </c>
      <c r="C101" s="335">
        <v>35665</v>
      </c>
      <c r="D101" s="335">
        <v>4</v>
      </c>
      <c r="E101" s="335"/>
      <c r="F101" s="335"/>
      <c r="G101" s="335"/>
      <c r="H101" s="320"/>
    </row>
    <row r="102" spans="1:8" ht="12" outlineLevel="2">
      <c r="A102" s="319" t="s">
        <v>286</v>
      </c>
      <c r="B102" s="330">
        <v>34467.18</v>
      </c>
      <c r="C102" s="335">
        <v>34247</v>
      </c>
      <c r="D102" s="335">
        <v>220</v>
      </c>
      <c r="E102" s="335"/>
      <c r="F102" s="335"/>
      <c r="G102" s="335"/>
      <c r="H102" s="320"/>
    </row>
    <row r="103" spans="1:8" ht="12" outlineLevel="2">
      <c r="A103" s="319" t="s">
        <v>281</v>
      </c>
      <c r="B103" s="330">
        <v>33601.63</v>
      </c>
      <c r="C103" s="335">
        <v>33602</v>
      </c>
      <c r="D103" s="335"/>
      <c r="E103" s="335"/>
      <c r="F103" s="335"/>
      <c r="G103" s="335"/>
      <c r="H103" s="320"/>
    </row>
    <row r="104" spans="1:8" ht="12" outlineLevel="2">
      <c r="A104" s="319" t="s">
        <v>266</v>
      </c>
      <c r="B104" s="330">
        <v>32985.61</v>
      </c>
      <c r="C104" s="335">
        <v>32186</v>
      </c>
      <c r="D104" s="335">
        <v>800</v>
      </c>
      <c r="E104" s="335"/>
      <c r="F104" s="335"/>
      <c r="G104" s="335"/>
      <c r="H104" s="320"/>
    </row>
    <row r="105" spans="1:8" ht="12" outlineLevel="2">
      <c r="A105" s="319" t="s">
        <v>105</v>
      </c>
      <c r="B105" s="330">
        <v>32742.14</v>
      </c>
      <c r="C105" s="335">
        <v>32742</v>
      </c>
      <c r="D105" s="335"/>
      <c r="E105" s="335"/>
      <c r="F105" s="335"/>
      <c r="G105" s="335"/>
      <c r="H105" s="320"/>
    </row>
    <row r="106" spans="1:8" ht="12" outlineLevel="2">
      <c r="A106" s="319" t="s">
        <v>269</v>
      </c>
      <c r="B106" s="330">
        <v>32463.67</v>
      </c>
      <c r="C106" s="335">
        <v>32022</v>
      </c>
      <c r="D106" s="335">
        <v>442</v>
      </c>
      <c r="E106" s="335"/>
      <c r="F106" s="335"/>
      <c r="G106" s="335"/>
      <c r="H106" s="320"/>
    </row>
    <row r="107" spans="1:8" ht="12" outlineLevel="2">
      <c r="A107" s="319" t="s">
        <v>297</v>
      </c>
      <c r="B107" s="330">
        <v>30779.51</v>
      </c>
      <c r="C107" s="335">
        <v>11779</v>
      </c>
      <c r="D107" s="335">
        <v>19000</v>
      </c>
      <c r="E107" s="335"/>
      <c r="F107" s="335"/>
      <c r="G107" s="335"/>
      <c r="H107" s="320"/>
    </row>
    <row r="108" spans="1:8" ht="12" outlineLevel="2">
      <c r="A108" s="319" t="s">
        <v>267</v>
      </c>
      <c r="B108" s="330">
        <v>30203.38</v>
      </c>
      <c r="C108" s="335">
        <v>29845</v>
      </c>
      <c r="D108" s="335">
        <v>358</v>
      </c>
      <c r="E108" s="335"/>
      <c r="F108" s="335"/>
      <c r="G108" s="335"/>
      <c r="H108" s="320"/>
    </row>
    <row r="109" spans="1:8" ht="12" outlineLevel="2">
      <c r="A109" s="319" t="s">
        <v>270</v>
      </c>
      <c r="B109" s="330">
        <v>30178.68</v>
      </c>
      <c r="C109" s="335">
        <v>29732</v>
      </c>
      <c r="D109" s="335">
        <v>447</v>
      </c>
      <c r="E109" s="335"/>
      <c r="F109" s="335"/>
      <c r="G109" s="335"/>
      <c r="H109" s="320"/>
    </row>
    <row r="110" spans="1:8" ht="12" outlineLevel="2">
      <c r="A110" s="319" t="s">
        <v>287</v>
      </c>
      <c r="B110" s="330">
        <v>28608.76</v>
      </c>
      <c r="C110" s="335">
        <v>24063</v>
      </c>
      <c r="D110" s="335">
        <v>4546</v>
      </c>
      <c r="E110" s="335"/>
      <c r="F110" s="335"/>
      <c r="G110" s="335"/>
      <c r="H110" s="320"/>
    </row>
    <row r="111" spans="1:8" ht="12" outlineLevel="2">
      <c r="A111" s="319" t="s">
        <v>283</v>
      </c>
      <c r="B111" s="330">
        <v>26667.96</v>
      </c>
      <c r="C111" s="335">
        <v>26668</v>
      </c>
      <c r="D111" s="335"/>
      <c r="E111" s="335"/>
      <c r="F111" s="335"/>
      <c r="G111" s="335"/>
      <c r="H111" s="320"/>
    </row>
    <row r="112" spans="1:8" ht="12" outlineLevel="2">
      <c r="A112" s="319" t="s">
        <v>294</v>
      </c>
      <c r="B112" s="330">
        <v>25678.58</v>
      </c>
      <c r="C112" s="335">
        <v>100</v>
      </c>
      <c r="D112" s="335">
        <v>25579</v>
      </c>
      <c r="E112" s="335"/>
      <c r="F112" s="335"/>
      <c r="G112" s="335"/>
      <c r="H112" s="320"/>
    </row>
    <row r="113" spans="1:8" ht="12" outlineLevel="2">
      <c r="A113" s="319" t="s">
        <v>272</v>
      </c>
      <c r="B113" s="330">
        <v>25324.42</v>
      </c>
      <c r="C113" s="335">
        <v>25104</v>
      </c>
      <c r="D113" s="335">
        <v>220</v>
      </c>
      <c r="E113" s="335"/>
      <c r="F113" s="335"/>
      <c r="G113" s="335"/>
      <c r="H113" s="320"/>
    </row>
    <row r="114" spans="1:8" ht="12" outlineLevel="2">
      <c r="A114" s="319" t="s">
        <v>301</v>
      </c>
      <c r="B114" s="330">
        <v>25083.66</v>
      </c>
      <c r="C114" s="335">
        <v>25083</v>
      </c>
      <c r="D114" s="335"/>
      <c r="E114" s="335"/>
      <c r="F114" s="335"/>
      <c r="G114" s="335"/>
      <c r="H114" s="320"/>
    </row>
    <row r="115" spans="1:8" ht="12" outlineLevel="2">
      <c r="A115" s="319" t="s">
        <v>290</v>
      </c>
      <c r="B115" s="330">
        <v>24674.38</v>
      </c>
      <c r="C115" s="335">
        <v>24674</v>
      </c>
      <c r="D115" s="335"/>
      <c r="E115" s="335"/>
      <c r="F115" s="335"/>
      <c r="G115" s="335"/>
      <c r="H115" s="320"/>
    </row>
    <row r="116" spans="1:8" ht="12" outlineLevel="2">
      <c r="A116" s="319" t="s">
        <v>284</v>
      </c>
      <c r="B116" s="330">
        <v>23739.85</v>
      </c>
      <c r="C116" s="335">
        <v>23520</v>
      </c>
      <c r="D116" s="335">
        <v>220</v>
      </c>
      <c r="E116" s="335"/>
      <c r="F116" s="335"/>
      <c r="G116" s="335"/>
      <c r="H116" s="320"/>
    </row>
    <row r="117" spans="1:8" ht="12" outlineLevel="2">
      <c r="A117" s="319" t="s">
        <v>289</v>
      </c>
      <c r="B117" s="330">
        <v>23004.98</v>
      </c>
      <c r="C117" s="335">
        <v>23005</v>
      </c>
      <c r="D117" s="335"/>
      <c r="E117" s="335"/>
      <c r="F117" s="335"/>
      <c r="G117" s="335"/>
      <c r="H117" s="320"/>
    </row>
    <row r="118" spans="1:8" ht="12" outlineLevel="2">
      <c r="A118" s="319" t="s">
        <v>285</v>
      </c>
      <c r="B118" s="330">
        <v>22722.25</v>
      </c>
      <c r="C118" s="335">
        <v>22502</v>
      </c>
      <c r="D118" s="335">
        <v>220</v>
      </c>
      <c r="E118" s="335"/>
      <c r="F118" s="335"/>
      <c r="G118" s="335"/>
      <c r="H118" s="320"/>
    </row>
    <row r="119" spans="1:8" ht="12" outlineLevel="2">
      <c r="A119" s="319" t="s">
        <v>295</v>
      </c>
      <c r="B119" s="330">
        <v>22578.63</v>
      </c>
      <c r="C119" s="335">
        <v>22379</v>
      </c>
      <c r="D119" s="335">
        <v>200</v>
      </c>
      <c r="E119" s="335"/>
      <c r="F119" s="335"/>
      <c r="G119" s="335"/>
      <c r="H119" s="320"/>
    </row>
    <row r="120" spans="1:8" ht="12" outlineLevel="2">
      <c r="A120" s="319" t="s">
        <v>273</v>
      </c>
      <c r="B120" s="330">
        <v>22124.16</v>
      </c>
      <c r="C120" s="335">
        <v>22024</v>
      </c>
      <c r="D120" s="335">
        <v>100</v>
      </c>
      <c r="E120" s="335"/>
      <c r="F120" s="335"/>
      <c r="G120" s="335"/>
      <c r="H120" s="320"/>
    </row>
    <row r="121" spans="1:8" ht="12" outlineLevel="2">
      <c r="A121" s="319" t="s">
        <v>292</v>
      </c>
      <c r="B121" s="330">
        <v>20315.06</v>
      </c>
      <c r="C121" s="335">
        <v>20115</v>
      </c>
      <c r="D121" s="335">
        <v>200</v>
      </c>
      <c r="E121" s="335"/>
      <c r="F121" s="335"/>
      <c r="G121" s="335"/>
      <c r="H121" s="320"/>
    </row>
    <row r="122" spans="1:8" ht="12" outlineLevel="2">
      <c r="A122" s="319" t="s">
        <v>293</v>
      </c>
      <c r="B122" s="330">
        <v>20194.17</v>
      </c>
      <c r="C122" s="335">
        <v>19974</v>
      </c>
      <c r="D122" s="335">
        <v>220</v>
      </c>
      <c r="E122" s="335"/>
      <c r="F122" s="335"/>
      <c r="G122" s="335"/>
      <c r="H122" s="320"/>
    </row>
    <row r="123" spans="1:8" ht="12" outlineLevel="2">
      <c r="A123" s="319" t="s">
        <v>282</v>
      </c>
      <c r="B123" s="330">
        <v>19207.91</v>
      </c>
      <c r="C123" s="335">
        <v>18758</v>
      </c>
      <c r="D123" s="335">
        <v>450</v>
      </c>
      <c r="E123" s="335"/>
      <c r="F123" s="335"/>
      <c r="G123" s="335"/>
      <c r="H123" s="320"/>
    </row>
    <row r="124" spans="1:8" ht="12" outlineLevel="2">
      <c r="A124" s="319" t="s">
        <v>280</v>
      </c>
      <c r="B124" s="330">
        <v>17773.41</v>
      </c>
      <c r="C124" s="335">
        <v>17773</v>
      </c>
      <c r="D124" s="335"/>
      <c r="E124" s="335"/>
      <c r="F124" s="335"/>
      <c r="G124" s="335"/>
      <c r="H124" s="320"/>
    </row>
    <row r="125" spans="1:8" ht="12" outlineLevel="2">
      <c r="A125" s="319" t="s">
        <v>274</v>
      </c>
      <c r="B125" s="330">
        <v>15680.42</v>
      </c>
      <c r="C125" s="335">
        <v>15230</v>
      </c>
      <c r="D125" s="335">
        <v>450</v>
      </c>
      <c r="E125" s="335"/>
      <c r="F125" s="335"/>
      <c r="G125" s="335"/>
      <c r="H125" s="320"/>
    </row>
    <row r="126" spans="1:8" ht="12" outlineLevel="2">
      <c r="A126" s="319" t="s">
        <v>271</v>
      </c>
      <c r="B126" s="330">
        <v>15011.23</v>
      </c>
      <c r="C126" s="335">
        <v>15011</v>
      </c>
      <c r="D126" s="335"/>
      <c r="E126" s="335"/>
      <c r="F126" s="335"/>
      <c r="G126" s="335"/>
      <c r="H126" s="320"/>
    </row>
    <row r="127" spans="1:8" ht="12" outlineLevel="2">
      <c r="A127" s="319" t="s">
        <v>293</v>
      </c>
      <c r="B127" s="330">
        <v>14342.57</v>
      </c>
      <c r="C127" s="335"/>
      <c r="D127" s="335"/>
      <c r="E127" s="335">
        <v>14343</v>
      </c>
      <c r="F127" s="335"/>
      <c r="G127" s="335"/>
      <c r="H127" s="320"/>
    </row>
    <row r="128" spans="1:8" ht="12" outlineLevel="2">
      <c r="A128" s="319" t="s">
        <v>296</v>
      </c>
      <c r="B128" s="330">
        <v>14207.82</v>
      </c>
      <c r="C128" s="335">
        <v>14208</v>
      </c>
      <c r="D128" s="335"/>
      <c r="E128" s="335"/>
      <c r="F128" s="335"/>
      <c r="G128" s="335"/>
      <c r="H128" s="320"/>
    </row>
    <row r="129" spans="1:8" ht="12" outlineLevel="2">
      <c r="A129" s="319" t="s">
        <v>304</v>
      </c>
      <c r="B129" s="330">
        <v>14000</v>
      </c>
      <c r="C129" s="335"/>
      <c r="D129" s="335">
        <v>14000</v>
      </c>
      <c r="E129" s="335"/>
      <c r="F129" s="335"/>
      <c r="G129" s="335"/>
      <c r="H129" s="320"/>
    </row>
    <row r="130" spans="1:8" ht="12" outlineLevel="2">
      <c r="A130" s="319" t="s">
        <v>298</v>
      </c>
      <c r="B130" s="330">
        <v>9829.74</v>
      </c>
      <c r="C130" s="335">
        <v>9830</v>
      </c>
      <c r="D130" s="335"/>
      <c r="E130" s="335"/>
      <c r="F130" s="335"/>
      <c r="G130" s="335"/>
      <c r="H130" s="320"/>
    </row>
    <row r="131" spans="1:8" ht="12" outlineLevel="2">
      <c r="A131" s="319" t="s">
        <v>87</v>
      </c>
      <c r="B131" s="330">
        <v>7026.14</v>
      </c>
      <c r="C131" s="335">
        <v>7026</v>
      </c>
      <c r="D131" s="335"/>
      <c r="E131" s="335"/>
      <c r="F131" s="335"/>
      <c r="G131" s="335"/>
      <c r="H131" s="320"/>
    </row>
    <row r="132" spans="1:8" ht="12.75" outlineLevel="2" thickBot="1">
      <c r="A132" s="321" t="s">
        <v>305</v>
      </c>
      <c r="B132" s="331">
        <v>4756</v>
      </c>
      <c r="C132" s="336">
        <v>4756</v>
      </c>
      <c r="D132" s="336"/>
      <c r="E132" s="336"/>
      <c r="F132" s="336"/>
      <c r="G132" s="336"/>
      <c r="H132" s="322"/>
    </row>
    <row r="133" spans="1:8" ht="12.75" outlineLevel="1" thickBot="1">
      <c r="A133" s="323"/>
      <c r="B133" s="332">
        <f aca="true" t="shared" si="1" ref="B133:G133">SUBTOTAL(9,B70:B132)</f>
        <v>2597645.2900000005</v>
      </c>
      <c r="C133" s="337">
        <f t="shared" si="1"/>
        <v>2387801</v>
      </c>
      <c r="D133" s="337">
        <f t="shared" si="1"/>
        <v>184649</v>
      </c>
      <c r="E133" s="337">
        <f t="shared" si="1"/>
        <v>14343</v>
      </c>
      <c r="F133" s="337">
        <f t="shared" si="1"/>
        <v>10852</v>
      </c>
      <c r="G133" s="337">
        <f t="shared" si="1"/>
        <v>0</v>
      </c>
      <c r="H133" s="324">
        <f>B133/$B$184</f>
        <v>0.9049524835070969</v>
      </c>
    </row>
    <row r="134" spans="1:8" ht="12" outlineLevel="1">
      <c r="A134" s="325"/>
      <c r="B134" s="155"/>
      <c r="C134" s="155"/>
      <c r="D134" s="155"/>
      <c r="E134" s="155"/>
      <c r="F134" s="155"/>
      <c r="G134" s="155"/>
      <c r="H134" s="326"/>
    </row>
    <row r="135" spans="1:8" ht="12" outlineLevel="1">
      <c r="A135" s="325"/>
      <c r="B135" s="155"/>
      <c r="C135" s="155"/>
      <c r="D135" s="155"/>
      <c r="E135" s="155"/>
      <c r="F135" s="155"/>
      <c r="G135" s="155"/>
      <c r="H135" s="326"/>
    </row>
    <row r="136" spans="1:8" ht="12" outlineLevel="1">
      <c r="A136" s="325"/>
      <c r="B136" s="155"/>
      <c r="C136" s="155"/>
      <c r="D136" s="155"/>
      <c r="E136" s="155"/>
      <c r="F136" s="155"/>
      <c r="G136" s="155"/>
      <c r="H136" s="326"/>
    </row>
    <row r="137" spans="1:8" ht="12" outlineLevel="1">
      <c r="A137" s="325"/>
      <c r="B137" s="155"/>
      <c r="C137" s="155"/>
      <c r="D137" s="155"/>
      <c r="E137" s="155"/>
      <c r="F137" s="155"/>
      <c r="G137" s="155"/>
      <c r="H137" s="326"/>
    </row>
    <row r="138" spans="1:8" ht="13.5" outlineLevel="1" thickBot="1">
      <c r="A138" s="122" t="s">
        <v>337</v>
      </c>
      <c r="B138" s="155"/>
      <c r="C138" s="155"/>
      <c r="D138" s="155"/>
      <c r="E138" s="155"/>
      <c r="F138" s="155"/>
      <c r="G138" s="155"/>
      <c r="H138" s="326"/>
    </row>
    <row r="139" spans="1:8" ht="24.75" outlineLevel="1" thickBot="1">
      <c r="A139" s="316"/>
      <c r="B139" s="329" t="s">
        <v>332</v>
      </c>
      <c r="C139" s="350" t="s">
        <v>242</v>
      </c>
      <c r="D139" s="317" t="s">
        <v>243</v>
      </c>
      <c r="E139" s="350" t="s">
        <v>244</v>
      </c>
      <c r="F139" s="317" t="s">
        <v>245</v>
      </c>
      <c r="G139" s="350" t="s">
        <v>246</v>
      </c>
      <c r="H139" s="318"/>
    </row>
    <row r="140" spans="1:8" ht="12.75" outlineLevel="1" thickBot="1">
      <c r="A140" s="338" t="s">
        <v>247</v>
      </c>
      <c r="B140" s="339" t="s">
        <v>248</v>
      </c>
      <c r="C140" s="340" t="s">
        <v>249</v>
      </c>
      <c r="D140" s="345" t="s">
        <v>250</v>
      </c>
      <c r="E140" s="339" t="s">
        <v>251</v>
      </c>
      <c r="F140" s="344" t="s">
        <v>252</v>
      </c>
      <c r="G140" s="339" t="s">
        <v>253</v>
      </c>
      <c r="H140" s="342" t="s">
        <v>254</v>
      </c>
    </row>
    <row r="141" spans="1:8" ht="12" outlineLevel="2">
      <c r="A141" s="346" t="s">
        <v>306</v>
      </c>
      <c r="B141" s="349">
        <v>8588</v>
      </c>
      <c r="C141" s="349">
        <v>2128</v>
      </c>
      <c r="D141" s="349">
        <v>2128</v>
      </c>
      <c r="E141" s="349">
        <v>2128</v>
      </c>
      <c r="F141" s="349">
        <v>2204</v>
      </c>
      <c r="G141" s="349"/>
      <c r="H141" s="318"/>
    </row>
    <row r="142" spans="1:8" ht="12" outlineLevel="2">
      <c r="A142" s="347" t="s">
        <v>307</v>
      </c>
      <c r="B142" s="335">
        <v>5600</v>
      </c>
      <c r="C142" s="335"/>
      <c r="D142" s="335"/>
      <c r="E142" s="335">
        <v>5600</v>
      </c>
      <c r="F142" s="335"/>
      <c r="G142" s="335"/>
      <c r="H142" s="320"/>
    </row>
    <row r="143" spans="1:8" ht="12" outlineLevel="2">
      <c r="A143" s="347" t="s">
        <v>96</v>
      </c>
      <c r="B143" s="335">
        <v>5321.12</v>
      </c>
      <c r="C143" s="335">
        <v>1338</v>
      </c>
      <c r="D143" s="335"/>
      <c r="E143" s="335">
        <v>1250</v>
      </c>
      <c r="F143" s="335">
        <v>2733</v>
      </c>
      <c r="G143" s="335"/>
      <c r="H143" s="320"/>
    </row>
    <row r="144" spans="1:8" ht="12" outlineLevel="2">
      <c r="A144" s="347" t="s">
        <v>302</v>
      </c>
      <c r="B144" s="335">
        <v>5155.74</v>
      </c>
      <c r="C144" s="335">
        <v>3203</v>
      </c>
      <c r="D144" s="335"/>
      <c r="E144" s="335"/>
      <c r="F144" s="335"/>
      <c r="G144" s="335">
        <v>1952</v>
      </c>
      <c r="H144" s="320"/>
    </row>
    <row r="145" spans="1:8" ht="12" outlineLevel="2">
      <c r="A145" s="347" t="s">
        <v>90</v>
      </c>
      <c r="B145" s="335">
        <v>4981.76</v>
      </c>
      <c r="C145" s="335">
        <v>4982</v>
      </c>
      <c r="D145" s="335"/>
      <c r="E145" s="335"/>
      <c r="F145" s="335"/>
      <c r="G145" s="335"/>
      <c r="H145" s="320"/>
    </row>
    <row r="146" spans="1:8" ht="12" outlineLevel="2">
      <c r="A146" s="347" t="s">
        <v>308</v>
      </c>
      <c r="B146" s="335">
        <v>4674</v>
      </c>
      <c r="C146" s="335">
        <v>2386</v>
      </c>
      <c r="D146" s="335"/>
      <c r="E146" s="335">
        <v>2288</v>
      </c>
      <c r="F146" s="335"/>
      <c r="G146" s="335"/>
      <c r="H146" s="320"/>
    </row>
    <row r="147" spans="1:8" ht="12" outlineLevel="2">
      <c r="A147" s="347" t="s">
        <v>309</v>
      </c>
      <c r="B147" s="335">
        <v>4666</v>
      </c>
      <c r="C147" s="335">
        <v>3808</v>
      </c>
      <c r="D147" s="335"/>
      <c r="E147" s="335"/>
      <c r="F147" s="335">
        <v>858</v>
      </c>
      <c r="G147" s="335"/>
      <c r="H147" s="320"/>
    </row>
    <row r="148" spans="1:8" ht="12" outlineLevel="2">
      <c r="A148" s="347" t="s">
        <v>310</v>
      </c>
      <c r="B148" s="335">
        <v>4531.8</v>
      </c>
      <c r="C148" s="335"/>
      <c r="D148" s="335"/>
      <c r="E148" s="335">
        <v>2184</v>
      </c>
      <c r="F148" s="335">
        <v>2348</v>
      </c>
      <c r="G148" s="335"/>
      <c r="H148" s="320"/>
    </row>
    <row r="149" spans="1:8" ht="12" outlineLevel="2">
      <c r="A149" s="347" t="s">
        <v>311</v>
      </c>
      <c r="B149" s="335">
        <v>4371</v>
      </c>
      <c r="C149" s="335">
        <v>336</v>
      </c>
      <c r="D149" s="335">
        <v>336</v>
      </c>
      <c r="E149" s="335">
        <v>336</v>
      </c>
      <c r="F149" s="335">
        <v>3360</v>
      </c>
      <c r="G149" s="335">
        <v>3</v>
      </c>
      <c r="H149" s="320"/>
    </row>
    <row r="150" spans="1:8" ht="12" outlineLevel="2">
      <c r="A150" s="347" t="s">
        <v>313</v>
      </c>
      <c r="B150" s="335">
        <v>3541.5</v>
      </c>
      <c r="C150" s="335">
        <v>1008</v>
      </c>
      <c r="D150" s="335"/>
      <c r="E150" s="335"/>
      <c r="F150" s="335">
        <v>2534</v>
      </c>
      <c r="G150" s="335"/>
      <c r="H150" s="320"/>
    </row>
    <row r="151" spans="1:8" ht="12" outlineLevel="2">
      <c r="A151" s="347" t="s">
        <v>278</v>
      </c>
      <c r="B151" s="335">
        <v>3072.18</v>
      </c>
      <c r="C151" s="335">
        <v>996</v>
      </c>
      <c r="D151" s="335"/>
      <c r="E151" s="335">
        <v>992</v>
      </c>
      <c r="F151" s="335">
        <v>1084</v>
      </c>
      <c r="G151" s="335"/>
      <c r="H151" s="320"/>
    </row>
    <row r="152" spans="1:8" ht="12" outlineLevel="2">
      <c r="A152" s="347" t="s">
        <v>89</v>
      </c>
      <c r="B152" s="335">
        <v>3000.48</v>
      </c>
      <c r="C152" s="335">
        <v>3000</v>
      </c>
      <c r="D152" s="335"/>
      <c r="E152" s="335"/>
      <c r="F152" s="335"/>
      <c r="G152" s="335"/>
      <c r="H152" s="320"/>
    </row>
    <row r="153" spans="1:8" ht="12" outlineLevel="2">
      <c r="A153" s="347" t="s">
        <v>312</v>
      </c>
      <c r="B153" s="335">
        <v>2288</v>
      </c>
      <c r="C153" s="335">
        <v>672</v>
      </c>
      <c r="D153" s="335">
        <v>672</v>
      </c>
      <c r="E153" s="335">
        <v>624</v>
      </c>
      <c r="F153" s="335">
        <v>320</v>
      </c>
      <c r="G153" s="335"/>
      <c r="H153" s="320"/>
    </row>
    <row r="154" spans="1:8" ht="12" outlineLevel="2">
      <c r="A154" s="347" t="s">
        <v>314</v>
      </c>
      <c r="B154" s="335">
        <v>2008</v>
      </c>
      <c r="C154" s="335"/>
      <c r="D154" s="335">
        <v>224</v>
      </c>
      <c r="E154" s="335">
        <v>224</v>
      </c>
      <c r="F154" s="335">
        <v>1560</v>
      </c>
      <c r="G154" s="335"/>
      <c r="H154" s="320"/>
    </row>
    <row r="155" spans="1:8" ht="12" outlineLevel="2">
      <c r="A155" s="347" t="s">
        <v>283</v>
      </c>
      <c r="B155" s="335">
        <v>1463.84</v>
      </c>
      <c r="C155" s="335">
        <v>1464</v>
      </c>
      <c r="D155" s="335"/>
      <c r="E155" s="335"/>
      <c r="F155" s="335"/>
      <c r="G155" s="335"/>
      <c r="H155" s="320"/>
    </row>
    <row r="156" spans="1:8" ht="12" outlineLevel="2">
      <c r="A156" s="347" t="s">
        <v>104</v>
      </c>
      <c r="B156" s="335">
        <v>1383.31</v>
      </c>
      <c r="C156" s="335">
        <v>-719</v>
      </c>
      <c r="D156" s="335"/>
      <c r="E156" s="335">
        <v>2102</v>
      </c>
      <c r="F156" s="335"/>
      <c r="G156" s="335"/>
      <c r="H156" s="320"/>
    </row>
    <row r="157" spans="1:8" ht="12" outlineLevel="2">
      <c r="A157" s="347" t="s">
        <v>315</v>
      </c>
      <c r="B157" s="335">
        <v>1348</v>
      </c>
      <c r="C157" s="335">
        <v>896</v>
      </c>
      <c r="D157" s="335"/>
      <c r="E157" s="335">
        <v>448</v>
      </c>
      <c r="F157" s="335">
        <v>4</v>
      </c>
      <c r="G157" s="335"/>
      <c r="H157" s="320"/>
    </row>
    <row r="158" spans="1:8" ht="12" outlineLevel="2">
      <c r="A158" s="347" t="s">
        <v>87</v>
      </c>
      <c r="B158" s="335">
        <v>1345.12</v>
      </c>
      <c r="C158" s="335"/>
      <c r="D158" s="335">
        <v>344</v>
      </c>
      <c r="E158" s="335">
        <v>435</v>
      </c>
      <c r="F158" s="335">
        <v>567</v>
      </c>
      <c r="G158" s="335"/>
      <c r="H158" s="320"/>
    </row>
    <row r="159" spans="1:8" ht="12" outlineLevel="2">
      <c r="A159" s="347" t="s">
        <v>86</v>
      </c>
      <c r="B159" s="335">
        <v>1265.6</v>
      </c>
      <c r="C159" s="335">
        <v>1245</v>
      </c>
      <c r="D159" s="335"/>
      <c r="E159" s="335">
        <v>20</v>
      </c>
      <c r="F159" s="335"/>
      <c r="G159" s="335"/>
      <c r="H159" s="320"/>
    </row>
    <row r="160" spans="1:8" ht="12" outlineLevel="2">
      <c r="A160" s="347" t="s">
        <v>264</v>
      </c>
      <c r="B160" s="335">
        <v>1195</v>
      </c>
      <c r="C160" s="335">
        <v>484</v>
      </c>
      <c r="D160" s="335"/>
      <c r="E160" s="335"/>
      <c r="F160" s="335">
        <v>711</v>
      </c>
      <c r="G160" s="335"/>
      <c r="H160" s="320"/>
    </row>
    <row r="161" spans="1:8" ht="12" outlineLevel="2">
      <c r="A161" s="347" t="s">
        <v>265</v>
      </c>
      <c r="B161" s="335">
        <v>1183.84</v>
      </c>
      <c r="C161" s="335">
        <v>1184</v>
      </c>
      <c r="D161" s="335"/>
      <c r="E161" s="335"/>
      <c r="F161" s="335"/>
      <c r="G161" s="335"/>
      <c r="H161" s="320"/>
    </row>
    <row r="162" spans="1:8" ht="12" outlineLevel="2">
      <c r="A162" s="347" t="s">
        <v>316</v>
      </c>
      <c r="B162" s="335">
        <v>1170</v>
      </c>
      <c r="C162" s="335"/>
      <c r="D162" s="335"/>
      <c r="E162" s="335">
        <v>1170</v>
      </c>
      <c r="F162" s="335"/>
      <c r="G162" s="335"/>
      <c r="H162" s="320"/>
    </row>
    <row r="163" spans="1:8" ht="12" outlineLevel="2">
      <c r="A163" s="347" t="s">
        <v>317</v>
      </c>
      <c r="B163" s="335">
        <v>1166.28</v>
      </c>
      <c r="C163" s="335">
        <v>1166</v>
      </c>
      <c r="D163" s="335"/>
      <c r="E163" s="335"/>
      <c r="F163" s="335"/>
      <c r="G163" s="335"/>
      <c r="H163" s="320"/>
    </row>
    <row r="164" spans="1:8" ht="12" outlineLevel="2">
      <c r="A164" s="347" t="s">
        <v>318</v>
      </c>
      <c r="B164" s="335">
        <v>1071</v>
      </c>
      <c r="C164" s="335"/>
      <c r="D164" s="335"/>
      <c r="E164" s="335">
        <v>1008</v>
      </c>
      <c r="F164" s="335">
        <v>63</v>
      </c>
      <c r="G164" s="335"/>
      <c r="H164" s="320"/>
    </row>
    <row r="165" spans="1:8" ht="12" outlineLevel="2">
      <c r="A165" s="347" t="s">
        <v>281</v>
      </c>
      <c r="B165" s="335">
        <v>1020.32</v>
      </c>
      <c r="C165" s="335">
        <v>1020</v>
      </c>
      <c r="D165" s="335"/>
      <c r="E165" s="335"/>
      <c r="F165" s="335"/>
      <c r="G165" s="335"/>
      <c r="H165" s="320"/>
    </row>
    <row r="166" spans="1:8" ht="12" outlineLevel="2">
      <c r="A166" s="347" t="s">
        <v>319</v>
      </c>
      <c r="B166" s="335">
        <v>1008</v>
      </c>
      <c r="C166" s="335"/>
      <c r="D166" s="335"/>
      <c r="E166" s="335">
        <v>1008</v>
      </c>
      <c r="F166" s="335"/>
      <c r="G166" s="335"/>
      <c r="H166" s="320"/>
    </row>
    <row r="167" spans="1:8" ht="12" outlineLevel="2">
      <c r="A167" s="347" t="s">
        <v>320</v>
      </c>
      <c r="B167" s="335">
        <v>1002</v>
      </c>
      <c r="C167" s="335"/>
      <c r="D167" s="335"/>
      <c r="E167" s="335"/>
      <c r="F167" s="335">
        <v>336</v>
      </c>
      <c r="G167" s="335">
        <v>666</v>
      </c>
      <c r="H167" s="320"/>
    </row>
    <row r="168" spans="1:8" ht="12" outlineLevel="2">
      <c r="A168" s="347" t="s">
        <v>266</v>
      </c>
      <c r="B168" s="335">
        <v>984.48</v>
      </c>
      <c r="C168" s="335">
        <v>500</v>
      </c>
      <c r="D168" s="335">
        <v>485</v>
      </c>
      <c r="E168" s="335"/>
      <c r="F168" s="335"/>
      <c r="G168" s="335"/>
      <c r="H168" s="320"/>
    </row>
    <row r="169" spans="1:8" ht="12" outlineLevel="2">
      <c r="A169" s="347" t="s">
        <v>321</v>
      </c>
      <c r="B169" s="335">
        <v>880</v>
      </c>
      <c r="C169" s="335">
        <v>220</v>
      </c>
      <c r="D169" s="335">
        <v>220</v>
      </c>
      <c r="E169" s="335">
        <v>220</v>
      </c>
      <c r="F169" s="335">
        <v>220</v>
      </c>
      <c r="G169" s="335"/>
      <c r="H169" s="320"/>
    </row>
    <row r="170" spans="1:8" ht="12" outlineLevel="2">
      <c r="A170" s="347" t="s">
        <v>322</v>
      </c>
      <c r="B170" s="335">
        <v>805</v>
      </c>
      <c r="C170" s="335"/>
      <c r="D170" s="335"/>
      <c r="E170" s="335">
        <v>718</v>
      </c>
      <c r="F170" s="335">
        <v>88</v>
      </c>
      <c r="G170" s="335"/>
      <c r="H170" s="320"/>
    </row>
    <row r="171" spans="1:8" ht="12" outlineLevel="2">
      <c r="A171" s="347" t="s">
        <v>89</v>
      </c>
      <c r="B171" s="335">
        <v>769.44</v>
      </c>
      <c r="C171" s="335">
        <v>769</v>
      </c>
      <c r="D171" s="335"/>
      <c r="E171" s="335"/>
      <c r="F171" s="335"/>
      <c r="G171" s="335"/>
      <c r="H171" s="320"/>
    </row>
    <row r="172" spans="1:8" ht="12" outlineLevel="2">
      <c r="A172" s="347" t="s">
        <v>305</v>
      </c>
      <c r="B172" s="335">
        <v>720.72</v>
      </c>
      <c r="C172" s="335">
        <v>721</v>
      </c>
      <c r="D172" s="335"/>
      <c r="E172" s="335"/>
      <c r="F172" s="335"/>
      <c r="G172" s="335"/>
      <c r="H172" s="320"/>
    </row>
    <row r="173" spans="1:8" ht="12" outlineLevel="2">
      <c r="A173" s="347" t="s">
        <v>105</v>
      </c>
      <c r="B173" s="335">
        <v>704.38</v>
      </c>
      <c r="C173" s="335">
        <v>452</v>
      </c>
      <c r="D173" s="335"/>
      <c r="E173" s="335">
        <v>252</v>
      </c>
      <c r="F173" s="335"/>
      <c r="G173" s="335"/>
      <c r="H173" s="320"/>
    </row>
    <row r="174" spans="1:8" ht="12" outlineLevel="2">
      <c r="A174" s="347" t="s">
        <v>99</v>
      </c>
      <c r="B174" s="335">
        <v>448</v>
      </c>
      <c r="C174" s="335">
        <v>112</v>
      </c>
      <c r="D174" s="335">
        <v>112</v>
      </c>
      <c r="E174" s="335">
        <v>112</v>
      </c>
      <c r="F174" s="335">
        <v>112</v>
      </c>
      <c r="G174" s="335"/>
      <c r="H174" s="320"/>
    </row>
    <row r="175" spans="1:8" ht="12" outlineLevel="2">
      <c r="A175" s="347" t="s">
        <v>323</v>
      </c>
      <c r="B175" s="335">
        <v>368</v>
      </c>
      <c r="C175" s="335">
        <v>128</v>
      </c>
      <c r="D175" s="335"/>
      <c r="E175" s="335"/>
      <c r="F175" s="335">
        <v>240</v>
      </c>
      <c r="G175" s="335"/>
      <c r="H175" s="320"/>
    </row>
    <row r="176" spans="1:8" ht="12" outlineLevel="2">
      <c r="A176" s="347" t="s">
        <v>324</v>
      </c>
      <c r="B176" s="335">
        <v>348</v>
      </c>
      <c r="C176" s="335">
        <v>336</v>
      </c>
      <c r="D176" s="335">
        <v>6</v>
      </c>
      <c r="E176" s="335"/>
      <c r="F176" s="335">
        <v>6</v>
      </c>
      <c r="G176" s="335"/>
      <c r="H176" s="320"/>
    </row>
    <row r="177" spans="1:8" ht="12" outlineLevel="2">
      <c r="A177" s="347" t="s">
        <v>325</v>
      </c>
      <c r="B177" s="335">
        <v>342</v>
      </c>
      <c r="C177" s="335">
        <v>330</v>
      </c>
      <c r="D177" s="335"/>
      <c r="E177" s="335"/>
      <c r="F177" s="335">
        <v>12</v>
      </c>
      <c r="G177" s="335"/>
      <c r="H177" s="320"/>
    </row>
    <row r="178" spans="1:8" ht="12" outlineLevel="2">
      <c r="A178" s="347" t="s">
        <v>267</v>
      </c>
      <c r="B178" s="335">
        <v>224</v>
      </c>
      <c r="C178" s="335">
        <v>112</v>
      </c>
      <c r="D178" s="335">
        <v>112</v>
      </c>
      <c r="E178" s="335"/>
      <c r="F178" s="335"/>
      <c r="G178" s="335"/>
      <c r="H178" s="320"/>
    </row>
    <row r="179" spans="1:8" ht="12" outlineLevel="2">
      <c r="A179" s="347" t="s">
        <v>90</v>
      </c>
      <c r="B179" s="335">
        <v>224</v>
      </c>
      <c r="C179" s="335">
        <v>224</v>
      </c>
      <c r="D179" s="335"/>
      <c r="E179" s="335"/>
      <c r="F179" s="335"/>
      <c r="G179" s="335"/>
      <c r="H179" s="320"/>
    </row>
    <row r="180" spans="1:8" ht="12" outlineLevel="2">
      <c r="A180" s="347" t="s">
        <v>326</v>
      </c>
      <c r="B180" s="335">
        <v>168</v>
      </c>
      <c r="C180" s="335">
        <v>168</v>
      </c>
      <c r="D180" s="335"/>
      <c r="E180" s="335"/>
      <c r="F180" s="335"/>
      <c r="G180" s="335"/>
      <c r="H180" s="320"/>
    </row>
    <row r="181" spans="1:8" ht="12" outlineLevel="2">
      <c r="A181" s="347" t="s">
        <v>327</v>
      </c>
      <c r="B181" s="335">
        <v>56.25</v>
      </c>
      <c r="C181" s="335">
        <v>17</v>
      </c>
      <c r="D181" s="335"/>
      <c r="E181" s="335"/>
      <c r="F181" s="335">
        <v>40</v>
      </c>
      <c r="G181" s="335"/>
      <c r="H181" s="320"/>
    </row>
    <row r="182" spans="1:8" ht="12.75" outlineLevel="2" thickBot="1">
      <c r="A182" s="348" t="s">
        <v>328</v>
      </c>
      <c r="B182" s="336">
        <v>54</v>
      </c>
      <c r="C182" s="336">
        <v>54</v>
      </c>
      <c r="D182" s="336"/>
      <c r="E182" s="336"/>
      <c r="F182" s="336"/>
      <c r="G182" s="336"/>
      <c r="H182" s="322"/>
    </row>
    <row r="183" spans="1:8" ht="12.75" outlineLevel="1" thickBot="1">
      <c r="A183" s="323"/>
      <c r="B183" s="337">
        <f aca="true" t="shared" si="2" ref="B183:G183">SUBTOTAL(9,B141:B182)</f>
        <v>84518.16000000002</v>
      </c>
      <c r="C183" s="337">
        <f t="shared" si="2"/>
        <v>34740</v>
      </c>
      <c r="D183" s="337">
        <f t="shared" si="2"/>
        <v>4639</v>
      </c>
      <c r="E183" s="337">
        <f t="shared" si="2"/>
        <v>23119</v>
      </c>
      <c r="F183" s="337">
        <f t="shared" si="2"/>
        <v>19400</v>
      </c>
      <c r="G183" s="337">
        <f t="shared" si="2"/>
        <v>2621</v>
      </c>
      <c r="H183" s="324">
        <f>B183/$B$184</f>
        <v>0.02944394259211972</v>
      </c>
    </row>
    <row r="184" spans="1:7" ht="12">
      <c r="A184" s="327" t="s">
        <v>255</v>
      </c>
      <c r="B184" s="314">
        <f aca="true" t="shared" si="3" ref="B184:G184">SUBTOTAL(9,B10:B182)</f>
        <v>2870476.9999999995</v>
      </c>
      <c r="C184" s="314">
        <f t="shared" si="3"/>
        <v>2523713</v>
      </c>
      <c r="D184" s="314">
        <f t="shared" si="3"/>
        <v>233751</v>
      </c>
      <c r="E184" s="314">
        <f t="shared" si="3"/>
        <v>56159</v>
      </c>
      <c r="F184" s="314">
        <f t="shared" si="3"/>
        <v>49401</v>
      </c>
      <c r="G184" s="314">
        <f t="shared" si="3"/>
        <v>7455</v>
      </c>
    </row>
    <row r="185" spans="2:7" ht="12">
      <c r="B185" s="309" t="s">
        <v>262</v>
      </c>
      <c r="C185" s="314"/>
      <c r="D185" s="314"/>
      <c r="E185" s="314"/>
      <c r="F185" s="314"/>
      <c r="G185" s="314"/>
    </row>
    <row r="187" spans="1:9" ht="12.75" customHeight="1">
      <c r="A187" s="310" t="s">
        <v>256</v>
      </c>
      <c r="B187" s="369" t="s">
        <v>333</v>
      </c>
      <c r="C187" s="369"/>
      <c r="D187" s="369"/>
      <c r="E187" s="369"/>
      <c r="F187" s="369"/>
      <c r="G187" s="369"/>
      <c r="H187" s="369"/>
      <c r="I187" s="171"/>
    </row>
    <row r="188" spans="1:9" ht="12">
      <c r="A188" s="310"/>
      <c r="B188" s="123"/>
      <c r="C188" s="328"/>
      <c r="D188" s="328"/>
      <c r="E188" s="328"/>
      <c r="F188" s="328"/>
      <c r="G188" s="328"/>
      <c r="H188" s="328"/>
      <c r="I188" s="124"/>
    </row>
    <row r="189" spans="1:9" ht="12.75" customHeight="1">
      <c r="A189" s="310" t="s">
        <v>257</v>
      </c>
      <c r="B189" s="369" t="s">
        <v>334</v>
      </c>
      <c r="C189" s="369"/>
      <c r="D189" s="369"/>
      <c r="E189" s="369"/>
      <c r="F189" s="369"/>
      <c r="G189" s="369"/>
      <c r="H189" s="369"/>
      <c r="I189" s="171"/>
    </row>
    <row r="190" spans="1:9" ht="12.75" customHeight="1">
      <c r="A190" s="310"/>
      <c r="B190" s="171"/>
      <c r="C190" s="171"/>
      <c r="D190" s="171"/>
      <c r="E190" s="171"/>
      <c r="F190" s="171"/>
      <c r="G190" s="171"/>
      <c r="H190" s="171"/>
      <c r="I190" s="171"/>
    </row>
    <row r="191" spans="1:9" ht="12.75" customHeight="1">
      <c r="A191" s="310"/>
      <c r="B191" s="171"/>
      <c r="C191" s="171"/>
      <c r="D191" s="171"/>
      <c r="E191" s="171"/>
      <c r="F191" s="171"/>
      <c r="G191" s="171"/>
      <c r="H191" s="171"/>
      <c r="I191" s="171"/>
    </row>
    <row r="192" spans="2:7" ht="12">
      <c r="B192" s="270" t="s">
        <v>74</v>
      </c>
      <c r="G192" s="312"/>
    </row>
    <row r="193" spans="2:7" ht="12">
      <c r="B193" s="133" t="s">
        <v>331</v>
      </c>
      <c r="G193" s="312"/>
    </row>
  </sheetData>
  <sheetProtection/>
  <mergeCells count="2">
    <mergeCell ref="B187:H187"/>
    <mergeCell ref="B189:H189"/>
  </mergeCells>
  <printOptions/>
  <pageMargins left="1.25" right="0.68" top="0.91" bottom="1.24" header="0" footer="0"/>
  <pageSetup fitToHeight="5"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W114"/>
  <sheetViews>
    <sheetView showGridLines="0" zoomScaleSheetLayoutView="75" zoomScalePageLayoutView="0" workbookViewId="0" topLeftCell="A1">
      <pane xSplit="2" ySplit="13" topLeftCell="J14" activePane="bottomRight" state="frozen"/>
      <selection pane="topLeft" activeCell="A1" sqref="A1"/>
      <selection pane="topRight" activeCell="C1" sqref="C1"/>
      <selection pane="bottomLeft" activeCell="A13" sqref="A13"/>
      <selection pane="bottomRight" activeCell="Q8" sqref="Q8"/>
    </sheetView>
  </sheetViews>
  <sheetFormatPr defaultColWidth="8.00390625" defaultRowHeight="12.75"/>
  <cols>
    <col min="1" max="1" width="8.57421875" style="46" customWidth="1"/>
    <col min="2" max="2" width="23.7109375" style="46" customWidth="1"/>
    <col min="3" max="3" width="14.00390625" style="46" customWidth="1"/>
    <col min="4" max="4" width="15.00390625" style="46" bestFit="1" customWidth="1"/>
    <col min="5" max="5" width="13.57421875" style="46" customWidth="1"/>
    <col min="6" max="6" width="12.421875" style="46" customWidth="1"/>
    <col min="7" max="7" width="12.57421875" style="46" customWidth="1"/>
    <col min="8" max="8" width="4.7109375" style="47" customWidth="1"/>
    <col min="9" max="9" width="16.7109375" style="47" customWidth="1"/>
    <col min="10" max="10" width="13.00390625" style="47" customWidth="1"/>
    <col min="11" max="11" width="9.140625" style="47" customWidth="1"/>
    <col min="12" max="12" width="11.57421875" style="48" customWidth="1"/>
    <col min="13" max="13" width="12.421875" style="48" customWidth="1"/>
    <col min="14" max="14" width="5.421875" style="48" customWidth="1"/>
    <col min="15" max="15" width="11.28125" style="48" customWidth="1"/>
    <col min="16" max="16" width="6.28125" style="48" hidden="1" customWidth="1"/>
    <col min="17" max="17" width="12.8515625" style="48" customWidth="1"/>
    <col min="18" max="18" width="11.8515625" style="48" customWidth="1"/>
    <col min="19" max="19" width="11.421875" style="48" customWidth="1"/>
    <col min="20" max="20" width="10.8515625" style="46" customWidth="1"/>
    <col min="21" max="21" width="13.00390625" style="46" customWidth="1"/>
    <col min="22" max="16384" width="8.00390625" style="46" customWidth="1"/>
  </cols>
  <sheetData>
    <row r="1" spans="1:19" ht="30" customHeight="1">
      <c r="A1" s="356" t="s">
        <v>341</v>
      </c>
      <c r="I1" s="370"/>
      <c r="J1" s="370"/>
      <c r="K1" s="370"/>
      <c r="S1" s="360" t="s">
        <v>342</v>
      </c>
    </row>
    <row r="2" spans="1:19" ht="12.75" customHeight="1">
      <c r="A2" s="49"/>
      <c r="I2" s="351"/>
      <c r="J2" s="351"/>
      <c r="K2" s="351"/>
      <c r="S2" s="355"/>
    </row>
    <row r="3" spans="1:20" ht="12.75">
      <c r="A3" s="156" t="str">
        <f>'A-5 MovimientoCartera'!A2</f>
        <v>COMBUSTIBLE &amp; ADITIVOS S.A.</v>
      </c>
      <c r="B3" s="131"/>
      <c r="O3" s="16" t="s">
        <v>210</v>
      </c>
      <c r="P3" s="15"/>
      <c r="Q3" s="15"/>
      <c r="R3" s="59"/>
      <c r="S3" s="69"/>
      <c r="T3" s="68"/>
    </row>
    <row r="4" spans="1:19" ht="12.75">
      <c r="A4" s="156" t="s">
        <v>120</v>
      </c>
      <c r="B4" s="131"/>
      <c r="O4" s="16" t="s">
        <v>219</v>
      </c>
      <c r="P4" s="130" t="s">
        <v>211</v>
      </c>
      <c r="Q4" s="249" t="s">
        <v>234</v>
      </c>
      <c r="R4" s="59"/>
      <c r="S4" s="204"/>
    </row>
    <row r="5" spans="1:21" ht="12.75">
      <c r="A5" s="157" t="s">
        <v>124</v>
      </c>
      <c r="B5" s="131"/>
      <c r="Q5" s="76"/>
      <c r="R5" s="50"/>
      <c r="T5" s="64"/>
      <c r="U5" s="3"/>
    </row>
    <row r="6" spans="1:21" ht="12.75">
      <c r="A6" s="248"/>
      <c r="B6" s="121"/>
      <c r="Q6" s="76"/>
      <c r="R6" s="50"/>
      <c r="T6" s="64"/>
      <c r="U6" s="3"/>
    </row>
    <row r="7" spans="1:21" ht="12.75">
      <c r="A7" s="248"/>
      <c r="B7" s="121"/>
      <c r="Q7" s="76"/>
      <c r="R7" s="50"/>
      <c r="T7" s="64"/>
      <c r="U7" s="3"/>
    </row>
    <row r="8" spans="1:21" ht="12.75">
      <c r="A8" s="248"/>
      <c r="B8" s="254" t="s">
        <v>117</v>
      </c>
      <c r="C8" s="121"/>
      <c r="Q8" s="76"/>
      <c r="R8" s="50"/>
      <c r="T8" s="64"/>
      <c r="U8" s="3"/>
    </row>
    <row r="9" spans="1:21" ht="13.5" thickBot="1">
      <c r="A9" s="248"/>
      <c r="B9" s="254" t="s">
        <v>191</v>
      </c>
      <c r="C9" s="121"/>
      <c r="Q9" s="76"/>
      <c r="R9" s="50"/>
      <c r="T9" s="64"/>
      <c r="U9" s="3"/>
    </row>
    <row r="10" spans="1:21" ht="22.5" customHeight="1" thickBot="1">
      <c r="A10" s="389" t="s">
        <v>157</v>
      </c>
      <c r="B10" s="391" t="s">
        <v>180</v>
      </c>
      <c r="C10" s="393" t="s">
        <v>186</v>
      </c>
      <c r="D10" s="381" t="s">
        <v>107</v>
      </c>
      <c r="E10" s="382"/>
      <c r="F10" s="382"/>
      <c r="G10" s="383"/>
      <c r="H10" s="395"/>
      <c r="I10" s="397" t="s">
        <v>240</v>
      </c>
      <c r="J10" s="398"/>
      <c r="K10" s="395" t="s">
        <v>235</v>
      </c>
      <c r="L10" s="381" t="s">
        <v>146</v>
      </c>
      <c r="M10" s="382"/>
      <c r="N10" s="382"/>
      <c r="O10" s="383"/>
      <c r="P10" s="384" t="s">
        <v>147</v>
      </c>
      <c r="Q10" s="385"/>
      <c r="R10" s="385"/>
      <c r="S10" s="385"/>
      <c r="T10" s="386"/>
      <c r="U10" s="77"/>
    </row>
    <row r="11" spans="1:23" s="58" customFormat="1" ht="33" customHeight="1" thickBot="1">
      <c r="A11" s="390"/>
      <c r="B11" s="392"/>
      <c r="C11" s="394"/>
      <c r="D11" s="144" t="s">
        <v>178</v>
      </c>
      <c r="E11" s="144" t="s">
        <v>179</v>
      </c>
      <c r="F11" s="144" t="s">
        <v>149</v>
      </c>
      <c r="G11" s="144" t="s">
        <v>65</v>
      </c>
      <c r="H11" s="396"/>
      <c r="I11" s="145" t="s">
        <v>185</v>
      </c>
      <c r="J11" s="145" t="s">
        <v>183</v>
      </c>
      <c r="K11" s="396"/>
      <c r="L11" s="146" t="s">
        <v>66</v>
      </c>
      <c r="M11" s="146" t="s">
        <v>67</v>
      </c>
      <c r="N11" s="406" t="s">
        <v>68</v>
      </c>
      <c r="O11" s="407"/>
      <c r="P11" s="148"/>
      <c r="Q11" s="147" t="s">
        <v>69</v>
      </c>
      <c r="R11" s="148" t="s">
        <v>155</v>
      </c>
      <c r="S11" s="149" t="s">
        <v>156</v>
      </c>
      <c r="T11" s="146" t="s">
        <v>108</v>
      </c>
      <c r="W11" s="399"/>
    </row>
    <row r="12" spans="1:23" s="277" customFormat="1" ht="15.75" customHeight="1">
      <c r="A12" s="402">
        <v>3</v>
      </c>
      <c r="B12" s="403"/>
      <c r="C12" s="403"/>
      <c r="D12" s="403"/>
      <c r="E12" s="403"/>
      <c r="F12" s="403"/>
      <c r="G12" s="403"/>
      <c r="H12" s="275"/>
      <c r="I12" s="403">
        <v>3</v>
      </c>
      <c r="J12" s="403"/>
      <c r="K12" s="275"/>
      <c r="L12" s="400">
        <v>3</v>
      </c>
      <c r="M12" s="400"/>
      <c r="N12" s="400"/>
      <c r="O12" s="400"/>
      <c r="P12" s="276"/>
      <c r="Q12" s="400">
        <v>3</v>
      </c>
      <c r="R12" s="400"/>
      <c r="S12" s="400"/>
      <c r="T12" s="401"/>
      <c r="W12" s="399"/>
    </row>
    <row r="13" spans="1:23" ht="11.25" customHeight="1">
      <c r="A13" s="132"/>
      <c r="B13" s="133" t="s">
        <v>207</v>
      </c>
      <c r="C13" s="134"/>
      <c r="D13" s="133"/>
      <c r="S13" s="46"/>
      <c r="T13" s="70"/>
      <c r="W13" s="278"/>
    </row>
    <row r="14" spans="1:23" ht="18.75" customHeight="1">
      <c r="A14" s="135"/>
      <c r="B14" s="136" t="s">
        <v>70</v>
      </c>
      <c r="C14" s="137"/>
      <c r="D14" s="138"/>
      <c r="E14" s="126"/>
      <c r="F14" s="126"/>
      <c r="G14" s="126"/>
      <c r="H14" s="125"/>
      <c r="I14" s="125"/>
      <c r="J14" s="125"/>
      <c r="K14" s="125"/>
      <c r="L14" s="127"/>
      <c r="M14" s="127"/>
      <c r="N14" s="127"/>
      <c r="O14" s="128"/>
      <c r="P14" s="127"/>
      <c r="Q14" s="127"/>
      <c r="R14" s="127"/>
      <c r="S14" s="127"/>
      <c r="T14" s="129"/>
      <c r="W14" s="47"/>
    </row>
    <row r="15" spans="1:23" ht="12.75">
      <c r="A15" s="135" t="s">
        <v>158</v>
      </c>
      <c r="B15" s="138" t="s">
        <v>85</v>
      </c>
      <c r="C15" s="139" t="s">
        <v>233</v>
      </c>
      <c r="D15" s="140">
        <v>121861.98</v>
      </c>
      <c r="E15" s="140">
        <v>-72</v>
      </c>
      <c r="F15" s="140">
        <v>0</v>
      </c>
      <c r="G15" s="140">
        <f>SUM(D15:F15)</f>
        <v>121789.98</v>
      </c>
      <c r="H15" s="279"/>
      <c r="I15" s="158">
        <f>121861.98-72.27</f>
        <v>121789.70999999999</v>
      </c>
      <c r="J15" s="159" t="s">
        <v>151</v>
      </c>
      <c r="K15" s="139" t="s">
        <v>122</v>
      </c>
      <c r="L15" s="162"/>
      <c r="M15" s="140"/>
      <c r="N15" s="140"/>
      <c r="O15" s="140"/>
      <c r="P15" s="279"/>
      <c r="Q15" s="160">
        <v>119854.98</v>
      </c>
      <c r="R15" s="160">
        <f>S15-Q15</f>
        <v>40285.95</v>
      </c>
      <c r="S15" s="140">
        <v>160140.93</v>
      </c>
      <c r="T15" s="164">
        <f aca="true" t="shared" si="0" ref="T15:T35">+Q15/G15</f>
        <v>0.9841119934497075</v>
      </c>
      <c r="W15" s="47"/>
    </row>
    <row r="16" spans="1:23" ht="12.75">
      <c r="A16" s="135" t="s">
        <v>159</v>
      </c>
      <c r="B16" s="138" t="s">
        <v>86</v>
      </c>
      <c r="C16" s="139" t="s">
        <v>109</v>
      </c>
      <c r="D16" s="140">
        <v>108788.66</v>
      </c>
      <c r="E16" s="140">
        <v>0</v>
      </c>
      <c r="F16" s="140">
        <v>1266</v>
      </c>
      <c r="G16" s="140">
        <f aca="true" t="shared" si="1" ref="G16:G35">SUM(D16:F16)</f>
        <v>110054.66</v>
      </c>
      <c r="H16" s="279"/>
      <c r="I16" s="160">
        <f>108788.66</f>
        <v>108788.66</v>
      </c>
      <c r="J16" s="160">
        <v>1266</v>
      </c>
      <c r="K16" s="279"/>
      <c r="L16" s="140"/>
      <c r="M16" s="140">
        <v>62650</v>
      </c>
      <c r="N16" s="280"/>
      <c r="O16" s="140">
        <f>-(D16-M16)</f>
        <v>-46138.66</v>
      </c>
      <c r="P16" s="279"/>
      <c r="Q16" s="165">
        <v>102037</v>
      </c>
      <c r="R16" s="165">
        <f>S16-Q16</f>
        <v>102327</v>
      </c>
      <c r="S16" s="140">
        <v>204364</v>
      </c>
      <c r="T16" s="164">
        <f t="shared" si="0"/>
        <v>0.9271483824492301</v>
      </c>
      <c r="W16" s="281"/>
    </row>
    <row r="17" spans="1:23" ht="14.25" customHeight="1">
      <c r="A17" s="135" t="s">
        <v>160</v>
      </c>
      <c r="B17" s="138" t="s">
        <v>87</v>
      </c>
      <c r="C17" s="139" t="s">
        <v>106</v>
      </c>
      <c r="D17" s="140">
        <f>104091.48+7026</f>
        <v>111117.48</v>
      </c>
      <c r="E17" s="140">
        <v>0</v>
      </c>
      <c r="F17" s="140">
        <v>1345</v>
      </c>
      <c r="G17" s="140">
        <f t="shared" si="1"/>
        <v>112462.48</v>
      </c>
      <c r="H17" s="279"/>
      <c r="I17" s="160">
        <f>111117.62</f>
        <v>111117.62</v>
      </c>
      <c r="J17" s="160">
        <v>1345</v>
      </c>
      <c r="K17" s="279"/>
      <c r="L17" s="140"/>
      <c r="M17" s="140">
        <v>111943</v>
      </c>
      <c r="N17" s="140"/>
      <c r="O17" s="140">
        <f>-G17--M17</f>
        <v>-519.4799999999959</v>
      </c>
      <c r="P17" s="279"/>
      <c r="Q17" s="160">
        <v>103371</v>
      </c>
      <c r="R17" s="160">
        <f>S17-Q17</f>
        <v>24101.820000000007</v>
      </c>
      <c r="S17" s="140">
        <v>127472.82</v>
      </c>
      <c r="T17" s="164">
        <f t="shared" si="0"/>
        <v>0.919159883367324</v>
      </c>
      <c r="W17" s="281"/>
    </row>
    <row r="18" spans="1:23" ht="12.75">
      <c r="A18" s="135" t="s">
        <v>161</v>
      </c>
      <c r="B18" s="138" t="s">
        <v>88</v>
      </c>
      <c r="C18" s="139" t="s">
        <v>109</v>
      </c>
      <c r="D18" s="140">
        <v>97342.23</v>
      </c>
      <c r="E18" s="140">
        <v>980</v>
      </c>
      <c r="F18" s="140">
        <v>0</v>
      </c>
      <c r="G18" s="140">
        <f t="shared" si="1"/>
        <v>98322.23</v>
      </c>
      <c r="H18" s="279"/>
      <c r="I18" s="160">
        <f>97342.23</f>
        <v>97342.23</v>
      </c>
      <c r="J18" s="160">
        <v>980</v>
      </c>
      <c r="K18" s="279"/>
      <c r="L18" s="162"/>
      <c r="M18" s="140">
        <v>43610</v>
      </c>
      <c r="N18" s="280"/>
      <c r="O18" s="140">
        <f>-I18--M18</f>
        <v>-53732.229999999996</v>
      </c>
      <c r="P18" s="279"/>
      <c r="Q18" s="165">
        <v>43610</v>
      </c>
      <c r="R18" s="165">
        <v>0</v>
      </c>
      <c r="S18" s="140">
        <f>Q18</f>
        <v>43610</v>
      </c>
      <c r="T18" s="164">
        <f t="shared" si="0"/>
        <v>0.4435416080371652</v>
      </c>
      <c r="W18" s="281"/>
    </row>
    <row r="19" spans="1:23" ht="12.75">
      <c r="A19" s="135" t="s">
        <v>162</v>
      </c>
      <c r="B19" s="138" t="s">
        <v>89</v>
      </c>
      <c r="C19" s="139" t="s">
        <v>109</v>
      </c>
      <c r="D19" s="140">
        <v>78828.09</v>
      </c>
      <c r="E19" s="140">
        <v>5175</v>
      </c>
      <c r="F19" s="140">
        <f>3000+769</f>
        <v>3769</v>
      </c>
      <c r="G19" s="140">
        <f t="shared" si="1"/>
        <v>87772.09</v>
      </c>
      <c r="H19" s="279"/>
      <c r="I19" s="160">
        <v>78828</v>
      </c>
      <c r="J19" s="161">
        <f>5174.78+3769.92</f>
        <v>8944.7</v>
      </c>
      <c r="K19" s="139" t="s">
        <v>122</v>
      </c>
      <c r="L19" s="140"/>
      <c r="M19" s="140"/>
      <c r="N19" s="140"/>
      <c r="O19" s="140">
        <f>-D19--M19</f>
        <v>-78828.09</v>
      </c>
      <c r="P19" s="279"/>
      <c r="Q19" s="160">
        <v>78828</v>
      </c>
      <c r="R19" s="160">
        <f aca="true" t="shared" si="2" ref="R19:R35">S19-Q19</f>
        <v>87385.62</v>
      </c>
      <c r="S19" s="140">
        <v>166213.62</v>
      </c>
      <c r="T19" s="164">
        <f t="shared" si="0"/>
        <v>0.8980987008512615</v>
      </c>
      <c r="W19" s="281"/>
    </row>
    <row r="20" spans="1:23" ht="12.75">
      <c r="A20" s="135" t="s">
        <v>163</v>
      </c>
      <c r="B20" s="138" t="s">
        <v>90</v>
      </c>
      <c r="C20" s="139" t="s">
        <v>106</v>
      </c>
      <c r="D20" s="140">
        <v>76059.97</v>
      </c>
      <c r="E20" s="140">
        <v>18643</v>
      </c>
      <c r="F20" s="140">
        <f>4982+224</f>
        <v>5206</v>
      </c>
      <c r="G20" s="140">
        <f t="shared" si="1"/>
        <v>99908.97</v>
      </c>
      <c r="H20" s="279"/>
      <c r="I20" s="161">
        <f>76059.97</f>
        <v>76059.97</v>
      </c>
      <c r="J20" s="161">
        <f>18642.53+5205.76</f>
        <v>23848.29</v>
      </c>
      <c r="K20" s="139" t="s">
        <v>122</v>
      </c>
      <c r="L20" s="140"/>
      <c r="M20" s="140"/>
      <c r="N20" s="140"/>
      <c r="O20" s="140">
        <f>-D20--M20</f>
        <v>-76059.97</v>
      </c>
      <c r="P20" s="279"/>
      <c r="Q20" s="160">
        <v>74080</v>
      </c>
      <c r="R20" s="160">
        <f t="shared" si="2"/>
        <v>146868.35</v>
      </c>
      <c r="S20" s="140">
        <v>220948.35</v>
      </c>
      <c r="T20" s="164">
        <f t="shared" si="0"/>
        <v>0.7414749646603302</v>
      </c>
      <c r="W20" s="281"/>
    </row>
    <row r="21" spans="1:23" ht="12.75">
      <c r="A21" s="135" t="s">
        <v>164</v>
      </c>
      <c r="B21" s="138" t="s">
        <v>91</v>
      </c>
      <c r="C21" s="139" t="s">
        <v>109</v>
      </c>
      <c r="D21" s="140">
        <v>71600.89</v>
      </c>
      <c r="E21" s="140">
        <v>5433</v>
      </c>
      <c r="F21" s="140">
        <v>0</v>
      </c>
      <c r="G21" s="140">
        <f>SUM(D21:F21)</f>
        <v>77033.89</v>
      </c>
      <c r="H21" s="279"/>
      <c r="I21" s="161">
        <f>71600.89</f>
        <v>71600.89</v>
      </c>
      <c r="J21" s="161">
        <f>5432.86</f>
        <v>5432.86</v>
      </c>
      <c r="K21" s="139" t="s">
        <v>190</v>
      </c>
      <c r="L21" s="140"/>
      <c r="M21" s="140"/>
      <c r="N21" s="140"/>
      <c r="O21" s="140">
        <f>-D21--M21</f>
        <v>-71600.89</v>
      </c>
      <c r="P21" s="279"/>
      <c r="Q21" s="160">
        <v>70065</v>
      </c>
      <c r="R21" s="160">
        <f t="shared" si="2"/>
        <v>38029.600000000006</v>
      </c>
      <c r="S21" s="140">
        <v>108094.6</v>
      </c>
      <c r="T21" s="164">
        <f t="shared" si="0"/>
        <v>0.9095347515229986</v>
      </c>
      <c r="W21" s="281"/>
    </row>
    <row r="22" spans="1:23" ht="21" customHeight="1">
      <c r="A22" s="135" t="s">
        <v>165</v>
      </c>
      <c r="B22" s="138" t="s">
        <v>92</v>
      </c>
      <c r="C22" s="139" t="s">
        <v>106</v>
      </c>
      <c r="D22" s="140">
        <v>70812.4</v>
      </c>
      <c r="E22" s="140">
        <v>3760</v>
      </c>
      <c r="F22" s="140">
        <v>0</v>
      </c>
      <c r="G22" s="140">
        <f t="shared" si="1"/>
        <v>74572.4</v>
      </c>
      <c r="H22" s="279"/>
      <c r="I22" s="160">
        <v>70812.4</v>
      </c>
      <c r="J22" s="160">
        <v>3760.2</v>
      </c>
      <c r="K22" s="279"/>
      <c r="L22" s="140"/>
      <c r="M22" s="140">
        <v>0</v>
      </c>
      <c r="N22" s="280"/>
      <c r="O22" s="140">
        <f>-G22-M22</f>
        <v>-74572.4</v>
      </c>
      <c r="P22" s="279"/>
      <c r="Q22" s="165">
        <v>69892</v>
      </c>
      <c r="R22" s="165">
        <f t="shared" si="2"/>
        <v>62773</v>
      </c>
      <c r="S22" s="140">
        <v>132665</v>
      </c>
      <c r="T22" s="164">
        <f t="shared" si="0"/>
        <v>0.9372368329301458</v>
      </c>
      <c r="W22" s="281"/>
    </row>
    <row r="23" spans="1:23" ht="12.75">
      <c r="A23" s="135" t="s">
        <v>166</v>
      </c>
      <c r="B23" s="138" t="s">
        <v>93</v>
      </c>
      <c r="C23" s="139" t="s">
        <v>109</v>
      </c>
      <c r="D23" s="140">
        <v>69007.78</v>
      </c>
      <c r="E23" s="140">
        <v>907</v>
      </c>
      <c r="F23" s="140">
        <v>0</v>
      </c>
      <c r="G23" s="140">
        <f t="shared" si="1"/>
        <v>69914.78</v>
      </c>
      <c r="H23" s="279"/>
      <c r="I23" s="161">
        <f>69007.78</f>
        <v>69007.78</v>
      </c>
      <c r="J23" s="161">
        <v>907</v>
      </c>
      <c r="K23" s="279"/>
      <c r="L23" s="140"/>
      <c r="M23" s="140">
        <v>44557</v>
      </c>
      <c r="N23" s="280"/>
      <c r="O23" s="140">
        <f>-D23--M23</f>
        <v>-24450.78</v>
      </c>
      <c r="P23" s="279"/>
      <c r="Q23" s="160">
        <v>68490</v>
      </c>
      <c r="R23" s="160">
        <f t="shared" si="2"/>
        <v>22729.320000000007</v>
      </c>
      <c r="S23" s="140">
        <v>91219.32</v>
      </c>
      <c r="T23" s="164">
        <f t="shared" si="0"/>
        <v>0.9796211902547645</v>
      </c>
      <c r="W23" s="281"/>
    </row>
    <row r="24" spans="1:23" ht="12.75">
      <c r="A24" s="135" t="s">
        <v>167</v>
      </c>
      <c r="B24" s="138" t="s">
        <v>94</v>
      </c>
      <c r="C24" s="139" t="s">
        <v>233</v>
      </c>
      <c r="D24" s="140">
        <v>63871.65</v>
      </c>
      <c r="E24" s="140">
        <v>0</v>
      </c>
      <c r="F24" s="140">
        <v>0</v>
      </c>
      <c r="G24" s="140">
        <f t="shared" si="1"/>
        <v>63871.65</v>
      </c>
      <c r="H24" s="279"/>
      <c r="I24" s="162">
        <v>63871.65</v>
      </c>
      <c r="J24" s="159" t="s">
        <v>151</v>
      </c>
      <c r="K24" s="139" t="s">
        <v>122</v>
      </c>
      <c r="L24" s="140"/>
      <c r="M24" s="140"/>
      <c r="N24" s="140"/>
      <c r="O24" s="140">
        <f>-D24--M24</f>
        <v>-63871.65</v>
      </c>
      <c r="P24" s="279"/>
      <c r="Q24" s="160">
        <f>51229+12193</f>
        <v>63422</v>
      </c>
      <c r="R24" s="160">
        <f t="shared" si="2"/>
        <v>33078.28</v>
      </c>
      <c r="S24" s="140">
        <v>96500.28</v>
      </c>
      <c r="T24" s="164">
        <f t="shared" si="0"/>
        <v>0.9929601004514522</v>
      </c>
      <c r="W24" s="281"/>
    </row>
    <row r="25" spans="1:23" ht="12.75">
      <c r="A25" s="135" t="s">
        <v>168</v>
      </c>
      <c r="B25" s="138" t="s">
        <v>95</v>
      </c>
      <c r="C25" s="139" t="s">
        <v>109</v>
      </c>
      <c r="D25" s="140">
        <v>62580.8</v>
      </c>
      <c r="E25" s="140">
        <v>484</v>
      </c>
      <c r="F25" s="140">
        <v>0</v>
      </c>
      <c r="G25" s="140">
        <f t="shared" si="1"/>
        <v>63064.8</v>
      </c>
      <c r="H25" s="279"/>
      <c r="I25" s="160">
        <f>62580.8</f>
        <v>62580.8</v>
      </c>
      <c r="J25" s="160">
        <v>484.42</v>
      </c>
      <c r="K25" s="279"/>
      <c r="L25" s="140"/>
      <c r="M25" s="140">
        <v>60321.1</v>
      </c>
      <c r="N25" s="140"/>
      <c r="O25" s="140">
        <f>-D25--M25</f>
        <v>-2259.7000000000044</v>
      </c>
      <c r="P25" s="279"/>
      <c r="Q25" s="160">
        <v>60321</v>
      </c>
      <c r="R25" s="160">
        <f t="shared" si="2"/>
        <v>9266.820000000007</v>
      </c>
      <c r="S25" s="140">
        <v>69587.82</v>
      </c>
      <c r="T25" s="164">
        <f t="shared" si="0"/>
        <v>0.9564923697530159</v>
      </c>
      <c r="W25" s="281"/>
    </row>
    <row r="26" spans="1:23" ht="12.75">
      <c r="A26" s="135" t="s">
        <v>169</v>
      </c>
      <c r="B26" s="138" t="s">
        <v>96</v>
      </c>
      <c r="C26" s="139" t="s">
        <v>106</v>
      </c>
      <c r="D26" s="140">
        <v>59673</v>
      </c>
      <c r="E26" s="140">
        <v>4077</v>
      </c>
      <c r="F26" s="140">
        <v>5321</v>
      </c>
      <c r="G26" s="140">
        <f t="shared" si="1"/>
        <v>69071</v>
      </c>
      <c r="H26" s="279"/>
      <c r="I26" s="160">
        <f>59673</f>
        <v>59673</v>
      </c>
      <c r="J26" s="160">
        <v>4076.68</v>
      </c>
      <c r="K26" s="279"/>
      <c r="L26" s="140"/>
      <c r="M26" s="140">
        <v>63885</v>
      </c>
      <c r="N26" s="140"/>
      <c r="O26" s="140">
        <f>-G26--M26</f>
        <v>-5186</v>
      </c>
      <c r="P26" s="279"/>
      <c r="Q26" s="160">
        <v>57380</v>
      </c>
      <c r="R26" s="160">
        <f t="shared" si="2"/>
        <v>72253.16</v>
      </c>
      <c r="S26" s="140">
        <v>129633.16</v>
      </c>
      <c r="T26" s="164">
        <f t="shared" si="0"/>
        <v>0.8307393841120007</v>
      </c>
      <c r="W26" s="281"/>
    </row>
    <row r="27" spans="1:23" ht="12.75">
      <c r="A27" s="135" t="s">
        <v>170</v>
      </c>
      <c r="B27" s="138" t="s">
        <v>97</v>
      </c>
      <c r="C27" s="139" t="s">
        <v>106</v>
      </c>
      <c r="D27" s="140">
        <v>59447.9</v>
      </c>
      <c r="E27" s="140">
        <v>10663</v>
      </c>
      <c r="F27" s="140">
        <v>0</v>
      </c>
      <c r="G27" s="140">
        <f t="shared" si="1"/>
        <v>70110.9</v>
      </c>
      <c r="H27" s="279"/>
      <c r="I27" s="160">
        <f>59447.9</f>
        <v>59447.9</v>
      </c>
      <c r="J27" s="160">
        <v>10663.12</v>
      </c>
      <c r="K27" s="279"/>
      <c r="L27" s="140">
        <f>58947.9+10736</f>
        <v>69683.9</v>
      </c>
      <c r="M27" s="162"/>
      <c r="N27" s="140"/>
      <c r="O27" s="140">
        <f>-G27--L27</f>
        <v>-427</v>
      </c>
      <c r="P27" s="279"/>
      <c r="Q27" s="160">
        <v>58948</v>
      </c>
      <c r="R27" s="160">
        <f t="shared" si="2"/>
        <v>41035.61</v>
      </c>
      <c r="S27" s="140">
        <v>99983.61</v>
      </c>
      <c r="T27" s="164">
        <f t="shared" si="0"/>
        <v>0.8407822464124695</v>
      </c>
      <c r="W27" s="281"/>
    </row>
    <row r="28" spans="1:23" ht="12.75">
      <c r="A28" s="135" t="s">
        <v>171</v>
      </c>
      <c r="B28" s="138" t="s">
        <v>98</v>
      </c>
      <c r="C28" s="139" t="s">
        <v>109</v>
      </c>
      <c r="D28" s="140">
        <v>58736.62</v>
      </c>
      <c r="E28" s="140">
        <v>3134</v>
      </c>
      <c r="F28" s="140">
        <v>0</v>
      </c>
      <c r="G28" s="140">
        <f t="shared" si="1"/>
        <v>61870.62</v>
      </c>
      <c r="H28" s="279"/>
      <c r="I28" s="160">
        <f>58736.62</f>
        <v>58736.62</v>
      </c>
      <c r="J28" s="160">
        <v>3133.55</v>
      </c>
      <c r="K28" s="279"/>
      <c r="L28" s="162"/>
      <c r="M28" s="140">
        <v>58982.16</v>
      </c>
      <c r="N28" s="140"/>
      <c r="O28" s="140">
        <f>-D28--M28</f>
        <v>245.54000000000087</v>
      </c>
      <c r="P28" s="279"/>
      <c r="Q28" s="160">
        <v>47925</v>
      </c>
      <c r="R28" s="160">
        <f t="shared" si="2"/>
        <v>37065.95</v>
      </c>
      <c r="S28" s="140">
        <v>84990.95</v>
      </c>
      <c r="T28" s="164">
        <f t="shared" si="0"/>
        <v>0.7746002868566696</v>
      </c>
      <c r="W28" s="281"/>
    </row>
    <row r="29" spans="1:23" ht="12.75">
      <c r="A29" s="135" t="s">
        <v>172</v>
      </c>
      <c r="B29" s="138" t="s">
        <v>99</v>
      </c>
      <c r="C29" s="139" t="s">
        <v>106</v>
      </c>
      <c r="D29" s="140">
        <v>55783.61</v>
      </c>
      <c r="E29" s="140">
        <v>2735</v>
      </c>
      <c r="F29" s="140">
        <v>448</v>
      </c>
      <c r="G29" s="140">
        <f t="shared" si="1"/>
        <v>58966.61</v>
      </c>
      <c r="H29" s="279"/>
      <c r="I29" s="160">
        <f>55783.61</f>
        <v>55783.61</v>
      </c>
      <c r="J29" s="160">
        <v>2735.17</v>
      </c>
      <c r="K29" s="279"/>
      <c r="L29" s="140"/>
      <c r="M29" s="140">
        <v>58669</v>
      </c>
      <c r="N29" s="140"/>
      <c r="O29" s="140">
        <f>-G29--M29</f>
        <v>-297.6100000000006</v>
      </c>
      <c r="P29" s="279"/>
      <c r="Q29" s="160">
        <v>54694</v>
      </c>
      <c r="R29" s="160">
        <f t="shared" si="2"/>
        <v>56177.39</v>
      </c>
      <c r="S29" s="140">
        <v>110871.39</v>
      </c>
      <c r="T29" s="164">
        <f t="shared" si="0"/>
        <v>0.9275418749695802</v>
      </c>
      <c r="W29" s="281"/>
    </row>
    <row r="30" spans="1:23" ht="12.75">
      <c r="A30" s="135" t="s">
        <v>173</v>
      </c>
      <c r="B30" s="138" t="s">
        <v>100</v>
      </c>
      <c r="C30" s="139" t="s">
        <v>233</v>
      </c>
      <c r="D30" s="140">
        <v>52419.22</v>
      </c>
      <c r="E30" s="140">
        <v>0</v>
      </c>
      <c r="F30" s="140">
        <v>0</v>
      </c>
      <c r="G30" s="140">
        <f t="shared" si="1"/>
        <v>52419.22</v>
      </c>
      <c r="H30" s="279"/>
      <c r="I30" s="161">
        <v>52419.22</v>
      </c>
      <c r="J30" s="159" t="s">
        <v>151</v>
      </c>
      <c r="K30" s="139" t="s">
        <v>122</v>
      </c>
      <c r="L30" s="140"/>
      <c r="M30" s="140"/>
      <c r="N30" s="140"/>
      <c r="O30" s="140">
        <f>-G30--I30</f>
        <v>0</v>
      </c>
      <c r="P30" s="279"/>
      <c r="Q30" s="160">
        <v>52419</v>
      </c>
      <c r="R30" s="160">
        <f t="shared" si="2"/>
        <v>52072</v>
      </c>
      <c r="S30" s="140">
        <v>104491</v>
      </c>
      <c r="T30" s="164">
        <f t="shared" si="0"/>
        <v>0.9999958030661272</v>
      </c>
      <c r="W30" s="281"/>
    </row>
    <row r="31" spans="1:23" ht="12.75">
      <c r="A31" s="135" t="s">
        <v>174</v>
      </c>
      <c r="B31" s="138" t="s">
        <v>101</v>
      </c>
      <c r="C31" s="139" t="s">
        <v>109</v>
      </c>
      <c r="D31" s="140">
        <v>52166.08</v>
      </c>
      <c r="E31" s="140">
        <v>420</v>
      </c>
      <c r="F31" s="140">
        <v>0</v>
      </c>
      <c r="G31" s="140">
        <f t="shared" si="1"/>
        <v>52586.08</v>
      </c>
      <c r="H31" s="279"/>
      <c r="I31" s="160">
        <f>52166.08</f>
        <v>52166.08</v>
      </c>
      <c r="J31" s="160">
        <v>420.2</v>
      </c>
      <c r="K31" s="279"/>
      <c r="L31" s="140"/>
      <c r="M31" s="140">
        <v>1697</v>
      </c>
      <c r="N31" s="280"/>
      <c r="O31" s="140">
        <f>-D31--M31</f>
        <v>-50469.08</v>
      </c>
      <c r="P31" s="279"/>
      <c r="Q31" s="160">
        <v>55043</v>
      </c>
      <c r="R31" s="160">
        <f t="shared" si="2"/>
        <v>56330.380000000005</v>
      </c>
      <c r="S31" s="140">
        <v>111373.38</v>
      </c>
      <c r="T31" s="164">
        <f t="shared" si="0"/>
        <v>1.0467218701222833</v>
      </c>
      <c r="W31" s="281"/>
    </row>
    <row r="32" spans="1:23" ht="12.75">
      <c r="A32" s="135" t="s">
        <v>175</v>
      </c>
      <c r="B32" s="138" t="s">
        <v>102</v>
      </c>
      <c r="C32" s="139" t="s">
        <v>106</v>
      </c>
      <c r="D32" s="140">
        <v>50819.07</v>
      </c>
      <c r="E32" s="140">
        <v>9846</v>
      </c>
      <c r="F32" s="140">
        <v>0</v>
      </c>
      <c r="G32" s="140">
        <f>SUM(D32:F32)</f>
        <v>60665.07</v>
      </c>
      <c r="H32" s="279"/>
      <c r="I32" s="160">
        <f>50819.07</f>
        <v>50819.07</v>
      </c>
      <c r="J32" s="160">
        <v>9846.24</v>
      </c>
      <c r="K32" s="279"/>
      <c r="L32" s="140"/>
      <c r="M32" s="140">
        <v>53848</v>
      </c>
      <c r="N32" s="140"/>
      <c r="O32" s="140">
        <f>-G32--M32</f>
        <v>-6817.07</v>
      </c>
      <c r="P32" s="279"/>
      <c r="Q32" s="160">
        <v>49619</v>
      </c>
      <c r="R32" s="160">
        <f t="shared" si="2"/>
        <v>52670.17</v>
      </c>
      <c r="S32" s="140">
        <v>102289.17</v>
      </c>
      <c r="T32" s="164">
        <f t="shared" si="0"/>
        <v>0.8179171308959176</v>
      </c>
      <c r="W32" s="281"/>
    </row>
    <row r="33" spans="1:23" ht="12.75">
      <c r="A33" s="135" t="s">
        <v>176</v>
      </c>
      <c r="B33" s="138" t="s">
        <v>103</v>
      </c>
      <c r="C33" s="139" t="s">
        <v>109</v>
      </c>
      <c r="D33" s="140">
        <v>49086.12</v>
      </c>
      <c r="E33" s="140">
        <v>0</v>
      </c>
      <c r="F33" s="140">
        <v>0</v>
      </c>
      <c r="G33" s="140">
        <f t="shared" si="1"/>
        <v>49086.12</v>
      </c>
      <c r="H33" s="279"/>
      <c r="I33" s="161">
        <v>49086.12</v>
      </c>
      <c r="J33" s="159" t="s">
        <v>151</v>
      </c>
      <c r="K33" s="139" t="s">
        <v>190</v>
      </c>
      <c r="L33" s="140"/>
      <c r="M33" s="140"/>
      <c r="N33" s="140"/>
      <c r="O33" s="140">
        <f>-D33--M33</f>
        <v>-49086.12</v>
      </c>
      <c r="P33" s="279"/>
      <c r="Q33" s="160">
        <f>+'[2]F-5-5-2'!$F$501</f>
        <v>48986.12</v>
      </c>
      <c r="R33" s="160">
        <f t="shared" si="2"/>
        <v>23727.909999999996</v>
      </c>
      <c r="S33" s="140">
        <v>72714.03</v>
      </c>
      <c r="T33" s="164">
        <f t="shared" si="0"/>
        <v>0.9979627642192945</v>
      </c>
      <c r="W33" s="281"/>
    </row>
    <row r="34" spans="1:23" ht="12.75">
      <c r="A34" s="135" t="s">
        <v>177</v>
      </c>
      <c r="B34" s="138" t="s">
        <v>104</v>
      </c>
      <c r="C34" s="139" t="s">
        <v>106</v>
      </c>
      <c r="D34" s="140">
        <v>48055.59</v>
      </c>
      <c r="E34" s="140">
        <v>0</v>
      </c>
      <c r="F34" s="140">
        <v>1383</v>
      </c>
      <c r="G34" s="140">
        <f t="shared" si="1"/>
        <v>49438.59</v>
      </c>
      <c r="H34" s="279"/>
      <c r="I34" s="160">
        <f>48055.59</f>
        <v>48055.59</v>
      </c>
      <c r="J34" s="163">
        <v>1383.31</v>
      </c>
      <c r="K34" s="279"/>
      <c r="L34" s="140">
        <v>47515.41</v>
      </c>
      <c r="M34" s="162"/>
      <c r="N34" s="280"/>
      <c r="O34" s="140">
        <f>-D34--L34</f>
        <v>-540.179999999993</v>
      </c>
      <c r="P34" s="279"/>
      <c r="Q34" s="160">
        <v>46115</v>
      </c>
      <c r="R34" s="160">
        <f t="shared" si="2"/>
        <v>75685.41</v>
      </c>
      <c r="S34" s="166">
        <v>121800.41</v>
      </c>
      <c r="T34" s="164">
        <f t="shared" si="0"/>
        <v>0.9327733659070779</v>
      </c>
      <c r="W34" s="281"/>
    </row>
    <row r="35" spans="1:23" ht="12.75">
      <c r="A35" s="135" t="s">
        <v>206</v>
      </c>
      <c r="B35" s="138" t="s">
        <v>105</v>
      </c>
      <c r="C35" s="139" t="s">
        <v>106</v>
      </c>
      <c r="D35" s="140">
        <v>32742.14</v>
      </c>
      <c r="E35" s="140">
        <v>4951.73</v>
      </c>
      <c r="F35" s="140">
        <v>704.38</v>
      </c>
      <c r="G35" s="140">
        <f t="shared" si="1"/>
        <v>38398.24999999999</v>
      </c>
      <c r="H35" s="279"/>
      <c r="I35" s="160">
        <f>32742.14</f>
        <v>32742.14</v>
      </c>
      <c r="J35" s="163">
        <v>4951.73</v>
      </c>
      <c r="K35" s="279"/>
      <c r="L35" s="140">
        <f>31942.14+800+4951.73</f>
        <v>37693.869999999995</v>
      </c>
      <c r="M35" s="162"/>
      <c r="N35" s="280"/>
      <c r="O35" s="140">
        <f>-G35--L35</f>
        <v>-704.3799999999974</v>
      </c>
      <c r="P35" s="279"/>
      <c r="Q35" s="160">
        <v>31942</v>
      </c>
      <c r="R35" s="160">
        <f t="shared" si="2"/>
        <v>51221.03999999999</v>
      </c>
      <c r="S35" s="166">
        <v>83163.04</v>
      </c>
      <c r="T35" s="164">
        <f t="shared" si="0"/>
        <v>0.8318608269908135</v>
      </c>
      <c r="W35" s="281"/>
    </row>
    <row r="36" spans="1:23" ht="16.5" customHeight="1" thickBot="1">
      <c r="A36" s="387" t="s">
        <v>71</v>
      </c>
      <c r="B36" s="388"/>
      <c r="C36" s="388"/>
      <c r="D36" s="141">
        <f>SUM(D15:D35)</f>
        <v>1450801.2800000005</v>
      </c>
      <c r="E36" s="141">
        <f>SUM(E15:E35)</f>
        <v>71136.73</v>
      </c>
      <c r="F36" s="141">
        <f>SUM(F15:F35)</f>
        <v>19442.38</v>
      </c>
      <c r="G36" s="201">
        <f>SUM(G15:G35)</f>
        <v>1541380.3900000006</v>
      </c>
      <c r="H36" s="150"/>
      <c r="I36" s="201">
        <f>SUM(I15:I35)</f>
        <v>1450729.0600000005</v>
      </c>
      <c r="J36" s="201">
        <f>SUM(J15:J35)</f>
        <v>84178.47</v>
      </c>
      <c r="K36" s="151"/>
      <c r="L36" s="201">
        <f>SUM(L15:L35)</f>
        <v>154893.18</v>
      </c>
      <c r="M36" s="201">
        <f>SUM(M15:M35)</f>
        <v>560162.26</v>
      </c>
      <c r="N36" s="202"/>
      <c r="O36" s="203">
        <f>SUM(O15:O35)</f>
        <v>-605315.7499999999</v>
      </c>
      <c r="P36" s="141"/>
      <c r="Q36" s="201">
        <f>SUM(Q15:Q35)</f>
        <v>1357042.1</v>
      </c>
      <c r="R36" s="201">
        <f>SUM(R15:R35)</f>
        <v>1085084.78</v>
      </c>
      <c r="S36" s="201">
        <f>SUM(S15:S35)</f>
        <v>2442126.88</v>
      </c>
      <c r="T36" s="167"/>
      <c r="W36" s="281"/>
    </row>
    <row r="37" spans="1:23" ht="12" customHeight="1">
      <c r="A37" s="142"/>
      <c r="B37" s="133"/>
      <c r="C37" s="133"/>
      <c r="D37" s="143"/>
      <c r="E37" s="51"/>
      <c r="F37" s="51"/>
      <c r="G37" s="282" t="s">
        <v>39</v>
      </c>
      <c r="L37" s="51"/>
      <c r="M37" s="51"/>
      <c r="N37" s="51"/>
      <c r="P37" s="51"/>
      <c r="Q37" s="51"/>
      <c r="R37" s="51"/>
      <c r="S37" s="51"/>
      <c r="T37" s="51"/>
      <c r="W37" s="57"/>
    </row>
    <row r="38" spans="1:20" ht="12.75">
      <c r="A38" s="71"/>
      <c r="E38" s="133" t="s">
        <v>72</v>
      </c>
      <c r="F38" s="143"/>
      <c r="G38" s="143">
        <f>G40-G36</f>
        <v>1497229.9399999995</v>
      </c>
      <c r="H38" s="152">
        <f>+G38/G40</f>
        <v>0.492735091833904</v>
      </c>
      <c r="I38" s="52"/>
      <c r="J38" s="52"/>
      <c r="K38" s="52"/>
      <c r="L38" s="51"/>
      <c r="M38" s="51"/>
      <c r="N38" s="51"/>
      <c r="O38" s="51"/>
      <c r="P38" s="51"/>
      <c r="Q38" s="51"/>
      <c r="R38" s="51"/>
      <c r="S38" s="51"/>
      <c r="T38" s="51"/>
    </row>
    <row r="39" spans="1:20" ht="4.5" customHeight="1">
      <c r="A39" s="71"/>
      <c r="E39" s="133"/>
      <c r="F39" s="143"/>
      <c r="G39" s="143"/>
      <c r="H39" s="134"/>
      <c r="L39" s="51"/>
      <c r="M39" s="51"/>
      <c r="N39" s="51"/>
      <c r="O39" s="51"/>
      <c r="P39" s="51"/>
      <c r="Q39" s="51"/>
      <c r="R39" s="51"/>
      <c r="S39" s="51"/>
      <c r="T39" s="51"/>
    </row>
    <row r="40" spans="1:20" ht="12.75">
      <c r="A40" s="71"/>
      <c r="C40" s="49"/>
      <c r="E40" s="153" t="s">
        <v>73</v>
      </c>
      <c r="F40" s="154"/>
      <c r="G40" s="155">
        <f>'A-5 MovimientoCartera'!J21</f>
        <v>3038610.33</v>
      </c>
      <c r="H40" s="152">
        <v>1</v>
      </c>
      <c r="I40" s="52"/>
      <c r="J40" s="52"/>
      <c r="K40" s="52"/>
      <c r="L40" s="51"/>
      <c r="M40" s="51"/>
      <c r="N40" s="51"/>
      <c r="O40" s="51"/>
      <c r="P40" s="51"/>
      <c r="Q40" s="51"/>
      <c r="R40" s="51"/>
      <c r="S40" s="51"/>
      <c r="T40" s="51"/>
    </row>
    <row r="41" spans="1:20" ht="12.75">
      <c r="A41" s="71"/>
      <c r="D41" s="51"/>
      <c r="E41" s="143"/>
      <c r="F41" s="143"/>
      <c r="G41" s="283" t="s">
        <v>239</v>
      </c>
      <c r="H41" s="134"/>
      <c r="L41" s="51"/>
      <c r="M41" s="51"/>
      <c r="N41" s="51"/>
      <c r="O41" s="51"/>
      <c r="P41" s="51"/>
      <c r="Q41" s="51"/>
      <c r="R41" s="51"/>
      <c r="S41" s="51"/>
      <c r="T41" s="51"/>
    </row>
    <row r="42" spans="1:20" ht="13.5" thickBot="1">
      <c r="A42" s="72"/>
      <c r="B42" s="73"/>
      <c r="C42" s="73"/>
      <c r="D42" s="74"/>
      <c r="E42" s="168"/>
      <c r="F42" s="168"/>
      <c r="G42" s="284"/>
      <c r="H42" s="169"/>
      <c r="I42" s="75"/>
      <c r="J42" s="75"/>
      <c r="K42" s="75"/>
      <c r="L42" s="74"/>
      <c r="M42" s="74"/>
      <c r="N42" s="74"/>
      <c r="O42" s="74"/>
      <c r="P42" s="74"/>
      <c r="Q42" s="74"/>
      <c r="R42" s="74"/>
      <c r="S42" s="74"/>
      <c r="T42" s="51"/>
    </row>
    <row r="43" spans="1:20" ht="12.75">
      <c r="A43" s="270" t="s">
        <v>138</v>
      </c>
      <c r="B43" s="133"/>
      <c r="C43" s="133"/>
      <c r="D43" s="143"/>
      <c r="E43" s="143"/>
      <c r="F43" s="143"/>
      <c r="G43" s="283"/>
      <c r="H43" s="134"/>
      <c r="I43" s="134"/>
      <c r="J43" s="134"/>
      <c r="K43" s="134"/>
      <c r="L43" s="143"/>
      <c r="M43" s="143"/>
      <c r="N43" s="51"/>
      <c r="O43" s="51"/>
      <c r="P43" s="51"/>
      <c r="Q43" s="51"/>
      <c r="R43" s="51"/>
      <c r="S43" s="51"/>
      <c r="T43" s="51"/>
    </row>
    <row r="44" spans="1:20" ht="42.75" customHeight="1">
      <c r="A44" s="133"/>
      <c r="B44" s="369" t="s">
        <v>261</v>
      </c>
      <c r="C44" s="369"/>
      <c r="D44" s="369"/>
      <c r="E44" s="369"/>
      <c r="F44" s="369"/>
      <c r="G44" s="369"/>
      <c r="H44" s="369"/>
      <c r="I44" s="369"/>
      <c r="J44" s="369"/>
      <c r="K44" s="369"/>
      <c r="L44" s="369"/>
      <c r="M44" s="369"/>
      <c r="N44" s="123"/>
      <c r="O44" s="123"/>
      <c r="P44" s="123"/>
      <c r="Q44" s="123"/>
      <c r="R44" s="51"/>
      <c r="S44" s="51"/>
      <c r="T44" s="51"/>
    </row>
    <row r="45" spans="2:20" ht="20.25" customHeight="1">
      <c r="B45" s="252" t="s">
        <v>238</v>
      </c>
      <c r="D45" s="51"/>
      <c r="E45" s="51"/>
      <c r="F45" s="51"/>
      <c r="G45" s="285"/>
      <c r="L45" s="51"/>
      <c r="M45" s="51"/>
      <c r="N45" s="51"/>
      <c r="O45" s="51"/>
      <c r="P45" s="51"/>
      <c r="Q45" s="51"/>
      <c r="R45" s="51"/>
      <c r="S45" s="51"/>
      <c r="T45" s="51"/>
    </row>
    <row r="46" spans="1:20" ht="12.75">
      <c r="A46" s="270" t="s">
        <v>230</v>
      </c>
      <c r="B46" s="133"/>
      <c r="C46" s="133"/>
      <c r="D46" s="143"/>
      <c r="E46" s="143"/>
      <c r="F46" s="143"/>
      <c r="G46" s="283"/>
      <c r="H46" s="134"/>
      <c r="I46" s="134"/>
      <c r="J46" s="134"/>
      <c r="K46" s="134"/>
      <c r="L46" s="143"/>
      <c r="M46" s="143"/>
      <c r="N46" s="51"/>
      <c r="O46" s="51"/>
      <c r="P46" s="51"/>
      <c r="Q46" s="51"/>
      <c r="R46" s="51"/>
      <c r="S46" s="51"/>
      <c r="T46" s="51"/>
    </row>
    <row r="47" spans="1:20" ht="15" customHeight="1">
      <c r="A47" s="286" t="s">
        <v>122</v>
      </c>
      <c r="B47" s="362" t="s">
        <v>237</v>
      </c>
      <c r="C47" s="362"/>
      <c r="D47" s="362"/>
      <c r="E47" s="362"/>
      <c r="F47" s="362"/>
      <c r="G47" s="362"/>
      <c r="H47" s="362"/>
      <c r="I47" s="362"/>
      <c r="J47" s="362"/>
      <c r="K47" s="362"/>
      <c r="L47" s="362"/>
      <c r="M47" s="362"/>
      <c r="N47" s="362"/>
      <c r="O47" s="362"/>
      <c r="P47" s="362"/>
      <c r="Q47" s="362"/>
      <c r="R47" s="51"/>
      <c r="S47" s="51"/>
      <c r="T47" s="51"/>
    </row>
    <row r="48" spans="1:20" ht="12.75">
      <c r="A48" s="286"/>
      <c r="B48" s="91"/>
      <c r="C48" s="91"/>
      <c r="D48" s="170"/>
      <c r="E48" s="170"/>
      <c r="F48" s="170"/>
      <c r="G48" s="170"/>
      <c r="H48" s="170"/>
      <c r="I48" s="170"/>
      <c r="J48" s="170"/>
      <c r="K48" s="170"/>
      <c r="L48" s="170"/>
      <c r="M48" s="170"/>
      <c r="N48" s="287"/>
      <c r="O48" s="51"/>
      <c r="P48" s="51"/>
      <c r="Q48" s="51"/>
      <c r="R48" s="51"/>
      <c r="S48" s="51"/>
      <c r="T48" s="51"/>
    </row>
    <row r="49" spans="1:20" ht="16.5" customHeight="1">
      <c r="A49" s="270" t="s">
        <v>78</v>
      </c>
      <c r="C49" s="91"/>
      <c r="D49" s="170"/>
      <c r="E49" s="170"/>
      <c r="F49" s="170"/>
      <c r="G49" s="170"/>
      <c r="H49" s="170"/>
      <c r="I49" s="170"/>
      <c r="J49" s="170"/>
      <c r="K49" s="170"/>
      <c r="L49" s="170"/>
      <c r="M49" s="170"/>
      <c r="N49" s="287"/>
      <c r="O49" s="51"/>
      <c r="P49" s="51"/>
      <c r="Q49" s="51"/>
      <c r="R49" s="51"/>
      <c r="S49" s="51"/>
      <c r="T49" s="51"/>
    </row>
    <row r="50" spans="1:20" ht="29.25" customHeight="1">
      <c r="A50" s="286"/>
      <c r="B50" s="404" t="s">
        <v>110</v>
      </c>
      <c r="C50" s="404"/>
      <c r="D50" s="405"/>
      <c r="E50" s="405"/>
      <c r="F50" s="405"/>
      <c r="G50" s="405"/>
      <c r="H50" s="405"/>
      <c r="I50" s="405"/>
      <c r="J50" s="405"/>
      <c r="K50" s="405"/>
      <c r="L50" s="405"/>
      <c r="M50" s="405"/>
      <c r="N50" s="287"/>
      <c r="O50" s="51"/>
      <c r="P50" s="51"/>
      <c r="Q50" s="51"/>
      <c r="R50" s="51"/>
      <c r="S50" s="51"/>
      <c r="T50" s="51"/>
    </row>
    <row r="51" spans="1:20" ht="12.75">
      <c r="A51" s="288"/>
      <c r="B51" s="55"/>
      <c r="C51" s="55"/>
      <c r="D51" s="56"/>
      <c r="E51" s="56"/>
      <c r="F51" s="56"/>
      <c r="G51" s="56"/>
      <c r="H51" s="56"/>
      <c r="I51" s="56"/>
      <c r="J51" s="56"/>
      <c r="K51" s="56"/>
      <c r="L51" s="56"/>
      <c r="M51" s="56"/>
      <c r="N51" s="54"/>
      <c r="O51" s="51"/>
      <c r="P51" s="51"/>
      <c r="Q51" s="51"/>
      <c r="R51" s="51"/>
      <c r="S51" s="51"/>
      <c r="T51" s="51"/>
    </row>
    <row r="52" spans="1:20" ht="12.75">
      <c r="A52" s="270" t="s">
        <v>112</v>
      </c>
      <c r="B52" s="55"/>
      <c r="C52" s="55"/>
      <c r="D52" s="56"/>
      <c r="E52" s="56"/>
      <c r="F52" s="56"/>
      <c r="G52" s="56"/>
      <c r="H52" s="56"/>
      <c r="I52" s="56"/>
      <c r="J52" s="56"/>
      <c r="K52" s="56"/>
      <c r="L52" s="56"/>
      <c r="M52" s="56"/>
      <c r="N52" s="54"/>
      <c r="O52" s="51"/>
      <c r="P52" s="51"/>
      <c r="Q52" s="51"/>
      <c r="R52" s="51"/>
      <c r="S52" s="51"/>
      <c r="T52" s="51"/>
    </row>
    <row r="53" spans="1:20" ht="12.75">
      <c r="A53" s="288"/>
      <c r="B53" s="55"/>
      <c r="C53" s="55"/>
      <c r="D53" s="56"/>
      <c r="E53" s="56"/>
      <c r="F53" s="56"/>
      <c r="G53" s="56"/>
      <c r="H53" s="56"/>
      <c r="I53" s="56"/>
      <c r="J53" s="56"/>
      <c r="K53" s="56"/>
      <c r="L53" s="56"/>
      <c r="M53" s="56"/>
      <c r="N53" s="54"/>
      <c r="O53" s="51"/>
      <c r="P53" s="51"/>
      <c r="Q53" s="51"/>
      <c r="R53" s="51"/>
      <c r="S53" s="51"/>
      <c r="T53" s="51"/>
    </row>
    <row r="54" spans="1:20" ht="12.75">
      <c r="A54" s="288"/>
      <c r="B54" s="55"/>
      <c r="C54" s="55"/>
      <c r="D54" s="56"/>
      <c r="E54" s="56"/>
      <c r="F54" s="56"/>
      <c r="G54" s="56"/>
      <c r="H54" s="56"/>
      <c r="I54" s="56"/>
      <c r="J54" s="56"/>
      <c r="K54" s="56"/>
      <c r="L54" s="56"/>
      <c r="M54" s="56"/>
      <c r="N54" s="54"/>
      <c r="O54" s="51"/>
      <c r="P54" s="51"/>
      <c r="Q54" s="51"/>
      <c r="R54" s="51"/>
      <c r="S54" s="51"/>
      <c r="T54" s="51"/>
    </row>
    <row r="55" spans="1:20" ht="12.75">
      <c r="A55" s="288"/>
      <c r="B55" s="55"/>
      <c r="C55" s="55"/>
      <c r="D55" s="56"/>
      <c r="E55" s="56"/>
      <c r="F55" s="56"/>
      <c r="G55" s="56"/>
      <c r="H55" s="56"/>
      <c r="I55" s="56"/>
      <c r="J55" s="56"/>
      <c r="K55" s="56"/>
      <c r="L55" s="56"/>
      <c r="M55" s="56"/>
      <c r="N55" s="54"/>
      <c r="O55" s="51"/>
      <c r="P55" s="51"/>
      <c r="Q55" s="51"/>
      <c r="R55" s="51"/>
      <c r="S55" s="51"/>
      <c r="T55" s="51"/>
    </row>
    <row r="56" spans="1:20" ht="12.75">
      <c r="A56" s="288"/>
      <c r="B56" s="55"/>
      <c r="C56" s="55"/>
      <c r="D56" s="56"/>
      <c r="E56" s="56"/>
      <c r="F56" s="56"/>
      <c r="G56" s="56"/>
      <c r="H56" s="56"/>
      <c r="I56" s="56"/>
      <c r="J56" s="56"/>
      <c r="K56" s="56"/>
      <c r="L56" s="56"/>
      <c r="M56" s="56"/>
      <c r="N56" s="54"/>
      <c r="O56" s="51"/>
      <c r="P56" s="51"/>
      <c r="Q56" s="51"/>
      <c r="R56" s="51"/>
      <c r="S56" s="51"/>
      <c r="T56" s="51"/>
    </row>
    <row r="57" spans="1:20" ht="12.75">
      <c r="A57" s="288"/>
      <c r="B57" s="55"/>
      <c r="C57" s="55"/>
      <c r="D57" s="56"/>
      <c r="E57" s="56"/>
      <c r="F57" s="56"/>
      <c r="G57" s="56"/>
      <c r="H57" s="56"/>
      <c r="I57" s="56"/>
      <c r="J57" s="56"/>
      <c r="K57" s="56"/>
      <c r="L57" s="56"/>
      <c r="M57" s="56"/>
      <c r="N57" s="54"/>
      <c r="O57" s="51"/>
      <c r="P57" s="51"/>
      <c r="Q57" s="51"/>
      <c r="R57" s="51"/>
      <c r="S57" s="51"/>
      <c r="T57" s="51"/>
    </row>
    <row r="58" spans="1:20" ht="12.75">
      <c r="A58" s="288"/>
      <c r="B58" s="55"/>
      <c r="C58" s="55"/>
      <c r="D58" s="56"/>
      <c r="E58" s="56"/>
      <c r="F58" s="56"/>
      <c r="G58" s="56"/>
      <c r="H58" s="56"/>
      <c r="I58" s="56"/>
      <c r="J58" s="56"/>
      <c r="K58" s="56"/>
      <c r="L58" s="56"/>
      <c r="M58" s="56"/>
      <c r="N58" s="54"/>
      <c r="O58" s="51"/>
      <c r="P58" s="51"/>
      <c r="Q58" s="51"/>
      <c r="R58" s="51"/>
      <c r="S58" s="51"/>
      <c r="T58" s="51"/>
    </row>
    <row r="59" spans="1:20" ht="12.75">
      <c r="A59" s="288"/>
      <c r="B59" s="55"/>
      <c r="C59" s="55"/>
      <c r="D59" s="56"/>
      <c r="E59" s="56"/>
      <c r="F59" s="56"/>
      <c r="G59" s="56"/>
      <c r="H59" s="56"/>
      <c r="I59" s="56"/>
      <c r="J59" s="56"/>
      <c r="K59" s="56"/>
      <c r="L59" s="56"/>
      <c r="M59" s="56"/>
      <c r="N59" s="54"/>
      <c r="O59" s="51"/>
      <c r="P59" s="51"/>
      <c r="Q59" s="51"/>
      <c r="R59" s="51"/>
      <c r="S59" s="51"/>
      <c r="T59" s="51"/>
    </row>
    <row r="60" spans="2:21" ht="22.5" customHeight="1">
      <c r="B60" s="371" t="s">
        <v>86</v>
      </c>
      <c r="C60" s="371"/>
      <c r="D60" s="371"/>
      <c r="E60" s="272"/>
      <c r="F60" s="272"/>
      <c r="G60" s="272"/>
      <c r="H60" s="272"/>
      <c r="I60" s="371" t="s">
        <v>88</v>
      </c>
      <c r="J60" s="371"/>
      <c r="K60" s="371"/>
      <c r="L60" s="272"/>
      <c r="M60" s="272"/>
      <c r="N60" s="289"/>
      <c r="O60" s="51"/>
      <c r="P60" s="51"/>
      <c r="Q60" s="371" t="s">
        <v>101</v>
      </c>
      <c r="R60" s="371"/>
      <c r="S60" s="371"/>
      <c r="T60" s="371"/>
      <c r="U60" s="177"/>
    </row>
    <row r="61" spans="1:21" ht="28.5" customHeight="1">
      <c r="A61" s="288"/>
      <c r="B61" s="366" t="s">
        <v>152</v>
      </c>
      <c r="C61" s="379" t="s">
        <v>0</v>
      </c>
      <c r="D61" s="379" t="s">
        <v>153</v>
      </c>
      <c r="E61" s="365" t="s">
        <v>184</v>
      </c>
      <c r="F61" s="365"/>
      <c r="G61" s="47"/>
      <c r="I61" s="366" t="s">
        <v>152</v>
      </c>
      <c r="J61" s="379" t="s">
        <v>0</v>
      </c>
      <c r="K61" s="379" t="s">
        <v>153</v>
      </c>
      <c r="L61" s="365" t="s">
        <v>184</v>
      </c>
      <c r="M61" s="365"/>
      <c r="N61" s="80"/>
      <c r="O61" s="87"/>
      <c r="P61" s="87"/>
      <c r="Q61" s="363" t="s">
        <v>152</v>
      </c>
      <c r="R61" s="88" t="s">
        <v>0</v>
      </c>
      <c r="S61" s="88" t="s">
        <v>153</v>
      </c>
      <c r="T61" s="372" t="s">
        <v>184</v>
      </c>
      <c r="U61" s="361"/>
    </row>
    <row r="62" spans="1:21" ht="16.5" customHeight="1">
      <c r="A62" s="288"/>
      <c r="B62" s="363"/>
      <c r="C62" s="376"/>
      <c r="D62" s="376"/>
      <c r="E62" s="174" t="s">
        <v>0</v>
      </c>
      <c r="F62" s="174" t="s">
        <v>154</v>
      </c>
      <c r="G62" s="287"/>
      <c r="H62" s="53"/>
      <c r="I62" s="363"/>
      <c r="J62" s="376"/>
      <c r="K62" s="376"/>
      <c r="L62" s="174" t="s">
        <v>0</v>
      </c>
      <c r="M62" s="174" t="s">
        <v>154</v>
      </c>
      <c r="N62" s="81"/>
      <c r="O62" s="288"/>
      <c r="P62" s="175"/>
      <c r="Q62" s="364"/>
      <c r="R62" s="209"/>
      <c r="S62" s="209"/>
      <c r="T62" s="174" t="s">
        <v>0</v>
      </c>
      <c r="U62" s="174" t="s">
        <v>154</v>
      </c>
    </row>
    <row r="63" spans="1:21" ht="12.75">
      <c r="A63" s="288"/>
      <c r="B63" s="198" t="s">
        <v>40</v>
      </c>
      <c r="C63" s="290">
        <v>39443</v>
      </c>
      <c r="D63" s="291">
        <v>5751.98</v>
      </c>
      <c r="E63" s="290">
        <v>39449</v>
      </c>
      <c r="F63" s="291">
        <f>D63</f>
        <v>5751.98</v>
      </c>
      <c r="G63" s="54"/>
      <c r="H63" s="53"/>
      <c r="I63" s="198" t="s">
        <v>64</v>
      </c>
      <c r="J63" s="290">
        <v>39417</v>
      </c>
      <c r="K63" s="291">
        <v>2753.75</v>
      </c>
      <c r="L63" s="290">
        <v>39449</v>
      </c>
      <c r="M63" s="292">
        <f>K63</f>
        <v>2753.75</v>
      </c>
      <c r="N63" s="293"/>
      <c r="O63" s="288"/>
      <c r="P63" s="175"/>
      <c r="Q63" s="210" t="s">
        <v>16</v>
      </c>
      <c r="R63" s="290">
        <v>39440</v>
      </c>
      <c r="S63" s="205">
        <v>1867.99</v>
      </c>
      <c r="T63" s="290">
        <v>39449</v>
      </c>
      <c r="U63" s="206">
        <f aca="true" t="shared" si="3" ref="U63:U83">S63</f>
        <v>1867.99</v>
      </c>
    </row>
    <row r="64" spans="1:21" ht="12.75">
      <c r="A64" s="288"/>
      <c r="B64" s="199" t="s">
        <v>41</v>
      </c>
      <c r="C64" s="294">
        <v>39443</v>
      </c>
      <c r="D64" s="295">
        <v>4007.9</v>
      </c>
      <c r="E64" s="294">
        <v>39449</v>
      </c>
      <c r="F64" s="295">
        <f aca="true" t="shared" si="4" ref="F64:F69">D64</f>
        <v>4007.9</v>
      </c>
      <c r="G64" s="54"/>
      <c r="H64" s="53"/>
      <c r="I64" s="199" t="s">
        <v>51</v>
      </c>
      <c r="J64" s="294">
        <v>39417</v>
      </c>
      <c r="K64" s="295">
        <v>3752.33</v>
      </c>
      <c r="L64" s="294">
        <v>39449</v>
      </c>
      <c r="M64" s="296">
        <f>K64</f>
        <v>3752.33</v>
      </c>
      <c r="N64" s="293"/>
      <c r="O64" s="288"/>
      <c r="P64" s="176"/>
      <c r="Q64" s="211" t="s">
        <v>17</v>
      </c>
      <c r="R64" s="294">
        <v>39440</v>
      </c>
      <c r="S64" s="185">
        <v>2701.41</v>
      </c>
      <c r="T64" s="294">
        <v>39449</v>
      </c>
      <c r="U64" s="207">
        <f t="shared" si="3"/>
        <v>2701.41</v>
      </c>
    </row>
    <row r="65" spans="1:21" ht="12.75">
      <c r="A65" s="288"/>
      <c r="B65" s="199" t="s">
        <v>42</v>
      </c>
      <c r="C65" s="294">
        <v>39443</v>
      </c>
      <c r="D65" s="295">
        <v>5751.98</v>
      </c>
      <c r="E65" s="294">
        <v>39449</v>
      </c>
      <c r="F65" s="295">
        <f t="shared" si="4"/>
        <v>5751.98</v>
      </c>
      <c r="G65" s="54"/>
      <c r="H65" s="53"/>
      <c r="I65" s="199" t="s">
        <v>52</v>
      </c>
      <c r="J65" s="294">
        <v>39417</v>
      </c>
      <c r="K65" s="295">
        <v>2753.75</v>
      </c>
      <c r="L65" s="294">
        <v>39449</v>
      </c>
      <c r="M65" s="296">
        <f aca="true" t="shared" si="5" ref="M65:M70">K65</f>
        <v>2753.75</v>
      </c>
      <c r="N65" s="293"/>
      <c r="O65" s="288"/>
      <c r="P65" s="176"/>
      <c r="Q65" s="211" t="s">
        <v>18</v>
      </c>
      <c r="R65" s="294">
        <v>39440</v>
      </c>
      <c r="S65" s="185">
        <v>3611.83</v>
      </c>
      <c r="T65" s="294">
        <v>39449</v>
      </c>
      <c r="U65" s="207">
        <f t="shared" si="3"/>
        <v>3611.83</v>
      </c>
    </row>
    <row r="66" spans="1:21" ht="12.75">
      <c r="A66" s="288"/>
      <c r="B66" s="199" t="s">
        <v>43</v>
      </c>
      <c r="C66" s="294">
        <v>39443</v>
      </c>
      <c r="D66" s="295">
        <v>4181.59</v>
      </c>
      <c r="E66" s="294">
        <v>39449</v>
      </c>
      <c r="F66" s="295">
        <f t="shared" si="4"/>
        <v>4181.59</v>
      </c>
      <c r="G66" s="54"/>
      <c r="H66" s="53"/>
      <c r="I66" s="199" t="s">
        <v>53</v>
      </c>
      <c r="J66" s="294">
        <v>39417</v>
      </c>
      <c r="K66" s="295">
        <v>5507.51</v>
      </c>
      <c r="L66" s="294">
        <v>39449</v>
      </c>
      <c r="M66" s="296">
        <f t="shared" si="5"/>
        <v>5507.51</v>
      </c>
      <c r="N66" s="293"/>
      <c r="O66" s="288"/>
      <c r="P66" s="176"/>
      <c r="Q66" s="211" t="s">
        <v>19</v>
      </c>
      <c r="R66" s="294">
        <v>39440</v>
      </c>
      <c r="S66" s="185">
        <v>2701.41</v>
      </c>
      <c r="T66" s="294">
        <v>39449</v>
      </c>
      <c r="U66" s="207">
        <f t="shared" si="3"/>
        <v>2701.41</v>
      </c>
    </row>
    <row r="67" spans="1:21" ht="12.75">
      <c r="A67" s="288"/>
      <c r="B67" s="199" t="s">
        <v>44</v>
      </c>
      <c r="C67" s="294">
        <v>39443</v>
      </c>
      <c r="D67" s="295">
        <v>4007.9</v>
      </c>
      <c r="E67" s="294">
        <v>39449</v>
      </c>
      <c r="F67" s="295">
        <f t="shared" si="4"/>
        <v>4007.9</v>
      </c>
      <c r="G67" s="54"/>
      <c r="H67" s="53"/>
      <c r="I67" s="199" t="s">
        <v>54</v>
      </c>
      <c r="J67" s="294">
        <v>39417</v>
      </c>
      <c r="K67" s="295">
        <v>1908.67</v>
      </c>
      <c r="L67" s="294">
        <v>39449</v>
      </c>
      <c r="M67" s="296">
        <f t="shared" si="5"/>
        <v>1908.67</v>
      </c>
      <c r="N67" s="293"/>
      <c r="O67" s="288"/>
      <c r="P67" s="176"/>
      <c r="Q67" s="211" t="s">
        <v>20</v>
      </c>
      <c r="R67" s="294">
        <v>39442</v>
      </c>
      <c r="S67" s="185">
        <v>2701.41</v>
      </c>
      <c r="T67" s="294">
        <v>39449</v>
      </c>
      <c r="U67" s="207">
        <f t="shared" si="3"/>
        <v>2701.41</v>
      </c>
    </row>
    <row r="68" spans="1:21" ht="12.75">
      <c r="A68" s="288"/>
      <c r="B68" s="199" t="s">
        <v>45</v>
      </c>
      <c r="C68" s="294">
        <v>39445</v>
      </c>
      <c r="D68" s="295">
        <v>5751.98</v>
      </c>
      <c r="E68" s="294">
        <v>39449</v>
      </c>
      <c r="F68" s="295">
        <f t="shared" si="4"/>
        <v>5751.98</v>
      </c>
      <c r="G68" s="54"/>
      <c r="H68" s="53"/>
      <c r="I68" s="199" t="s">
        <v>55</v>
      </c>
      <c r="J68" s="294">
        <v>39421</v>
      </c>
      <c r="K68" s="295">
        <v>5507.51</v>
      </c>
      <c r="L68" s="294">
        <v>39449</v>
      </c>
      <c r="M68" s="296">
        <f t="shared" si="5"/>
        <v>5507.51</v>
      </c>
      <c r="N68" s="293"/>
      <c r="O68" s="288"/>
      <c r="P68" s="176"/>
      <c r="Q68" s="211" t="s">
        <v>21</v>
      </c>
      <c r="R68" s="294">
        <v>39442</v>
      </c>
      <c r="S68" s="185">
        <v>3611.83</v>
      </c>
      <c r="T68" s="294">
        <v>39449</v>
      </c>
      <c r="U68" s="207">
        <f t="shared" si="3"/>
        <v>3611.83</v>
      </c>
    </row>
    <row r="69" spans="1:21" ht="12.75">
      <c r="A69" s="288"/>
      <c r="B69" s="199" t="s">
        <v>46</v>
      </c>
      <c r="C69" s="294">
        <v>39445</v>
      </c>
      <c r="D69" s="295">
        <v>5751.98</v>
      </c>
      <c r="E69" s="294">
        <v>39449</v>
      </c>
      <c r="F69" s="295">
        <f t="shared" si="4"/>
        <v>5751.98</v>
      </c>
      <c r="G69" s="54"/>
      <c r="H69" s="53"/>
      <c r="I69" s="199" t="s">
        <v>56</v>
      </c>
      <c r="J69" s="294">
        <v>39421</v>
      </c>
      <c r="K69" s="295">
        <v>5507.51</v>
      </c>
      <c r="L69" s="294">
        <v>39449</v>
      </c>
      <c r="M69" s="296">
        <f t="shared" si="5"/>
        <v>5507.51</v>
      </c>
      <c r="N69" s="293"/>
      <c r="O69" s="288"/>
      <c r="P69" s="176"/>
      <c r="Q69" s="211" t="s">
        <v>22</v>
      </c>
      <c r="R69" s="294">
        <v>39442</v>
      </c>
      <c r="S69" s="185">
        <v>2701.41</v>
      </c>
      <c r="T69" s="294">
        <v>39449</v>
      </c>
      <c r="U69" s="207">
        <f t="shared" si="3"/>
        <v>2701.41</v>
      </c>
    </row>
    <row r="70" spans="1:21" ht="12.75">
      <c r="A70" s="288"/>
      <c r="B70" s="199" t="s">
        <v>47</v>
      </c>
      <c r="C70" s="294">
        <v>39445</v>
      </c>
      <c r="D70" s="295">
        <v>4181.59</v>
      </c>
      <c r="E70" s="294">
        <v>39449</v>
      </c>
      <c r="F70" s="295">
        <f>D70</f>
        <v>4181.59</v>
      </c>
      <c r="G70" s="54"/>
      <c r="H70" s="53"/>
      <c r="I70" s="199" t="s">
        <v>57</v>
      </c>
      <c r="J70" s="294">
        <v>39421</v>
      </c>
      <c r="K70" s="295">
        <v>3752.33</v>
      </c>
      <c r="L70" s="294">
        <v>39449</v>
      </c>
      <c r="M70" s="296">
        <f t="shared" si="5"/>
        <v>3752.33</v>
      </c>
      <c r="N70" s="293"/>
      <c r="O70" s="288"/>
      <c r="P70" s="176"/>
      <c r="Q70" s="211" t="s">
        <v>23</v>
      </c>
      <c r="R70" s="294">
        <v>39442</v>
      </c>
      <c r="S70" s="185">
        <v>1867.99</v>
      </c>
      <c r="T70" s="294">
        <v>39449</v>
      </c>
      <c r="U70" s="207">
        <f t="shared" si="3"/>
        <v>1867.99</v>
      </c>
    </row>
    <row r="71" spans="1:21" ht="12.75">
      <c r="A71" s="288"/>
      <c r="B71" s="200" t="s">
        <v>48</v>
      </c>
      <c r="C71" s="297">
        <v>39445</v>
      </c>
      <c r="D71" s="298">
        <v>5751.98</v>
      </c>
      <c r="E71" s="297">
        <v>39449</v>
      </c>
      <c r="F71" s="298">
        <f>D71</f>
        <v>5751.98</v>
      </c>
      <c r="G71" s="54"/>
      <c r="H71" s="53"/>
      <c r="I71" s="199" t="s">
        <v>58</v>
      </c>
      <c r="J71" s="294">
        <v>39423</v>
      </c>
      <c r="K71" s="295">
        <v>3752.33</v>
      </c>
      <c r="L71" s="294">
        <v>39449</v>
      </c>
      <c r="M71" s="296">
        <f aca="true" t="shared" si="6" ref="M71:M76">K71</f>
        <v>3752.33</v>
      </c>
      <c r="N71" s="293"/>
      <c r="O71" s="288"/>
      <c r="P71" s="176"/>
      <c r="Q71" s="211" t="s">
        <v>24</v>
      </c>
      <c r="R71" s="294">
        <v>39442</v>
      </c>
      <c r="S71" s="185">
        <v>2701.41</v>
      </c>
      <c r="T71" s="294">
        <v>39449</v>
      </c>
      <c r="U71" s="207">
        <f t="shared" si="3"/>
        <v>2701.41</v>
      </c>
    </row>
    <row r="72" spans="1:21" ht="12.75" customHeight="1">
      <c r="A72" s="288"/>
      <c r="B72" s="373" t="s">
        <v>49</v>
      </c>
      <c r="C72" s="373"/>
      <c r="D72" s="373"/>
      <c r="E72" s="373"/>
      <c r="F72" s="62">
        <f>SUM(F63:F71)</f>
        <v>45138.87999999999</v>
      </c>
      <c r="G72" s="54"/>
      <c r="H72" s="53"/>
      <c r="I72" s="199" t="s">
        <v>59</v>
      </c>
      <c r="J72" s="294">
        <v>39423</v>
      </c>
      <c r="K72" s="295">
        <v>2753.75</v>
      </c>
      <c r="L72" s="294">
        <v>39449</v>
      </c>
      <c r="M72" s="296">
        <f t="shared" si="6"/>
        <v>2753.75</v>
      </c>
      <c r="N72" s="293"/>
      <c r="O72" s="288"/>
      <c r="P72" s="176"/>
      <c r="Q72" s="211" t="s">
        <v>25</v>
      </c>
      <c r="R72" s="294">
        <v>39442</v>
      </c>
      <c r="S72" s="185">
        <v>1867.99</v>
      </c>
      <c r="T72" s="294">
        <v>39449</v>
      </c>
      <c r="U72" s="207">
        <f t="shared" si="3"/>
        <v>1867.99</v>
      </c>
    </row>
    <row r="73" spans="1:21" ht="13.5" customHeight="1" thickBot="1">
      <c r="A73" s="288"/>
      <c r="B73" s="373" t="s">
        <v>50</v>
      </c>
      <c r="C73" s="373"/>
      <c r="D73" s="373"/>
      <c r="E73" s="373"/>
      <c r="F73" s="63">
        <v>1000</v>
      </c>
      <c r="G73" s="54"/>
      <c r="H73" s="53"/>
      <c r="I73" s="199" t="s">
        <v>60</v>
      </c>
      <c r="J73" s="294">
        <v>39423</v>
      </c>
      <c r="K73" s="295">
        <v>5507.51</v>
      </c>
      <c r="L73" s="294">
        <v>39449</v>
      </c>
      <c r="M73" s="296">
        <f t="shared" si="6"/>
        <v>5507.51</v>
      </c>
      <c r="N73" s="293"/>
      <c r="O73" s="288"/>
      <c r="P73" s="176"/>
      <c r="Q73" s="211" t="s">
        <v>26</v>
      </c>
      <c r="R73" s="294">
        <v>39443</v>
      </c>
      <c r="S73" s="185">
        <v>5402.81</v>
      </c>
      <c r="T73" s="294">
        <v>39449</v>
      </c>
      <c r="U73" s="207">
        <f t="shared" si="3"/>
        <v>5402.81</v>
      </c>
    </row>
    <row r="74" spans="1:21" ht="13.5" thickTop="1">
      <c r="A74" s="288"/>
      <c r="B74" s="60"/>
      <c r="E74" s="49" t="s">
        <v>68</v>
      </c>
      <c r="F74" s="62">
        <f>SUM(F72:F73)</f>
        <v>46138.87999999999</v>
      </c>
      <c r="G74" s="54"/>
      <c r="H74" s="53"/>
      <c r="I74" s="199" t="s">
        <v>61</v>
      </c>
      <c r="J74" s="294">
        <v>39423</v>
      </c>
      <c r="K74" s="295">
        <v>1908.67</v>
      </c>
      <c r="L74" s="294">
        <v>39449</v>
      </c>
      <c r="M74" s="296">
        <f t="shared" si="6"/>
        <v>1908.67</v>
      </c>
      <c r="N74" s="293"/>
      <c r="O74" s="288"/>
      <c r="P74" s="176"/>
      <c r="Q74" s="211" t="s">
        <v>27</v>
      </c>
      <c r="R74" s="294">
        <v>39443</v>
      </c>
      <c r="S74" s="185">
        <v>3736.93</v>
      </c>
      <c r="T74" s="294">
        <v>39449</v>
      </c>
      <c r="U74" s="207">
        <f t="shared" si="3"/>
        <v>3736.93</v>
      </c>
    </row>
    <row r="75" spans="1:21" ht="12.75">
      <c r="A75" s="288"/>
      <c r="B75" s="60"/>
      <c r="F75" s="61"/>
      <c r="G75" s="54"/>
      <c r="H75" s="66"/>
      <c r="I75" s="199" t="s">
        <v>62</v>
      </c>
      <c r="J75" s="294">
        <v>39423</v>
      </c>
      <c r="K75" s="295">
        <v>5507.51</v>
      </c>
      <c r="L75" s="294">
        <v>39449</v>
      </c>
      <c r="M75" s="296">
        <f t="shared" si="6"/>
        <v>5507.51</v>
      </c>
      <c r="N75" s="293"/>
      <c r="O75" s="288"/>
      <c r="P75" s="176"/>
      <c r="Q75" s="211" t="s">
        <v>28</v>
      </c>
      <c r="R75" s="294">
        <v>39444</v>
      </c>
      <c r="S75" s="185">
        <v>2701.41</v>
      </c>
      <c r="T75" s="294">
        <v>39449</v>
      </c>
      <c r="U75" s="207">
        <f t="shared" si="3"/>
        <v>2701.41</v>
      </c>
    </row>
    <row r="76" spans="7:21" ht="12.75">
      <c r="G76" s="54"/>
      <c r="H76" s="66"/>
      <c r="I76" s="200" t="s">
        <v>63</v>
      </c>
      <c r="J76" s="297">
        <v>39423</v>
      </c>
      <c r="K76" s="298">
        <v>1908.67</v>
      </c>
      <c r="L76" s="297">
        <v>39449</v>
      </c>
      <c r="M76" s="299">
        <f t="shared" si="6"/>
        <v>1908.67</v>
      </c>
      <c r="N76" s="293"/>
      <c r="O76" s="288"/>
      <c r="P76" s="176"/>
      <c r="Q76" s="211" t="s">
        <v>29</v>
      </c>
      <c r="R76" s="294">
        <v>39444</v>
      </c>
      <c r="S76" s="185">
        <v>1867.99</v>
      </c>
      <c r="T76" s="294">
        <v>39449</v>
      </c>
      <c r="U76" s="207">
        <f t="shared" si="3"/>
        <v>1867.99</v>
      </c>
    </row>
    <row r="77" spans="7:21" ht="12.75">
      <c r="G77" s="54"/>
      <c r="H77" s="66"/>
      <c r="I77" s="373" t="s">
        <v>49</v>
      </c>
      <c r="J77" s="373"/>
      <c r="K77" s="373"/>
      <c r="L77" s="373"/>
      <c r="M77" s="197">
        <f>SUM(M63:M76)</f>
        <v>52781.80000000001</v>
      </c>
      <c r="N77" s="4"/>
      <c r="O77" s="288"/>
      <c r="P77" s="176"/>
      <c r="Q77" s="211" t="s">
        <v>30</v>
      </c>
      <c r="R77" s="294">
        <v>39444</v>
      </c>
      <c r="S77" s="185">
        <v>2701.41</v>
      </c>
      <c r="T77" s="294">
        <v>39449</v>
      </c>
      <c r="U77" s="207">
        <f t="shared" si="3"/>
        <v>2701.41</v>
      </c>
    </row>
    <row r="78" spans="8:21" ht="13.5" thickBot="1">
      <c r="H78" s="46"/>
      <c r="I78" s="373" t="s">
        <v>111</v>
      </c>
      <c r="J78" s="373"/>
      <c r="K78" s="373"/>
      <c r="L78" s="373"/>
      <c r="M78" s="79">
        <v>950</v>
      </c>
      <c r="N78" s="4"/>
      <c r="O78" s="288"/>
      <c r="P78" s="176"/>
      <c r="Q78" s="211" t="s">
        <v>31</v>
      </c>
      <c r="R78" s="294">
        <v>39444</v>
      </c>
      <c r="S78" s="185">
        <v>1806.82</v>
      </c>
      <c r="T78" s="294">
        <v>39449</v>
      </c>
      <c r="U78" s="207">
        <f t="shared" si="3"/>
        <v>1806.82</v>
      </c>
    </row>
    <row r="79" spans="7:21" ht="13.5" thickTop="1">
      <c r="G79" s="54"/>
      <c r="H79" s="66"/>
      <c r="I79" s="60"/>
      <c r="J79" s="46"/>
      <c r="K79" s="46"/>
      <c r="L79" s="49" t="s">
        <v>68</v>
      </c>
      <c r="M79" s="82">
        <f>SUM(M77:M78)</f>
        <v>53731.80000000001</v>
      </c>
      <c r="N79" s="4"/>
      <c r="O79" s="288"/>
      <c r="P79" s="176"/>
      <c r="Q79" s="211" t="s">
        <v>32</v>
      </c>
      <c r="R79" s="294">
        <v>39444</v>
      </c>
      <c r="S79" s="185">
        <v>934.47</v>
      </c>
      <c r="T79" s="294">
        <v>39449</v>
      </c>
      <c r="U79" s="207">
        <f t="shared" si="3"/>
        <v>934.47</v>
      </c>
    </row>
    <row r="80" spans="7:21" ht="12.75">
      <c r="G80" s="54"/>
      <c r="H80" s="66"/>
      <c r="I80" s="60"/>
      <c r="J80" s="46"/>
      <c r="K80" s="46"/>
      <c r="L80" s="49"/>
      <c r="M80" s="4"/>
      <c r="N80" s="4"/>
      <c r="O80" s="288"/>
      <c r="P80" s="176"/>
      <c r="Q80" s="211" t="s">
        <v>33</v>
      </c>
      <c r="R80" s="181">
        <v>39445</v>
      </c>
      <c r="S80" s="185">
        <v>2701.41</v>
      </c>
      <c r="T80" s="294">
        <v>39449</v>
      </c>
      <c r="U80" s="207">
        <f t="shared" si="3"/>
        <v>2701.41</v>
      </c>
    </row>
    <row r="81" spans="7:21" ht="12.75">
      <c r="G81" s="54"/>
      <c r="H81" s="66"/>
      <c r="I81" s="60"/>
      <c r="J81" s="46"/>
      <c r="K81" s="46"/>
      <c r="L81" s="49"/>
      <c r="M81" s="4"/>
      <c r="N81" s="4"/>
      <c r="O81" s="288"/>
      <c r="P81" s="176"/>
      <c r="Q81" s="211" t="s">
        <v>34</v>
      </c>
      <c r="R81" s="181">
        <v>39445</v>
      </c>
      <c r="S81" s="185">
        <v>1867.99</v>
      </c>
      <c r="T81" s="294">
        <v>39449</v>
      </c>
      <c r="U81" s="207">
        <f t="shared" si="3"/>
        <v>1867.99</v>
      </c>
    </row>
    <row r="82" spans="1:21" ht="12.75">
      <c r="A82" s="270" t="s">
        <v>112</v>
      </c>
      <c r="H82" s="56"/>
      <c r="I82" s="67"/>
      <c r="J82" s="54"/>
      <c r="K82" s="54"/>
      <c r="L82" s="54"/>
      <c r="M82" s="54"/>
      <c r="N82" s="54"/>
      <c r="O82" s="288"/>
      <c r="P82" s="176"/>
      <c r="Q82" s="211" t="s">
        <v>35</v>
      </c>
      <c r="R82" s="181">
        <v>39447</v>
      </c>
      <c r="S82" s="185">
        <v>4052.79</v>
      </c>
      <c r="T82" s="294">
        <v>39454</v>
      </c>
      <c r="U82" s="207">
        <f t="shared" si="3"/>
        <v>4052.79</v>
      </c>
    </row>
    <row r="83" spans="2:21" ht="18">
      <c r="B83" s="374" t="s">
        <v>92</v>
      </c>
      <c r="C83" s="374"/>
      <c r="H83" s="56"/>
      <c r="I83" s="173" t="s">
        <v>93</v>
      </c>
      <c r="J83" s="173"/>
      <c r="K83" s="300"/>
      <c r="L83" s="287"/>
      <c r="M83" s="287"/>
      <c r="N83" s="287"/>
      <c r="O83" s="288"/>
      <c r="P83" s="176"/>
      <c r="Q83" s="212" t="s">
        <v>36</v>
      </c>
      <c r="R83" s="182">
        <v>39447</v>
      </c>
      <c r="S83" s="186">
        <v>934.47</v>
      </c>
      <c r="T83" s="297">
        <v>39454</v>
      </c>
      <c r="U83" s="208">
        <f t="shared" si="3"/>
        <v>934.47</v>
      </c>
    </row>
    <row r="84" spans="1:21" ht="24.75" customHeight="1">
      <c r="A84" s="288"/>
      <c r="B84" s="363" t="s">
        <v>152</v>
      </c>
      <c r="C84" s="376" t="s">
        <v>0</v>
      </c>
      <c r="D84" s="376" t="s">
        <v>153</v>
      </c>
      <c r="E84" s="372" t="s">
        <v>184</v>
      </c>
      <c r="F84" s="361"/>
      <c r="G84" s="61"/>
      <c r="H84" s="56"/>
      <c r="I84" s="363" t="s">
        <v>152</v>
      </c>
      <c r="J84" s="376" t="s">
        <v>0</v>
      </c>
      <c r="K84" s="376" t="s">
        <v>153</v>
      </c>
      <c r="L84" s="372" t="s">
        <v>184</v>
      </c>
      <c r="M84" s="361"/>
      <c r="O84" s="288"/>
      <c r="P84" s="46"/>
      <c r="Q84" s="373" t="s">
        <v>49</v>
      </c>
      <c r="R84" s="373"/>
      <c r="S84" s="373"/>
      <c r="T84" s="373"/>
      <c r="U84" s="85">
        <f>SUM(U63:U83)</f>
        <v>55043.17999999999</v>
      </c>
    </row>
    <row r="85" spans="1:21" ht="25.5" customHeight="1" thickBot="1">
      <c r="A85" s="288"/>
      <c r="B85" s="364"/>
      <c r="C85" s="378"/>
      <c r="D85" s="378"/>
      <c r="E85" s="174" t="s">
        <v>0</v>
      </c>
      <c r="F85" s="174" t="s">
        <v>154</v>
      </c>
      <c r="H85" s="56"/>
      <c r="I85" s="375"/>
      <c r="J85" s="377"/>
      <c r="K85" s="377"/>
      <c r="L85" s="65" t="s">
        <v>0</v>
      </c>
      <c r="M85" s="183" t="s">
        <v>154</v>
      </c>
      <c r="O85" s="288"/>
      <c r="P85" s="46"/>
      <c r="Q85" s="373" t="s">
        <v>37</v>
      </c>
      <c r="R85" s="373"/>
      <c r="S85" s="373"/>
      <c r="T85" s="373"/>
      <c r="U85" s="86">
        <f>U84-U86</f>
        <v>4574.179999999993</v>
      </c>
    </row>
    <row r="86" spans="1:21" ht="12.75" customHeight="1" thickTop="1">
      <c r="A86" s="288"/>
      <c r="B86" s="187" t="s">
        <v>192</v>
      </c>
      <c r="C86" s="190">
        <v>39443</v>
      </c>
      <c r="D86" s="191">
        <v>8307.15</v>
      </c>
      <c r="E86" s="190">
        <v>39450</v>
      </c>
      <c r="F86" s="194">
        <f>D86</f>
        <v>8307.15</v>
      </c>
      <c r="H86" s="56"/>
      <c r="I86" s="178" t="s">
        <v>2</v>
      </c>
      <c r="J86" s="294">
        <v>39435</v>
      </c>
      <c r="K86" s="184">
        <v>4084.38</v>
      </c>
      <c r="L86" s="294">
        <v>39450</v>
      </c>
      <c r="M86" s="301">
        <f aca="true" t="shared" si="7" ref="M86:M95">K86</f>
        <v>4084.38</v>
      </c>
      <c r="N86" s="78"/>
      <c r="O86" s="288"/>
      <c r="P86" s="46"/>
      <c r="Q86" s="60"/>
      <c r="R86" s="46"/>
      <c r="S86" s="46"/>
      <c r="T86" s="49" t="s">
        <v>68</v>
      </c>
      <c r="U86" s="85">
        <v>50469</v>
      </c>
    </row>
    <row r="87" spans="1:20" ht="12.75">
      <c r="A87" s="288"/>
      <c r="B87" s="188" t="s">
        <v>193</v>
      </c>
      <c r="C87" s="181">
        <v>39443</v>
      </c>
      <c r="D87" s="192">
        <v>3841.75</v>
      </c>
      <c r="E87" s="181">
        <v>39450</v>
      </c>
      <c r="F87" s="195">
        <f>D87</f>
        <v>3841.75</v>
      </c>
      <c r="H87" s="56"/>
      <c r="I87" s="179" t="s">
        <v>3</v>
      </c>
      <c r="J87" s="294">
        <v>39435</v>
      </c>
      <c r="K87" s="185">
        <v>2835.24</v>
      </c>
      <c r="L87" s="294">
        <v>39450</v>
      </c>
      <c r="M87" s="301">
        <f t="shared" si="7"/>
        <v>2835.24</v>
      </c>
      <c r="N87" s="78"/>
      <c r="O87" s="288"/>
      <c r="P87" s="46"/>
      <c r="T87" s="48"/>
    </row>
    <row r="88" spans="1:19" ht="12.75">
      <c r="A88" s="288"/>
      <c r="B88" s="188" t="s">
        <v>194</v>
      </c>
      <c r="C88" s="181">
        <v>39443</v>
      </c>
      <c r="D88" s="192">
        <v>2769.05</v>
      </c>
      <c r="E88" s="181">
        <v>39450</v>
      </c>
      <c r="F88" s="195">
        <f>D88</f>
        <v>2769.05</v>
      </c>
      <c r="H88" s="56"/>
      <c r="I88" s="179" t="s">
        <v>4</v>
      </c>
      <c r="J88" s="294">
        <v>39437</v>
      </c>
      <c r="K88" s="185">
        <v>5395.53</v>
      </c>
      <c r="L88" s="294">
        <v>39450</v>
      </c>
      <c r="M88" s="301">
        <f t="shared" si="7"/>
        <v>5395.53</v>
      </c>
      <c r="N88" s="78"/>
      <c r="O88" s="288"/>
      <c r="P88" s="46"/>
      <c r="Q88" s="46"/>
      <c r="R88" s="46"/>
      <c r="S88" s="46"/>
    </row>
    <row r="89" spans="1:19" ht="12.75">
      <c r="A89" s="288"/>
      <c r="B89" s="188" t="s">
        <v>195</v>
      </c>
      <c r="C89" s="181">
        <v>39445</v>
      </c>
      <c r="D89" s="192">
        <v>3798.06</v>
      </c>
      <c r="E89" s="181">
        <v>39450</v>
      </c>
      <c r="F89" s="195">
        <f aca="true" t="shared" si="8" ref="F89:F94">D89</f>
        <v>3798.06</v>
      </c>
      <c r="H89" s="56"/>
      <c r="I89" s="179" t="s">
        <v>5</v>
      </c>
      <c r="J89" s="294">
        <v>39437</v>
      </c>
      <c r="K89" s="185">
        <v>3643.22</v>
      </c>
      <c r="L89" s="294">
        <v>39450</v>
      </c>
      <c r="M89" s="301">
        <f t="shared" si="7"/>
        <v>3643.22</v>
      </c>
      <c r="N89" s="78"/>
      <c r="O89" s="288"/>
      <c r="P89" s="46"/>
      <c r="Q89" s="46"/>
      <c r="R89" s="46"/>
      <c r="S89" s="46"/>
    </row>
    <row r="90" spans="1:19" ht="12.75">
      <c r="A90" s="288"/>
      <c r="B90" s="188" t="s">
        <v>196</v>
      </c>
      <c r="C90" s="181">
        <v>39445</v>
      </c>
      <c r="D90" s="192">
        <v>5762.63</v>
      </c>
      <c r="E90" s="181">
        <v>39450</v>
      </c>
      <c r="F90" s="195">
        <f t="shared" si="8"/>
        <v>5762.63</v>
      </c>
      <c r="H90" s="56"/>
      <c r="I90" s="179" t="s">
        <v>6</v>
      </c>
      <c r="J90" s="294">
        <v>39440</v>
      </c>
      <c r="K90" s="185">
        <v>5399.69</v>
      </c>
      <c r="L90" s="294">
        <v>39450</v>
      </c>
      <c r="M90" s="301">
        <f t="shared" si="7"/>
        <v>5399.69</v>
      </c>
      <c r="N90" s="78"/>
      <c r="O90" s="288"/>
      <c r="P90" s="46"/>
      <c r="Q90" s="46"/>
      <c r="R90" s="46"/>
      <c r="S90" s="46"/>
    </row>
    <row r="91" spans="1:19" ht="12.75">
      <c r="A91" s="288"/>
      <c r="B91" s="188" t="s">
        <v>197</v>
      </c>
      <c r="C91" s="181">
        <v>39445</v>
      </c>
      <c r="D91" s="192">
        <v>2769.05</v>
      </c>
      <c r="E91" s="181">
        <v>39450</v>
      </c>
      <c r="F91" s="195">
        <f t="shared" si="8"/>
        <v>2769.05</v>
      </c>
      <c r="H91" s="56"/>
      <c r="I91" s="179" t="s">
        <v>7</v>
      </c>
      <c r="J91" s="294">
        <v>39440</v>
      </c>
      <c r="K91" s="185">
        <v>3639.5</v>
      </c>
      <c r="L91" s="294">
        <v>39450</v>
      </c>
      <c r="M91" s="301">
        <f t="shared" si="7"/>
        <v>3639.5</v>
      </c>
      <c r="N91" s="78"/>
      <c r="O91" s="61"/>
      <c r="P91" s="46"/>
      <c r="Q91" s="46"/>
      <c r="R91" s="46"/>
      <c r="S91" s="46"/>
    </row>
    <row r="92" spans="1:19" ht="12.75">
      <c r="A92" s="288"/>
      <c r="B92" s="188" t="s">
        <v>198</v>
      </c>
      <c r="C92" s="181">
        <v>39445</v>
      </c>
      <c r="D92" s="192">
        <v>7683.51</v>
      </c>
      <c r="E92" s="181">
        <v>39450</v>
      </c>
      <c r="F92" s="195">
        <f t="shared" si="8"/>
        <v>7683.51</v>
      </c>
      <c r="H92" s="56"/>
      <c r="I92" s="179" t="s">
        <v>8</v>
      </c>
      <c r="J92" s="294">
        <v>39442</v>
      </c>
      <c r="K92" s="185">
        <v>3656.25</v>
      </c>
      <c r="L92" s="294">
        <v>39450</v>
      </c>
      <c r="M92" s="301">
        <f t="shared" si="7"/>
        <v>3656.25</v>
      </c>
      <c r="N92" s="78"/>
      <c r="P92" s="46"/>
      <c r="Q92" s="46"/>
      <c r="R92" s="46"/>
      <c r="S92" s="46"/>
    </row>
    <row r="93" spans="1:19" ht="12.75">
      <c r="A93" s="288"/>
      <c r="B93" s="188" t="s">
        <v>199</v>
      </c>
      <c r="C93" s="181">
        <v>39446</v>
      </c>
      <c r="D93" s="192">
        <v>13845.25</v>
      </c>
      <c r="E93" s="181">
        <v>39450</v>
      </c>
      <c r="F93" s="195">
        <f t="shared" si="8"/>
        <v>13845.25</v>
      </c>
      <c r="H93" s="56"/>
      <c r="I93" s="179" t="s">
        <v>9</v>
      </c>
      <c r="J93" s="294">
        <v>39442</v>
      </c>
      <c r="K93" s="185">
        <v>3769.76</v>
      </c>
      <c r="L93" s="294">
        <v>39450</v>
      </c>
      <c r="M93" s="301">
        <f t="shared" si="7"/>
        <v>3769.76</v>
      </c>
      <c r="N93" s="78"/>
      <c r="P93" s="46"/>
      <c r="Q93" s="46"/>
      <c r="R93" s="46"/>
      <c r="S93" s="46"/>
    </row>
    <row r="94" spans="1:19" ht="12.75">
      <c r="A94" s="288"/>
      <c r="B94" s="188" t="s">
        <v>200</v>
      </c>
      <c r="C94" s="181">
        <v>39446</v>
      </c>
      <c r="D94" s="192">
        <v>3798.06</v>
      </c>
      <c r="E94" s="181">
        <v>39450</v>
      </c>
      <c r="F94" s="195">
        <f t="shared" si="8"/>
        <v>3798.06</v>
      </c>
      <c r="H94" s="56"/>
      <c r="I94" s="179" t="s">
        <v>10</v>
      </c>
      <c r="J94" s="294">
        <v>39442</v>
      </c>
      <c r="K94" s="185">
        <v>5376.15</v>
      </c>
      <c r="L94" s="294">
        <v>39450</v>
      </c>
      <c r="M94" s="301">
        <f t="shared" si="7"/>
        <v>5376.15</v>
      </c>
      <c r="N94" s="78"/>
      <c r="P94" s="46"/>
      <c r="Q94" s="46"/>
      <c r="R94" s="46"/>
      <c r="S94" s="46"/>
    </row>
    <row r="95" spans="1:19" ht="12.75">
      <c r="A95" s="288"/>
      <c r="B95" s="188" t="s">
        <v>201</v>
      </c>
      <c r="C95" s="181">
        <v>39446</v>
      </c>
      <c r="D95" s="192">
        <v>7683.51</v>
      </c>
      <c r="E95" s="181">
        <v>39450</v>
      </c>
      <c r="F95" s="195">
        <f>D95</f>
        <v>7683.51</v>
      </c>
      <c r="H95" s="56"/>
      <c r="I95" s="179" t="s">
        <v>11</v>
      </c>
      <c r="J95" s="181">
        <v>39444</v>
      </c>
      <c r="K95" s="185">
        <v>6781.46</v>
      </c>
      <c r="L95" s="294">
        <v>39450</v>
      </c>
      <c r="M95" s="301">
        <f t="shared" si="7"/>
        <v>6781.46</v>
      </c>
      <c r="N95" s="78"/>
      <c r="P95" s="46"/>
      <c r="Q95" s="46"/>
      <c r="R95" s="46"/>
      <c r="S95" s="46"/>
    </row>
    <row r="96" spans="1:19" ht="12.75">
      <c r="A96" s="288"/>
      <c r="B96" s="189" t="s">
        <v>202</v>
      </c>
      <c r="C96" s="182">
        <v>39446</v>
      </c>
      <c r="D96" s="193">
        <v>9604.38</v>
      </c>
      <c r="E96" s="182">
        <v>39451</v>
      </c>
      <c r="F96" s="196">
        <f>D96</f>
        <v>9604.38</v>
      </c>
      <c r="H96" s="56"/>
      <c r="I96" s="179" t="s">
        <v>12</v>
      </c>
      <c r="J96" s="181">
        <v>39444</v>
      </c>
      <c r="K96" s="185">
        <v>947.96</v>
      </c>
      <c r="L96" s="294">
        <v>39450</v>
      </c>
      <c r="M96" s="301">
        <f>K96</f>
        <v>947.96</v>
      </c>
      <c r="P96" s="46"/>
      <c r="Q96" s="46"/>
      <c r="R96" s="46"/>
      <c r="S96" s="46"/>
    </row>
    <row r="97" spans="1:19" ht="12.75">
      <c r="A97" s="288"/>
      <c r="B97" s="373" t="s">
        <v>49</v>
      </c>
      <c r="C97" s="373"/>
      <c r="D97" s="373"/>
      <c r="E97" s="373"/>
      <c r="F97" s="61">
        <f>SUM(F86:F96)</f>
        <v>69862.40000000001</v>
      </c>
      <c r="H97" s="56"/>
      <c r="I97" s="179" t="s">
        <v>13</v>
      </c>
      <c r="J97" s="181">
        <v>39445</v>
      </c>
      <c r="K97" s="185">
        <v>11052.48</v>
      </c>
      <c r="L97" s="294">
        <v>39451</v>
      </c>
      <c r="M97" s="301">
        <f>K97</f>
        <v>11052.48</v>
      </c>
      <c r="P97" s="46"/>
      <c r="Q97" s="46"/>
      <c r="R97" s="46"/>
      <c r="S97" s="46"/>
    </row>
    <row r="98" spans="1:19" ht="13.5" thickBot="1">
      <c r="A98" s="288"/>
      <c r="B98" s="373" t="s">
        <v>1</v>
      </c>
      <c r="C98" s="373"/>
      <c r="D98" s="373"/>
      <c r="E98" s="373"/>
      <c r="F98" s="83">
        <v>4709.599999999991</v>
      </c>
      <c r="H98" s="84"/>
      <c r="I98" s="179" t="s">
        <v>14</v>
      </c>
      <c r="J98" s="181">
        <v>39447</v>
      </c>
      <c r="K98" s="185">
        <v>8224.14</v>
      </c>
      <c r="L98" s="294">
        <v>39454</v>
      </c>
      <c r="M98" s="301">
        <f>K98</f>
        <v>8224.14</v>
      </c>
      <c r="P98" s="46"/>
      <c r="Q98" s="46"/>
      <c r="R98" s="46"/>
      <c r="S98" s="46"/>
    </row>
    <row r="99" spans="1:19" ht="13.5" thickTop="1">
      <c r="A99" s="288"/>
      <c r="B99" s="60"/>
      <c r="E99" s="49" t="s">
        <v>68</v>
      </c>
      <c r="F99" s="61">
        <f>SUM(F97:F98)</f>
        <v>74572</v>
      </c>
      <c r="H99" s="56"/>
      <c r="I99" s="180" t="s">
        <v>15</v>
      </c>
      <c r="J99" s="182">
        <v>39447</v>
      </c>
      <c r="K99" s="186">
        <v>3684.16</v>
      </c>
      <c r="L99" s="297">
        <v>39454</v>
      </c>
      <c r="M99" s="302">
        <f>K99</f>
        <v>3684.16</v>
      </c>
      <c r="P99" s="46"/>
      <c r="Q99" s="46"/>
      <c r="R99" s="46"/>
      <c r="S99" s="46"/>
    </row>
    <row r="100" spans="1:19" ht="12.75">
      <c r="A100" s="288"/>
      <c r="H100" s="56"/>
      <c r="I100" s="373" t="s">
        <v>49</v>
      </c>
      <c r="J100" s="373"/>
      <c r="K100" s="373"/>
      <c r="L100" s="373"/>
      <c r="M100" s="62">
        <f>SUM(M86:M99)</f>
        <v>68489.92</v>
      </c>
      <c r="P100" s="46"/>
      <c r="Q100" s="46"/>
      <c r="R100" s="46"/>
      <c r="S100" s="46"/>
    </row>
    <row r="101" spans="1:19" ht="12.75" customHeight="1" thickBot="1">
      <c r="A101" s="288"/>
      <c r="H101" s="56"/>
      <c r="I101" s="373" t="s">
        <v>50</v>
      </c>
      <c r="J101" s="373"/>
      <c r="K101" s="373"/>
      <c r="L101" s="373"/>
      <c r="M101" s="63">
        <f>M100-M102</f>
        <v>44038.92</v>
      </c>
      <c r="P101" s="46"/>
      <c r="Q101" s="46"/>
      <c r="R101" s="46"/>
      <c r="S101" s="46"/>
    </row>
    <row r="102" spans="1:19" ht="13.5" customHeight="1" thickTop="1">
      <c r="A102" s="288"/>
      <c r="B102" s="60"/>
      <c r="H102" s="56"/>
      <c r="I102" s="60"/>
      <c r="J102" s="46"/>
      <c r="K102" s="46"/>
      <c r="L102" s="49" t="s">
        <v>68</v>
      </c>
      <c r="M102" s="62">
        <v>24451</v>
      </c>
      <c r="P102" s="46"/>
      <c r="Q102" s="46"/>
      <c r="R102" s="46"/>
      <c r="S102" s="46"/>
    </row>
    <row r="103" spans="1:15" ht="12.75">
      <c r="A103" s="133"/>
      <c r="B103" s="133"/>
      <c r="C103" s="133"/>
      <c r="D103" s="143"/>
      <c r="E103" s="143"/>
      <c r="F103" s="143"/>
      <c r="G103" s="303"/>
      <c r="H103" s="134"/>
      <c r="I103" s="134"/>
      <c r="J103" s="124"/>
      <c r="K103" s="272"/>
      <c r="L103" s="272"/>
      <c r="M103" s="272"/>
      <c r="N103" s="287"/>
      <c r="O103" s="51"/>
    </row>
    <row r="104" spans="1:20" ht="12.75">
      <c r="A104" s="286" t="s">
        <v>119</v>
      </c>
      <c r="B104" s="380" t="s">
        <v>259</v>
      </c>
      <c r="C104" s="380"/>
      <c r="D104" s="380"/>
      <c r="E104" s="380"/>
      <c r="F104" s="380"/>
      <c r="G104" s="380"/>
      <c r="H104" s="380"/>
      <c r="I104" s="123"/>
      <c r="J104" s="124"/>
      <c r="K104" s="272"/>
      <c r="L104" s="272"/>
      <c r="M104" s="272"/>
      <c r="N104" s="287"/>
      <c r="P104" s="51"/>
      <c r="Q104" s="51"/>
      <c r="R104" s="51"/>
      <c r="S104" s="51"/>
      <c r="T104" s="51"/>
    </row>
    <row r="105" spans="1:14" ht="12.75">
      <c r="A105" s="286"/>
      <c r="B105" s="123"/>
      <c r="C105" s="123"/>
      <c r="D105" s="124"/>
      <c r="E105" s="124"/>
      <c r="F105" s="124"/>
      <c r="G105" s="124"/>
      <c r="H105" s="124"/>
      <c r="I105" s="124"/>
      <c r="J105" s="124"/>
      <c r="K105" s="272"/>
      <c r="L105" s="272"/>
      <c r="M105" s="272"/>
      <c r="N105" s="287"/>
    </row>
    <row r="106" spans="1:14" ht="12.75">
      <c r="A106" s="271"/>
      <c r="B106" s="270" t="s">
        <v>76</v>
      </c>
      <c r="C106" s="171"/>
      <c r="D106" s="171"/>
      <c r="E106" s="171"/>
      <c r="F106" s="171"/>
      <c r="G106" s="171"/>
      <c r="H106" s="171"/>
      <c r="I106" s="171"/>
      <c r="J106" s="171"/>
      <c r="K106" s="55"/>
      <c r="L106" s="55"/>
      <c r="M106" s="55"/>
      <c r="N106" s="56"/>
    </row>
    <row r="107" spans="1:14" ht="12.75">
      <c r="A107" s="304">
        <v>3</v>
      </c>
      <c r="B107" s="380" t="s">
        <v>75</v>
      </c>
      <c r="C107" s="380"/>
      <c r="D107" s="380"/>
      <c r="E107" s="380"/>
      <c r="F107" s="380"/>
      <c r="G107" s="380"/>
      <c r="H107" s="380"/>
      <c r="I107" s="380"/>
      <c r="J107" s="380"/>
      <c r="K107" s="55"/>
      <c r="L107" s="55"/>
      <c r="M107" s="55"/>
      <c r="N107" s="56"/>
    </row>
    <row r="108" spans="1:14" ht="24.75" customHeight="1">
      <c r="A108" s="305">
        <v>3</v>
      </c>
      <c r="B108" s="380" t="s">
        <v>118</v>
      </c>
      <c r="C108" s="380"/>
      <c r="D108" s="380"/>
      <c r="E108" s="380"/>
      <c r="F108" s="171"/>
      <c r="G108" s="171"/>
      <c r="H108" s="171"/>
      <c r="I108" s="171"/>
      <c r="J108" s="171"/>
      <c r="K108" s="55"/>
      <c r="L108" s="55"/>
      <c r="M108" s="55"/>
      <c r="N108" s="56"/>
    </row>
    <row r="109" spans="1:14" ht="12.75">
      <c r="A109" s="304">
        <v>3</v>
      </c>
      <c r="B109" s="380" t="s">
        <v>77</v>
      </c>
      <c r="C109" s="380"/>
      <c r="D109" s="380"/>
      <c r="E109" s="380"/>
      <c r="F109" s="171"/>
      <c r="G109" s="171"/>
      <c r="H109" s="171"/>
      <c r="I109" s="171"/>
      <c r="J109" s="171"/>
      <c r="K109" s="55"/>
      <c r="L109" s="55"/>
      <c r="M109" s="55"/>
      <c r="N109" s="56"/>
    </row>
    <row r="110" spans="1:14" ht="12.75">
      <c r="A110" s="306"/>
      <c r="B110" s="172"/>
      <c r="C110" s="172"/>
      <c r="D110" s="172"/>
      <c r="E110" s="172"/>
      <c r="F110" s="171"/>
      <c r="G110" s="171"/>
      <c r="H110" s="171"/>
      <c r="I110" s="171"/>
      <c r="J110" s="171"/>
      <c r="K110" s="55"/>
      <c r="L110" s="55"/>
      <c r="M110" s="55"/>
      <c r="N110" s="56"/>
    </row>
    <row r="111" spans="2:14" ht="12.75">
      <c r="B111" s="307" t="s">
        <v>74</v>
      </c>
      <c r="C111" s="307"/>
      <c r="J111" s="56"/>
      <c r="K111" s="56"/>
      <c r="L111" s="56"/>
      <c r="M111" s="56"/>
      <c r="N111" s="56"/>
    </row>
    <row r="112" ht="12.75">
      <c r="B112" s="46" t="s">
        <v>258</v>
      </c>
    </row>
    <row r="113" spans="10:14" ht="12.75">
      <c r="J113" s="53"/>
      <c r="K113" s="53"/>
      <c r="L113" s="53"/>
      <c r="M113" s="53"/>
      <c r="N113" s="54"/>
    </row>
    <row r="114" spans="10:14" ht="12.75">
      <c r="J114" s="53"/>
      <c r="K114" s="53"/>
      <c r="L114" s="53"/>
      <c r="M114" s="53"/>
      <c r="N114" s="54"/>
    </row>
  </sheetData>
  <sheetProtection/>
  <mergeCells count="56">
    <mergeCell ref="D61:D62"/>
    <mergeCell ref="B50:M50"/>
    <mergeCell ref="K10:K11"/>
    <mergeCell ref="N11:O11"/>
    <mergeCell ref="B44:M44"/>
    <mergeCell ref="W11:W12"/>
    <mergeCell ref="L12:O12"/>
    <mergeCell ref="Q12:T12"/>
    <mergeCell ref="A12:G12"/>
    <mergeCell ref="I12:J12"/>
    <mergeCell ref="P10:T10"/>
    <mergeCell ref="A36:C36"/>
    <mergeCell ref="A10:A11"/>
    <mergeCell ref="B10:B11"/>
    <mergeCell ref="C10:C11"/>
    <mergeCell ref="H10:H11"/>
    <mergeCell ref="L10:O10"/>
    <mergeCell ref="I10:J10"/>
    <mergeCell ref="B108:E108"/>
    <mergeCell ref="B109:E109"/>
    <mergeCell ref="I101:L101"/>
    <mergeCell ref="B98:E98"/>
    <mergeCell ref="B104:H104"/>
    <mergeCell ref="B97:E97"/>
    <mergeCell ref="C61:C62"/>
    <mergeCell ref="I100:L100"/>
    <mergeCell ref="B107:J107"/>
    <mergeCell ref="I78:L78"/>
    <mergeCell ref="I77:L77"/>
    <mergeCell ref="K61:K62"/>
    <mergeCell ref="L61:M61"/>
    <mergeCell ref="I61:I62"/>
    <mergeCell ref="J61:J62"/>
    <mergeCell ref="B72:E72"/>
    <mergeCell ref="B73:E73"/>
    <mergeCell ref="I84:I85"/>
    <mergeCell ref="J84:J85"/>
    <mergeCell ref="C84:C85"/>
    <mergeCell ref="D84:D85"/>
    <mergeCell ref="B84:B85"/>
    <mergeCell ref="E84:F84"/>
    <mergeCell ref="Q84:T84"/>
    <mergeCell ref="Q85:T85"/>
    <mergeCell ref="B83:C83"/>
    <mergeCell ref="L84:M84"/>
    <mergeCell ref="K84:K85"/>
    <mergeCell ref="I1:K1"/>
    <mergeCell ref="Q60:T60"/>
    <mergeCell ref="T61:U61"/>
    <mergeCell ref="B47:Q47"/>
    <mergeCell ref="Q61:Q62"/>
    <mergeCell ref="B60:D60"/>
    <mergeCell ref="I60:K60"/>
    <mergeCell ref="E61:F61"/>
    <mergeCell ref="B61:B62"/>
    <mergeCell ref="D10:G10"/>
  </mergeCells>
  <printOptions/>
  <pageMargins left="1.5748031496062993" right="0.9448818897637796" top="0.72" bottom="1.45" header="0.15748031496062992" footer="0.49"/>
  <pageSetup fitToHeight="3" fitToWidth="1" horizontalDpi="300" verticalDpi="300" orientation="landscape" paperSize="9" scale="51" r:id="rId2"/>
  <headerFooter alignWithMargins="0">
    <oddFooter>&amp;C&amp;P de &amp;N</oddFooter>
  </headerFooter>
  <ignoredErrors>
    <ignoredError sqref="O22" formula="1"/>
  </ignoredErrors>
  <drawing r:id="rId1"/>
</worksheet>
</file>

<file path=xl/worksheets/sheet4.xml><?xml version="1.0" encoding="utf-8"?>
<worksheet xmlns="http://schemas.openxmlformats.org/spreadsheetml/2006/main" xmlns:r="http://schemas.openxmlformats.org/officeDocument/2006/relationships">
  <dimension ref="A1:K65"/>
  <sheetViews>
    <sheetView zoomScale="99" zoomScaleNormal="99" zoomScalePageLayoutView="0" workbookViewId="0" topLeftCell="A1">
      <selection activeCell="E14" sqref="E14"/>
    </sheetView>
  </sheetViews>
  <sheetFormatPr defaultColWidth="11.421875" defaultRowHeight="12.75"/>
  <cols>
    <col min="1" max="1" width="6.140625" style="1" customWidth="1"/>
    <col min="2" max="2" width="3.7109375" style="1" customWidth="1"/>
    <col min="3" max="3" width="26.8515625" style="1" customWidth="1"/>
    <col min="4" max="4" width="3.421875" style="1" bestFit="1" customWidth="1"/>
    <col min="5" max="5" width="13.57421875" style="2" customWidth="1"/>
    <col min="6" max="6" width="5.00390625" style="2" customWidth="1"/>
    <col min="7" max="7" width="15.421875" style="2" customWidth="1"/>
    <col min="8" max="8" width="12.7109375" style="1" customWidth="1"/>
    <col min="9" max="9" width="8.421875" style="1" customWidth="1"/>
    <col min="10" max="10" width="12.7109375" style="1" bestFit="1" customWidth="1"/>
    <col min="11" max="12" width="11.421875" style="1" customWidth="1"/>
    <col min="13" max="13" width="15.8515625" style="1" bestFit="1" customWidth="1"/>
    <col min="14" max="16384" width="11.421875" style="1" customWidth="1"/>
  </cols>
  <sheetData>
    <row r="1" spans="1:9" ht="27.75">
      <c r="A1" s="358" t="s">
        <v>343</v>
      </c>
      <c r="C1" s="251"/>
      <c r="D1" s="251"/>
      <c r="E1" s="251"/>
      <c r="F1" s="251"/>
      <c r="G1" s="1"/>
      <c r="H1" s="357" t="s">
        <v>260</v>
      </c>
      <c r="I1" s="263"/>
    </row>
    <row r="2" spans="5:7" ht="12.75">
      <c r="E2" s="1"/>
      <c r="G2" s="1"/>
    </row>
    <row r="3" spans="2:8" ht="12.75">
      <c r="B3" s="122" t="str">
        <f>'A-5-2 Circularizac'!A3</f>
        <v>COMBUSTIBLE &amp; ADITIVOS S.A.</v>
      </c>
      <c r="C3" s="121"/>
      <c r="D3" s="121"/>
      <c r="E3" s="121"/>
      <c r="F3" s="213"/>
      <c r="G3" s="122" t="s">
        <v>220</v>
      </c>
      <c r="H3" s="121" t="s">
        <v>84</v>
      </c>
    </row>
    <row r="4" spans="2:8" ht="12.75">
      <c r="B4" s="122" t="s">
        <v>121</v>
      </c>
      <c r="C4" s="121"/>
      <c r="D4" s="121"/>
      <c r="E4" s="121"/>
      <c r="F4" s="213"/>
      <c r="G4" s="122" t="s">
        <v>219</v>
      </c>
      <c r="H4" s="214" t="s">
        <v>113</v>
      </c>
    </row>
    <row r="5" spans="2:8" ht="12.75">
      <c r="B5" s="122" t="s">
        <v>181</v>
      </c>
      <c r="C5" s="121"/>
      <c r="D5" s="121"/>
      <c r="E5" s="121"/>
      <c r="F5" s="213"/>
      <c r="G5" s="121"/>
      <c r="H5" s="121"/>
    </row>
    <row r="6" spans="2:8" ht="12.75">
      <c r="B6" s="122"/>
      <c r="C6" s="121"/>
      <c r="D6" s="121"/>
      <c r="E6" s="121"/>
      <c r="F6" s="213"/>
      <c r="G6" s="121"/>
      <c r="H6" s="121"/>
    </row>
    <row r="7" spans="2:8" ht="12.75">
      <c r="B7" s="254" t="s">
        <v>117</v>
      </c>
      <c r="C7" s="121"/>
      <c r="D7" s="121"/>
      <c r="E7" s="213"/>
      <c r="F7" s="213"/>
      <c r="G7" s="213"/>
      <c r="H7" s="121"/>
    </row>
    <row r="8" spans="2:8" ht="12.75">
      <c r="B8" s="215" t="s">
        <v>82</v>
      </c>
      <c r="C8" s="121"/>
      <c r="D8" s="121"/>
      <c r="E8" s="213"/>
      <c r="F8" s="213"/>
      <c r="G8" s="213"/>
      <c r="H8" s="121"/>
    </row>
    <row r="9" spans="2:8" ht="12.75">
      <c r="B9" s="215" t="s">
        <v>83</v>
      </c>
      <c r="C9" s="121"/>
      <c r="D9" s="121"/>
      <c r="E9" s="213"/>
      <c r="F9" s="213"/>
      <c r="G9" s="213"/>
      <c r="H9" s="121"/>
    </row>
    <row r="10" ht="13.5" thickBot="1"/>
    <row r="11" spans="2:11" ht="12.75">
      <c r="B11" s="23"/>
      <c r="C11" s="24"/>
      <c r="D11" s="24"/>
      <c r="E11" s="25">
        <v>2007</v>
      </c>
      <c r="F11" s="25"/>
      <c r="G11" s="26">
        <v>2006</v>
      </c>
      <c r="H11" s="43"/>
      <c r="I11" s="22"/>
      <c r="J11" s="22"/>
      <c r="K11" s="22"/>
    </row>
    <row r="12" spans="2:11" ht="12.75">
      <c r="B12" s="264" t="s">
        <v>122</v>
      </c>
      <c r="C12" s="216" t="s">
        <v>212</v>
      </c>
      <c r="D12" s="216"/>
      <c r="E12" s="217"/>
      <c r="F12" s="28"/>
      <c r="G12" s="244"/>
      <c r="H12" s="28"/>
      <c r="I12" s="22"/>
      <c r="J12" s="22"/>
      <c r="K12" s="22"/>
    </row>
    <row r="13" spans="2:11" ht="12.75">
      <c r="B13" s="265"/>
      <c r="C13" s="218" t="s">
        <v>214</v>
      </c>
      <c r="D13" s="218"/>
      <c r="E13" s="220">
        <f>'[1]T-4'!$E$652</f>
        <v>96235111.00000001</v>
      </c>
      <c r="F13" s="266">
        <v>3</v>
      </c>
      <c r="G13" s="232">
        <f>'[1]T-4'!$C$652</f>
        <v>96399215.82999998</v>
      </c>
      <c r="H13" s="31"/>
      <c r="I13" s="22"/>
      <c r="J13" s="22"/>
      <c r="K13" s="22"/>
    </row>
    <row r="14" spans="2:11" ht="12.75">
      <c r="B14" s="265"/>
      <c r="C14" s="217" t="s">
        <v>215</v>
      </c>
      <c r="D14" s="217"/>
      <c r="E14" s="220">
        <f>+(E39+G39)/2</f>
        <v>2876984.145</v>
      </c>
      <c r="F14" s="266">
        <v>3</v>
      </c>
      <c r="G14" s="232">
        <f>+(G39+H39)/2</f>
        <v>2926435</v>
      </c>
      <c r="H14" s="31"/>
      <c r="I14" s="32"/>
      <c r="J14" s="22"/>
      <c r="K14" s="22"/>
    </row>
    <row r="15" spans="2:11" ht="12.75">
      <c r="B15" s="265"/>
      <c r="C15" s="216"/>
      <c r="D15" s="216"/>
      <c r="E15" s="220"/>
      <c r="F15" s="31"/>
      <c r="G15" s="232"/>
      <c r="H15" s="31"/>
      <c r="I15" s="22"/>
      <c r="J15" s="22"/>
      <c r="K15" s="22"/>
    </row>
    <row r="16" spans="2:11" ht="12.75">
      <c r="B16" s="265"/>
      <c r="C16" s="217" t="s">
        <v>187</v>
      </c>
      <c r="D16" s="217"/>
      <c r="E16" s="221">
        <f>+E13/E14</f>
        <v>33.44999699329244</v>
      </c>
      <c r="F16" s="28"/>
      <c r="G16" s="245">
        <f>+G13/G14</f>
        <v>32.940836147052636</v>
      </c>
      <c r="H16" s="33"/>
      <c r="I16" s="22"/>
      <c r="J16" s="22"/>
      <c r="K16" s="22"/>
    </row>
    <row r="17" spans="2:11" ht="12.75">
      <c r="B17" s="264" t="s">
        <v>122</v>
      </c>
      <c r="C17" s="217" t="s">
        <v>188</v>
      </c>
      <c r="D17" s="217"/>
      <c r="E17" s="222">
        <f>365/E16</f>
        <v>10.911809650481931</v>
      </c>
      <c r="F17" s="44"/>
      <c r="G17" s="246">
        <f>365/G16</f>
        <v>11.080471617981628</v>
      </c>
      <c r="H17" s="33"/>
      <c r="I17" s="22"/>
      <c r="J17" s="22"/>
      <c r="K17" s="22"/>
    </row>
    <row r="18" spans="2:11" ht="13.5" thickBot="1">
      <c r="B18" s="267"/>
      <c r="C18" s="34"/>
      <c r="D18" s="34"/>
      <c r="E18" s="35"/>
      <c r="F18" s="34"/>
      <c r="G18" s="36"/>
      <c r="H18" s="33"/>
      <c r="I18" s="22"/>
      <c r="J18" s="22"/>
      <c r="K18" s="22"/>
    </row>
    <row r="19" spans="2:11" ht="13.5" thickBot="1">
      <c r="B19" s="22"/>
      <c r="C19" s="22"/>
      <c r="D19" s="22"/>
      <c r="E19" s="22"/>
      <c r="F19" s="22"/>
      <c r="G19" s="28"/>
      <c r="H19" s="22"/>
      <c r="I19" s="22"/>
      <c r="J19" s="22"/>
      <c r="K19" s="22"/>
    </row>
    <row r="20" spans="2:11" ht="12.75">
      <c r="B20" s="23"/>
      <c r="C20" s="24"/>
      <c r="D20" s="24"/>
      <c r="E20" s="25">
        <v>2007</v>
      </c>
      <c r="F20" s="25"/>
      <c r="G20" s="26">
        <v>2006</v>
      </c>
      <c r="H20" s="43"/>
      <c r="I20" s="22"/>
      <c r="J20" s="22"/>
      <c r="K20" s="22"/>
    </row>
    <row r="21" spans="2:11" ht="12.75">
      <c r="B21" s="264" t="s">
        <v>189</v>
      </c>
      <c r="C21" s="216" t="s">
        <v>213</v>
      </c>
      <c r="D21" s="27"/>
      <c r="E21" s="220"/>
      <c r="F21" s="31"/>
      <c r="G21" s="232"/>
      <c r="H21" s="31"/>
      <c r="I21" s="22"/>
      <c r="J21" s="22"/>
      <c r="K21" s="22"/>
    </row>
    <row r="22" spans="2:11" ht="12.75">
      <c r="B22" s="265"/>
      <c r="C22" s="218" t="s">
        <v>214</v>
      </c>
      <c r="D22" s="30"/>
      <c r="E22" s="220">
        <f>'[1]T-4'!$E$657</f>
        <v>1183775.28</v>
      </c>
      <c r="F22" s="266">
        <v>3</v>
      </c>
      <c r="G22" s="232">
        <f>'[1]T-4'!$C$657</f>
        <v>1197084.0099999995</v>
      </c>
      <c r="H22" s="31"/>
      <c r="I22" s="22"/>
      <c r="J22" s="22"/>
      <c r="K22" s="22"/>
    </row>
    <row r="23" spans="2:11" ht="12.75">
      <c r="B23" s="265"/>
      <c r="C23" s="217" t="s">
        <v>215</v>
      </c>
      <c r="D23" s="28"/>
      <c r="E23" s="220">
        <f>+(E40+G40)/2</f>
        <v>137247.72</v>
      </c>
      <c r="F23" s="266">
        <v>3</v>
      </c>
      <c r="G23" s="232">
        <f>+(G40+H40)/2</f>
        <v>256264</v>
      </c>
      <c r="H23" s="31"/>
      <c r="I23" s="32"/>
      <c r="J23" s="22"/>
      <c r="K23" s="22"/>
    </row>
    <row r="24" spans="2:11" ht="12.75">
      <c r="B24" s="265"/>
      <c r="C24" s="216"/>
      <c r="D24" s="27"/>
      <c r="E24" s="217"/>
      <c r="F24" s="28"/>
      <c r="G24" s="244"/>
      <c r="H24" s="28"/>
      <c r="I24" s="22"/>
      <c r="J24" s="22"/>
      <c r="K24" s="22"/>
    </row>
    <row r="25" spans="2:11" ht="12.75">
      <c r="B25" s="265"/>
      <c r="C25" s="217" t="s">
        <v>187</v>
      </c>
      <c r="D25" s="28"/>
      <c r="E25" s="221">
        <f>+E22/E23</f>
        <v>8.625099783078364</v>
      </c>
      <c r="F25" s="28"/>
      <c r="G25" s="245">
        <f>+G22/G23</f>
        <v>4.671292144038958</v>
      </c>
      <c r="H25" s="33"/>
      <c r="I25" s="22"/>
      <c r="J25" s="22"/>
      <c r="K25" s="22"/>
    </row>
    <row r="26" spans="2:11" ht="12.75">
      <c r="B26" s="264" t="s">
        <v>189</v>
      </c>
      <c r="C26" s="217" t="s">
        <v>188</v>
      </c>
      <c r="D26" s="28"/>
      <c r="E26" s="222">
        <f>365/E25</f>
        <v>42.31835099648305</v>
      </c>
      <c r="F26" s="44"/>
      <c r="G26" s="246">
        <f>365/G25</f>
        <v>78.13683853316196</v>
      </c>
      <c r="H26" s="33"/>
      <c r="I26" s="22"/>
      <c r="J26" s="22"/>
      <c r="K26" s="22"/>
    </row>
    <row r="27" spans="2:11" ht="13.5" thickBot="1">
      <c r="B27" s="37"/>
      <c r="C27" s="38"/>
      <c r="D27" s="38"/>
      <c r="E27" s="34"/>
      <c r="F27" s="34"/>
      <c r="G27" s="39"/>
      <c r="H27" s="28"/>
      <c r="I27" s="22"/>
      <c r="J27" s="22"/>
      <c r="K27" s="22"/>
    </row>
    <row r="28" spans="2:11" ht="13.5" thickBot="1">
      <c r="B28" s="22"/>
      <c r="C28" s="40"/>
      <c r="D28" s="40"/>
      <c r="E28" s="22"/>
      <c r="F28" s="22"/>
      <c r="G28" s="28"/>
      <c r="H28" s="22"/>
      <c r="I28" s="22"/>
      <c r="J28" s="22"/>
      <c r="K28" s="22"/>
    </row>
    <row r="29" spans="2:11" ht="12.75">
      <c r="B29" s="23"/>
      <c r="C29" s="24"/>
      <c r="D29" s="24"/>
      <c r="E29" s="25">
        <v>2007</v>
      </c>
      <c r="F29" s="25"/>
      <c r="G29" s="26">
        <v>2006</v>
      </c>
      <c r="H29" s="43"/>
      <c r="I29" s="22"/>
      <c r="J29" s="22"/>
      <c r="K29" s="22"/>
    </row>
    <row r="30" spans="2:11" ht="12.75">
      <c r="B30" s="264" t="s">
        <v>217</v>
      </c>
      <c r="C30" s="216" t="s">
        <v>216</v>
      </c>
      <c r="D30" s="216"/>
      <c r="E30" s="220"/>
      <c r="F30" s="31"/>
      <c r="G30" s="232"/>
      <c r="H30" s="31"/>
      <c r="I30" s="22"/>
      <c r="J30" s="22"/>
      <c r="K30" s="22"/>
    </row>
    <row r="31" spans="2:11" ht="12.75">
      <c r="B31" s="265"/>
      <c r="C31" s="218" t="s">
        <v>218</v>
      </c>
      <c r="D31" s="218"/>
      <c r="E31" s="220">
        <f>'[1]T-4'!$E$663</f>
        <v>24544078.240000002</v>
      </c>
      <c r="F31" s="266">
        <v>3</v>
      </c>
      <c r="G31" s="232">
        <f>'[1]T-4'!$C$663</f>
        <v>23923027.01</v>
      </c>
      <c r="H31" s="31"/>
      <c r="I31" s="22"/>
      <c r="J31" s="22"/>
      <c r="K31" s="22"/>
    </row>
    <row r="32" spans="2:11" ht="12.75">
      <c r="B32" s="265"/>
      <c r="C32" s="217" t="s">
        <v>215</v>
      </c>
      <c r="D32" s="217"/>
      <c r="E32" s="220">
        <f>+(E41+G41)/2</f>
        <v>82836.3</v>
      </c>
      <c r="F32" s="266">
        <v>3</v>
      </c>
      <c r="G32" s="232">
        <f>+(G41+H41)/2</f>
        <v>424250</v>
      </c>
      <c r="H32" s="31"/>
      <c r="I32" s="22"/>
      <c r="J32" s="22"/>
      <c r="K32" s="22"/>
    </row>
    <row r="33" spans="2:11" ht="12.75">
      <c r="B33" s="265"/>
      <c r="C33" s="216"/>
      <c r="D33" s="216"/>
      <c r="E33" s="217"/>
      <c r="F33" s="28"/>
      <c r="G33" s="244"/>
      <c r="H33" s="28"/>
      <c r="I33" s="22"/>
      <c r="J33" s="22"/>
      <c r="K33" s="22"/>
    </row>
    <row r="34" spans="2:11" ht="12.75">
      <c r="B34" s="265"/>
      <c r="C34" s="217" t="s">
        <v>187</v>
      </c>
      <c r="D34" s="217"/>
      <c r="E34" s="221">
        <f>+E31/E32</f>
        <v>296.2961677428857</v>
      </c>
      <c r="F34" s="28"/>
      <c r="G34" s="245">
        <f>+G31/G32</f>
        <v>56.38898529169122</v>
      </c>
      <c r="H34" s="33"/>
      <c r="I34" s="22"/>
      <c r="J34" s="22"/>
      <c r="K34" s="22"/>
    </row>
    <row r="35" spans="2:11" ht="12.75">
      <c r="B35" s="264" t="s">
        <v>217</v>
      </c>
      <c r="C35" s="217" t="s">
        <v>188</v>
      </c>
      <c r="D35" s="217"/>
      <c r="E35" s="222">
        <f>365/E34</f>
        <v>1.2318755344710797</v>
      </c>
      <c r="F35" s="44"/>
      <c r="G35" s="246">
        <f>365/G34</f>
        <v>6.472895337837935</v>
      </c>
      <c r="H35" s="33"/>
      <c r="I35" s="22"/>
      <c r="J35" s="22"/>
      <c r="K35" s="22"/>
    </row>
    <row r="36" spans="2:11" ht="13.5" thickBot="1">
      <c r="B36" s="37"/>
      <c r="C36" s="38"/>
      <c r="D36" s="38"/>
      <c r="E36" s="34"/>
      <c r="F36" s="34"/>
      <c r="G36" s="39"/>
      <c r="H36" s="28"/>
      <c r="I36" s="22"/>
      <c r="J36" s="22"/>
      <c r="K36" s="22"/>
    </row>
    <row r="37" spans="2:11" ht="13.5" thickBot="1">
      <c r="B37" s="22"/>
      <c r="C37" s="40"/>
      <c r="D37" s="40"/>
      <c r="E37" s="22"/>
      <c r="F37" s="22"/>
      <c r="G37" s="28"/>
      <c r="H37" s="22"/>
      <c r="I37" s="22"/>
      <c r="J37" s="22"/>
      <c r="K37" s="22"/>
    </row>
    <row r="38" spans="2:11" ht="12.75">
      <c r="B38" s="23"/>
      <c r="C38" s="223" t="s">
        <v>225</v>
      </c>
      <c r="D38" s="223"/>
      <c r="E38" s="224">
        <v>2007</v>
      </c>
      <c r="F38" s="25"/>
      <c r="G38" s="224">
        <v>2006</v>
      </c>
      <c r="H38" s="230">
        <v>2005</v>
      </c>
      <c r="I38" s="231"/>
      <c r="J38" s="22"/>
      <c r="K38" s="22"/>
    </row>
    <row r="39" spans="2:11" ht="12.75">
      <c r="B39" s="29"/>
      <c r="C39" s="217" t="s">
        <v>178</v>
      </c>
      <c r="D39" s="217"/>
      <c r="E39" s="220">
        <f>'A-5 MovimientoCartera'!J14</f>
        <v>2824957.29</v>
      </c>
      <c r="F39" s="268">
        <v>3</v>
      </c>
      <c r="G39" s="220">
        <v>2929011</v>
      </c>
      <c r="H39" s="232">
        <v>2923859</v>
      </c>
      <c r="I39" s="233"/>
      <c r="J39" s="22"/>
      <c r="K39" s="22"/>
    </row>
    <row r="40" spans="2:11" ht="12.75">
      <c r="B40" s="29"/>
      <c r="C40" s="217" t="s">
        <v>179</v>
      </c>
      <c r="D40" s="217"/>
      <c r="E40" s="220">
        <f>'A-5 MovimientoCartera'!J11</f>
        <v>133465.44</v>
      </c>
      <c r="F40" s="268">
        <v>3</v>
      </c>
      <c r="G40" s="220">
        <v>141030</v>
      </c>
      <c r="H40" s="232">
        <v>371498</v>
      </c>
      <c r="I40" s="233"/>
      <c r="J40" s="22"/>
      <c r="K40" s="22"/>
    </row>
    <row r="41" spans="2:11" ht="12.75">
      <c r="B41" s="29"/>
      <c r="C41" s="217" t="s">
        <v>149</v>
      </c>
      <c r="D41" s="217"/>
      <c r="E41" s="219">
        <f>'A-5 MovimientoCartera'!J17</f>
        <v>80187.6</v>
      </c>
      <c r="F41" s="268">
        <v>3</v>
      </c>
      <c r="G41" s="219">
        <v>85485</v>
      </c>
      <c r="H41" s="234">
        <f>673546+89469</f>
        <v>763015</v>
      </c>
      <c r="I41" s="233"/>
      <c r="J41" s="22"/>
      <c r="K41" s="22"/>
    </row>
    <row r="42" spans="2:11" ht="12.75">
      <c r="B42" s="29"/>
      <c r="C42" s="217"/>
      <c r="D42" s="217"/>
      <c r="E42" s="225">
        <f>+E39+E40+E41</f>
        <v>3038610.33</v>
      </c>
      <c r="F42" s="41"/>
      <c r="G42" s="225">
        <f>+G39+G40+G41</f>
        <v>3155526</v>
      </c>
      <c r="H42" s="235">
        <f>+H39+H40+H41</f>
        <v>4058372</v>
      </c>
      <c r="I42" s="236"/>
      <c r="J42" s="22"/>
      <c r="K42" s="22"/>
    </row>
    <row r="43" spans="2:11" ht="12.75">
      <c r="B43" s="29"/>
      <c r="C43" s="217"/>
      <c r="D43" s="217"/>
      <c r="E43" s="225"/>
      <c r="F43" s="41"/>
      <c r="G43" s="225"/>
      <c r="H43" s="235"/>
      <c r="I43" s="236"/>
      <c r="J43" s="22"/>
      <c r="K43" s="22"/>
    </row>
    <row r="44" spans="2:11" ht="12.75">
      <c r="B44" s="29"/>
      <c r="C44" s="216" t="s">
        <v>226</v>
      </c>
      <c r="D44" s="216"/>
      <c r="E44" s="226">
        <v>2007</v>
      </c>
      <c r="F44" s="43"/>
      <c r="G44" s="226">
        <v>2006</v>
      </c>
      <c r="H44" s="237" t="s">
        <v>229</v>
      </c>
      <c r="I44" s="236"/>
      <c r="J44" s="22"/>
      <c r="K44" s="22"/>
    </row>
    <row r="45" spans="2:11" ht="12.75">
      <c r="B45" s="29"/>
      <c r="C45" s="217" t="s">
        <v>178</v>
      </c>
      <c r="D45" s="216"/>
      <c r="E45" s="227">
        <f>'[1]T-4'!$E$652</f>
        <v>96235111.00000001</v>
      </c>
      <c r="F45" s="247">
        <f>E45/$E$49</f>
        <v>0.7890519173483929</v>
      </c>
      <c r="G45" s="227">
        <f>'[1]T-4'!$C$652</f>
        <v>96399215.82999998</v>
      </c>
      <c r="H45" s="238">
        <f>E45-G45</f>
        <v>-164104.8299999684</v>
      </c>
      <c r="I45" s="239">
        <f>H45/E45</f>
        <v>-0.0017052490332761022</v>
      </c>
      <c r="J45" s="22"/>
      <c r="K45" s="22"/>
    </row>
    <row r="46" spans="2:11" ht="12.75">
      <c r="B46" s="29"/>
      <c r="C46" s="217" t="s">
        <v>179</v>
      </c>
      <c r="D46" s="216"/>
      <c r="E46" s="227">
        <f>'[1]T-4'!$E$657</f>
        <v>1183775.28</v>
      </c>
      <c r="F46" s="247">
        <f>E46/$E$49</f>
        <v>0.009706022518056122</v>
      </c>
      <c r="G46" s="227">
        <f>'[1]T-4'!$C$657</f>
        <v>1197084.0099999995</v>
      </c>
      <c r="H46" s="238">
        <f>E46-G46</f>
        <v>-13308.729999999516</v>
      </c>
      <c r="I46" s="239">
        <f>H46/E46</f>
        <v>-0.011242615236905028</v>
      </c>
      <c r="J46" s="22"/>
      <c r="K46" s="22"/>
    </row>
    <row r="47" spans="2:11" ht="12.75">
      <c r="B47" s="29"/>
      <c r="C47" s="217" t="s">
        <v>227</v>
      </c>
      <c r="D47" s="217"/>
      <c r="E47" s="227">
        <f>'[1]T-4'!$E$663</f>
        <v>24544078.240000002</v>
      </c>
      <c r="F47" s="247">
        <f>E47/$E$49</f>
        <v>0.20124206013355111</v>
      </c>
      <c r="G47" s="227">
        <f>'[1]T-4'!$C$663</f>
        <v>23923027.01</v>
      </c>
      <c r="H47" s="238">
        <f>E47-G47</f>
        <v>621051.2300000004</v>
      </c>
      <c r="I47" s="239">
        <f>H47/E47</f>
        <v>0.025303505958836955</v>
      </c>
      <c r="J47" s="22"/>
      <c r="K47" s="22"/>
    </row>
    <row r="48" spans="2:11" ht="12.75">
      <c r="B48" s="29"/>
      <c r="C48" s="217" t="s">
        <v>228</v>
      </c>
      <c r="D48" s="217"/>
      <c r="E48" s="228">
        <f>'[1]T-4'!$E$668</f>
        <v>0</v>
      </c>
      <c r="F48" s="247"/>
      <c r="G48" s="228">
        <f>'[1]T-4'!$C$668</f>
        <v>1269468.8500000003</v>
      </c>
      <c r="H48" s="240">
        <f>E48-G48</f>
        <v>-1269468.8500000003</v>
      </c>
      <c r="I48" s="236"/>
      <c r="J48" s="22"/>
      <c r="K48" s="22"/>
    </row>
    <row r="49" spans="2:11" ht="12.75">
      <c r="B49" s="29"/>
      <c r="C49" s="217"/>
      <c r="D49" s="217"/>
      <c r="E49" s="229">
        <f>SUM(E45:E48)</f>
        <v>121962964.52000001</v>
      </c>
      <c r="F49" s="43"/>
      <c r="G49" s="229">
        <f>SUM(G45:G48)</f>
        <v>122788795.69999999</v>
      </c>
      <c r="H49" s="241">
        <f>SUM(H45:H48)</f>
        <v>-825831.1799999678</v>
      </c>
      <c r="I49" s="236"/>
      <c r="J49" s="22"/>
      <c r="K49" s="22"/>
    </row>
    <row r="50" spans="2:11" ht="13.5" thickBot="1">
      <c r="B50" s="37"/>
      <c r="C50" s="42"/>
      <c r="D50" s="42"/>
      <c r="E50" s="34"/>
      <c r="F50" s="34"/>
      <c r="G50" s="34"/>
      <c r="H50" s="39"/>
      <c r="I50" s="22"/>
      <c r="J50" s="22"/>
      <c r="K50" s="22"/>
    </row>
    <row r="51" spans="3:11" ht="12.75">
      <c r="C51" s="22"/>
      <c r="D51" s="22"/>
      <c r="E51" s="22"/>
      <c r="F51" s="22"/>
      <c r="G51" s="22"/>
      <c r="I51" s="22"/>
      <c r="J51" s="22"/>
      <c r="K51" s="22"/>
    </row>
    <row r="52" spans="2:11" ht="12.75">
      <c r="B52" s="22"/>
      <c r="C52" s="22"/>
      <c r="D52" s="22"/>
      <c r="E52" s="22"/>
      <c r="F52" s="22"/>
      <c r="G52" s="22"/>
      <c r="H52" s="22"/>
      <c r="I52" s="22"/>
      <c r="J52" s="22"/>
      <c r="K52" s="22"/>
    </row>
    <row r="53" spans="1:11" ht="12.75">
      <c r="A53" s="269" t="s">
        <v>122</v>
      </c>
      <c r="B53" s="242" t="s">
        <v>222</v>
      </c>
      <c r="C53" s="121"/>
      <c r="D53" s="242"/>
      <c r="E53" s="231"/>
      <c r="F53" s="121"/>
      <c r="G53" s="231"/>
      <c r="H53" s="231"/>
      <c r="I53" s="22"/>
      <c r="J53" s="22"/>
      <c r="K53" s="22"/>
    </row>
    <row r="54" spans="1:11" ht="67.5" customHeight="1">
      <c r="A54" s="231"/>
      <c r="B54" s="408" t="s">
        <v>114</v>
      </c>
      <c r="C54" s="408"/>
      <c r="D54" s="408"/>
      <c r="E54" s="408"/>
      <c r="F54" s="408"/>
      <c r="G54" s="408"/>
      <c r="H54" s="408"/>
      <c r="I54" s="22"/>
      <c r="J54" s="22"/>
      <c r="K54" s="22"/>
    </row>
    <row r="55" spans="1:11" ht="12.75">
      <c r="A55" s="231"/>
      <c r="B55" s="231"/>
      <c r="C55" s="121"/>
      <c r="D55" s="231"/>
      <c r="E55" s="231"/>
      <c r="F55" s="121"/>
      <c r="G55" s="231"/>
      <c r="H55" s="231"/>
      <c r="I55" s="22"/>
      <c r="J55" s="22"/>
      <c r="K55" s="22"/>
    </row>
    <row r="56" spans="1:11" ht="12.75">
      <c r="A56" s="269" t="s">
        <v>189</v>
      </c>
      <c r="B56" s="242" t="s">
        <v>223</v>
      </c>
      <c r="C56" s="121"/>
      <c r="D56" s="231"/>
      <c r="E56" s="231"/>
      <c r="F56" s="121"/>
      <c r="G56" s="231"/>
      <c r="H56" s="231"/>
      <c r="I56" s="22"/>
      <c r="J56" s="22"/>
      <c r="K56" s="22"/>
    </row>
    <row r="57" spans="1:11" ht="55.5" customHeight="1">
      <c r="A57" s="231"/>
      <c r="B57" s="408" t="s">
        <v>115</v>
      </c>
      <c r="C57" s="408"/>
      <c r="D57" s="408"/>
      <c r="E57" s="408"/>
      <c r="F57" s="408"/>
      <c r="G57" s="408"/>
      <c r="H57" s="408"/>
      <c r="I57" s="22"/>
      <c r="J57" s="22"/>
      <c r="K57" s="22"/>
    </row>
    <row r="58" spans="1:11" ht="12.75">
      <c r="A58" s="231"/>
      <c r="B58" s="231"/>
      <c r="C58" s="121"/>
      <c r="D58" s="231"/>
      <c r="E58" s="231"/>
      <c r="F58" s="121"/>
      <c r="G58" s="231"/>
      <c r="H58" s="231"/>
      <c r="I58" s="22"/>
      <c r="J58" s="22"/>
      <c r="K58" s="22"/>
    </row>
    <row r="59" spans="1:11" ht="12.75">
      <c r="A59" s="231"/>
      <c r="B59" s="231"/>
      <c r="C59" s="121"/>
      <c r="D59" s="231"/>
      <c r="E59" s="231"/>
      <c r="F59" s="121"/>
      <c r="G59" s="231"/>
      <c r="H59" s="231"/>
      <c r="I59" s="22"/>
      <c r="J59" s="22"/>
      <c r="K59" s="22"/>
    </row>
    <row r="60" spans="1:11" ht="12.75">
      <c r="A60" s="269" t="s">
        <v>217</v>
      </c>
      <c r="B60" s="242" t="s">
        <v>224</v>
      </c>
      <c r="C60" s="121"/>
      <c r="D60" s="231"/>
      <c r="E60" s="231"/>
      <c r="F60" s="121"/>
      <c r="G60" s="231"/>
      <c r="H60" s="231"/>
      <c r="I60" s="22"/>
      <c r="J60" s="22"/>
      <c r="K60" s="22"/>
    </row>
    <row r="61" spans="1:11" ht="78.75" customHeight="1">
      <c r="A61" s="231"/>
      <c r="B61" s="408" t="s">
        <v>116</v>
      </c>
      <c r="C61" s="408"/>
      <c r="D61" s="408"/>
      <c r="E61" s="408"/>
      <c r="F61" s="408"/>
      <c r="G61" s="408"/>
      <c r="H61" s="408"/>
      <c r="I61" s="22"/>
      <c r="J61" s="22"/>
      <c r="K61" s="22"/>
    </row>
    <row r="62" spans="1:11" ht="12.75">
      <c r="A62" s="231"/>
      <c r="B62" s="243"/>
      <c r="C62" s="243"/>
      <c r="D62" s="243"/>
      <c r="E62" s="243"/>
      <c r="F62" s="243"/>
      <c r="G62" s="243"/>
      <c r="H62" s="243"/>
      <c r="I62" s="22"/>
      <c r="J62" s="22"/>
      <c r="K62" s="22"/>
    </row>
    <row r="63" spans="1:11" ht="12.75">
      <c r="A63" s="270" t="s">
        <v>145</v>
      </c>
      <c r="B63" s="22"/>
      <c r="C63" s="22"/>
      <c r="D63" s="22"/>
      <c r="E63" s="22"/>
      <c r="F63" s="22"/>
      <c r="G63" s="22"/>
      <c r="H63" s="22"/>
      <c r="I63" s="22"/>
      <c r="J63" s="22"/>
      <c r="K63" s="22"/>
    </row>
    <row r="64" spans="1:2" ht="12.75">
      <c r="A64" s="273">
        <v>3</v>
      </c>
      <c r="B64" s="231" t="s">
        <v>221</v>
      </c>
    </row>
    <row r="65" ht="12.75">
      <c r="A65" s="274"/>
    </row>
  </sheetData>
  <sheetProtection/>
  <mergeCells count="3">
    <mergeCell ref="B54:H54"/>
    <mergeCell ref="B57:H57"/>
    <mergeCell ref="B61:H61"/>
  </mergeCells>
  <printOptions/>
  <pageMargins left="1.5748031496062993" right="0.9448818897637796" top="0.81" bottom="0.78" header="0.72" footer="0.78"/>
  <pageSetup horizontalDpi="300" verticalDpi="300" orientation="portrait" paperSize="9" scale="70" r:id="rId1"/>
  <headerFooter alignWithMargins="0">
    <oddFooter>&amp;C&amp;P de &amp;N</oddFooter>
  </headerFooter>
</worksheet>
</file>

<file path=xl/worksheets/sheet5.xml><?xml version="1.0" encoding="utf-8"?>
<worksheet xmlns="http://schemas.openxmlformats.org/spreadsheetml/2006/main" xmlns:r="http://schemas.openxmlformats.org/officeDocument/2006/relationships">
  <dimension ref="A3:L17"/>
  <sheetViews>
    <sheetView zoomScalePageLayoutView="0" workbookViewId="0" topLeftCell="C1">
      <pane ySplit="5" topLeftCell="BM6" activePane="bottomLeft" state="frozen"/>
      <selection pane="topLeft" activeCell="A20" sqref="A20"/>
      <selection pane="bottomLeft" activeCell="J27" sqref="J27"/>
    </sheetView>
  </sheetViews>
  <sheetFormatPr defaultColWidth="9.8515625" defaultRowHeight="12.75"/>
  <cols>
    <col min="1" max="1" width="9.8515625" style="6" customWidth="1"/>
    <col min="2" max="2" width="23.421875" style="6" customWidth="1"/>
    <col min="3" max="3" width="12.00390625" style="6" bestFit="1" customWidth="1"/>
    <col min="4" max="4" width="11.7109375" style="6" bestFit="1" customWidth="1"/>
    <col min="5" max="5" width="12.28125" style="6" bestFit="1" customWidth="1"/>
    <col min="6" max="8" width="12.57421875" style="6" bestFit="1" customWidth="1"/>
    <col min="9" max="9" width="11.7109375" style="6" bestFit="1" customWidth="1"/>
    <col min="10" max="10" width="9.8515625" style="6" customWidth="1"/>
    <col min="11" max="11" width="12.7109375" style="6" bestFit="1" customWidth="1"/>
    <col min="12" max="12" width="13.28125" style="6" bestFit="1" customWidth="1"/>
    <col min="13" max="16384" width="9.8515625" style="6" customWidth="1"/>
  </cols>
  <sheetData>
    <row r="3" ht="11.25">
      <c r="A3" s="5"/>
    </row>
    <row r="4" spans="3:12" ht="11.25">
      <c r="C4" s="409"/>
      <c r="D4" s="409"/>
      <c r="E4" s="409"/>
      <c r="F4" s="409"/>
      <c r="G4" s="409"/>
      <c r="H4" s="409"/>
      <c r="I4" s="409"/>
      <c r="J4" s="409"/>
      <c r="K4" s="409"/>
      <c r="L4" s="409"/>
    </row>
    <row r="5" spans="3:12" ht="11.25">
      <c r="C5" s="7"/>
      <c r="D5" s="7"/>
      <c r="E5" s="7"/>
      <c r="F5" s="7"/>
      <c r="G5" s="7"/>
      <c r="H5" s="7"/>
      <c r="I5" s="7"/>
      <c r="J5" s="7"/>
      <c r="K5" s="7"/>
      <c r="L5" s="7"/>
    </row>
    <row r="6" spans="1:2" ht="12.75">
      <c r="A6" s="8"/>
      <c r="B6" s="9"/>
    </row>
    <row r="7" spans="1:12" ht="12.75">
      <c r="A7" s="10"/>
      <c r="B7" s="8"/>
      <c r="C7" s="11"/>
      <c r="D7" s="11"/>
      <c r="E7" s="11"/>
      <c r="F7" s="11"/>
      <c r="G7" s="11"/>
      <c r="H7" s="11"/>
      <c r="I7" s="11"/>
      <c r="J7" s="11"/>
      <c r="K7" s="12"/>
      <c r="L7" s="12"/>
    </row>
    <row r="8" spans="1:10" ht="12.75">
      <c r="A8" s="8"/>
      <c r="B8" s="8"/>
      <c r="C8" s="11"/>
      <c r="D8" s="11"/>
      <c r="E8" s="11"/>
      <c r="F8" s="11"/>
      <c r="G8" s="11"/>
      <c r="H8" s="11"/>
      <c r="I8" s="11"/>
      <c r="J8" s="11"/>
    </row>
    <row r="9" spans="1:10" ht="12.75">
      <c r="A9" s="8"/>
      <c r="B9" s="9"/>
      <c r="C9" s="11"/>
      <c r="D9" s="11"/>
      <c r="E9" s="11"/>
      <c r="F9" s="11"/>
      <c r="G9" s="11"/>
      <c r="H9" s="11"/>
      <c r="I9" s="11"/>
      <c r="J9" s="11"/>
    </row>
    <row r="10" spans="1:12" ht="12.75">
      <c r="A10" s="10"/>
      <c r="B10" s="8"/>
      <c r="C10" s="11"/>
      <c r="D10" s="11"/>
      <c r="E10" s="11"/>
      <c r="F10" s="11"/>
      <c r="G10" s="11"/>
      <c r="H10" s="11"/>
      <c r="I10" s="11"/>
      <c r="J10" s="11"/>
      <c r="K10" s="12"/>
      <c r="L10" s="12"/>
    </row>
    <row r="11" spans="1:10" ht="12.75">
      <c r="A11" s="8"/>
      <c r="B11" s="8"/>
      <c r="C11" s="11"/>
      <c r="D11" s="11"/>
      <c r="E11" s="11"/>
      <c r="F11" s="11"/>
      <c r="G11" s="11"/>
      <c r="H11" s="11"/>
      <c r="I11" s="11"/>
      <c r="J11" s="11"/>
    </row>
    <row r="12" spans="1:10" ht="12.75">
      <c r="A12" s="8"/>
      <c r="B12" s="13"/>
      <c r="C12" s="11"/>
      <c r="D12" s="11"/>
      <c r="E12" s="11"/>
      <c r="F12" s="11"/>
      <c r="G12" s="11"/>
      <c r="H12" s="11"/>
      <c r="I12" s="11"/>
      <c r="J12" s="11"/>
    </row>
    <row r="13" spans="1:12" ht="12.75">
      <c r="A13" s="10"/>
      <c r="B13" s="8"/>
      <c r="C13" s="11"/>
      <c r="D13" s="11"/>
      <c r="E13" s="11"/>
      <c r="F13" s="11"/>
      <c r="G13" s="11"/>
      <c r="H13" s="11"/>
      <c r="I13" s="11"/>
      <c r="J13" s="11"/>
      <c r="K13" s="12"/>
      <c r="L13" s="12"/>
    </row>
    <row r="14" spans="2:12" ht="12.75">
      <c r="B14" s="8"/>
      <c r="C14" s="11"/>
      <c r="D14" s="11"/>
      <c r="E14" s="11"/>
      <c r="F14" s="11"/>
      <c r="G14" s="11"/>
      <c r="H14" s="11"/>
      <c r="I14" s="11"/>
      <c r="J14" s="11"/>
      <c r="K14" s="12"/>
      <c r="L14" s="12"/>
    </row>
    <row r="15" spans="2:12" ht="12.75">
      <c r="B15" s="8"/>
      <c r="C15" s="11"/>
      <c r="D15" s="11"/>
      <c r="E15" s="11"/>
      <c r="F15" s="11"/>
      <c r="G15" s="11"/>
      <c r="H15" s="11"/>
      <c r="I15" s="11"/>
      <c r="J15" s="11"/>
      <c r="K15" s="12"/>
      <c r="L15" s="12"/>
    </row>
    <row r="16" spans="3:10" ht="11.25">
      <c r="C16" s="11"/>
      <c r="D16" s="11"/>
      <c r="E16" s="11"/>
      <c r="F16" s="11"/>
      <c r="G16" s="11"/>
      <c r="H16" s="11"/>
      <c r="I16" s="11"/>
      <c r="J16" s="11"/>
    </row>
    <row r="17" spans="3:10" ht="11.25">
      <c r="C17" s="14"/>
      <c r="D17" s="14"/>
      <c r="E17" s="14"/>
      <c r="F17" s="14"/>
      <c r="G17" s="14"/>
      <c r="H17" s="14"/>
      <c r="I17" s="14"/>
      <c r="J17" s="11"/>
    </row>
  </sheetData>
  <sheetProtection/>
  <mergeCells count="5">
    <mergeCell ref="K4:L4"/>
    <mergeCell ref="C4:D4"/>
    <mergeCell ref="E4:F4"/>
    <mergeCell ref="I4:J4"/>
    <mergeCell ref="G4:H4"/>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Romero y Asociados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Departamento de Tecnología</dc:creator>
  <cp:keywords/>
  <dc:description/>
  <cp:lastModifiedBy>.</cp:lastModifiedBy>
  <cp:lastPrinted>2008-06-06T19:55:36Z</cp:lastPrinted>
  <dcterms:created xsi:type="dcterms:W3CDTF">2001-06-26T09:20:36Z</dcterms:created>
  <dcterms:modified xsi:type="dcterms:W3CDTF">2008-06-10T14:02:27Z</dcterms:modified>
  <cp:category/>
  <cp:version/>
  <cp:contentType/>
  <cp:contentStatus/>
</cp:coreProperties>
</file>