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tabRatio="903" firstSheet="8" activeTab="14"/>
  </bookViews>
  <sheets>
    <sheet name="Anexo Inversiones" sheetId="1" r:id="rId1"/>
    <sheet name="Depreciaciones" sheetId="2" r:id="rId2"/>
    <sheet name="Inversion" sheetId="3" r:id="rId3"/>
    <sheet name="Amortizacion" sheetId="4" r:id="rId4"/>
    <sheet name="Ingresos" sheetId="5" r:id="rId5"/>
    <sheet name="Egresos (costos y gastos)" sheetId="6" r:id="rId6"/>
    <sheet name="Capital de Trabajo" sheetId="7" r:id="rId7"/>
    <sheet name="Punto de Equilibrio" sheetId="8" r:id="rId8"/>
    <sheet name="Perdidas y Ganancias" sheetId="9" r:id="rId9"/>
    <sheet name="Flujo de Caja sin Deuda" sheetId="10" r:id="rId10"/>
    <sheet name="Flujo de Caja con Deuda" sheetId="11" r:id="rId11"/>
    <sheet name="Riesgo Pais" sheetId="12" r:id="rId12"/>
    <sheet name="Flujo de Sensibilidad" sheetId="13" r:id="rId13"/>
    <sheet name="Analisis de Sensibilidad" sheetId="14" r:id="rId14"/>
    <sheet name="Indicadores Financieros" sheetId="15" r:id="rId15"/>
    <sheet name="Hoja1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<sst xmlns="http://schemas.openxmlformats.org/spreadsheetml/2006/main" count="612" uniqueCount="304">
  <si>
    <t>Detalle</t>
  </si>
  <si>
    <t>Cantidad</t>
  </si>
  <si>
    <t>Valor Unitario</t>
  </si>
  <si>
    <t>Valor Total</t>
  </si>
  <si>
    <t>Total</t>
  </si>
  <si>
    <t>Precio Unitario</t>
  </si>
  <si>
    <t>Valor  Total</t>
  </si>
  <si>
    <t>Terreno</t>
  </si>
  <si>
    <t>Equipo de Computación</t>
  </si>
  <si>
    <t>Computadoras</t>
  </si>
  <si>
    <t>Impresoras</t>
  </si>
  <si>
    <t>Muebles y Enseres</t>
  </si>
  <si>
    <t>Escritorios</t>
  </si>
  <si>
    <t>Basureros</t>
  </si>
  <si>
    <t>Sillas Plasticas</t>
  </si>
  <si>
    <t>CIRCULANTES</t>
  </si>
  <si>
    <t>Inventarios</t>
  </si>
  <si>
    <t>Capital de Trabajo</t>
  </si>
  <si>
    <t>Inversión Inicial</t>
  </si>
  <si>
    <t>Depreciación</t>
  </si>
  <si>
    <t>Activo</t>
  </si>
  <si>
    <t>Valor Contable</t>
  </si>
  <si>
    <t>Vida Contable</t>
  </si>
  <si>
    <t>Depreciación Anual</t>
  </si>
  <si>
    <t>-</t>
  </si>
  <si>
    <t>Equipo de Computacion</t>
  </si>
  <si>
    <t>Equipo de Oficina</t>
  </si>
  <si>
    <t>Depreciacion Anual</t>
  </si>
  <si>
    <t>ACTIVOS</t>
  </si>
  <si>
    <t>PASIVOS</t>
  </si>
  <si>
    <t>Activos Circulantes</t>
  </si>
  <si>
    <t>Pasivo Diferido</t>
  </si>
  <si>
    <t>Prestamo a Largo Plazo</t>
  </si>
  <si>
    <t>Total Pasivos</t>
  </si>
  <si>
    <t>PATRIMONIO</t>
  </si>
  <si>
    <t>Capital Propio</t>
  </si>
  <si>
    <t>Total Patrimonio</t>
  </si>
  <si>
    <t>Total Activos</t>
  </si>
  <si>
    <t>Total Pasivos y Patrimonio</t>
  </si>
  <si>
    <t>Porcentaje de Apalancamiento</t>
  </si>
  <si>
    <t>Préstamo</t>
  </si>
  <si>
    <t>Tasa</t>
  </si>
  <si>
    <t>Periodo (Años)</t>
  </si>
  <si>
    <t>Periodo</t>
  </si>
  <si>
    <t>Pago</t>
  </si>
  <si>
    <t>Amortizacion</t>
  </si>
  <si>
    <t>Interes</t>
  </si>
  <si>
    <t>Saldo</t>
  </si>
  <si>
    <t>Frecuencia de Compra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</si>
  <si>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</si>
  <si>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</si>
  <si>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</si>
  <si>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</si>
  <si>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</si>
  <si>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</si>
  <si>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</si>
  <si>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</si>
  <si>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</si>
  <si>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</si>
  <si>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</si>
  <si>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</si>
  <si>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Frecuencia de Compra Mensual</t>
  </si>
  <si>
    <t>Cantidad Demanda</t>
  </si>
  <si>
    <t>Precio</t>
  </si>
  <si>
    <t>Ingreso Mensual</t>
  </si>
  <si>
    <t>Ingreso Anual</t>
  </si>
  <si>
    <t>Ingreso Mensual Promedio</t>
  </si>
  <si>
    <t>Mes</t>
  </si>
  <si>
    <t>Costos</t>
  </si>
  <si>
    <t>Costos Fijos</t>
  </si>
  <si>
    <t>Valor Mensual</t>
  </si>
  <si>
    <t>Valor Anual</t>
  </si>
  <si>
    <t>Total Anual</t>
  </si>
  <si>
    <t>Mano de Obra Directa</t>
  </si>
  <si>
    <t>Gastos Basicos</t>
  </si>
  <si>
    <t>Suministros de Oficina</t>
  </si>
  <si>
    <t>Gastos Operativos</t>
  </si>
  <si>
    <t>Mantenimiento</t>
  </si>
  <si>
    <t>Cargo</t>
  </si>
  <si>
    <t>Número de empleados</t>
  </si>
  <si>
    <t>Salario Anual</t>
  </si>
  <si>
    <t>Salario Liquido Anual</t>
  </si>
  <si>
    <t>Salario Mensual</t>
  </si>
  <si>
    <t>Décimo Tercer Sueldo</t>
  </si>
  <si>
    <t>Décimo Cuarto Sueldo</t>
  </si>
  <si>
    <t>Fondo de Reserva</t>
  </si>
  <si>
    <t>Gastos</t>
  </si>
  <si>
    <t>Grapadora</t>
  </si>
  <si>
    <t>Perforadora</t>
  </si>
  <si>
    <t>Pizarra Acrilica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</si>
  <si>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</si>
  <si>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</si>
  <si>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</si>
  <si>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</si>
  <si>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</si>
  <si>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</si>
  <si>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</si>
  <si>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</si>
  <si>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</si>
  <si>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</si>
  <si>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</si>
  <si>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</si>
  <si>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Ingresos</t>
  </si>
  <si>
    <t>Suministro de Oficina</t>
  </si>
  <si>
    <t>Egresos</t>
  </si>
  <si>
    <t>Saldo Mensual</t>
  </si>
  <si>
    <t>Saldo Acumulado</t>
  </si>
  <si>
    <t>Financiamiento del Proyecto</t>
  </si>
  <si>
    <t>prestamo + capital</t>
  </si>
  <si>
    <t>saldo=saldo - interes</t>
  </si>
  <si>
    <t>interes=saldo * tasa</t>
  </si>
  <si>
    <t>amortizacion=pago(tasa,periodo,-saldo)</t>
  </si>
  <si>
    <t>pago=amortizacion + interes</t>
  </si>
  <si>
    <t>Efectivo</t>
  </si>
  <si>
    <t>ESTADO DE SITUACION FINANCIERA</t>
  </si>
  <si>
    <t>Activos No Circulantes</t>
  </si>
  <si>
    <t>No Circulantes</t>
  </si>
  <si>
    <t>Acondicionador de Aire</t>
  </si>
  <si>
    <t>Promedio de la Demada</t>
  </si>
  <si>
    <t>Resmas de Hojas Tamaño A4</t>
  </si>
  <si>
    <t>Cajas de Grapa</t>
  </si>
  <si>
    <t>Saca Grapa</t>
  </si>
  <si>
    <t>Precios de Demanda</t>
  </si>
  <si>
    <t>Promedio</t>
  </si>
  <si>
    <t>Aporte al I.E.S.S</t>
  </si>
  <si>
    <t>IECE Y SECAP</t>
  </si>
  <si>
    <t>Vacaciones</t>
  </si>
  <si>
    <t>Años Depreciados</t>
  </si>
  <si>
    <t>Depreciación Acumulada</t>
  </si>
  <si>
    <t>Valor en Libros</t>
  </si>
  <si>
    <t>Valor de Desecho</t>
  </si>
  <si>
    <t>área de 108 m2 y adecuaciones</t>
  </si>
  <si>
    <t>Incremento de Ingresos</t>
  </si>
  <si>
    <t>Año 0</t>
  </si>
  <si>
    <t>Año 1</t>
  </si>
  <si>
    <t>Año 2</t>
  </si>
  <si>
    <t>Año 3</t>
  </si>
  <si>
    <t>Año 4</t>
  </si>
  <si>
    <t>Año 5</t>
  </si>
  <si>
    <t xml:space="preserve">Ingresos </t>
  </si>
  <si>
    <t>Costos de Ventas</t>
  </si>
  <si>
    <t>Margen bruto</t>
  </si>
  <si>
    <t>Gastos Administrativos</t>
  </si>
  <si>
    <t xml:space="preserve"> Depreciación</t>
  </si>
  <si>
    <t>Otros Gastos</t>
  </si>
  <si>
    <t>Total Gastos Operativos</t>
  </si>
  <si>
    <t>Utilidad Operacional</t>
  </si>
  <si>
    <t>Gastos Financieros</t>
  </si>
  <si>
    <t>Intereses sobre prestamos</t>
  </si>
  <si>
    <t>Utilidad antes de Partcip. e Impto.</t>
  </si>
  <si>
    <t>15% Participación de Trabajadores</t>
  </si>
  <si>
    <t>Utilidad antes Impto a la Renta</t>
  </si>
  <si>
    <t>Utilidad Neta</t>
  </si>
  <si>
    <t>Depreciacion y amortizacion Intag.</t>
  </si>
  <si>
    <t>(-) Inversion Inicial</t>
  </si>
  <si>
    <t>(+) Prestamo</t>
  </si>
  <si>
    <t>Flujo Total</t>
  </si>
  <si>
    <t>TMAR</t>
  </si>
  <si>
    <t>TIR</t>
  </si>
  <si>
    <t>VAN</t>
  </si>
  <si>
    <t>Flujo de Caja del Proyecto</t>
  </si>
  <si>
    <t>Flujo de Caja del Inversionista</t>
  </si>
  <si>
    <t>Gastos de Oficinas</t>
  </si>
  <si>
    <t>(-) Efectivo</t>
  </si>
  <si>
    <t>Amortizacion de la deuda</t>
  </si>
  <si>
    <t>Flujo del inversionista</t>
  </si>
  <si>
    <t>Flujo del Proyecto</t>
  </si>
  <si>
    <t>PayBack</t>
  </si>
  <si>
    <t>Flujo de Efectivo</t>
  </si>
  <si>
    <t>Flujo de Efectivo Descontado</t>
  </si>
  <si>
    <t>Flujo de Efectivo Dsctado. Acumulado</t>
  </si>
  <si>
    <t>Patrimonio</t>
  </si>
  <si>
    <r>
      <t>Re = r</t>
    </r>
    <r>
      <rPr>
        <b/>
        <i/>
        <vertAlign val="subscript"/>
        <sz val="11"/>
        <color indexed="8"/>
        <rFont val="Calibri"/>
        <family val="2"/>
      </rPr>
      <t>f</t>
    </r>
    <r>
      <rPr>
        <b/>
        <i/>
        <sz val="11"/>
        <color indexed="8"/>
        <rFont val="Calibri"/>
        <family val="2"/>
      </rPr>
      <t xml:space="preserve"> + b (r</t>
    </r>
    <r>
      <rPr>
        <b/>
        <i/>
        <vertAlign val="subscript"/>
        <sz val="11"/>
        <color indexed="8"/>
        <rFont val="Calibri"/>
        <family val="2"/>
      </rPr>
      <t>m</t>
    </r>
    <r>
      <rPr>
        <b/>
        <i/>
        <sz val="11"/>
        <color indexed="8"/>
        <rFont val="Calibri"/>
        <family val="2"/>
      </rPr>
      <t xml:space="preserve"> –  r</t>
    </r>
    <r>
      <rPr>
        <b/>
        <i/>
        <vertAlign val="subscript"/>
        <sz val="11"/>
        <color indexed="8"/>
        <rFont val="Calibri"/>
        <family val="2"/>
      </rPr>
      <t>f</t>
    </r>
    <r>
      <rPr>
        <b/>
        <i/>
        <sz val="11"/>
        <color indexed="8"/>
        <rFont val="Calibri"/>
        <family val="2"/>
      </rPr>
      <t xml:space="preserve"> )</t>
    </r>
  </si>
  <si>
    <t>Rentabilidad del Activo</t>
  </si>
  <si>
    <t>Rf</t>
  </si>
  <si>
    <t>Tasa de Descuento de Bonos del Tesosoro EEUU para plazo similar al proyecto: Yahoo Finanzas</t>
  </si>
  <si>
    <t>Rm</t>
  </si>
  <si>
    <t>Rentabilidad del Mercado</t>
  </si>
  <si>
    <t>Beta</t>
  </si>
  <si>
    <t>Riesgo País</t>
  </si>
  <si>
    <t>Banco Central del Ecuador</t>
  </si>
  <si>
    <t xml:space="preserve">Re </t>
  </si>
  <si>
    <t>Re + Riesgo Pais</t>
  </si>
  <si>
    <t>Estado de Resultado y Flujo de Caja</t>
  </si>
  <si>
    <t>Depreciacion y amortizacion</t>
  </si>
  <si>
    <t>Flujo del accionista</t>
  </si>
  <si>
    <t>(-) Capital de Trabajo</t>
  </si>
  <si>
    <t>Deuda</t>
  </si>
  <si>
    <t>TMAR =</t>
  </si>
  <si>
    <t>Proyecto con deuda:</t>
  </si>
  <si>
    <t>Aplicado al proyecto</t>
  </si>
  <si>
    <t>Información</t>
  </si>
  <si>
    <t>rf</t>
  </si>
  <si>
    <t>B</t>
  </si>
  <si>
    <t>rm</t>
  </si>
  <si>
    <t>RP Ecuador</t>
  </si>
  <si>
    <t>Riesgo país</t>
  </si>
  <si>
    <t>Ke</t>
  </si>
  <si>
    <t>Proyecto sin deuda:</t>
  </si>
  <si>
    <t>No aplica al proyecto</t>
  </si>
  <si>
    <t>Ko</t>
  </si>
  <si>
    <t>Kd</t>
  </si>
  <si>
    <t>T</t>
  </si>
  <si>
    <t>A continuación podemos observar el resultado del CAPM.</t>
  </si>
  <si>
    <t>CCPP</t>
  </si>
  <si>
    <t>K0= Kd* (1-T)* L + Ke* (1-L)</t>
  </si>
  <si>
    <t>Donde;</t>
  </si>
  <si>
    <t>Ke= rf+B (rm-rf) +Rpecu</t>
  </si>
  <si>
    <t>Amortizacion de la Deuda</t>
  </si>
  <si>
    <t>KO=CPPC</t>
  </si>
  <si>
    <t>rent. Exigida de los inversionistas</t>
  </si>
  <si>
    <t>ARTNA</t>
  </si>
  <si>
    <t xml:space="preserve"> Sensibilidad Respecto a los Ingresos</t>
  </si>
  <si>
    <t>Variación</t>
  </si>
  <si>
    <t>Resultado</t>
  </si>
  <si>
    <t>Factible</t>
  </si>
  <si>
    <t>No factible</t>
  </si>
  <si>
    <t>Punto de Equilibrio %</t>
  </si>
  <si>
    <t>Descripción</t>
  </si>
  <si>
    <t>Mensual</t>
  </si>
  <si>
    <t>Costo Fijo</t>
  </si>
  <si>
    <t>Costo Variable</t>
  </si>
  <si>
    <t>Ventas</t>
  </si>
  <si>
    <t>P.E</t>
  </si>
  <si>
    <t>Punto de Equilibrio $</t>
  </si>
  <si>
    <t>Impuesto a la Renta</t>
  </si>
  <si>
    <t>Estado de Resultado Integral</t>
  </si>
  <si>
    <t>P.E.=</t>
  </si>
  <si>
    <t>CFm</t>
  </si>
  <si>
    <t>VENTAS - CVm</t>
  </si>
  <si>
    <r>
      <t>Rf+(</t>
    </r>
    <r>
      <rPr>
        <sz val="11"/>
        <color indexed="8"/>
        <rFont val="Calibri"/>
        <family val="2"/>
      </rPr>
      <t>βi(Rm-Rf))+Riesgo Pais</t>
    </r>
  </si>
  <si>
    <t>Ke=</t>
  </si>
  <si>
    <t>D/A</t>
  </si>
  <si>
    <t>P/A</t>
  </si>
  <si>
    <t>(Kd(1-T))(D/A)+Ke(P/A)</t>
  </si>
  <si>
    <r>
      <t>β</t>
    </r>
    <r>
      <rPr>
        <vertAlign val="superscript"/>
        <sz val="12"/>
        <color indexed="8"/>
        <rFont val="Arial"/>
        <family val="2"/>
      </rPr>
      <t>c/d</t>
    </r>
    <r>
      <rPr>
        <sz val="12"/>
        <color indexed="8"/>
        <rFont val="Arial"/>
        <family val="2"/>
      </rPr>
      <t>/(1+(1-T)*D/P)</t>
    </r>
  </si>
  <si>
    <r>
      <t>β</t>
    </r>
    <r>
      <rPr>
        <vertAlign val="superscript"/>
        <sz val="12"/>
        <color indexed="8"/>
        <rFont val="Arial"/>
        <family val="2"/>
      </rPr>
      <t xml:space="preserve">s/d </t>
    </r>
    <r>
      <rPr>
        <sz val="12"/>
        <color indexed="8"/>
        <rFont val="Arial"/>
        <family val="2"/>
      </rPr>
      <t>=</t>
    </r>
  </si>
  <si>
    <t>Beta Desapalancado</t>
  </si>
  <si>
    <r>
      <t>β</t>
    </r>
    <r>
      <rPr>
        <b/>
        <vertAlign val="superscript"/>
        <sz val="11"/>
        <color indexed="8"/>
        <rFont val="Calibri"/>
        <family val="2"/>
      </rPr>
      <t>c/d</t>
    </r>
  </si>
  <si>
    <t>D</t>
  </si>
  <si>
    <t>P</t>
  </si>
  <si>
    <r>
      <t>Β</t>
    </r>
    <r>
      <rPr>
        <b/>
        <vertAlign val="superscript"/>
        <sz val="11"/>
        <color indexed="8"/>
        <rFont val="Calibri"/>
        <family val="2"/>
      </rPr>
      <t>s/d</t>
    </r>
  </si>
  <si>
    <t>V.D</t>
  </si>
  <si>
    <t>5 años Recuperacion de Capital</t>
  </si>
  <si>
    <t>Sensibilidad Respecto a los Costos</t>
  </si>
  <si>
    <t>No Factible</t>
  </si>
  <si>
    <r>
      <t xml:space="preserve">38% </t>
    </r>
    <r>
      <rPr>
        <sz val="11"/>
        <color indexed="8"/>
        <rFont val="Calibri"/>
        <family val="2"/>
      </rPr>
      <t>&gt;</t>
    </r>
    <r>
      <rPr>
        <sz val="9.9"/>
        <color indexed="8"/>
        <rFont val="Calibri"/>
        <family val="2"/>
      </rPr>
      <t xml:space="preserve"> 14,66% Se Acepta el Proyecto</t>
    </r>
  </si>
  <si>
    <t xml:space="preserve">proyector </t>
  </si>
  <si>
    <t xml:space="preserve">sueldo y salarios </t>
  </si>
  <si>
    <t>Cartuchos de Impresora recargas</t>
  </si>
  <si>
    <t>valor de ingreso</t>
  </si>
  <si>
    <t xml:space="preserve">limpieza </t>
  </si>
  <si>
    <t xml:space="preserve">Costos de operación </t>
  </si>
  <si>
    <t>electricidad</t>
  </si>
  <si>
    <t>Aportacion de Fundacion Telefonica</t>
  </si>
  <si>
    <t>Profesor</t>
  </si>
  <si>
    <t xml:space="preserve"> Internet</t>
  </si>
  <si>
    <t>valor</t>
  </si>
  <si>
    <t>ingreso mensual</t>
  </si>
  <si>
    <t>precio</t>
  </si>
  <si>
    <t>ingreso anual</t>
  </si>
  <si>
    <t>netlife</t>
  </si>
  <si>
    <t>2mg</t>
  </si>
  <si>
    <t>costo de opreracion</t>
  </si>
  <si>
    <t xml:space="preserve">impuesto a la renta </t>
  </si>
  <si>
    <t xml:space="preserve"> Gastos de mantenimiento</t>
  </si>
  <si>
    <t>Fecha</t>
  </si>
  <si>
    <t>Dia</t>
  </si>
  <si>
    <t>Riesgo pais</t>
  </si>
  <si>
    <t>max</t>
  </si>
  <si>
    <t>min</t>
  </si>
  <si>
    <t>Promedio Riesgo pais</t>
  </si>
  <si>
    <t>Ke=TMAR=CAPM</t>
  </si>
  <si>
    <t>Ko=CPPC</t>
  </si>
  <si>
    <t>Ko =CPPC</t>
  </si>
  <si>
    <t>tasa de cfn</t>
  </si>
  <si>
    <t>imp a la renta</t>
  </si>
  <si>
    <t>pasivo sobre activo total</t>
  </si>
  <si>
    <t>patrimonio sobr el activo</t>
  </si>
  <si>
    <t>Kd: Tasa de la deuda contraída con el banco</t>
  </si>
  <si>
    <t>T: Tasa del impuesto a la renta libre de riesgo</t>
  </si>
  <si>
    <t>L: Nivel de endeudamiento de la empresa</t>
  </si>
  <si>
    <t>Ke: Rentabilidad mínima exigida por los inversionistas</t>
  </si>
  <si>
    <t xml:space="preserve">KE: Rentabilidad mínima exigida por los inversionistas </t>
  </si>
  <si>
    <t>rf: Tasa libre de riesgo ( Tasa de los Bonos del Tesoro Americano)</t>
  </si>
  <si>
    <t>B: Beta de la empresa</t>
  </si>
  <si>
    <t>rm: Rentabilidad del mercado</t>
  </si>
  <si>
    <t>Rpecu: Riesgo país de Ecuador</t>
  </si>
  <si>
    <t>Beta Des apalancado</t>
  </si>
  <si>
    <t>βc/d</t>
  </si>
  <si>
    <t>βs/d =</t>
  </si>
  <si>
    <t>B=</t>
  </si>
  <si>
    <t>4,61%+(0,65*(3,27%-4,61%))+8,18%</t>
  </si>
  <si>
    <t xml:space="preserve">reguladores de voltaje </t>
  </si>
  <si>
    <t>CURSOS DE CÓMPUTO INTENSIVOS LOS SÁBADOS</t>
  </si>
  <si>
    <t xml:space="preserve">CURSOS DE CÓMPUTO EL JORNADA VESPERTINA Y VACACIONES </t>
  </si>
  <si>
    <t>Frecuencia de Ingresos en la escuela</t>
  </si>
  <si>
    <t>limpieza Intelca</t>
  </si>
  <si>
    <t>valor de desecho</t>
  </si>
  <si>
    <t>0.65/(1+(1-22%)*(7193,26/11784,36))</t>
  </si>
  <si>
    <t>(10,85%(1-22%))(0,4%)+11.92%(0,6%)</t>
  </si>
  <si>
    <t>4.16</t>
  </si>
  <si>
    <t>``</t>
  </si>
  <si>
    <t xml:space="preserve">Total Ingresos Fijos De La Escuela 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</si>
</sst>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  <numFmt numFmtId="173" formatCode="[$$-409]#,##0.00"/>
    <numFmt numFmtId="174" formatCode="&quot;$&quot;\ #,##0.00"/>
    <numFmt numFmtId="175" formatCode="[$$-300A]\ #,##0.00_);[Red]\([$$-300A]\ #,##0.00\)"/>
    <numFmt numFmtId="176" formatCode="[$$-300A]\ #,##0.00"/>
    <numFmt numFmtId="177" formatCode="[$$-300A]\ #,##0"/>
    <numFmt numFmtId="178" formatCode="_-[$$-409]* #,##0.00_ ;_-[$$-409]* \-#,##0.00\ ;_-[$$-409]* &quot;-&quot;??_ ;_-@_ "/>
    <numFmt numFmtId="179" formatCode="_-[$$-300A]\ * #,##0.00_ ;_-[$$-300A]\ * \-#,##0.00\ ;_-[$$-300A]\ * &quot;-&quot;??_ ;_-@_ "/>
    <numFmt numFmtId="180" formatCode="0.0000"/>
    <numFmt numFmtId="181" formatCode="_(* #,##0_);_(* \(#,##0\);_(* &quot;-&quot;??_);_(@_)"/>
    <numFmt numFmtId="182" formatCode="[$$-240A]\ #,##0.00"/>
    <numFmt numFmtId="183" formatCode="_([$$-409]* #,##0.00_);_([$$-409]* \(#,##0.00\);_([$$-409]* &quot;-&quot;??_);_(@_)"/>
    <numFmt numFmtId="184" formatCode="[$-300A]dddd\,\ dd&quot; de &quot;mmmm&quot; de &quot;yyyy"/>
    <numFmt numFmtId="185" formatCode="0.00000"/>
    <numFmt numFmtId="186" formatCode="0.000"/>
    <numFmt numFmtId="187" formatCode="0.0"/>
    <numFmt numFmtId="188" formatCode="_([$$-300A]\ * #,##0.00_);_([$$-300A]\ * \(#,##0.00\);_([$$-300A]\ 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%"/>
    <numFmt numFmtId="194" formatCode="#,##0.00;[Red]#,##0.00"/>
    <numFmt numFmtId="195" formatCode="#,##0.0;[Red]#,##0.0"/>
    <numFmt numFmtId="196" formatCode="#,##0;[Red]#,##0"/>
    <numFmt numFmtId="197" formatCode="0.000%"/>
    <numFmt numFmtId="198" formatCode="0.0000%"/>
    <numFmt numFmtId="199" formatCode="0.00000000"/>
    <numFmt numFmtId="200" formatCode="0.000000000"/>
    <numFmt numFmtId="201" formatCode="0.0000000000"/>
    <numFmt numFmtId="202" formatCode="0.0000000"/>
    <numFmt numFmtId="203" formatCode="0.000000"/>
    <numFmt numFmtId="204" formatCode="_(&quot;$&quot;\ * #,##0.0_);_(&quot;$&quot;\ * \(#,##0.0\);_(&quot;$&quot;\ * &quot;-&quot;??_);_(@_)"/>
    <numFmt numFmtId="205" formatCode="_(&quot;$&quot;\ * #,##0.000_);_(&quot;$&quot;\ * \(#,##0.000\);_(&quot;$&quot;\ * &quot;-&quot;??_);_(@_)"/>
    <numFmt numFmtId="206" formatCode="_(&quot;$&quot;\ * #,##0.0000_);_(&quot;$&quot;\ * \(#,##0.0000\);_(&quot;$&quot;\ * &quot;-&quot;??_);_(@_)"/>
    <numFmt numFmtId="207" formatCode="_(&quot;$&quot;\ * #,##0.00000_);_(&quot;$&quot;\ * \(#,##0.00000\);_(&quot;$&quot;\ * &quot;-&quot;??_);_(@_)"/>
    <numFmt numFmtId="208" formatCode="_(&quot;$&quot;\ * #,##0.000000_);_(&quot;$&quot;\ * \(#,##0.000000\);_(&quot;$&quot;\ * &quot;-&quot;??_);_(@_)"/>
    <numFmt numFmtId="209" formatCode="_(&quot;$&quot;\ * #,##0_);_(&quot;$&quot;\ * \(#,##0\);_(&quot;$&quot;\ * &quot;-&quot;??_);_(@_)"/>
    <numFmt numFmtId="210" formatCode="0.00000%"/>
    <numFmt numFmtId="211" formatCode="&quot;$&quot;\ #,##0.0"/>
    <numFmt numFmtId="212" formatCode="&quot;$&quot;\ #,##0.0_);[Red]\(&quot;$&quot;\ #,##0.0\)"/>
    <numFmt numFmtId="213" formatCode="0.00000000000"/>
    <numFmt numFmtId="214" formatCode="0.000000000000"/>
    <numFmt numFmtId="215" formatCode="0.0000000000000"/>
    <numFmt numFmtId="216" formatCode="0.00000000000000"/>
    <numFmt numFmtId="217" formatCode="0.00000000000000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8"/>
      <color indexed="8"/>
      <name val="Calibri"/>
      <family val="2"/>
    </font>
    <font>
      <b/>
      <i/>
      <sz val="9"/>
      <color indexed="8"/>
      <name val="Arial"/>
      <family val="2"/>
    </font>
    <font>
      <b/>
      <i/>
      <vertAlign val="subscript"/>
      <sz val="11"/>
      <color indexed="8"/>
      <name val="Calibri"/>
      <family val="2"/>
    </font>
    <font>
      <i/>
      <sz val="11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b/>
      <i/>
      <sz val="12"/>
      <color indexed="8"/>
      <name val="Arial"/>
      <family val="2"/>
    </font>
    <font>
      <sz val="9.9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1"/>
      <color indexed="10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>
        <color indexed="8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1" fillId="0" borderId="9" applyNumberFormat="0" applyFill="0" applyAlignment="0" applyProtection="0"/>
  </cellStyleXfs>
  <cellXfs count="6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170" fontId="1" fillId="0" borderId="0" xfId="39" applyFont="1" applyAlignment="1">
      <alignment horizontal="center"/>
    </xf>
    <xf numFmtId="0" fontId="0" fillId="0" borderId="0" xfId="0" applyFont="1" applyAlignment="1">
      <alignment/>
    </xf>
    <xf numFmtId="9" fontId="0" fillId="0" borderId="0" xfId="85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94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4" fontId="0" fillId="24" borderId="10" xfId="0" applyNumberFormat="1" applyFill="1" applyBorder="1" applyAlignment="1">
      <alignment horizontal="center"/>
    </xf>
    <xf numFmtId="174" fontId="0" fillId="24" borderId="10" xfId="0" applyNumberFormat="1" applyFill="1" applyBorder="1" applyAlignment="1">
      <alignment/>
    </xf>
    <xf numFmtId="174" fontId="0" fillId="24" borderId="11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 horizontal="center"/>
    </xf>
    <xf numFmtId="174" fontId="0" fillId="24" borderId="10" xfId="0" applyNumberFormat="1" applyFill="1" applyBorder="1" applyAlignment="1">
      <alignment horizontal="right"/>
    </xf>
    <xf numFmtId="174" fontId="0" fillId="24" borderId="11" xfId="0" applyNumberFormat="1" applyFill="1" applyBorder="1" applyAlignment="1">
      <alignment horizontal="right"/>
    </xf>
    <xf numFmtId="176" fontId="0" fillId="24" borderId="0" xfId="0" applyNumberFormat="1" applyFont="1" applyFill="1" applyBorder="1" applyAlignment="1">
      <alignment horizontal="right" vertical="center"/>
    </xf>
    <xf numFmtId="0" fontId="0" fillId="24" borderId="0" xfId="0" applyFill="1" applyBorder="1" applyAlignment="1">
      <alignment horizontal="center"/>
    </xf>
    <xf numFmtId="174" fontId="0" fillId="24" borderId="0" xfId="0" applyNumberFormat="1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174" fontId="2" fillId="24" borderId="0" xfId="0" applyNumberFormat="1" applyFont="1" applyFill="1" applyBorder="1" applyAlignment="1">
      <alignment horizontal="right"/>
    </xf>
    <xf numFmtId="0" fontId="0" fillId="24" borderId="12" xfId="0" applyFill="1" applyBorder="1" applyAlignment="1">
      <alignment wrapText="1"/>
    </xf>
    <xf numFmtId="175" fontId="0" fillId="24" borderId="10" xfId="0" applyNumberFormat="1" applyFont="1" applyFill="1" applyBorder="1" applyAlignment="1">
      <alignment horizontal="right" vertical="center"/>
    </xf>
    <xf numFmtId="175" fontId="0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75" fontId="0" fillId="24" borderId="13" xfId="0" applyNumberFormat="1" applyFont="1" applyFill="1" applyBorder="1" applyAlignment="1">
      <alignment horizontal="right" vertical="center"/>
    </xf>
    <xf numFmtId="175" fontId="0" fillId="24" borderId="14" xfId="0" applyNumberFormat="1" applyFont="1" applyFill="1" applyBorder="1" applyAlignment="1">
      <alignment horizontal="center" vertical="center"/>
    </xf>
    <xf numFmtId="175" fontId="2" fillId="24" borderId="15" xfId="0" applyNumberFormat="1" applyFont="1" applyFill="1" applyBorder="1" applyAlignment="1">
      <alignment vertical="center"/>
    </xf>
    <xf numFmtId="0" fontId="2" fillId="24" borderId="15" xfId="0" applyNumberFormat="1" applyFont="1" applyFill="1" applyBorder="1" applyAlignment="1">
      <alignment horizontal="center" vertical="center"/>
    </xf>
    <xf numFmtId="175" fontId="2" fillId="24" borderId="16" xfId="0" applyNumberFormat="1" applyFont="1" applyFill="1" applyBorder="1" applyAlignment="1">
      <alignment vertical="center"/>
    </xf>
    <xf numFmtId="175" fontId="2" fillId="24" borderId="1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75" fontId="2" fillId="24" borderId="0" xfId="0" applyNumberFormat="1" applyFont="1" applyFill="1" applyBorder="1" applyAlignment="1">
      <alignment vertical="center"/>
    </xf>
    <xf numFmtId="0" fontId="2" fillId="24" borderId="0" xfId="0" applyNumberFormat="1" applyFont="1" applyFill="1" applyBorder="1" applyAlignment="1">
      <alignment horizontal="center" vertical="center"/>
    </xf>
    <xf numFmtId="175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10" fontId="4" fillId="24" borderId="0" xfId="0" applyNumberFormat="1" applyFont="1" applyFill="1" applyBorder="1" applyAlignment="1">
      <alignment/>
    </xf>
    <xf numFmtId="9" fontId="4" fillId="24" borderId="0" xfId="0" applyNumberFormat="1" applyFont="1" applyFill="1" applyBorder="1" applyAlignment="1">
      <alignment/>
    </xf>
    <xf numFmtId="10" fontId="0" fillId="24" borderId="0" xfId="0" applyNumberFormat="1" applyFill="1" applyBorder="1" applyAlignment="1">
      <alignment/>
    </xf>
    <xf numFmtId="0" fontId="2" fillId="24" borderId="18" xfId="0" applyFont="1" applyFill="1" applyBorder="1" applyAlignment="1">
      <alignment/>
    </xf>
    <xf numFmtId="170" fontId="2" fillId="24" borderId="19" xfId="0" applyNumberFormat="1" applyFont="1" applyFill="1" applyBorder="1" applyAlignment="1">
      <alignment horizontal="right"/>
    </xf>
    <xf numFmtId="0" fontId="2" fillId="24" borderId="0" xfId="0" applyFont="1" applyFill="1" applyAlignment="1">
      <alignment/>
    </xf>
    <xf numFmtId="167" fontId="2" fillId="24" borderId="0" xfId="0" applyNumberFormat="1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 horizontal="right"/>
    </xf>
    <xf numFmtId="0" fontId="0" fillId="24" borderId="21" xfId="0" applyFill="1" applyBorder="1" applyAlignment="1">
      <alignment horizontal="right"/>
    </xf>
    <xf numFmtId="0" fontId="0" fillId="24" borderId="22" xfId="0" applyFill="1" applyBorder="1" applyAlignment="1">
      <alignment/>
    </xf>
    <xf numFmtId="167" fontId="0" fillId="24" borderId="10" xfId="0" applyNumberFormat="1" applyFill="1" applyBorder="1" applyAlignment="1">
      <alignment horizontal="right"/>
    </xf>
    <xf numFmtId="167" fontId="0" fillId="24" borderId="0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2" fillId="24" borderId="22" xfId="0" applyFont="1" applyFill="1" applyBorder="1" applyAlignment="1">
      <alignment/>
    </xf>
    <xf numFmtId="167" fontId="2" fillId="24" borderId="10" xfId="0" applyNumberFormat="1" applyFont="1" applyFill="1" applyBorder="1" applyAlignment="1">
      <alignment horizontal="right"/>
    </xf>
    <xf numFmtId="0" fontId="0" fillId="24" borderId="21" xfId="0" applyFill="1" applyBorder="1" applyAlignment="1">
      <alignment/>
    </xf>
    <xf numFmtId="167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167" fontId="2" fillId="24" borderId="15" xfId="0" applyNumberFormat="1" applyFont="1" applyFill="1" applyBorder="1" applyAlignment="1">
      <alignment/>
    </xf>
    <xf numFmtId="167" fontId="7" fillId="24" borderId="15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67" fontId="0" fillId="24" borderId="0" xfId="0" applyNumberFormat="1" applyFill="1" applyAlignment="1">
      <alignment/>
    </xf>
    <xf numFmtId="0" fontId="2" fillId="24" borderId="24" xfId="0" applyFont="1" applyFill="1" applyBorder="1" applyAlignment="1">
      <alignment/>
    </xf>
    <xf numFmtId="167" fontId="2" fillId="24" borderId="25" xfId="0" applyNumberFormat="1" applyFont="1" applyFill="1" applyBorder="1" applyAlignment="1">
      <alignment/>
    </xf>
    <xf numFmtId="0" fontId="0" fillId="24" borderId="26" xfId="0" applyFill="1" applyBorder="1" applyAlignment="1">
      <alignment wrapText="1"/>
    </xf>
    <xf numFmtId="175" fontId="0" fillId="24" borderId="27" xfId="0" applyNumberFormat="1" applyFont="1" applyFill="1" applyBorder="1" applyAlignment="1">
      <alignment horizontal="right" vertical="center"/>
    </xf>
    <xf numFmtId="175" fontId="0" fillId="24" borderId="27" xfId="0" applyNumberFormat="1" applyFont="1" applyFill="1" applyBorder="1" applyAlignment="1">
      <alignment horizontal="right" vertical="center"/>
    </xf>
    <xf numFmtId="0" fontId="0" fillId="24" borderId="27" xfId="0" applyFont="1" applyFill="1" applyBorder="1" applyAlignment="1">
      <alignment horizontal="center" vertical="center"/>
    </xf>
    <xf numFmtId="175" fontId="0" fillId="24" borderId="28" xfId="0" applyNumberFormat="1" applyFont="1" applyFill="1" applyBorder="1" applyAlignment="1">
      <alignment horizontal="right" vertical="center"/>
    </xf>
    <xf numFmtId="167" fontId="0" fillId="24" borderId="29" xfId="0" applyNumberFormat="1" applyFont="1" applyFill="1" applyBorder="1" applyAlignment="1">
      <alignment horizontal="right"/>
    </xf>
    <xf numFmtId="10" fontId="6" fillId="24" borderId="11" xfId="0" applyNumberFormat="1" applyFont="1" applyFill="1" applyBorder="1" applyAlignment="1">
      <alignment horizontal="right"/>
    </xf>
    <xf numFmtId="0" fontId="0" fillId="24" borderId="17" xfId="0" applyNumberFormat="1" applyFont="1" applyFill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167" fontId="0" fillId="24" borderId="11" xfId="0" applyNumberFormat="1" applyFont="1" applyFill="1" applyBorder="1" applyAlignment="1">
      <alignment/>
    </xf>
    <xf numFmtId="167" fontId="0" fillId="24" borderId="10" xfId="0" applyNumberFormat="1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167" fontId="0" fillId="24" borderId="11" xfId="0" applyNumberFormat="1" applyFont="1" applyFill="1" applyBorder="1" applyAlignment="1">
      <alignment horizontal="right" vertical="center"/>
    </xf>
    <xf numFmtId="167" fontId="2" fillId="24" borderId="17" xfId="0" applyNumberFormat="1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174" fontId="0" fillId="24" borderId="0" xfId="0" applyNumberFormat="1" applyFont="1" applyFill="1" applyBorder="1" applyAlignment="1">
      <alignment horizontal="right"/>
    </xf>
    <xf numFmtId="174" fontId="2" fillId="24" borderId="15" xfId="0" applyNumberFormat="1" applyFont="1" applyFill="1" applyBorder="1" applyAlignment="1">
      <alignment horizontal="right"/>
    </xf>
    <xf numFmtId="174" fontId="2" fillId="24" borderId="17" xfId="0" applyNumberFormat="1" applyFont="1" applyFill="1" applyBorder="1" applyAlignment="1">
      <alignment horizontal="right"/>
    </xf>
    <xf numFmtId="0" fontId="0" fillId="24" borderId="20" xfId="0" applyFill="1" applyBorder="1" applyAlignment="1">
      <alignment vertical="center"/>
    </xf>
    <xf numFmtId="0" fontId="0" fillId="24" borderId="19" xfId="0" applyFont="1" applyFill="1" applyBorder="1" applyAlignment="1">
      <alignment horizontal="center" vertical="center" wrapText="1"/>
    </xf>
    <xf numFmtId="174" fontId="0" fillId="24" borderId="19" xfId="0" applyNumberFormat="1" applyFont="1" applyFill="1" applyBorder="1" applyAlignment="1">
      <alignment horizontal="right" vertical="center" wrapText="1"/>
    </xf>
    <xf numFmtId="174" fontId="0" fillId="24" borderId="31" xfId="0" applyNumberFormat="1" applyFont="1" applyFill="1" applyBorder="1" applyAlignment="1">
      <alignment horizontal="right" vertical="center" wrapText="1"/>
    </xf>
    <xf numFmtId="174" fontId="2" fillId="24" borderId="15" xfId="0" applyNumberFormat="1" applyFont="1" applyFill="1" applyBorder="1" applyAlignment="1">
      <alignment/>
    </xf>
    <xf numFmtId="174" fontId="2" fillId="24" borderId="17" xfId="0" applyNumberFormat="1" applyFont="1" applyFill="1" applyBorder="1" applyAlignment="1">
      <alignment/>
    </xf>
    <xf numFmtId="174" fontId="0" fillId="24" borderId="0" xfId="0" applyNumberFormat="1" applyFill="1" applyAlignment="1">
      <alignment/>
    </xf>
    <xf numFmtId="176" fontId="0" fillId="24" borderId="11" xfId="0" applyNumberFormat="1" applyFont="1" applyFill="1" applyBorder="1" applyAlignment="1">
      <alignment horizontal="right" vertical="center"/>
    </xf>
    <xf numFmtId="176" fontId="2" fillId="24" borderId="17" xfId="0" applyNumberFormat="1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wrapText="1"/>
    </xf>
    <xf numFmtId="0" fontId="6" fillId="24" borderId="12" xfId="0" applyFont="1" applyFill="1" applyBorder="1" applyAlignment="1">
      <alignment/>
    </xf>
    <xf numFmtId="179" fontId="0" fillId="24" borderId="10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 wrapText="1"/>
    </xf>
    <xf numFmtId="179" fontId="0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178" fontId="0" fillId="24" borderId="10" xfId="80" applyNumberFormat="1" applyFont="1" applyFill="1" applyBorder="1" applyAlignment="1">
      <alignment horizontal="center" wrapText="1"/>
    </xf>
    <xf numFmtId="179" fontId="0" fillId="24" borderId="11" xfId="58" applyNumberFormat="1" applyFont="1" applyFill="1" applyBorder="1" applyAlignment="1">
      <alignment wrapText="1"/>
    </xf>
    <xf numFmtId="0" fontId="0" fillId="24" borderId="12" xfId="0" applyFont="1" applyFill="1" applyBorder="1" applyAlignment="1">
      <alignment horizontal="left"/>
    </xf>
    <xf numFmtId="179" fontId="2" fillId="24" borderId="33" xfId="0" applyNumberFormat="1" applyFont="1" applyFill="1" applyBorder="1" applyAlignment="1">
      <alignment/>
    </xf>
    <xf numFmtId="179" fontId="2" fillId="24" borderId="34" xfId="0" applyNumberFormat="1" applyFont="1" applyFill="1" applyBorder="1" applyAlignment="1">
      <alignment/>
    </xf>
    <xf numFmtId="176" fontId="0" fillId="24" borderId="0" xfId="0" applyNumberFormat="1" applyFill="1" applyAlignment="1">
      <alignment/>
    </xf>
    <xf numFmtId="0" fontId="7" fillId="24" borderId="13" xfId="0" applyFont="1" applyFill="1" applyBorder="1" applyAlignment="1">
      <alignment horizontal="left"/>
    </xf>
    <xf numFmtId="0" fontId="0" fillId="24" borderId="35" xfId="0" applyFont="1" applyFill="1" applyBorder="1" applyAlignment="1">
      <alignment/>
    </xf>
    <xf numFmtId="0" fontId="0" fillId="24" borderId="36" xfId="0" applyFont="1" applyFill="1" applyBorder="1" applyAlignment="1">
      <alignment/>
    </xf>
    <xf numFmtId="167" fontId="4" fillId="24" borderId="13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6" fillId="24" borderId="38" xfId="0" applyFont="1" applyFill="1" applyBorder="1" applyAlignment="1">
      <alignment horizontal="left"/>
    </xf>
    <xf numFmtId="0" fontId="0" fillId="24" borderId="37" xfId="0" applyFont="1" applyFill="1" applyBorder="1" applyAlignment="1">
      <alignment/>
    </xf>
    <xf numFmtId="176" fontId="0" fillId="24" borderId="0" xfId="0" applyNumberFormat="1" applyFont="1" applyFill="1" applyBorder="1" applyAlignment="1">
      <alignment/>
    </xf>
    <xf numFmtId="176" fontId="0" fillId="24" borderId="21" xfId="0" applyNumberFormat="1" applyFont="1" applyFill="1" applyBorder="1" applyAlignment="1">
      <alignment/>
    </xf>
    <xf numFmtId="0" fontId="7" fillId="24" borderId="12" xfId="0" applyFont="1" applyFill="1" applyBorder="1" applyAlignment="1">
      <alignment/>
    </xf>
    <xf numFmtId="167" fontId="7" fillId="24" borderId="13" xfId="0" applyNumberFormat="1" applyFont="1" applyFill="1" applyBorder="1" applyAlignment="1">
      <alignment horizontal="center"/>
    </xf>
    <xf numFmtId="0" fontId="2" fillId="24" borderId="37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176" fontId="2" fillId="24" borderId="13" xfId="0" applyNumberFormat="1" applyFont="1" applyFill="1" applyBorder="1" applyAlignment="1">
      <alignment/>
    </xf>
    <xf numFmtId="176" fontId="2" fillId="24" borderId="36" xfId="0" applyNumberFormat="1" applyFont="1" applyFill="1" applyBorder="1" applyAlignment="1">
      <alignment/>
    </xf>
    <xf numFmtId="0" fontId="0" fillId="24" borderId="20" xfId="0" applyFont="1" applyFill="1" applyBorder="1" applyAlignment="1">
      <alignment/>
    </xf>
    <xf numFmtId="176" fontId="0" fillId="24" borderId="0" xfId="0" applyNumberFormat="1" applyFont="1" applyFill="1" applyBorder="1" applyAlignment="1">
      <alignment horizontal="right" vertical="center"/>
    </xf>
    <xf numFmtId="0" fontId="0" fillId="24" borderId="38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176" fontId="0" fillId="24" borderId="35" xfId="0" applyNumberFormat="1" applyFont="1" applyFill="1" applyBorder="1" applyAlignment="1">
      <alignment horizontal="right" vertical="center"/>
    </xf>
    <xf numFmtId="0" fontId="1" fillId="24" borderId="12" xfId="0" applyFont="1" applyFill="1" applyBorder="1" applyAlignment="1">
      <alignment/>
    </xf>
    <xf numFmtId="2" fontId="3" fillId="24" borderId="11" xfId="85" applyNumberFormat="1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38" xfId="0" applyFill="1" applyBorder="1" applyAlignment="1">
      <alignment/>
    </xf>
    <xf numFmtId="10" fontId="3" fillId="24" borderId="11" xfId="85" applyNumberFormat="1" applyFont="1" applyFill="1" applyBorder="1" applyAlignment="1">
      <alignment/>
    </xf>
    <xf numFmtId="0" fontId="6" fillId="24" borderId="39" xfId="0" applyFont="1" applyFill="1" applyBorder="1" applyAlignment="1">
      <alignment/>
    </xf>
    <xf numFmtId="176" fontId="2" fillId="24" borderId="13" xfId="0" applyNumberFormat="1" applyFont="1" applyFill="1" applyBorder="1" applyAlignment="1">
      <alignment/>
    </xf>
    <xf numFmtId="176" fontId="2" fillId="24" borderId="36" xfId="0" applyNumberFormat="1" applyFont="1" applyFill="1" applyBorder="1" applyAlignment="1">
      <alignment/>
    </xf>
    <xf numFmtId="176" fontId="3" fillId="24" borderId="11" xfId="0" applyNumberFormat="1" applyFont="1" applyFill="1" applyBorder="1" applyAlignment="1">
      <alignment/>
    </xf>
    <xf numFmtId="0" fontId="6" fillId="24" borderId="40" xfId="0" applyFont="1" applyFill="1" applyBorder="1" applyAlignment="1">
      <alignment/>
    </xf>
    <xf numFmtId="0" fontId="1" fillId="24" borderId="30" xfId="0" applyFont="1" applyFill="1" applyBorder="1" applyAlignment="1">
      <alignment horizontal="center"/>
    </xf>
    <xf numFmtId="2" fontId="3" fillId="24" borderId="17" xfId="85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176" fontId="2" fillId="24" borderId="16" xfId="0" applyNumberFormat="1" applyFont="1" applyFill="1" applyBorder="1" applyAlignment="1">
      <alignment/>
    </xf>
    <xf numFmtId="0" fontId="0" fillId="24" borderId="41" xfId="0" applyFont="1" applyFill="1" applyBorder="1" applyAlignment="1">
      <alignment/>
    </xf>
    <xf numFmtId="176" fontId="2" fillId="24" borderId="42" xfId="0" applyNumberFormat="1" applyFont="1" applyFill="1" applyBorder="1" applyAlignment="1">
      <alignment/>
    </xf>
    <xf numFmtId="0" fontId="0" fillId="24" borderId="43" xfId="0" applyFont="1" applyFill="1" applyBorder="1" applyAlignment="1">
      <alignment horizontal="center"/>
    </xf>
    <xf numFmtId="174" fontId="2" fillId="24" borderId="25" xfId="0" applyNumberFormat="1" applyFont="1" applyFill="1" applyBorder="1" applyAlignment="1">
      <alignment horizontal="center" vertical="center"/>
    </xf>
    <xf numFmtId="174" fontId="2" fillId="24" borderId="30" xfId="0" applyNumberFormat="1" applyFont="1" applyFill="1" applyBorder="1" applyAlignment="1">
      <alignment horizontal="center"/>
    </xf>
    <xf numFmtId="174" fontId="1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center" vertical="center"/>
    </xf>
    <xf numFmtId="175" fontId="0" fillId="24" borderId="0" xfId="0" applyNumberFormat="1" applyFont="1" applyFill="1" applyBorder="1" applyAlignment="1">
      <alignment horizontal="center" vertical="center"/>
    </xf>
    <xf numFmtId="176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174" fontId="2" fillId="24" borderId="0" xfId="0" applyNumberFormat="1" applyFont="1" applyFill="1" applyBorder="1" applyAlignment="1">
      <alignment horizontal="center" vertical="center"/>
    </xf>
    <xf numFmtId="10" fontId="3" fillId="24" borderId="11" xfId="0" applyNumberFormat="1" applyFont="1" applyFill="1" applyBorder="1" applyAlignment="1">
      <alignment/>
    </xf>
    <xf numFmtId="2" fontId="3" fillId="24" borderId="11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0" fontId="0" fillId="0" borderId="10" xfId="0" applyNumberFormat="1" applyBorder="1" applyAlignment="1">
      <alignment/>
    </xf>
    <xf numFmtId="186" fontId="0" fillId="0" borderId="10" xfId="0" applyNumberFormat="1" applyBorder="1" applyAlignment="1">
      <alignment/>
    </xf>
    <xf numFmtId="10" fontId="0" fillId="24" borderId="10" xfId="85" applyNumberFormat="1" applyFont="1" applyFill="1" applyBorder="1" applyAlignment="1">
      <alignment horizontal="center"/>
    </xf>
    <xf numFmtId="9" fontId="0" fillId="24" borderId="12" xfId="0" applyNumberFormat="1" applyFill="1" applyBorder="1" applyAlignment="1">
      <alignment horizontal="center"/>
    </xf>
    <xf numFmtId="182" fontId="0" fillId="24" borderId="10" xfId="0" applyNumberFormat="1" applyFill="1" applyBorder="1" applyAlignment="1">
      <alignment horizontal="right"/>
    </xf>
    <xf numFmtId="9" fontId="0" fillId="24" borderId="10" xfId="85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9" fontId="18" fillId="24" borderId="12" xfId="0" applyNumberFormat="1" applyFont="1" applyFill="1" applyBorder="1" applyAlignment="1">
      <alignment horizontal="center"/>
    </xf>
    <xf numFmtId="182" fontId="18" fillId="24" borderId="10" xfId="0" applyNumberFormat="1" applyFont="1" applyFill="1" applyBorder="1" applyAlignment="1">
      <alignment horizontal="right"/>
    </xf>
    <xf numFmtId="9" fontId="18" fillId="24" borderId="10" xfId="85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9" fontId="39" fillId="24" borderId="12" xfId="0" applyNumberFormat="1" applyFont="1" applyFill="1" applyBorder="1" applyAlignment="1">
      <alignment horizontal="center"/>
    </xf>
    <xf numFmtId="174" fontId="18" fillId="24" borderId="10" xfId="0" applyNumberFormat="1" applyFont="1" applyFill="1" applyBorder="1" applyAlignment="1">
      <alignment horizontal="right"/>
    </xf>
    <xf numFmtId="9" fontId="39" fillId="24" borderId="10" xfId="0" applyNumberFormat="1" applyFont="1" applyFill="1" applyBorder="1" applyAlignment="1">
      <alignment horizontal="center"/>
    </xf>
    <xf numFmtId="10" fontId="34" fillId="24" borderId="10" xfId="85" applyNumberFormat="1" applyFont="1" applyFill="1" applyBorder="1" applyAlignment="1">
      <alignment horizontal="center"/>
    </xf>
    <xf numFmtId="0" fontId="39" fillId="24" borderId="11" xfId="0" applyFont="1" applyFill="1" applyBorder="1" applyAlignment="1">
      <alignment horizontal="center"/>
    </xf>
    <xf numFmtId="9" fontId="1" fillId="24" borderId="12" xfId="0" applyNumberFormat="1" applyFont="1" applyFill="1" applyBorder="1" applyAlignment="1">
      <alignment horizontal="center"/>
    </xf>
    <xf numFmtId="174" fontId="1" fillId="24" borderId="10" xfId="0" applyNumberFormat="1" applyFont="1" applyFill="1" applyBorder="1" applyAlignment="1">
      <alignment horizontal="right"/>
    </xf>
    <xf numFmtId="9" fontId="1" fillId="24" borderId="10" xfId="85" applyFont="1" applyFill="1" applyBorder="1" applyAlignment="1">
      <alignment horizontal="center"/>
    </xf>
    <xf numFmtId="10" fontId="1" fillId="24" borderId="10" xfId="85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" fillId="24" borderId="47" xfId="0" applyFont="1" applyFill="1" applyBorder="1" applyAlignment="1">
      <alignment horizontal="center"/>
    </xf>
    <xf numFmtId="9" fontId="0" fillId="24" borderId="29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9" fontId="0" fillId="24" borderId="17" xfId="0" applyNumberFormat="1" applyFont="1" applyFill="1" applyBorder="1" applyAlignment="1">
      <alignment horizontal="center"/>
    </xf>
    <xf numFmtId="2" fontId="0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9" fontId="0" fillId="24" borderId="0" xfId="0" applyNumberFormat="1" applyFont="1" applyFill="1" applyAlignment="1">
      <alignment horizontal="center"/>
    </xf>
    <xf numFmtId="10" fontId="0" fillId="24" borderId="25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24" xfId="0" applyFont="1" applyFill="1" applyBorder="1" applyAlignment="1">
      <alignment horizontal="center"/>
    </xf>
    <xf numFmtId="174" fontId="0" fillId="24" borderId="48" xfId="0" applyNumberFormat="1" applyFill="1" applyBorder="1" applyAlignment="1">
      <alignment/>
    </xf>
    <xf numFmtId="170" fontId="0" fillId="24" borderId="48" xfId="0" applyNumberFormat="1" applyFont="1" applyFill="1" applyBorder="1" applyAlignment="1">
      <alignment/>
    </xf>
    <xf numFmtId="170" fontId="0" fillId="24" borderId="25" xfId="0" applyNumberFormat="1" applyFont="1" applyFill="1" applyBorder="1" applyAlignment="1">
      <alignment/>
    </xf>
    <xf numFmtId="0" fontId="0" fillId="24" borderId="0" xfId="0" applyFont="1" applyFill="1" applyAlignment="1">
      <alignment horizontal="left"/>
    </xf>
    <xf numFmtId="170" fontId="0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 horizontal="right"/>
    </xf>
    <xf numFmtId="0" fontId="7" fillId="24" borderId="47" xfId="0" applyFont="1" applyFill="1" applyBorder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170" fontId="0" fillId="24" borderId="10" xfId="0" applyNumberFormat="1" applyFont="1" applyFill="1" applyBorder="1" applyAlignment="1">
      <alignment/>
    </xf>
    <xf numFmtId="170" fontId="0" fillId="24" borderId="11" xfId="0" applyNumberFormat="1" applyFont="1" applyFill="1" applyBorder="1" applyAlignment="1">
      <alignment/>
    </xf>
    <xf numFmtId="170" fontId="0" fillId="24" borderId="0" xfId="0" applyNumberFormat="1" applyFont="1" applyFill="1" applyAlignment="1">
      <alignment/>
    </xf>
    <xf numFmtId="0" fontId="4" fillId="24" borderId="37" xfId="0" applyFont="1" applyFill="1" applyBorder="1" applyAlignment="1">
      <alignment/>
    </xf>
    <xf numFmtId="0" fontId="12" fillId="24" borderId="12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170" fontId="2" fillId="24" borderId="10" xfId="0" applyNumberFormat="1" applyFont="1" applyFill="1" applyBorder="1" applyAlignment="1">
      <alignment/>
    </xf>
    <xf numFmtId="170" fontId="2" fillId="24" borderId="11" xfId="0" applyNumberFormat="1" applyFont="1" applyFill="1" applyBorder="1" applyAlignment="1">
      <alignment/>
    </xf>
    <xf numFmtId="0" fontId="7" fillId="24" borderId="30" xfId="0" applyFont="1" applyFill="1" applyBorder="1" applyAlignment="1">
      <alignment/>
    </xf>
    <xf numFmtId="0" fontId="7" fillId="24" borderId="41" xfId="0" applyFont="1" applyFill="1" applyBorder="1" applyAlignment="1">
      <alignment/>
    </xf>
    <xf numFmtId="170" fontId="7" fillId="24" borderId="15" xfId="0" applyNumberFormat="1" applyFont="1" applyFill="1" applyBorder="1" applyAlignment="1">
      <alignment/>
    </xf>
    <xf numFmtId="170" fontId="7" fillId="24" borderId="17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0" fillId="24" borderId="50" xfId="0" applyFont="1" applyFill="1" applyBorder="1" applyAlignment="1">
      <alignment/>
    </xf>
    <xf numFmtId="170" fontId="0" fillId="24" borderId="49" xfId="0" applyNumberFormat="1" applyFont="1" applyFill="1" applyBorder="1" applyAlignment="1">
      <alignment/>
    </xf>
    <xf numFmtId="0" fontId="0" fillId="24" borderId="13" xfId="0" applyFont="1" applyFill="1" applyBorder="1" applyAlignment="1">
      <alignment/>
    </xf>
    <xf numFmtId="170" fontId="0" fillId="24" borderId="13" xfId="0" applyNumberFormat="1" applyFont="1" applyFill="1" applyBorder="1" applyAlignment="1">
      <alignment/>
    </xf>
    <xf numFmtId="166" fontId="0" fillId="24" borderId="13" xfId="0" applyNumberFormat="1" applyFont="1" applyFill="1" applyBorder="1" applyAlignment="1">
      <alignment/>
    </xf>
    <xf numFmtId="0" fontId="7" fillId="24" borderId="26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170" fontId="2" fillId="24" borderId="13" xfId="0" applyNumberFormat="1" applyFont="1" applyFill="1" applyBorder="1" applyAlignment="1">
      <alignment/>
    </xf>
    <xf numFmtId="170" fontId="2" fillId="24" borderId="15" xfId="0" applyNumberFormat="1" applyFont="1" applyFill="1" applyBorder="1" applyAlignment="1">
      <alignment/>
    </xf>
    <xf numFmtId="170" fontId="2" fillId="24" borderId="17" xfId="0" applyNumberFormat="1" applyFont="1" applyFill="1" applyBorder="1" applyAlignment="1">
      <alignment/>
    </xf>
    <xf numFmtId="0" fontId="7" fillId="24" borderId="43" xfId="0" applyFont="1" applyFill="1" applyBorder="1" applyAlignment="1">
      <alignment horizontal="center"/>
    </xf>
    <xf numFmtId="10" fontId="2" fillId="24" borderId="31" xfId="0" applyNumberFormat="1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167" fontId="2" fillId="24" borderId="11" xfId="0" applyNumberFormat="1" applyFont="1" applyFill="1" applyBorder="1" applyAlignment="1">
      <alignment/>
    </xf>
    <xf numFmtId="167" fontId="0" fillId="24" borderId="0" xfId="0" applyNumberFormat="1" applyFont="1" applyFill="1" applyBorder="1" applyAlignment="1">
      <alignment/>
    </xf>
    <xf numFmtId="0" fontId="7" fillId="24" borderId="30" xfId="0" applyFont="1" applyFill="1" applyBorder="1" applyAlignment="1">
      <alignment horizontal="center"/>
    </xf>
    <xf numFmtId="9" fontId="2" fillId="24" borderId="17" xfId="0" applyNumberFormat="1" applyFont="1" applyFill="1" applyBorder="1" applyAlignment="1">
      <alignment/>
    </xf>
    <xf numFmtId="9" fontId="0" fillId="24" borderId="0" xfId="0" applyNumberFormat="1" applyFont="1" applyFill="1" applyBorder="1" applyAlignment="1">
      <alignment/>
    </xf>
    <xf numFmtId="0" fontId="2" fillId="24" borderId="47" xfId="0" applyFont="1" applyFill="1" applyBorder="1" applyAlignment="1">
      <alignment/>
    </xf>
    <xf numFmtId="171" fontId="0" fillId="24" borderId="37" xfId="58" applyFont="1" applyFill="1" applyBorder="1" applyAlignment="1">
      <alignment/>
    </xf>
    <xf numFmtId="171" fontId="0" fillId="24" borderId="10" xfId="58" applyFont="1" applyFill="1" applyBorder="1" applyAlignment="1">
      <alignment/>
    </xf>
    <xf numFmtId="171" fontId="0" fillId="24" borderId="11" xfId="58" applyFont="1" applyFill="1" applyBorder="1" applyAlignment="1">
      <alignment/>
    </xf>
    <xf numFmtId="171" fontId="0" fillId="24" borderId="0" xfId="58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30" xfId="0" applyFont="1" applyFill="1" applyBorder="1" applyAlignment="1">
      <alignment/>
    </xf>
    <xf numFmtId="171" fontId="2" fillId="24" borderId="41" xfId="58" applyFont="1" applyFill="1" applyBorder="1" applyAlignment="1">
      <alignment/>
    </xf>
    <xf numFmtId="171" fontId="2" fillId="24" borderId="15" xfId="58" applyFont="1" applyFill="1" applyBorder="1" applyAlignment="1">
      <alignment/>
    </xf>
    <xf numFmtId="171" fontId="2" fillId="24" borderId="17" xfId="58" applyFont="1" applyFill="1" applyBorder="1" applyAlignment="1">
      <alignment/>
    </xf>
    <xf numFmtId="0" fontId="16" fillId="24" borderId="24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9" fontId="0" fillId="24" borderId="29" xfId="0" applyNumberFormat="1" applyFont="1" applyFill="1" applyBorder="1" applyAlignment="1">
      <alignment/>
    </xf>
    <xf numFmtId="10" fontId="0" fillId="24" borderId="0" xfId="85" applyNumberFormat="1" applyFont="1" applyFill="1" applyAlignment="1">
      <alignment/>
    </xf>
    <xf numFmtId="10" fontId="0" fillId="24" borderId="0" xfId="0" applyNumberFormat="1" applyFont="1" applyFill="1" applyAlignment="1">
      <alignment/>
    </xf>
    <xf numFmtId="9" fontId="0" fillId="24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10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10" fontId="0" fillId="24" borderId="0" xfId="85" applyNumberFormat="1" applyFont="1" applyFill="1" applyBorder="1" applyAlignment="1">
      <alignment/>
    </xf>
    <xf numFmtId="2" fontId="3" fillId="24" borderId="11" xfId="85" applyNumberFormat="1" applyFont="1" applyFill="1" applyBorder="1" applyAlignment="1">
      <alignment/>
    </xf>
    <xf numFmtId="10" fontId="3" fillId="24" borderId="17" xfId="0" applyNumberFormat="1" applyFont="1" applyFill="1" applyBorder="1" applyAlignment="1">
      <alignment/>
    </xf>
    <xf numFmtId="0" fontId="2" fillId="24" borderId="47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 vertical="center" wrapText="1"/>
    </xf>
    <xf numFmtId="175" fontId="2" fillId="24" borderId="0" xfId="0" applyNumberFormat="1" applyFont="1" applyFill="1" applyBorder="1" applyAlignment="1">
      <alignment horizontal="center" vertical="center"/>
    </xf>
    <xf numFmtId="175" fontId="9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75" fontId="0" fillId="24" borderId="0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176" fontId="0" fillId="24" borderId="10" xfId="0" applyNumberFormat="1" applyFont="1" applyFill="1" applyBorder="1" applyAlignment="1">
      <alignment horizontal="right" vertical="center"/>
    </xf>
    <xf numFmtId="176" fontId="0" fillId="24" borderId="10" xfId="0" applyNumberFormat="1" applyFont="1" applyFill="1" applyBorder="1" applyAlignment="1">
      <alignment horizontal="right" vertical="center"/>
    </xf>
    <xf numFmtId="175" fontId="0" fillId="24" borderId="11" xfId="0" applyNumberFormat="1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left" vertical="center"/>
    </xf>
    <xf numFmtId="0" fontId="0" fillId="24" borderId="37" xfId="0" applyFont="1" applyFill="1" applyBorder="1" applyAlignment="1">
      <alignment horizontal="left" vertical="center"/>
    </xf>
    <xf numFmtId="176" fontId="0" fillId="24" borderId="11" xfId="0" applyNumberFormat="1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right" vertical="center"/>
    </xf>
    <xf numFmtId="174" fontId="0" fillId="24" borderId="11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175" fontId="2" fillId="24" borderId="17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176" fontId="0" fillId="24" borderId="27" xfId="0" applyNumberFormat="1" applyFont="1" applyFill="1" applyBorder="1" applyAlignment="1">
      <alignment horizontal="right" vertical="center"/>
    </xf>
    <xf numFmtId="176" fontId="0" fillId="24" borderId="27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left" vertical="center"/>
    </xf>
    <xf numFmtId="176" fontId="2" fillId="24" borderId="15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" vertical="center"/>
    </xf>
    <xf numFmtId="174" fontId="0" fillId="24" borderId="0" xfId="0" applyNumberFormat="1" applyFont="1" applyFill="1" applyBorder="1" applyAlignment="1">
      <alignment/>
    </xf>
    <xf numFmtId="174" fontId="0" fillId="24" borderId="10" xfId="0" applyNumberFormat="1" applyFont="1" applyFill="1" applyBorder="1" applyAlignment="1">
      <alignment horizontal="right"/>
    </xf>
    <xf numFmtId="174" fontId="2" fillId="24" borderId="15" xfId="0" applyNumberFormat="1" applyFont="1" applyFill="1" applyBorder="1" applyAlignment="1">
      <alignment/>
    </xf>
    <xf numFmtId="0" fontId="7" fillId="24" borderId="12" xfId="83" applyFont="1" applyFill="1" applyBorder="1" applyAlignment="1">
      <alignment horizontal="center"/>
      <protection/>
    </xf>
    <xf numFmtId="0" fontId="7" fillId="24" borderId="11" xfId="83" applyFont="1" applyFill="1" applyBorder="1" applyAlignment="1">
      <alignment horizontal="center"/>
      <protection/>
    </xf>
    <xf numFmtId="0" fontId="6" fillId="24" borderId="12" xfId="83" applyFont="1" applyFill="1" applyBorder="1">
      <alignment/>
      <protection/>
    </xf>
    <xf numFmtId="194" fontId="6" fillId="24" borderId="11" xfId="83" applyNumberFormat="1" applyFont="1" applyFill="1" applyBorder="1">
      <alignment/>
      <protection/>
    </xf>
    <xf numFmtId="0" fontId="7" fillId="24" borderId="30" xfId="83" applyFont="1" applyFill="1" applyBorder="1">
      <alignment/>
      <protection/>
    </xf>
    <xf numFmtId="10" fontId="7" fillId="24" borderId="17" xfId="85" applyNumberFormat="1" applyFont="1" applyFill="1" applyBorder="1" applyAlignment="1">
      <alignment/>
    </xf>
    <xf numFmtId="0" fontId="12" fillId="24" borderId="0" xfId="83" applyFont="1" applyFill="1" applyBorder="1">
      <alignment/>
      <protection/>
    </xf>
    <xf numFmtId="0" fontId="6" fillId="24" borderId="0" xfId="83" applyFont="1" applyFill="1" applyBorder="1">
      <alignment/>
      <protection/>
    </xf>
    <xf numFmtId="194" fontId="6" fillId="24" borderId="11" xfId="83" applyNumberFormat="1" applyFont="1" applyFill="1" applyBorder="1" applyAlignment="1">
      <alignment horizontal="right"/>
      <protection/>
    </xf>
    <xf numFmtId="194" fontId="7" fillId="24" borderId="17" xfId="83" applyNumberFormat="1" applyFont="1" applyFill="1" applyBorder="1" applyAlignment="1">
      <alignment horizontal="right"/>
      <protection/>
    </xf>
    <xf numFmtId="0" fontId="7" fillId="24" borderId="47" xfId="0" applyFont="1" applyFill="1" applyBorder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7" fillId="24" borderId="20" xfId="0" applyFont="1" applyFill="1" applyBorder="1" applyAlignment="1">
      <alignment/>
    </xf>
    <xf numFmtId="170" fontId="0" fillId="24" borderId="21" xfId="0" applyNumberFormat="1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67" fontId="2" fillId="24" borderId="0" xfId="0" applyNumberFormat="1" applyFont="1" applyFill="1" applyBorder="1" applyAlignment="1">
      <alignment/>
    </xf>
    <xf numFmtId="167" fontId="2" fillId="24" borderId="21" xfId="0" applyNumberFormat="1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170" fontId="2" fillId="24" borderId="0" xfId="0" applyNumberFormat="1" applyFont="1" applyFill="1" applyBorder="1" applyAlignment="1">
      <alignment/>
    </xf>
    <xf numFmtId="170" fontId="2" fillId="24" borderId="37" xfId="0" applyNumberFormat="1" applyFont="1" applyFill="1" applyBorder="1" applyAlignment="1">
      <alignment/>
    </xf>
    <xf numFmtId="170" fontId="7" fillId="24" borderId="0" xfId="0" applyNumberFormat="1" applyFont="1" applyFill="1" applyBorder="1" applyAlignment="1">
      <alignment/>
    </xf>
    <xf numFmtId="170" fontId="0" fillId="24" borderId="10" xfId="39" applyFont="1" applyFill="1" applyBorder="1" applyAlignment="1">
      <alignment/>
    </xf>
    <xf numFmtId="0" fontId="0" fillId="24" borderId="27" xfId="0" applyFont="1" applyFill="1" applyBorder="1" applyAlignment="1">
      <alignment/>
    </xf>
    <xf numFmtId="170" fontId="0" fillId="24" borderId="27" xfId="39" applyFont="1" applyFill="1" applyBorder="1" applyAlignment="1">
      <alignment/>
    </xf>
    <xf numFmtId="10" fontId="2" fillId="24" borderId="10" xfId="0" applyNumberFormat="1" applyFont="1" applyFill="1" applyBorder="1" applyAlignment="1">
      <alignment/>
    </xf>
    <xf numFmtId="170" fontId="7" fillId="24" borderId="0" xfId="0" applyNumberFormat="1" applyFont="1" applyFill="1" applyBorder="1" applyAlignment="1">
      <alignment/>
    </xf>
    <xf numFmtId="170" fontId="2" fillId="24" borderId="11" xfId="39" applyFont="1" applyFill="1" applyBorder="1" applyAlignment="1">
      <alignment/>
    </xf>
    <xf numFmtId="0" fontId="7" fillId="24" borderId="29" xfId="0" applyFont="1" applyFill="1" applyBorder="1" applyAlignment="1">
      <alignment horizontal="center"/>
    </xf>
    <xf numFmtId="0" fontId="1" fillId="24" borderId="47" xfId="0" applyFont="1" applyFill="1" applyBorder="1" applyAlignment="1">
      <alignment/>
    </xf>
    <xf numFmtId="171" fontId="0" fillId="24" borderId="19" xfId="58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0" fillId="24" borderId="24" xfId="0" applyFont="1" applyFill="1" applyBorder="1" applyAlignment="1">
      <alignment horizontal="center"/>
    </xf>
    <xf numFmtId="9" fontId="3" fillId="24" borderId="29" xfId="0" applyNumberFormat="1" applyFont="1" applyFill="1" applyBorder="1" applyAlignment="1">
      <alignment/>
    </xf>
    <xf numFmtId="9" fontId="3" fillId="24" borderId="17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10" fontId="2" fillId="24" borderId="0" xfId="85" applyNumberFormat="1" applyFont="1" applyFill="1" applyBorder="1" applyAlignment="1">
      <alignment horizontal="center"/>
    </xf>
    <xf numFmtId="10" fontId="3" fillId="24" borderId="11" xfId="85" applyNumberFormat="1" applyFont="1" applyFill="1" applyBorder="1" applyAlignment="1">
      <alignment/>
    </xf>
    <xf numFmtId="10" fontId="2" fillId="24" borderId="17" xfId="85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10" fontId="3" fillId="24" borderId="11" xfId="85" applyNumberFormat="1" applyFont="1" applyFill="1" applyBorder="1" applyAlignment="1">
      <alignment/>
    </xf>
    <xf numFmtId="9" fontId="3" fillId="24" borderId="11" xfId="85" applyNumberFormat="1" applyFont="1" applyFill="1" applyBorder="1" applyAlignment="1">
      <alignment/>
    </xf>
    <xf numFmtId="9" fontId="3" fillId="24" borderId="11" xfId="0" applyNumberFormat="1" applyFont="1" applyFill="1" applyBorder="1" applyAlignment="1">
      <alignment/>
    </xf>
    <xf numFmtId="0" fontId="1" fillId="24" borderId="30" xfId="0" applyFont="1" applyFill="1" applyBorder="1" applyAlignment="1">
      <alignment/>
    </xf>
    <xf numFmtId="10" fontId="2" fillId="24" borderId="17" xfId="85" applyNumberFormat="1" applyFont="1" applyFill="1" applyBorder="1" applyAlignment="1">
      <alignment/>
    </xf>
    <xf numFmtId="0" fontId="0" fillId="24" borderId="21" xfId="0" applyFont="1" applyFill="1" applyBorder="1" applyAlignment="1">
      <alignment/>
    </xf>
    <xf numFmtId="170" fontId="0" fillId="24" borderId="15" xfId="0" applyNumberFormat="1" applyFont="1" applyFill="1" applyBorder="1" applyAlignment="1">
      <alignment/>
    </xf>
    <xf numFmtId="170" fontId="0" fillId="24" borderId="17" xfId="0" applyNumberFormat="1" applyFont="1" applyFill="1" applyBorder="1" applyAlignment="1">
      <alignment/>
    </xf>
    <xf numFmtId="170" fontId="0" fillId="24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0" fillId="24" borderId="49" xfId="0" applyFont="1" applyFill="1" applyBorder="1" applyAlignment="1">
      <alignment/>
    </xf>
    <xf numFmtId="166" fontId="0" fillId="24" borderId="10" xfId="0" applyNumberFormat="1" applyFont="1" applyFill="1" applyBorder="1" applyAlignment="1">
      <alignment horizontal="center"/>
    </xf>
    <xf numFmtId="9" fontId="2" fillId="24" borderId="14" xfId="0" applyNumberFormat="1" applyFont="1" applyFill="1" applyBorder="1" applyAlignment="1">
      <alignment/>
    </xf>
    <xf numFmtId="167" fontId="2" fillId="24" borderId="17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9" fontId="18" fillId="24" borderId="12" xfId="0" applyNumberFormat="1" applyFont="1" applyFill="1" applyBorder="1" applyAlignment="1">
      <alignment horizontal="center"/>
    </xf>
    <xf numFmtId="182" fontId="18" fillId="24" borderId="10" xfId="0" applyNumberFormat="1" applyFont="1" applyFill="1" applyBorder="1" applyAlignment="1">
      <alignment horizontal="right"/>
    </xf>
    <xf numFmtId="9" fontId="18" fillId="24" borderId="10" xfId="85" applyFont="1" applyFill="1" applyBorder="1" applyAlignment="1">
      <alignment horizontal="center"/>
    </xf>
    <xf numFmtId="10" fontId="18" fillId="24" borderId="10" xfId="85" applyNumberFormat="1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9" fontId="0" fillId="2" borderId="10" xfId="89" applyNumberFormat="1" applyFont="1" applyFill="1" applyBorder="1" applyAlignment="1">
      <alignment horizontal="center" vertical="center"/>
    </xf>
    <xf numFmtId="9" fontId="0" fillId="2" borderId="10" xfId="89" applyNumberFormat="1" applyFont="1" applyFill="1" applyBorder="1" applyAlignment="1">
      <alignment horizontal="center" vertical="center"/>
    </xf>
    <xf numFmtId="9" fontId="0" fillId="2" borderId="11" xfId="89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0" fillId="2" borderId="27" xfId="0" applyFill="1" applyBorder="1" applyAlignment="1">
      <alignment/>
    </xf>
    <xf numFmtId="43" fontId="0" fillId="2" borderId="10" xfId="0" applyNumberFormat="1" applyFill="1" applyBorder="1" applyAlignment="1">
      <alignment/>
    </xf>
    <xf numFmtId="43" fontId="0" fillId="2" borderId="19" xfId="0" applyNumberFormat="1" applyFill="1" applyBorder="1" applyAlignment="1">
      <alignment/>
    </xf>
    <xf numFmtId="0" fontId="2" fillId="2" borderId="49" xfId="0" applyFont="1" applyFill="1" applyBorder="1" applyAlignment="1">
      <alignment horizontal="center"/>
    </xf>
    <xf numFmtId="9" fontId="0" fillId="2" borderId="10" xfId="89" applyFont="1" applyFill="1" applyBorder="1" applyAlignment="1">
      <alignment horizontal="center" vertical="center"/>
    </xf>
    <xf numFmtId="170" fontId="0" fillId="2" borderId="10" xfId="0" applyNumberFormat="1" applyFont="1" applyFill="1" applyBorder="1" applyAlignment="1">
      <alignment horizontal="center"/>
    </xf>
    <xf numFmtId="170" fontId="0" fillId="2" borderId="51" xfId="0" applyNumberFormat="1" applyFont="1" applyFill="1" applyBorder="1" applyAlignment="1">
      <alignment/>
    </xf>
    <xf numFmtId="170" fontId="0" fillId="2" borderId="31" xfId="0" applyNumberFormat="1" applyFont="1" applyFill="1" applyBorder="1" applyAlignment="1">
      <alignment horizontal="center"/>
    </xf>
    <xf numFmtId="170" fontId="0" fillId="2" borderId="11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10" fontId="2" fillId="2" borderId="19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47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2" fillId="2" borderId="3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7" fillId="2" borderId="29" xfId="0" applyFont="1" applyFill="1" applyBorder="1" applyAlignment="1">
      <alignment/>
    </xf>
    <xf numFmtId="0" fontId="7" fillId="2" borderId="29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2" borderId="44" xfId="0" applyFill="1" applyBorder="1" applyAlignment="1">
      <alignment/>
    </xf>
    <xf numFmtId="0" fontId="13" fillId="2" borderId="4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74" fontId="2" fillId="24" borderId="10" xfId="0" applyNumberFormat="1" applyFont="1" applyFill="1" applyBorder="1" applyAlignment="1">
      <alignment/>
    </xf>
    <xf numFmtId="167" fontId="2" fillId="2" borderId="15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2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/>
    </xf>
    <xf numFmtId="0" fontId="0" fillId="24" borderId="24" xfId="0" applyFill="1" applyBorder="1" applyAlignment="1">
      <alignment/>
    </xf>
    <xf numFmtId="170" fontId="1" fillId="24" borderId="25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2" borderId="44" xfId="0" applyFill="1" applyBorder="1" applyAlignment="1">
      <alignment horizontal="right"/>
    </xf>
    <xf numFmtId="0" fontId="7" fillId="2" borderId="26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0" fillId="24" borderId="53" xfId="0" applyFont="1" applyFill="1" applyBorder="1" applyAlignment="1">
      <alignment vertical="center"/>
    </xf>
    <xf numFmtId="4" fontId="0" fillId="24" borderId="54" xfId="0" applyNumberFormat="1" applyFont="1" applyFill="1" applyBorder="1" applyAlignment="1">
      <alignment horizontal="right" vertical="center"/>
    </xf>
    <xf numFmtId="170" fontId="2" fillId="24" borderId="54" xfId="0" applyNumberFormat="1" applyFont="1" applyFill="1" applyBorder="1" applyAlignment="1">
      <alignment horizontal="right" vertical="center"/>
    </xf>
    <xf numFmtId="0" fontId="2" fillId="2" borderId="47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55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9" fontId="0" fillId="24" borderId="10" xfId="85" applyNumberFormat="1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10" fontId="2" fillId="24" borderId="10" xfId="89" applyNumberFormat="1" applyFont="1" applyFill="1" applyBorder="1" applyAlignment="1">
      <alignment horizontal="center"/>
    </xf>
    <xf numFmtId="9" fontId="2" fillId="24" borderId="10" xfId="0" applyNumberFormat="1" applyFont="1" applyFill="1" applyBorder="1" applyAlignment="1">
      <alignment horizontal="center"/>
    </xf>
    <xf numFmtId="9" fontId="6" fillId="24" borderId="12" xfId="0" applyNumberFormat="1" applyFont="1" applyFill="1" applyBorder="1" applyAlignment="1">
      <alignment horizontal="center"/>
    </xf>
    <xf numFmtId="182" fontId="6" fillId="24" borderId="10" xfId="0" applyNumberFormat="1" applyFont="1" applyFill="1" applyBorder="1" applyAlignment="1">
      <alignment horizontal="right"/>
    </xf>
    <xf numFmtId="9" fontId="6" fillId="24" borderId="10" xfId="85" applyFont="1" applyFill="1" applyBorder="1" applyAlignment="1">
      <alignment horizontal="center"/>
    </xf>
    <xf numFmtId="10" fontId="6" fillId="24" borderId="10" xfId="85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74" fontId="2" fillId="24" borderId="16" xfId="0" applyNumberFormat="1" applyFont="1" applyFill="1" applyBorder="1" applyAlignment="1">
      <alignment horizontal="center"/>
    </xf>
    <xf numFmtId="174" fontId="2" fillId="24" borderId="60" xfId="0" applyNumberFormat="1" applyFont="1" applyFill="1" applyBorder="1" applyAlignment="1">
      <alignment horizontal="center"/>
    </xf>
    <xf numFmtId="174" fontId="2" fillId="24" borderId="42" xfId="0" applyNumberFormat="1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170" fontId="0" fillId="24" borderId="15" xfId="0" applyNumberFormat="1" applyFill="1" applyBorder="1" applyAlignment="1">
      <alignment/>
    </xf>
    <xf numFmtId="10" fontId="0" fillId="24" borderId="19" xfId="0" applyNumberFormat="1" applyFill="1" applyBorder="1" applyAlignment="1">
      <alignment/>
    </xf>
    <xf numFmtId="174" fontId="6" fillId="24" borderId="10" xfId="0" applyNumberFormat="1" applyFont="1" applyFill="1" applyBorder="1" applyAlignment="1">
      <alignment horizontal="right"/>
    </xf>
    <xf numFmtId="0" fontId="0" fillId="24" borderId="11" xfId="0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178" fontId="2" fillId="2" borderId="27" xfId="80" applyNumberFormat="1" applyFont="1" applyFill="1" applyBorder="1" applyAlignment="1">
      <alignment horizontal="center" vertical="center" wrapText="1"/>
    </xf>
    <xf numFmtId="178" fontId="2" fillId="2" borderId="19" xfId="8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179" fontId="2" fillId="2" borderId="63" xfId="0" applyNumberFormat="1" applyFont="1" applyFill="1" applyBorder="1" applyAlignment="1">
      <alignment horizontal="center"/>
    </xf>
    <xf numFmtId="179" fontId="2" fillId="2" borderId="64" xfId="0" applyNumberFormat="1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0" fillId="24" borderId="61" xfId="0" applyFill="1" applyBorder="1" applyAlignment="1">
      <alignment/>
    </xf>
    <xf numFmtId="0" fontId="0" fillId="24" borderId="68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1" fontId="0" fillId="24" borderId="20" xfId="0" applyNumberFormat="1" applyFont="1" applyFill="1" applyBorder="1" applyAlignment="1">
      <alignment/>
    </xf>
    <xf numFmtId="0" fontId="0" fillId="24" borderId="65" xfId="0" applyFill="1" applyBorder="1" applyAlignment="1">
      <alignment/>
    </xf>
    <xf numFmtId="0" fontId="0" fillId="24" borderId="54" xfId="0" applyFill="1" applyBorder="1" applyAlignment="1">
      <alignment/>
    </xf>
    <xf numFmtId="0" fontId="0" fillId="24" borderId="46" xfId="0" applyFill="1" applyBorder="1" applyAlignment="1">
      <alignment/>
    </xf>
    <xf numFmtId="209" fontId="0" fillId="24" borderId="46" xfId="39" applyNumberFormat="1" applyFont="1" applyFill="1" applyBorder="1" applyAlignment="1">
      <alignment/>
    </xf>
    <xf numFmtId="0" fontId="2" fillId="2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/>
    </xf>
    <xf numFmtId="0" fontId="2" fillId="24" borderId="47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26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7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7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left"/>
    </xf>
    <xf numFmtId="0" fontId="7" fillId="24" borderId="35" xfId="0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7" fillId="2" borderId="47" xfId="83" applyFont="1" applyFill="1" applyBorder="1" applyAlignment="1">
      <alignment horizontal="center"/>
      <protection/>
    </xf>
    <xf numFmtId="0" fontId="7" fillId="2" borderId="29" xfId="83" applyFont="1" applyFill="1" applyBorder="1" applyAlignment="1">
      <alignment horizontal="center"/>
      <protection/>
    </xf>
    <xf numFmtId="0" fontId="2" fillId="24" borderId="24" xfId="0" applyFont="1" applyFill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Alignment="1">
      <alignment wrapText="1"/>
    </xf>
    <xf numFmtId="0" fontId="2" fillId="24" borderId="49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10" fontId="2" fillId="24" borderId="15" xfId="0" applyNumberFormat="1" applyFont="1" applyFill="1" applyBorder="1" applyAlignment="1">
      <alignment horizontal="center"/>
    </xf>
    <xf numFmtId="10" fontId="2" fillId="24" borderId="17" xfId="0" applyNumberFormat="1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0" fontId="2" fillId="24" borderId="45" xfId="0" applyFont="1" applyFill="1" applyBorder="1" applyAlignment="1">
      <alignment horizontal="center"/>
    </xf>
    <xf numFmtId="0" fontId="2" fillId="24" borderId="52" xfId="0" applyFont="1" applyFill="1" applyBorder="1" applyAlignment="1">
      <alignment horizontal="center"/>
    </xf>
    <xf numFmtId="181" fontId="10" fillId="24" borderId="75" xfId="0" applyNumberFormat="1" applyFont="1" applyFill="1" applyBorder="1" applyAlignment="1">
      <alignment horizontal="center" vertical="center"/>
    </xf>
    <xf numFmtId="181" fontId="10" fillId="24" borderId="45" xfId="0" applyNumberFormat="1" applyFont="1" applyFill="1" applyBorder="1" applyAlignment="1">
      <alignment horizontal="center" vertical="center"/>
    </xf>
    <xf numFmtId="181" fontId="10" fillId="24" borderId="52" xfId="0" applyNumberFormat="1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" fillId="24" borderId="74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left"/>
    </xf>
    <xf numFmtId="0" fontId="7" fillId="24" borderId="35" xfId="0" applyFont="1" applyFill="1" applyBorder="1" applyAlignment="1">
      <alignment horizontal="left"/>
    </xf>
    <xf numFmtId="0" fontId="7" fillId="24" borderId="36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181" fontId="16" fillId="24" borderId="75" xfId="0" applyNumberFormat="1" applyFont="1" applyFill="1" applyBorder="1" applyAlignment="1">
      <alignment horizontal="center" vertical="center"/>
    </xf>
    <xf numFmtId="181" fontId="16" fillId="24" borderId="45" xfId="0" applyNumberFormat="1" applyFont="1" applyFill="1" applyBorder="1" applyAlignment="1">
      <alignment horizontal="center" vertical="center"/>
    </xf>
    <xf numFmtId="181" fontId="16" fillId="24" borderId="52" xfId="0" applyNumberFormat="1" applyFont="1" applyFill="1" applyBorder="1" applyAlignment="1">
      <alignment horizontal="center" vertical="center"/>
    </xf>
    <xf numFmtId="10" fontId="2" fillId="24" borderId="18" xfId="85" applyNumberFormat="1" applyFont="1" applyFill="1" applyBorder="1" applyAlignment="1">
      <alignment horizontal="center"/>
    </xf>
    <xf numFmtId="10" fontId="2" fillId="24" borderId="67" xfId="85" applyNumberFormat="1" applyFont="1" applyFill="1" applyBorder="1" applyAlignment="1">
      <alignment horizontal="center"/>
    </xf>
    <xf numFmtId="0" fontId="2" fillId="24" borderId="50" xfId="0" applyFont="1" applyFill="1" applyBorder="1" applyAlignment="1">
      <alignment horizontal="center"/>
    </xf>
    <xf numFmtId="0" fontId="2" fillId="24" borderId="67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3" fillId="24" borderId="45" xfId="0" applyFont="1" applyFill="1" applyBorder="1" applyAlignment="1">
      <alignment horizontal="center"/>
    </xf>
    <xf numFmtId="0" fontId="13" fillId="24" borderId="52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76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4" borderId="60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2" fontId="0" fillId="24" borderId="56" xfId="0" applyNumberFormat="1" applyFill="1" applyBorder="1" applyAlignment="1">
      <alignment horizontal="center"/>
    </xf>
    <xf numFmtId="2" fontId="0" fillId="24" borderId="67" xfId="0" applyNumberFormat="1" applyFill="1" applyBorder="1" applyAlignment="1">
      <alignment horizontal="center"/>
    </xf>
    <xf numFmtId="2" fontId="0" fillId="24" borderId="60" xfId="0" applyNumberFormat="1" applyFill="1" applyBorder="1" applyAlignment="1">
      <alignment horizontal="center"/>
    </xf>
    <xf numFmtId="2" fontId="0" fillId="24" borderId="42" xfId="0" applyNumberFormat="1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67" xfId="0" applyFill="1" applyBorder="1" applyAlignment="1">
      <alignment horizontal="center"/>
    </xf>
  </cellXfs>
  <cellStyles count="9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Millares 10" xfId="52"/>
    <cellStyle name="Millares 11" xfId="53"/>
    <cellStyle name="Millares 12" xfId="54"/>
    <cellStyle name="Millares 13" xfId="55"/>
    <cellStyle name="Millares 14" xfId="56"/>
    <cellStyle name="Millares 15" xfId="57"/>
    <cellStyle name="Millares 2" xfId="58"/>
    <cellStyle name="Millares 2 10" xfId="59"/>
    <cellStyle name="Millares 2 11" xfId="60"/>
    <cellStyle name="Millares 2 12" xfId="61"/>
    <cellStyle name="Millares 2 13" xfId="62"/>
    <cellStyle name="Millares 2 14" xfId="63"/>
    <cellStyle name="Millares 2 15" xfId="64"/>
    <cellStyle name="Millares 2 2" xfId="65"/>
    <cellStyle name="Millares 2 3" xfId="66"/>
    <cellStyle name="Millares 2 4" xfId="67"/>
    <cellStyle name="Millares 2 5" xfId="68"/>
    <cellStyle name="Millares 2 6" xfId="69"/>
    <cellStyle name="Millares 2 7" xfId="70"/>
    <cellStyle name="Millares 2 8" xfId="71"/>
    <cellStyle name="Millares 2 9" xfId="72"/>
    <cellStyle name="Millares 3" xfId="73"/>
    <cellStyle name="Millares 4" xfId="74"/>
    <cellStyle name="Millares 5" xfId="75"/>
    <cellStyle name="Millares 6" xfId="76"/>
    <cellStyle name="Millares 7" xfId="77"/>
    <cellStyle name="Millares 8" xfId="78"/>
    <cellStyle name="Millares 9" xfId="79"/>
    <cellStyle name="Moneda 2" xfId="80"/>
    <cellStyle name="Neutral" xfId="81"/>
    <cellStyle name="Normal 2" xfId="82"/>
    <cellStyle name="Normal 3" xfId="83"/>
    <cellStyle name="Notas" xfId="84"/>
    <cellStyle name="Percent" xfId="85"/>
    <cellStyle name="Porcentual 10" xfId="86"/>
    <cellStyle name="Porcentual 11" xfId="87"/>
    <cellStyle name="Porcentual 12" xfId="88"/>
    <cellStyle name="Porcentual 13" xfId="89"/>
    <cellStyle name="Porcentual 14" xfId="90"/>
    <cellStyle name="Porcentual 15" xfId="91"/>
    <cellStyle name="Porcentual 2" xfId="92"/>
    <cellStyle name="Porcentual 3" xfId="93"/>
    <cellStyle name="Porcentual 4" xfId="94"/>
    <cellStyle name="Porcentual 5" xfId="95"/>
    <cellStyle name="Porcentual 6" xfId="96"/>
    <cellStyle name="Porcentual 7" xfId="97"/>
    <cellStyle name="Porcentual 8" xfId="98"/>
    <cellStyle name="Porcentual 9" xfId="99"/>
    <cellStyle name="Salida" xfId="100"/>
    <cellStyle name="Texto de advertencia" xfId="101"/>
    <cellStyle name="Texto explicativo" xfId="102"/>
    <cellStyle name="Título" xfId="103"/>
    <cellStyle name="Título 1" xfId="104"/>
    <cellStyle name="Título 2" xfId="105"/>
    <cellStyle name="Título 3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SENSIBILIDAD CON RESPECTO  AL COSTO</a:t>
            </a:r>
          </a:p>
        </c:rich>
      </c:tx>
      <c:layout>
        <c:manualLayout>
          <c:xMode val="factor"/>
          <c:yMode val="factor"/>
          <c:x val="-0.002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825"/>
          <c:w val="0.8245"/>
          <c:h val="0.7455"/>
        </c:manualLayout>
      </c:layout>
      <c:lineChart>
        <c:grouping val="standard"/>
        <c:varyColors val="0"/>
        <c:ser>
          <c:idx val="0"/>
          <c:order val="0"/>
          <c:tx>
            <c:v>COSTOS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'Analisis de Sensibilidad'!$B$31:$B$36</c:f>
              <c:numCache>
                <c:ptCount val="6"/>
                <c:pt idx="0">
                  <c:v>-0.05</c:v>
                </c:pt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</c:numCache>
            </c:numRef>
          </c:cat>
          <c:val>
            <c:numRef>
              <c:f>'Analisis de Sensibilidad'!$C$31:$C$36</c:f>
              <c:numCache>
                <c:ptCount val="6"/>
                <c:pt idx="0">
                  <c:v>9079.26</c:v>
                </c:pt>
                <c:pt idx="1">
                  <c:v>6621.29</c:v>
                </c:pt>
                <c:pt idx="2">
                  <c:v>3998.54</c:v>
                </c:pt>
                <c:pt idx="3">
                  <c:v>1186.13</c:v>
                </c:pt>
                <c:pt idx="4">
                  <c:v>-1832.97</c:v>
                </c:pt>
                <c:pt idx="5">
                  <c:v>-5076.94</c:v>
                </c:pt>
              </c:numCache>
            </c:numRef>
          </c:val>
          <c:smooth val="0"/>
        </c:ser>
        <c:marker val="1"/>
        <c:axId val="50916976"/>
        <c:axId val="55599601"/>
      </c:lineChart>
      <c:catAx>
        <c:axId val="5091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VARIACION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9601"/>
        <c:crosses val="autoZero"/>
        <c:auto val="1"/>
        <c:lblOffset val="100"/>
        <c:tickLblSkip val="1"/>
        <c:noMultiLvlLbl val="0"/>
      </c:catAx>
      <c:valAx>
        <c:axId val="5559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6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50925"/>
          <c:w val="0.12375"/>
          <c:h val="0.0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5"/>
          <c:y val="0.1825"/>
          <c:w val="0.80425"/>
          <c:h val="0.77875"/>
        </c:manualLayout>
      </c:layout>
      <c:lineChart>
        <c:grouping val="stacked"/>
        <c:varyColors val="0"/>
        <c:ser>
          <c:idx val="0"/>
          <c:order val="0"/>
          <c:tx>
            <c:v>Ingresos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'Analisis de Sensibilidad'!$B$5:$B$9</c:f>
              <c:numCach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cat>
          <c:val>
            <c:numRef>
              <c:f>'Analisis de Sensibilidad'!$C$5:$C$9</c:f>
              <c:numCache>
                <c:ptCount val="5"/>
                <c:pt idx="0">
                  <c:v>-5006.14</c:v>
                </c:pt>
                <c:pt idx="1">
                  <c:v>778.65</c:v>
                </c:pt>
                <c:pt idx="2">
                  <c:v>6563.44</c:v>
                </c:pt>
                <c:pt idx="3">
                  <c:v>12348.23</c:v>
                </c:pt>
                <c:pt idx="4">
                  <c:v>18133.02</c:v>
                </c:pt>
              </c:numCache>
            </c:numRef>
          </c:val>
          <c:smooth val="0"/>
        </c:ser>
        <c:marker val="1"/>
        <c:axId val="30634362"/>
        <c:axId val="7273803"/>
      </c:line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34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25"/>
          <c:y val="0.527"/>
          <c:w val="0.14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28575</xdr:rowOff>
    </xdr:from>
    <xdr:to>
      <xdr:col>12</xdr:col>
      <xdr:colOff>9525</xdr:colOff>
      <xdr:row>54</xdr:row>
      <xdr:rowOff>133350</xdr:rowOff>
    </xdr:to>
    <xdr:graphicFrame>
      <xdr:nvGraphicFramePr>
        <xdr:cNvPr id="1" name="5 Gráfico"/>
        <xdr:cNvGraphicFramePr/>
      </xdr:nvGraphicFramePr>
      <xdr:xfrm>
        <a:off x="1447800" y="7286625"/>
        <a:ext cx="72485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714375</xdr:colOff>
      <xdr:row>10</xdr:row>
      <xdr:rowOff>161925</xdr:rowOff>
    </xdr:from>
    <xdr:to>
      <xdr:col>13</xdr:col>
      <xdr:colOff>285750</xdr:colOff>
      <xdr:row>25</xdr:row>
      <xdr:rowOff>47625</xdr:rowOff>
    </xdr:to>
    <xdr:graphicFrame>
      <xdr:nvGraphicFramePr>
        <xdr:cNvPr id="2" name="6 Gráfico"/>
        <xdr:cNvGraphicFramePr/>
      </xdr:nvGraphicFramePr>
      <xdr:xfrm>
        <a:off x="4105275" y="2076450"/>
        <a:ext cx="5629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TESIS%20ESPOL\Ciruelight%20Estudio%20Financiero%20arregl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Inversiones"/>
      <sheetName val="Depreciaciones"/>
      <sheetName val="Inversion"/>
      <sheetName val="Amortizacion"/>
      <sheetName val="Ingresos"/>
      <sheetName val="Egresos (Costos &amp; Gastos)"/>
      <sheetName val="Precio"/>
      <sheetName val="Capital de Trabajo"/>
      <sheetName val="Punto de Equilibrio"/>
      <sheetName val="Riesgo Pais"/>
      <sheetName val="P&amp;G Anual"/>
      <sheetName val="Flujo de Caja &amp; PayBack"/>
      <sheetName val="Flujo de Sensibilidad"/>
      <sheetName val="Análisis de Sensibilidad"/>
      <sheetName val="Datos de Indicadores"/>
    </sheetNames>
    <sheetDataSet>
      <sheetData sheetId="11">
        <row r="6">
          <cell r="C6" t="str">
            <v>Año 0</v>
          </cell>
          <cell r="D6" t="str">
            <v>Año 1</v>
          </cell>
          <cell r="E6" t="str">
            <v>Año 2</v>
          </cell>
          <cell r="F6" t="str">
            <v>Año 3</v>
          </cell>
          <cell r="G6" t="str">
            <v>Año 4</v>
          </cell>
          <cell r="H6" t="str">
            <v>Año 5</v>
          </cell>
        </row>
        <row r="7">
          <cell r="B7" t="str">
            <v>Ingresos </v>
          </cell>
        </row>
        <row r="9">
          <cell r="B9" t="str">
            <v>Margen bruto</v>
          </cell>
        </row>
        <row r="10">
          <cell r="B10" t="str">
            <v>Gastos Operativos</v>
          </cell>
        </row>
        <row r="11">
          <cell r="B11" t="str">
            <v>Gastos Administrativos</v>
          </cell>
        </row>
        <row r="13">
          <cell r="B13" t="str">
            <v> Depreciación</v>
          </cell>
        </row>
        <row r="16">
          <cell r="B16" t="str">
            <v>Gastos de Oficina</v>
          </cell>
        </row>
        <row r="17">
          <cell r="B17" t="str">
            <v>Gastos Basicos</v>
          </cell>
        </row>
        <row r="20">
          <cell r="B20" t="str">
            <v>Utilidad Operacional</v>
          </cell>
        </row>
        <row r="21">
          <cell r="B21" t="str">
            <v>Gastos Financieros</v>
          </cell>
        </row>
        <row r="22">
          <cell r="B22" t="str">
            <v>Intereses sobre prestamos</v>
          </cell>
        </row>
        <row r="23">
          <cell r="B23" t="str">
            <v>Utilidad antes de Partcip. e Impto.</v>
          </cell>
        </row>
        <row r="24">
          <cell r="B24" t="str">
            <v>15% Participación de Trabajadores</v>
          </cell>
        </row>
        <row r="25">
          <cell r="B25" t="str">
            <v>Utilidad antes Impto a la Renta</v>
          </cell>
        </row>
        <row r="27">
          <cell r="B27" t="str">
            <v>Utilidad Neta</v>
          </cell>
        </row>
        <row r="47">
          <cell r="C47" t="str">
            <v>Año 0</v>
          </cell>
          <cell r="D47" t="str">
            <v>Año 1</v>
          </cell>
          <cell r="E47" t="str">
            <v>Año 2</v>
          </cell>
          <cell r="F47" t="str">
            <v>Año 3</v>
          </cell>
          <cell r="G47" t="str">
            <v>Año 4</v>
          </cell>
          <cell r="H47" t="str">
            <v>Año 5</v>
          </cell>
        </row>
        <row r="61">
          <cell r="D61" t="str">
            <v>Rentabilidad del Activo</v>
          </cell>
        </row>
        <row r="62">
          <cell r="D62" t="str">
            <v>Rf</v>
          </cell>
          <cell r="F62" t="str">
            <v>Tasa de Descuento de Bonos del Tesosoro EEUU para plazo similar al proyecto: Yahoo Finanzas</v>
          </cell>
        </row>
        <row r="63">
          <cell r="D63" t="str">
            <v>Rm</v>
          </cell>
          <cell r="F63" t="str">
            <v>Rentabilidad del Mercado</v>
          </cell>
        </row>
        <row r="64">
          <cell r="D64" t="str">
            <v>Beta</v>
          </cell>
        </row>
        <row r="65">
          <cell r="D65" t="str">
            <v>Riesgo País</v>
          </cell>
          <cell r="F65" t="str">
            <v>Banco Central del Ecuador</v>
          </cell>
        </row>
        <row r="66">
          <cell r="D66" t="str">
            <v>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zoomScale="90" zoomScaleNormal="90" zoomScalePageLayoutView="0" workbookViewId="0" topLeftCell="A10">
      <selection activeCell="D35" sqref="D35"/>
    </sheetView>
  </sheetViews>
  <sheetFormatPr defaultColWidth="11.421875" defaultRowHeight="15"/>
  <cols>
    <col min="1" max="1" width="28.8515625" style="0" customWidth="1"/>
    <col min="2" max="3" width="11.421875" style="0" customWidth="1"/>
    <col min="4" max="4" width="13.28125" style="0" customWidth="1"/>
    <col min="5" max="5" width="11.421875" style="0" customWidth="1"/>
    <col min="6" max="6" width="21.421875" style="0" customWidth="1"/>
  </cols>
  <sheetData>
    <row r="2" ht="15">
      <c r="D2" s="1" t="s">
        <v>15</v>
      </c>
    </row>
    <row r="3" ht="15.75" thickBot="1"/>
    <row r="4" spans="1:10" ht="15">
      <c r="A4" s="500" t="s">
        <v>16</v>
      </c>
      <c r="B4" s="486"/>
      <c r="C4" s="486"/>
      <c r="D4" s="487"/>
      <c r="E4" s="14"/>
      <c r="F4" s="14"/>
      <c r="G4" s="14"/>
      <c r="H4" s="14"/>
      <c r="I4" s="14"/>
      <c r="J4" s="14"/>
    </row>
    <row r="5" spans="1:10" ht="15">
      <c r="A5" s="521" t="s">
        <v>0</v>
      </c>
      <c r="B5" s="523"/>
      <c r="C5" s="524"/>
      <c r="D5" s="527" t="s">
        <v>3</v>
      </c>
      <c r="E5" s="14"/>
      <c r="F5" s="14"/>
      <c r="G5" s="14"/>
      <c r="H5" s="14"/>
      <c r="I5" s="14"/>
      <c r="J5" s="14"/>
    </row>
    <row r="6" spans="1:10" ht="5.25" customHeight="1">
      <c r="A6" s="522"/>
      <c r="B6" s="525"/>
      <c r="C6" s="526"/>
      <c r="D6" s="527"/>
      <c r="E6" s="14"/>
      <c r="F6" s="14"/>
      <c r="G6" s="14"/>
      <c r="H6" s="14"/>
      <c r="I6" s="14"/>
      <c r="J6" s="14"/>
    </row>
    <row r="7" spans="1:10" ht="15">
      <c r="A7" s="488" t="s">
        <v>113</v>
      </c>
      <c r="B7" s="489"/>
      <c r="C7" s="490"/>
      <c r="D7" s="89">
        <f>+-('Capital de Trabajo'!C17)</f>
        <v>544.56</v>
      </c>
      <c r="E7" s="14"/>
      <c r="F7" s="73"/>
      <c r="G7" s="14"/>
      <c r="H7" s="14"/>
      <c r="I7" s="14"/>
      <c r="J7" s="14"/>
    </row>
    <row r="8" spans="1:10" ht="15.75" thickBot="1">
      <c r="A8" s="474" t="s">
        <v>4</v>
      </c>
      <c r="B8" s="475"/>
      <c r="C8" s="476"/>
      <c r="D8" s="90">
        <f>SUM(D7)</f>
        <v>544.56</v>
      </c>
      <c r="E8" s="14"/>
      <c r="F8" s="14"/>
      <c r="G8" s="14"/>
      <c r="H8" s="14"/>
      <c r="I8" s="14"/>
      <c r="J8" s="14"/>
    </row>
    <row r="9" spans="1:10" ht="1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5">
      <c r="A13" s="14"/>
      <c r="B13" s="14"/>
      <c r="C13" s="14"/>
      <c r="D13" s="91" t="s">
        <v>116</v>
      </c>
      <c r="E13" s="14"/>
      <c r="F13" s="14"/>
      <c r="G13" s="14"/>
      <c r="H13" s="14"/>
      <c r="I13" s="14"/>
      <c r="J13" s="14"/>
    </row>
    <row r="14" spans="1:10" ht="15.75" thickBot="1">
      <c r="A14" s="16"/>
      <c r="B14" s="16"/>
      <c r="C14" s="16"/>
      <c r="D14" s="16"/>
      <c r="E14" s="14"/>
      <c r="F14" s="14"/>
      <c r="G14" s="14"/>
      <c r="H14" s="14"/>
      <c r="I14" s="14"/>
      <c r="J14" s="14"/>
    </row>
    <row r="15" spans="1:10" ht="15">
      <c r="A15" s="507"/>
      <c r="B15" s="507"/>
      <c r="C15" s="507"/>
      <c r="D15" s="507"/>
      <c r="E15" s="14"/>
      <c r="F15" s="515" t="s">
        <v>11</v>
      </c>
      <c r="G15" s="516"/>
      <c r="H15" s="516"/>
      <c r="I15" s="517"/>
      <c r="J15" s="14"/>
    </row>
    <row r="16" spans="1:10" ht="15">
      <c r="A16" s="477"/>
      <c r="B16" s="477"/>
      <c r="C16" s="477"/>
      <c r="D16" s="477"/>
      <c r="E16" s="14"/>
      <c r="F16" s="521" t="s">
        <v>0</v>
      </c>
      <c r="G16" s="519" t="s">
        <v>1</v>
      </c>
      <c r="H16" s="519" t="s">
        <v>2</v>
      </c>
      <c r="I16" s="530" t="s">
        <v>3</v>
      </c>
      <c r="J16" s="14"/>
    </row>
    <row r="17" spans="1:10" ht="15">
      <c r="A17" s="477"/>
      <c r="B17" s="477"/>
      <c r="C17" s="477"/>
      <c r="D17" s="477"/>
      <c r="E17" s="16"/>
      <c r="F17" s="522"/>
      <c r="G17" s="520"/>
      <c r="H17" s="520"/>
      <c r="I17" s="531"/>
      <c r="J17" s="14"/>
    </row>
    <row r="18" spans="1:10" ht="15">
      <c r="A18" s="30"/>
      <c r="B18" s="31"/>
      <c r="C18" s="27"/>
      <c r="D18" s="27"/>
      <c r="E18" s="27"/>
      <c r="F18" s="23" t="s">
        <v>12</v>
      </c>
      <c r="G18" s="24">
        <v>16</v>
      </c>
      <c r="H18" s="25">
        <v>90</v>
      </c>
      <c r="I18" s="26">
        <f>+H18*G18</f>
        <v>1440</v>
      </c>
      <c r="J18" s="14"/>
    </row>
    <row r="19" spans="1:10" ht="15">
      <c r="A19" s="507"/>
      <c r="B19" s="507"/>
      <c r="C19" s="507"/>
      <c r="D19" s="33"/>
      <c r="E19" s="16"/>
      <c r="F19" s="23" t="s">
        <v>13</v>
      </c>
      <c r="G19" s="24">
        <v>1</v>
      </c>
      <c r="H19" s="25">
        <v>11.5</v>
      </c>
      <c r="I19" s="26">
        <f>+H19*G19</f>
        <v>11.5</v>
      </c>
      <c r="J19" s="14"/>
    </row>
    <row r="20" spans="1:10" ht="15">
      <c r="A20" s="32"/>
      <c r="B20" s="32"/>
      <c r="C20" s="92"/>
      <c r="D20" s="92"/>
      <c r="E20" s="16"/>
      <c r="F20" s="23" t="s">
        <v>14</v>
      </c>
      <c r="G20" s="24">
        <v>36</v>
      </c>
      <c r="H20" s="25">
        <v>9</v>
      </c>
      <c r="I20" s="26">
        <f>+H20*G20</f>
        <v>324</v>
      </c>
      <c r="J20" s="14"/>
    </row>
    <row r="21" spans="1:10" ht="15.75" thickBot="1">
      <c r="A21" s="14"/>
      <c r="B21" s="14"/>
      <c r="C21" s="14"/>
      <c r="D21" s="14"/>
      <c r="E21" s="16"/>
      <c r="F21" s="23"/>
      <c r="G21" s="24"/>
      <c r="H21" s="25"/>
      <c r="I21" s="26">
        <f>+H21*G21</f>
        <v>0</v>
      </c>
      <c r="J21" s="14"/>
    </row>
    <row r="22" spans="1:12" ht="15.75" thickBot="1">
      <c r="A22" s="515" t="s">
        <v>7</v>
      </c>
      <c r="B22" s="516"/>
      <c r="C22" s="516"/>
      <c r="D22" s="517"/>
      <c r="E22" s="14"/>
      <c r="F22" s="528" t="s">
        <v>4</v>
      </c>
      <c r="G22" s="529"/>
      <c r="H22" s="93">
        <f>SUM(H18:H21)</f>
        <v>110.5</v>
      </c>
      <c r="I22" s="94">
        <f>SUM(I18:I21)</f>
        <v>1775.5</v>
      </c>
      <c r="J22" s="14"/>
      <c r="L22" s="8"/>
    </row>
    <row r="23" spans="1:10" ht="15">
      <c r="A23" s="521" t="s">
        <v>0</v>
      </c>
      <c r="B23" s="519" t="s">
        <v>1</v>
      </c>
      <c r="C23" s="519" t="s">
        <v>5</v>
      </c>
      <c r="D23" s="530" t="s">
        <v>6</v>
      </c>
      <c r="E23" s="14"/>
      <c r="F23" s="14"/>
      <c r="G23" s="14"/>
      <c r="H23" s="14"/>
      <c r="I23" s="14"/>
      <c r="J23" s="14"/>
    </row>
    <row r="24" spans="1:10" ht="15.75" thickBot="1">
      <c r="A24" s="522"/>
      <c r="B24" s="520"/>
      <c r="C24" s="520"/>
      <c r="D24" s="531"/>
      <c r="E24" s="14"/>
      <c r="F24" s="14"/>
      <c r="G24" s="14"/>
      <c r="H24" s="14"/>
      <c r="I24" s="14"/>
      <c r="J24" s="14"/>
    </row>
    <row r="25" spans="1:10" ht="15">
      <c r="A25" s="95" t="s">
        <v>131</v>
      </c>
      <c r="B25" s="96">
        <v>1</v>
      </c>
      <c r="C25" s="97"/>
      <c r="D25" s="98">
        <f>+C25</f>
        <v>0</v>
      </c>
      <c r="E25" s="14"/>
      <c r="F25" s="515" t="s">
        <v>26</v>
      </c>
      <c r="G25" s="516"/>
      <c r="H25" s="516"/>
      <c r="I25" s="517"/>
      <c r="J25" s="14"/>
    </row>
    <row r="26" spans="1:10" ht="15.75" thickBot="1">
      <c r="A26" s="528" t="s">
        <v>4</v>
      </c>
      <c r="B26" s="529"/>
      <c r="C26" s="99">
        <f>+C25</f>
        <v>0</v>
      </c>
      <c r="D26" s="100">
        <f>+D25</f>
        <v>0</v>
      </c>
      <c r="E26" s="14"/>
      <c r="F26" s="521" t="s">
        <v>0</v>
      </c>
      <c r="G26" s="519" t="s">
        <v>1</v>
      </c>
      <c r="H26" s="519" t="s">
        <v>2</v>
      </c>
      <c r="I26" s="530" t="s">
        <v>3</v>
      </c>
      <c r="J26" s="14"/>
    </row>
    <row r="27" spans="1:10" ht="15">
      <c r="A27" s="14"/>
      <c r="B27" s="14"/>
      <c r="C27" s="14"/>
      <c r="D27" s="14"/>
      <c r="E27" s="14"/>
      <c r="F27" s="522"/>
      <c r="G27" s="520"/>
      <c r="H27" s="520"/>
      <c r="I27" s="531"/>
      <c r="J27" s="14"/>
    </row>
    <row r="28" spans="1:10" ht="15">
      <c r="A28" s="14"/>
      <c r="B28" s="14"/>
      <c r="C28" s="14"/>
      <c r="D28" s="14"/>
      <c r="E28" s="14"/>
      <c r="F28" s="23" t="s">
        <v>117</v>
      </c>
      <c r="G28" s="24">
        <v>2</v>
      </c>
      <c r="H28" s="21">
        <v>279</v>
      </c>
      <c r="I28" s="22">
        <f>+H28*G28</f>
        <v>558</v>
      </c>
      <c r="J28" s="14"/>
    </row>
    <row r="29" spans="1:10" ht="15">
      <c r="A29" s="518" t="s">
        <v>8</v>
      </c>
      <c r="B29" s="518"/>
      <c r="C29" s="518"/>
      <c r="D29" s="518"/>
      <c r="E29" s="14"/>
      <c r="F29" s="23"/>
      <c r="G29" s="24"/>
      <c r="H29" s="21"/>
      <c r="I29" s="22"/>
      <c r="J29" s="14"/>
    </row>
    <row r="30" spans="1:10" ht="15.75" thickBot="1">
      <c r="A30" s="532" t="s">
        <v>0</v>
      </c>
      <c r="B30" s="532" t="s">
        <v>1</v>
      </c>
      <c r="C30" s="532" t="s">
        <v>2</v>
      </c>
      <c r="D30" s="532" t="s">
        <v>3</v>
      </c>
      <c r="E30" s="14"/>
      <c r="F30" s="528" t="s">
        <v>4</v>
      </c>
      <c r="G30" s="529"/>
      <c r="H30" s="99">
        <f>SUM(H28:H29)</f>
        <v>279</v>
      </c>
      <c r="I30" s="100">
        <f>SUM(I28:I29)</f>
        <v>558</v>
      </c>
      <c r="J30" s="14"/>
    </row>
    <row r="31" spans="1:10" ht="15">
      <c r="A31" s="532"/>
      <c r="B31" s="532"/>
      <c r="C31" s="532"/>
      <c r="D31" s="532"/>
      <c r="E31" s="14"/>
      <c r="F31" s="16"/>
      <c r="G31" s="28"/>
      <c r="H31" s="29"/>
      <c r="I31" s="29"/>
      <c r="J31" s="14"/>
    </row>
    <row r="32" spans="1:10" ht="15">
      <c r="A32" s="21" t="s">
        <v>9</v>
      </c>
      <c r="B32" s="20">
        <v>16</v>
      </c>
      <c r="C32" s="21">
        <v>479</v>
      </c>
      <c r="D32" s="21">
        <f>+C32*B32</f>
        <v>7664</v>
      </c>
      <c r="E32" s="101"/>
      <c r="F32" s="16"/>
      <c r="G32" s="28"/>
      <c r="H32" s="29"/>
      <c r="I32" s="29"/>
      <c r="J32" s="14"/>
    </row>
    <row r="33" spans="1:10" ht="15">
      <c r="A33" s="21" t="s">
        <v>10</v>
      </c>
      <c r="B33" s="20">
        <v>1</v>
      </c>
      <c r="C33" s="21">
        <v>105.96</v>
      </c>
      <c r="D33" s="21">
        <f>+C33*B33</f>
        <v>105.96</v>
      </c>
      <c r="E33" s="14"/>
      <c r="F33" s="14"/>
      <c r="G33" s="14"/>
      <c r="H33" s="14"/>
      <c r="I33" s="14"/>
      <c r="J33" s="14"/>
    </row>
    <row r="34" spans="1:10" ht="15">
      <c r="A34" s="21" t="s">
        <v>247</v>
      </c>
      <c r="B34" s="25">
        <v>1</v>
      </c>
      <c r="C34" s="25">
        <v>800</v>
      </c>
      <c r="D34" s="25">
        <f>B34*C34</f>
        <v>800</v>
      </c>
      <c r="E34" s="14"/>
      <c r="F34" s="14"/>
      <c r="G34" s="14"/>
      <c r="H34" s="14"/>
      <c r="I34" s="14"/>
      <c r="J34" s="14"/>
    </row>
    <row r="35" spans="1:10" ht="15">
      <c r="A35" s="21" t="s">
        <v>293</v>
      </c>
      <c r="B35" s="25">
        <v>10</v>
      </c>
      <c r="C35" s="25">
        <v>41.6</v>
      </c>
      <c r="D35" s="25">
        <f>B35*C35</f>
        <v>416</v>
      </c>
      <c r="E35" s="14"/>
      <c r="F35" s="14"/>
      <c r="G35" s="14"/>
      <c r="H35" s="14"/>
      <c r="I35" s="14"/>
      <c r="J35" s="14"/>
    </row>
    <row r="36" spans="1:10" ht="15">
      <c r="A36" s="518" t="s">
        <v>4</v>
      </c>
      <c r="B36" s="518"/>
      <c r="C36" s="404">
        <f>SUM(C32:C34)</f>
        <v>1384.96</v>
      </c>
      <c r="D36" s="404">
        <f>SUM(D32:D35)</f>
        <v>8985.96</v>
      </c>
      <c r="E36" s="14"/>
      <c r="F36" s="14"/>
      <c r="G36" s="14"/>
      <c r="H36" s="14"/>
      <c r="I36" s="14"/>
      <c r="J36" s="14"/>
    </row>
    <row r="37" spans="1:10" ht="1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">
      <c r="A38" s="14"/>
      <c r="B38" s="14">
        <v>10</v>
      </c>
      <c r="C38" s="14" t="s">
        <v>301</v>
      </c>
      <c r="D38" s="14"/>
      <c r="E38" s="14"/>
      <c r="F38" s="14"/>
      <c r="G38" s="14"/>
      <c r="H38" s="14"/>
      <c r="I38" s="14"/>
      <c r="J38" s="14"/>
    </row>
    <row r="39" spans="1:10" ht="15.7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">
      <c r="A40" s="14"/>
      <c r="B40" s="14"/>
      <c r="C40" s="14"/>
      <c r="D40" s="512" t="s">
        <v>18</v>
      </c>
      <c r="E40" s="513"/>
      <c r="F40" s="514"/>
      <c r="G40" s="14"/>
      <c r="H40" s="14"/>
      <c r="I40" s="14"/>
      <c r="J40" s="14"/>
    </row>
    <row r="41" spans="1:10" ht="15">
      <c r="A41" s="14"/>
      <c r="B41" s="14"/>
      <c r="C41" s="14"/>
      <c r="D41" s="508" t="s">
        <v>113</v>
      </c>
      <c r="E41" s="509"/>
      <c r="F41" s="102">
        <f>+Inversion!B7</f>
        <v>544.56</v>
      </c>
      <c r="G41" s="14"/>
      <c r="H41" s="14"/>
      <c r="I41" s="14"/>
      <c r="J41" s="14"/>
    </row>
    <row r="42" spans="1:10" ht="15">
      <c r="A42" s="14"/>
      <c r="B42" s="14"/>
      <c r="C42" s="14"/>
      <c r="D42" s="508" t="s">
        <v>115</v>
      </c>
      <c r="E42" s="509"/>
      <c r="F42" s="102">
        <f>+Inversion!B14</f>
        <v>11319.46</v>
      </c>
      <c r="G42" s="14"/>
      <c r="H42" s="14"/>
      <c r="I42" s="14"/>
      <c r="J42" s="14"/>
    </row>
    <row r="43" spans="1:10" ht="15.75" thickBot="1">
      <c r="A43" s="14"/>
      <c r="B43" s="14"/>
      <c r="C43" s="14"/>
      <c r="D43" s="510" t="s">
        <v>4</v>
      </c>
      <c r="E43" s="511"/>
      <c r="F43" s="103">
        <f>SUM(F41:F42)</f>
        <v>11864.019999999999</v>
      </c>
      <c r="G43" s="14"/>
      <c r="H43" s="14"/>
      <c r="I43" s="14"/>
      <c r="J43" s="14"/>
    </row>
  </sheetData>
  <sheetProtection/>
  <mergeCells count="39">
    <mergeCell ref="A4:D4"/>
    <mergeCell ref="A7:C7"/>
    <mergeCell ref="A8:C8"/>
    <mergeCell ref="B23:B24"/>
    <mergeCell ref="D23:D24"/>
    <mergeCell ref="A15:D15"/>
    <mergeCell ref="A16:A17"/>
    <mergeCell ref="B16:B17"/>
    <mergeCell ref="C16:C17"/>
    <mergeCell ref="D16:D17"/>
    <mergeCell ref="I26:I27"/>
    <mergeCell ref="A36:B36"/>
    <mergeCell ref="A30:A31"/>
    <mergeCell ref="B30:B31"/>
    <mergeCell ref="C30:C31"/>
    <mergeCell ref="H26:H27"/>
    <mergeCell ref="F30:G30"/>
    <mergeCell ref="F26:F27"/>
    <mergeCell ref="D30:D31"/>
    <mergeCell ref="A26:B26"/>
    <mergeCell ref="A5:C6"/>
    <mergeCell ref="D5:D6"/>
    <mergeCell ref="G26:G27"/>
    <mergeCell ref="F22:G22"/>
    <mergeCell ref="F15:I15"/>
    <mergeCell ref="F16:F17"/>
    <mergeCell ref="G16:G17"/>
    <mergeCell ref="H16:H17"/>
    <mergeCell ref="I16:I17"/>
    <mergeCell ref="F25:I25"/>
    <mergeCell ref="A19:C19"/>
    <mergeCell ref="D42:E42"/>
    <mergeCell ref="D43:E43"/>
    <mergeCell ref="D40:F40"/>
    <mergeCell ref="D41:E41"/>
    <mergeCell ref="A22:D22"/>
    <mergeCell ref="A29:D29"/>
    <mergeCell ref="C23:C24"/>
    <mergeCell ref="A23:A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75"/>
  <sheetViews>
    <sheetView zoomScale="75" zoomScaleNormal="75" zoomScalePageLayoutView="0" workbookViewId="0" topLeftCell="A1">
      <selection activeCell="E12" sqref="E12"/>
    </sheetView>
  </sheetViews>
  <sheetFormatPr defaultColWidth="11.421875" defaultRowHeight="15"/>
  <cols>
    <col min="1" max="1" width="11.421875" style="0" customWidth="1"/>
    <col min="2" max="2" width="35.28125" style="0" bestFit="1" customWidth="1"/>
    <col min="3" max="3" width="13.7109375" style="0" bestFit="1" customWidth="1"/>
    <col min="4" max="4" width="14.28125" style="0" bestFit="1" customWidth="1"/>
    <col min="5" max="5" width="14.28125" style="0" customWidth="1"/>
    <col min="6" max="8" width="13.00390625" style="0" bestFit="1" customWidth="1"/>
  </cols>
  <sheetData>
    <row r="2" ht="21.75" customHeight="1" thickBot="1"/>
    <row r="3" spans="1:11" ht="15" customHeight="1" thickBot="1">
      <c r="A3" s="14"/>
      <c r="B3" s="188"/>
      <c r="C3" s="188"/>
      <c r="D3" s="188"/>
      <c r="E3" s="188"/>
      <c r="F3" s="604" t="s">
        <v>132</v>
      </c>
      <c r="G3" s="606"/>
      <c r="H3" s="196">
        <f>'Perdidas y Ganancias'!H3</f>
        <v>0.0005</v>
      </c>
      <c r="I3" s="14"/>
      <c r="J3" s="14"/>
      <c r="K3" s="14"/>
    </row>
    <row r="4" spans="1:11" ht="3.75" customHeight="1" thickBot="1">
      <c r="A4" s="14"/>
      <c r="B4" s="188"/>
      <c r="C4" s="188"/>
      <c r="D4" s="188"/>
      <c r="E4" s="188"/>
      <c r="F4" s="188"/>
      <c r="G4" s="188"/>
      <c r="H4" s="188"/>
      <c r="I4" s="14"/>
      <c r="J4" s="14"/>
      <c r="K4" s="14"/>
    </row>
    <row r="5" spans="1:11" ht="15.75" thickBot="1">
      <c r="A5" s="14"/>
      <c r="B5" s="604" t="s">
        <v>160</v>
      </c>
      <c r="C5" s="605"/>
      <c r="D5" s="606"/>
      <c r="E5" s="606"/>
      <c r="F5" s="606"/>
      <c r="G5" s="606"/>
      <c r="H5" s="607"/>
      <c r="I5" s="14"/>
      <c r="J5" s="14"/>
      <c r="K5" s="14"/>
    </row>
    <row r="6" spans="1:11" ht="4.5" customHeight="1" thickBot="1">
      <c r="A6" s="14"/>
      <c r="B6" s="188"/>
      <c r="C6" s="188"/>
      <c r="D6" s="188"/>
      <c r="E6" s="188"/>
      <c r="F6" s="188"/>
      <c r="G6" s="188"/>
      <c r="H6" s="188"/>
      <c r="I6" s="14"/>
      <c r="J6" s="14"/>
      <c r="K6" s="14"/>
    </row>
    <row r="7" spans="1:11" ht="15">
      <c r="A7" s="14"/>
      <c r="B7" s="393" t="s">
        <v>0</v>
      </c>
      <c r="C7" s="394" t="s">
        <v>133</v>
      </c>
      <c r="D7" s="394" t="s">
        <v>134</v>
      </c>
      <c r="E7" s="394" t="s">
        <v>135</v>
      </c>
      <c r="F7" s="394" t="s">
        <v>136</v>
      </c>
      <c r="G7" s="394" t="s">
        <v>137</v>
      </c>
      <c r="H7" s="395" t="s">
        <v>138</v>
      </c>
      <c r="I7" s="14"/>
      <c r="J7" s="14"/>
      <c r="K7" s="14"/>
    </row>
    <row r="8" spans="1:11" ht="15">
      <c r="A8" s="14"/>
      <c r="B8" s="208" t="s">
        <v>139</v>
      </c>
      <c r="C8" s="209"/>
      <c r="D8" s="210">
        <f>+Ingresos!C17</f>
        <v>19969</v>
      </c>
      <c r="E8" s="210">
        <f>+$D$8*$H$3+D8</f>
        <v>19978.9845</v>
      </c>
      <c r="F8" s="210">
        <f>+$D$8*$H$3+E8</f>
        <v>19988.968999999997</v>
      </c>
      <c r="G8" s="210">
        <f>+$D$8*$H$3+F8</f>
        <v>19998.953499999996</v>
      </c>
      <c r="H8" s="211">
        <f>+$D$8*$H$3+G8</f>
        <v>20008.937999999995</v>
      </c>
      <c r="I8" s="14"/>
      <c r="J8" s="14"/>
      <c r="K8" s="14"/>
    </row>
    <row r="9" spans="1:11" ht="15">
      <c r="A9" s="14"/>
      <c r="B9" s="208" t="s">
        <v>140</v>
      </c>
      <c r="C9" s="209"/>
      <c r="D9" s="210">
        <v>0</v>
      </c>
      <c r="E9" s="210"/>
      <c r="F9" s="210">
        <f>+$D$9*$H$3+E9</f>
        <v>0</v>
      </c>
      <c r="G9" s="210">
        <f>+$D$9*$H$3+F9</f>
        <v>0</v>
      </c>
      <c r="H9" s="211">
        <f>+$D$9*$H$3+G9</f>
        <v>0</v>
      </c>
      <c r="I9" s="14"/>
      <c r="J9" s="14"/>
      <c r="K9" s="14"/>
    </row>
    <row r="10" spans="1:11" ht="15">
      <c r="A10" s="14"/>
      <c r="B10" s="208" t="s">
        <v>141</v>
      </c>
      <c r="C10" s="209"/>
      <c r="D10" s="210">
        <f>+D8-D9</f>
        <v>19969</v>
      </c>
      <c r="E10" s="210">
        <f>+E8-E9</f>
        <v>19978.9845</v>
      </c>
      <c r="F10" s="210">
        <f>+F8-F9</f>
        <v>19988.968999999997</v>
      </c>
      <c r="G10" s="210">
        <f>+G8-G9</f>
        <v>19998.953499999996</v>
      </c>
      <c r="H10" s="211">
        <f>+H8-H9</f>
        <v>20008.937999999995</v>
      </c>
      <c r="I10" s="14"/>
      <c r="J10" s="14"/>
      <c r="K10" s="14"/>
    </row>
    <row r="11" spans="1:11" ht="15">
      <c r="A11" s="14"/>
      <c r="B11" s="308" t="s">
        <v>76</v>
      </c>
      <c r="C11" s="223"/>
      <c r="D11" s="203"/>
      <c r="E11" s="203"/>
      <c r="F11" s="203"/>
      <c r="G11" s="203"/>
      <c r="H11" s="309"/>
      <c r="I11" s="14"/>
      <c r="J11" s="14"/>
      <c r="K11" s="14"/>
    </row>
    <row r="12" spans="1:11" ht="15">
      <c r="A12" s="14"/>
      <c r="B12" s="310" t="s">
        <v>142</v>
      </c>
      <c r="C12" s="311"/>
      <c r="D12" s="210">
        <f>'Perdidas y Ganancias'!D12</f>
        <v>6277.2</v>
      </c>
      <c r="E12" s="210">
        <f>'Perdidas y Ganancias'!E12</f>
        <v>6677.2</v>
      </c>
      <c r="F12" s="210">
        <f>'Perdidas y Ganancias'!F12</f>
        <v>6677.2</v>
      </c>
      <c r="G12" s="210">
        <f>'Perdidas y Ganancias'!G12</f>
        <v>6677.2</v>
      </c>
      <c r="H12" s="210">
        <f>'Perdidas y Ganancias'!H12</f>
        <v>6677.2</v>
      </c>
      <c r="I12" s="14"/>
      <c r="J12" s="14"/>
      <c r="K12" s="14"/>
    </row>
    <row r="13" spans="1:11" ht="15">
      <c r="A13" s="14"/>
      <c r="B13" s="310" t="s">
        <v>143</v>
      </c>
      <c r="C13" s="311"/>
      <c r="D13" s="210">
        <f>Depreciaciones!$D$10</f>
        <v>3228.67</v>
      </c>
      <c r="E13" s="210">
        <f>Depreciaciones!$D$10</f>
        <v>3228.67</v>
      </c>
      <c r="F13" s="210">
        <f>Depreciaciones!$D$10</f>
        <v>3228.67</v>
      </c>
      <c r="G13" s="210">
        <f>Depreciaciones!$D$10</f>
        <v>3228.67</v>
      </c>
      <c r="H13" s="210">
        <f>Depreciaciones!$D$10</f>
        <v>3228.67</v>
      </c>
      <c r="I13" s="14"/>
      <c r="J13" s="14"/>
      <c r="K13" s="14"/>
    </row>
    <row r="14" spans="1:11" ht="15">
      <c r="A14" s="14"/>
      <c r="B14" s="310" t="s">
        <v>162</v>
      </c>
      <c r="C14" s="311"/>
      <c r="D14" s="210">
        <f>+'Egresos (costos y gastos)'!$F$55</f>
        <v>187</v>
      </c>
      <c r="E14" s="210">
        <f>+'Egresos (costos y gastos)'!$F$55</f>
        <v>187</v>
      </c>
      <c r="F14" s="210">
        <f>+'Egresos (costos y gastos)'!$F$55</f>
        <v>187</v>
      </c>
      <c r="G14" s="210">
        <f>+'Egresos (costos y gastos)'!$F$55</f>
        <v>187</v>
      </c>
      <c r="H14" s="211">
        <f>+'Egresos (costos y gastos)'!$F$55</f>
        <v>187</v>
      </c>
      <c r="I14" s="14"/>
      <c r="J14" s="14"/>
      <c r="K14" s="14"/>
    </row>
    <row r="15" spans="1:11" ht="15">
      <c r="A15" s="14"/>
      <c r="B15" s="310" t="s">
        <v>74</v>
      </c>
      <c r="C15" s="311"/>
      <c r="D15" s="210">
        <f>+'Egresos (costos y gastos)'!$D$28</f>
        <v>4080</v>
      </c>
      <c r="E15" s="210">
        <f>+'Egresos (costos y gastos)'!$D$28</f>
        <v>4080</v>
      </c>
      <c r="F15" s="210">
        <f>+'Egresos (costos y gastos)'!$D$28</f>
        <v>4080</v>
      </c>
      <c r="G15" s="210">
        <f>+'Egresos (costos y gastos)'!$D$28</f>
        <v>4080</v>
      </c>
      <c r="H15" s="211">
        <f>+'Egresos (costos y gastos)'!$D$28</f>
        <v>4080</v>
      </c>
      <c r="I15" s="14"/>
      <c r="J15" s="14"/>
      <c r="K15" s="14"/>
    </row>
    <row r="16" spans="1:11" ht="15">
      <c r="A16" s="14"/>
      <c r="B16" s="310" t="s">
        <v>265</v>
      </c>
      <c r="C16" s="311"/>
      <c r="D16" s="210">
        <f>+'Egresos (costos y gastos)'!$D$36</f>
        <v>5586</v>
      </c>
      <c r="E16" s="210">
        <f>+'Egresos (costos y gastos)'!$D$36</f>
        <v>5586</v>
      </c>
      <c r="F16" s="210">
        <f>+'Egresos (costos y gastos)'!$D$36</f>
        <v>5586</v>
      </c>
      <c r="G16" s="210">
        <f>+'Egresos (costos y gastos)'!$D$36</f>
        <v>5586</v>
      </c>
      <c r="H16" s="211">
        <f>+'Egresos (costos y gastos)'!$D$36</f>
        <v>5586</v>
      </c>
      <c r="I16" s="14"/>
      <c r="J16" s="14"/>
      <c r="K16" s="14"/>
    </row>
    <row r="17" spans="1:11" ht="15">
      <c r="A17" s="14"/>
      <c r="B17" s="310" t="s">
        <v>145</v>
      </c>
      <c r="C17" s="311"/>
      <c r="D17" s="210">
        <f>SUM(D12:D16)</f>
        <v>19358.87</v>
      </c>
      <c r="E17" s="210">
        <f>SUM(E12:E16)</f>
        <v>19758.87</v>
      </c>
      <c r="F17" s="210">
        <f>SUM(F12:F16)</f>
        <v>19758.87</v>
      </c>
      <c r="G17" s="210">
        <f>SUM(G12:G16)</f>
        <v>19758.87</v>
      </c>
      <c r="H17" s="211">
        <f>SUM(H12:H16)</f>
        <v>19758.87</v>
      </c>
      <c r="I17" s="14"/>
      <c r="J17" s="14"/>
      <c r="K17" s="14"/>
    </row>
    <row r="18" spans="1:11" ht="15">
      <c r="A18" s="14"/>
      <c r="B18" s="310" t="s">
        <v>146</v>
      </c>
      <c r="C18" s="311"/>
      <c r="D18" s="210">
        <f>+D10-D17</f>
        <v>610.130000000001</v>
      </c>
      <c r="E18" s="210">
        <f>+E10-E17</f>
        <v>220.11449999999968</v>
      </c>
      <c r="F18" s="210">
        <f>+F10-F17</f>
        <v>230.09899999999834</v>
      </c>
      <c r="G18" s="210">
        <f>+G10-G17</f>
        <v>240.083499999997</v>
      </c>
      <c r="H18" s="211">
        <f>+H10-H17</f>
        <v>250.06799999999566</v>
      </c>
      <c r="I18" s="14"/>
      <c r="J18" s="14"/>
      <c r="K18" s="14"/>
    </row>
    <row r="19" spans="1:11" ht="15">
      <c r="A19" s="14"/>
      <c r="B19" s="318" t="s">
        <v>147</v>
      </c>
      <c r="C19" s="313"/>
      <c r="D19" s="319"/>
      <c r="E19" s="319"/>
      <c r="F19" s="319"/>
      <c r="G19" s="319"/>
      <c r="H19" s="320"/>
      <c r="I19" s="14"/>
      <c r="J19" s="14"/>
      <c r="K19" s="14"/>
    </row>
    <row r="20" spans="1:11" ht="15">
      <c r="A20" s="14"/>
      <c r="B20" s="310" t="s">
        <v>149</v>
      </c>
      <c r="C20" s="311"/>
      <c r="D20" s="210">
        <f>+D18</f>
        <v>610.130000000001</v>
      </c>
      <c r="E20" s="210">
        <f>+E18</f>
        <v>220.11449999999968</v>
      </c>
      <c r="F20" s="210">
        <f>+F18</f>
        <v>230.09899999999834</v>
      </c>
      <c r="G20" s="210">
        <f>+G18</f>
        <v>240.083499999997</v>
      </c>
      <c r="H20" s="210">
        <f>+H18</f>
        <v>250.06799999999566</v>
      </c>
      <c r="I20" s="14"/>
      <c r="J20" s="14"/>
      <c r="K20" s="14"/>
    </row>
    <row r="21" spans="1:11" ht="15">
      <c r="A21" s="14"/>
      <c r="B21" s="208" t="s">
        <v>150</v>
      </c>
      <c r="C21" s="312"/>
      <c r="D21" s="217">
        <f>+D20*0.15</f>
        <v>91.51950000000015</v>
      </c>
      <c r="E21" s="217">
        <f>+E20*0.15</f>
        <v>33.01717499999995</v>
      </c>
      <c r="F21" s="217">
        <f>+F20*0.15</f>
        <v>34.51484999999975</v>
      </c>
      <c r="G21" s="217">
        <f>+G20*0.15</f>
        <v>36.01252499999955</v>
      </c>
      <c r="H21" s="218">
        <f>+H20*0.15</f>
        <v>37.51019999999935</v>
      </c>
      <c r="I21" s="14"/>
      <c r="J21" s="14"/>
      <c r="K21" s="14"/>
    </row>
    <row r="22" spans="1:11" ht="15">
      <c r="A22" s="14"/>
      <c r="B22" s="310" t="s">
        <v>151</v>
      </c>
      <c r="C22" s="209"/>
      <c r="D22" s="210">
        <f>+D20-D21</f>
        <v>518.6105000000009</v>
      </c>
      <c r="E22" s="210">
        <f>+E20-E21</f>
        <v>187.09732499999973</v>
      </c>
      <c r="F22" s="210">
        <f>+F20-F21</f>
        <v>195.5841499999986</v>
      </c>
      <c r="G22" s="210">
        <f>+G20-G21</f>
        <v>204.07097499999745</v>
      </c>
      <c r="H22" s="211">
        <f>+H20-H21</f>
        <v>212.55779999999632</v>
      </c>
      <c r="I22" s="14"/>
      <c r="J22" s="14"/>
      <c r="K22" s="14"/>
    </row>
    <row r="23" spans="1:11" ht="15">
      <c r="A23" s="14"/>
      <c r="B23" s="208" t="s">
        <v>225</v>
      </c>
      <c r="C23" s="312"/>
      <c r="D23" s="217">
        <f>+D22*0.22</f>
        <v>114.0943100000002</v>
      </c>
      <c r="E23" s="217">
        <f>+E22*0.22</f>
        <v>41.16141149999994</v>
      </c>
      <c r="F23" s="217">
        <f>+F22*0.22</f>
        <v>43.02851299999969</v>
      </c>
      <c r="G23" s="217">
        <f>+G22*0.21</f>
        <v>42.85490474999946</v>
      </c>
      <c r="H23" s="218">
        <f>+H22*0.21</f>
        <v>44.637137999999226</v>
      </c>
      <c r="I23" s="14"/>
      <c r="J23" s="14"/>
      <c r="K23" s="14"/>
    </row>
    <row r="24" spans="1:11" ht="15">
      <c r="A24" s="14"/>
      <c r="B24" s="310" t="s">
        <v>152</v>
      </c>
      <c r="C24" s="311"/>
      <c r="D24" s="210">
        <f>+D22-D23</f>
        <v>404.51619000000073</v>
      </c>
      <c r="E24" s="210">
        <f>+E22-E23</f>
        <v>145.9359134999998</v>
      </c>
      <c r="F24" s="210">
        <f>+F22-F23</f>
        <v>152.5556369999989</v>
      </c>
      <c r="G24" s="210">
        <f>+G22-G23</f>
        <v>161.21607024999798</v>
      </c>
      <c r="H24" s="211">
        <f>+H22-H23</f>
        <v>167.9206619999971</v>
      </c>
      <c r="I24" s="14"/>
      <c r="J24" s="14"/>
      <c r="K24" s="14"/>
    </row>
    <row r="25" spans="1:11" ht="15">
      <c r="A25" s="14"/>
      <c r="B25" s="313"/>
      <c r="C25" s="313"/>
      <c r="D25" s="321"/>
      <c r="E25" s="321"/>
      <c r="F25" s="321"/>
      <c r="G25" s="321"/>
      <c r="H25" s="321"/>
      <c r="I25" s="14"/>
      <c r="J25" s="14"/>
      <c r="K25" s="14"/>
    </row>
    <row r="26" spans="1:11" ht="15">
      <c r="A26" s="14"/>
      <c r="B26" s="209" t="s">
        <v>153</v>
      </c>
      <c r="C26" s="209"/>
      <c r="D26" s="210">
        <f>+D13+0</f>
        <v>3228.67</v>
      </c>
      <c r="E26" s="210">
        <f>+E13+0</f>
        <v>3228.67</v>
      </c>
      <c r="F26" s="210">
        <f>+F13+0</f>
        <v>3228.67</v>
      </c>
      <c r="G26" s="210">
        <f>+G13+0</f>
        <v>3228.67</v>
      </c>
      <c r="H26" s="210">
        <f>+H13+0</f>
        <v>3228.67</v>
      </c>
      <c r="I26" s="14"/>
      <c r="J26" s="14"/>
      <c r="K26" s="14"/>
    </row>
    <row r="27" spans="1:11" ht="15">
      <c r="A27" s="14"/>
      <c r="B27" s="208" t="s">
        <v>166</v>
      </c>
      <c r="C27" s="85"/>
      <c r="D27" s="210">
        <f>+D24+D26</f>
        <v>3633.186190000001</v>
      </c>
      <c r="E27" s="210">
        <f>+E24+E26</f>
        <v>3374.6059135</v>
      </c>
      <c r="F27" s="210">
        <f>+F24+F26</f>
        <v>3381.225636999999</v>
      </c>
      <c r="G27" s="210">
        <f>+G24+G26</f>
        <v>3389.886070249998</v>
      </c>
      <c r="H27" s="210">
        <f>+H24+H26</f>
        <v>3396.5906619999973</v>
      </c>
      <c r="I27" s="14"/>
      <c r="J27" s="14"/>
      <c r="K27" s="14"/>
    </row>
    <row r="28" spans="1:11" ht="15">
      <c r="A28" s="14"/>
      <c r="B28" s="208" t="s">
        <v>154</v>
      </c>
      <c r="C28" s="322">
        <f>-+Inversion!H27</f>
        <v>-11864.019999999999</v>
      </c>
      <c r="D28" s="210"/>
      <c r="E28" s="210"/>
      <c r="F28" s="210"/>
      <c r="G28" s="210"/>
      <c r="H28" s="211"/>
      <c r="I28" s="14"/>
      <c r="J28" s="14"/>
      <c r="K28" s="14"/>
    </row>
    <row r="29" spans="1:11" ht="15">
      <c r="A29" s="14"/>
      <c r="B29" s="208" t="s">
        <v>163</v>
      </c>
      <c r="C29" s="210">
        <f>-+Inversion!B7</f>
        <v>-544.56</v>
      </c>
      <c r="D29" s="210"/>
      <c r="E29" s="210"/>
      <c r="F29" s="210"/>
      <c r="G29" s="210"/>
      <c r="H29" s="211"/>
      <c r="I29" s="14"/>
      <c r="J29" s="14"/>
      <c r="K29" s="14"/>
    </row>
    <row r="30" spans="1:11" ht="15">
      <c r="A30" s="14"/>
      <c r="B30" s="230" t="s">
        <v>130</v>
      </c>
      <c r="C30" s="323"/>
      <c r="D30" s="85"/>
      <c r="E30" s="85"/>
      <c r="F30" s="85"/>
      <c r="G30" s="85"/>
      <c r="H30" s="211">
        <f>+'Flujo de Caja con Deuda'!K24</f>
        <v>10196.964900925352</v>
      </c>
      <c r="I30" s="14"/>
      <c r="J30" s="14"/>
      <c r="K30" s="14"/>
    </row>
    <row r="31" spans="1:11" ht="15">
      <c r="A31" s="14"/>
      <c r="B31" s="230" t="s">
        <v>156</v>
      </c>
      <c r="C31" s="324">
        <f>SUM(C28:C29)</f>
        <v>-12408.579999999998</v>
      </c>
      <c r="D31" s="87">
        <f>D27</f>
        <v>3633.186190000001</v>
      </c>
      <c r="E31" s="87">
        <f>E27</f>
        <v>3374.6059135</v>
      </c>
      <c r="F31" s="87">
        <f>F27</f>
        <v>3381.225636999999</v>
      </c>
      <c r="G31" s="87">
        <f>G27</f>
        <v>3389.886070249998</v>
      </c>
      <c r="H31" s="210">
        <f>+H27+H30</f>
        <v>13593.555562925349</v>
      </c>
      <c r="I31" s="14"/>
      <c r="J31" s="14"/>
      <c r="K31" s="14"/>
    </row>
    <row r="32" spans="1:11" ht="15">
      <c r="A32" s="14"/>
      <c r="B32" s="237" t="s">
        <v>209</v>
      </c>
      <c r="C32" s="325">
        <f>+E73</f>
        <v>0.10139580000000001</v>
      </c>
      <c r="D32" s="326"/>
      <c r="E32" s="326"/>
      <c r="F32" s="326"/>
      <c r="G32" s="326"/>
      <c r="H32" s="326"/>
      <c r="I32" s="14"/>
      <c r="J32" s="14"/>
      <c r="K32" s="14"/>
    </row>
    <row r="33" spans="1:11" ht="15">
      <c r="A33" s="14"/>
      <c r="B33" s="235" t="s">
        <v>158</v>
      </c>
      <c r="C33" s="236">
        <f>+IRR(C31:H31)</f>
        <v>0.2573028867359083</v>
      </c>
      <c r="D33" s="188"/>
      <c r="E33" s="188"/>
      <c r="F33" s="188"/>
      <c r="G33" s="188"/>
      <c r="H33" s="188"/>
      <c r="I33" s="14"/>
      <c r="J33" s="14"/>
      <c r="K33" s="14"/>
    </row>
    <row r="34" spans="1:11" ht="15">
      <c r="A34" s="14"/>
      <c r="B34" s="237" t="s">
        <v>159</v>
      </c>
      <c r="C34" s="327">
        <f>+NPV(C32,D31:H31)+C31</f>
        <v>6893.519422404341</v>
      </c>
      <c r="D34" s="239"/>
      <c r="E34" s="14"/>
      <c r="F34" s="188"/>
      <c r="G34" s="188"/>
      <c r="H34" s="188"/>
      <c r="I34" s="14"/>
      <c r="J34" s="14"/>
      <c r="K34" s="14"/>
    </row>
    <row r="35" spans="1:1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 thickBo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.75" thickBot="1">
      <c r="A38" s="14"/>
      <c r="B38" s="618" t="s">
        <v>167</v>
      </c>
      <c r="C38" s="619"/>
      <c r="D38" s="619"/>
      <c r="E38" s="619"/>
      <c r="F38" s="619"/>
      <c r="G38" s="619"/>
      <c r="H38" s="620"/>
      <c r="I38" s="188"/>
      <c r="J38" s="188"/>
      <c r="K38" s="188"/>
    </row>
    <row r="39" spans="1:11" ht="15.75" thickBot="1">
      <c r="A39" s="14"/>
      <c r="B39" s="197"/>
      <c r="C39" s="197"/>
      <c r="D39" s="197"/>
      <c r="E39" s="197"/>
      <c r="F39" s="197"/>
      <c r="G39" s="197"/>
      <c r="H39" s="197"/>
      <c r="I39" s="188"/>
      <c r="J39" s="188"/>
      <c r="K39" s="188"/>
    </row>
    <row r="40" spans="1:11" ht="15.75" thickBot="1">
      <c r="A40" s="14"/>
      <c r="B40" s="188"/>
      <c r="C40" s="307" t="s">
        <v>133</v>
      </c>
      <c r="D40" s="307" t="s">
        <v>134</v>
      </c>
      <c r="E40" s="307" t="s">
        <v>135</v>
      </c>
      <c r="F40" s="307" t="s">
        <v>136</v>
      </c>
      <c r="G40" s="307" t="s">
        <v>137</v>
      </c>
      <c r="H40" s="328" t="s">
        <v>138</v>
      </c>
      <c r="I40" s="188"/>
      <c r="J40" s="188"/>
      <c r="K40" s="188"/>
    </row>
    <row r="41" spans="1:11" ht="15">
      <c r="A41" s="14"/>
      <c r="B41" s="329" t="s">
        <v>168</v>
      </c>
      <c r="C41" s="330">
        <f aca="true" t="shared" si="0" ref="C41:H41">+C31</f>
        <v>-12408.579999999998</v>
      </c>
      <c r="D41" s="330">
        <f t="shared" si="0"/>
        <v>3633.186190000001</v>
      </c>
      <c r="E41" s="330">
        <f t="shared" si="0"/>
        <v>3374.6059135</v>
      </c>
      <c r="F41" s="330">
        <f t="shared" si="0"/>
        <v>3381.225636999999</v>
      </c>
      <c r="G41" s="330">
        <f t="shared" si="0"/>
        <v>3389.886070249998</v>
      </c>
      <c r="H41" s="330">
        <f t="shared" si="0"/>
        <v>13593.555562925349</v>
      </c>
      <c r="I41" s="247"/>
      <c r="J41" s="247"/>
      <c r="K41" s="247"/>
    </row>
    <row r="42" spans="1:11" ht="15">
      <c r="A42" s="14"/>
      <c r="B42" s="331" t="s">
        <v>169</v>
      </c>
      <c r="C42" s="245">
        <f>C41</f>
        <v>-12408.579999999998</v>
      </c>
      <c r="D42" s="245">
        <f>D41/(1+$C$32)^1</f>
        <v>3298.710772276416</v>
      </c>
      <c r="E42" s="245">
        <f>E41/(1+$C$32)^1</f>
        <v>3063.9357018612204</v>
      </c>
      <c r="F42" s="245">
        <f>F41/(1+$C$32)^1</f>
        <v>3069.946005786475</v>
      </c>
      <c r="G42" s="245">
        <f>G41/(1+$C$32)^1</f>
        <v>3077.8091493085394</v>
      </c>
      <c r="H42" s="245">
        <f>H41/(1+$C$32)^1</f>
        <v>12342.116760319359</v>
      </c>
      <c r="I42" s="247"/>
      <c r="J42" s="247"/>
      <c r="K42" s="247"/>
    </row>
    <row r="43" spans="1:11" ht="15.75" thickBot="1">
      <c r="A43" s="14"/>
      <c r="B43" s="249" t="s">
        <v>170</v>
      </c>
      <c r="C43" s="251">
        <f>C42</f>
        <v>-12408.579999999998</v>
      </c>
      <c r="D43" s="251">
        <f>C43+D42</f>
        <v>-9109.869227723582</v>
      </c>
      <c r="E43" s="251">
        <f>D43+E42</f>
        <v>-6045.933525862361</v>
      </c>
      <c r="F43" s="251">
        <f>E43+F42</f>
        <v>-2975.9875200758866</v>
      </c>
      <c r="G43" s="251">
        <f>F43+G42</f>
        <v>101.82162923265287</v>
      </c>
      <c r="H43" s="252">
        <f>G43+H42</f>
        <v>12443.938389552011</v>
      </c>
      <c r="I43" s="247"/>
      <c r="J43" s="247"/>
      <c r="K43" s="247"/>
    </row>
    <row r="44" spans="1:11" ht="15.75" thickBot="1">
      <c r="A44" s="14"/>
      <c r="B44" s="188"/>
      <c r="C44" s="188"/>
      <c r="D44" s="188"/>
      <c r="E44" s="188"/>
      <c r="F44" s="188"/>
      <c r="G44" s="188"/>
      <c r="H44" s="188"/>
      <c r="I44" s="188"/>
      <c r="J44" s="188"/>
      <c r="K44" s="188"/>
    </row>
    <row r="45" spans="1:11" ht="15.75" thickBot="1">
      <c r="A45" s="14"/>
      <c r="B45" s="188"/>
      <c r="C45" s="188"/>
      <c r="D45" s="188"/>
      <c r="E45" s="332" t="s">
        <v>167</v>
      </c>
      <c r="F45" s="621" t="s">
        <v>243</v>
      </c>
      <c r="G45" s="622"/>
      <c r="H45" s="623"/>
      <c r="I45" s="188"/>
      <c r="J45" s="188"/>
      <c r="K45" s="188"/>
    </row>
    <row r="46" spans="1:11" ht="15">
      <c r="A46" s="14"/>
      <c r="B46" s="188"/>
      <c r="C46" s="188"/>
      <c r="D46" s="188"/>
      <c r="E46" s="188"/>
      <c r="F46" s="188"/>
      <c r="G46" s="188"/>
      <c r="H46" s="188"/>
      <c r="I46" s="188"/>
      <c r="J46" s="188"/>
      <c r="K46" s="188"/>
    </row>
    <row r="47" spans="1:11" ht="15.75" thickBot="1">
      <c r="A47" s="14"/>
      <c r="B47" s="188"/>
      <c r="C47" s="188"/>
      <c r="D47" s="188"/>
      <c r="E47" s="188"/>
      <c r="F47" s="188"/>
      <c r="G47" s="188"/>
      <c r="H47" s="188"/>
      <c r="I47" s="188"/>
      <c r="J47" s="188"/>
      <c r="K47" s="188"/>
    </row>
    <row r="48" spans="1:11" ht="15">
      <c r="A48" s="14"/>
      <c r="B48" s="188"/>
      <c r="C48" s="254"/>
      <c r="D48" s="254"/>
      <c r="E48" s="254"/>
      <c r="F48" s="243" t="s">
        <v>171</v>
      </c>
      <c r="G48" s="333">
        <v>0.6</v>
      </c>
      <c r="H48" s="188"/>
      <c r="I48" s="188"/>
      <c r="J48" s="188"/>
      <c r="K48" s="188"/>
    </row>
    <row r="49" spans="1:11" ht="15.75" thickBot="1">
      <c r="A49" s="14"/>
      <c r="B49" s="188"/>
      <c r="C49" s="257"/>
      <c r="D49" s="254"/>
      <c r="E49" s="254"/>
      <c r="F49" s="249" t="s">
        <v>40</v>
      </c>
      <c r="G49" s="334">
        <v>0.4</v>
      </c>
      <c r="H49" s="188"/>
      <c r="I49" s="188"/>
      <c r="J49" s="188"/>
      <c r="K49" s="188"/>
    </row>
    <row r="50" spans="1:11" ht="15">
      <c r="A50" s="14"/>
      <c r="B50" s="188"/>
      <c r="C50" s="188"/>
      <c r="D50" s="254"/>
      <c r="E50" s="254"/>
      <c r="F50" s="188"/>
      <c r="G50" s="188"/>
      <c r="H50" s="188"/>
      <c r="I50" s="188"/>
      <c r="J50" s="188"/>
      <c r="K50" s="188"/>
    </row>
    <row r="51" spans="1:11" ht="15.75" thickBot="1">
      <c r="A51" s="14"/>
      <c r="B51" s="188"/>
      <c r="C51" s="188"/>
      <c r="D51" s="188"/>
      <c r="E51" s="188"/>
      <c r="F51" s="254"/>
      <c r="G51" s="254"/>
      <c r="H51" s="188"/>
      <c r="I51" s="188"/>
      <c r="J51" s="188"/>
      <c r="K51" s="188"/>
    </row>
    <row r="52" spans="1:11" ht="18.75" thickBot="1">
      <c r="A52" s="14"/>
      <c r="B52" s="188"/>
      <c r="C52" s="188"/>
      <c r="D52" s="602" t="s">
        <v>172</v>
      </c>
      <c r="E52" s="624"/>
      <c r="F52" s="254"/>
      <c r="G52" s="254"/>
      <c r="H52" s="188"/>
      <c r="I52" s="188"/>
      <c r="J52" s="188"/>
      <c r="K52" s="188"/>
    </row>
    <row r="53" spans="1:11" ht="15.75" thickBot="1">
      <c r="A53" s="14"/>
      <c r="B53" s="188"/>
      <c r="C53" s="188"/>
      <c r="D53" s="335"/>
      <c r="E53" s="335"/>
      <c r="F53" s="254"/>
      <c r="G53" s="254"/>
      <c r="H53" s="188"/>
      <c r="I53" s="188"/>
      <c r="J53" s="188"/>
      <c r="K53" s="188"/>
    </row>
    <row r="54" spans="1:11" ht="15">
      <c r="A54" s="14"/>
      <c r="B54" s="188"/>
      <c r="C54" s="188"/>
      <c r="D54" s="625" t="s">
        <v>173</v>
      </c>
      <c r="E54" s="611"/>
      <c r="F54" s="608"/>
      <c r="G54" s="609"/>
      <c r="H54" s="609"/>
      <c r="I54" s="609"/>
      <c r="J54" s="609"/>
      <c r="K54" s="609"/>
    </row>
    <row r="55" spans="1:11" ht="15">
      <c r="A55" s="14"/>
      <c r="B55" s="335"/>
      <c r="C55" s="188"/>
      <c r="D55" s="248" t="s">
        <v>174</v>
      </c>
      <c r="E55" s="161">
        <f>'Flujo de Caja con Deuda'!E58</f>
        <v>0.0461</v>
      </c>
      <c r="F55" s="608" t="s">
        <v>175</v>
      </c>
      <c r="G55" s="609"/>
      <c r="H55" s="609"/>
      <c r="I55" s="609"/>
      <c r="J55" s="609"/>
      <c r="K55" s="609"/>
    </row>
    <row r="56" spans="1:11" ht="15">
      <c r="A56" s="14"/>
      <c r="B56" s="335"/>
      <c r="C56" s="336"/>
      <c r="D56" s="248" t="s">
        <v>176</v>
      </c>
      <c r="E56" s="161">
        <f>'Flujo de Caja con Deuda'!E59</f>
        <v>0.033</v>
      </c>
      <c r="F56" s="254" t="s">
        <v>177</v>
      </c>
      <c r="G56" s="254"/>
      <c r="H56" s="188"/>
      <c r="I56" s="188"/>
      <c r="J56" s="188"/>
      <c r="K56" s="188"/>
    </row>
    <row r="57" spans="1:11" ht="15">
      <c r="A57" s="14"/>
      <c r="B57" s="335"/>
      <c r="C57" s="336"/>
      <c r="D57" s="248" t="s">
        <v>178</v>
      </c>
      <c r="E57" s="162">
        <f>'Indicadores Financieros'!D58</f>
        <v>1.17</v>
      </c>
      <c r="F57" s="254"/>
      <c r="G57" s="254"/>
      <c r="H57" s="188"/>
      <c r="I57" s="188"/>
      <c r="J57" s="188"/>
      <c r="K57" s="188"/>
    </row>
    <row r="58" spans="1:11" ht="15">
      <c r="A58" s="14"/>
      <c r="B58" s="335"/>
      <c r="C58" s="336"/>
      <c r="D58" s="248" t="s">
        <v>179</v>
      </c>
      <c r="E58" s="337">
        <f>'Flujo de Caja con Deuda'!E61</f>
        <v>0.0818</v>
      </c>
      <c r="F58" s="254" t="s">
        <v>180</v>
      </c>
      <c r="G58" s="254"/>
      <c r="H58" s="188"/>
      <c r="I58" s="188"/>
      <c r="J58" s="188"/>
      <c r="K58" s="188"/>
    </row>
    <row r="59" spans="1:11" ht="15.75" thickBot="1">
      <c r="A59" s="14"/>
      <c r="B59" s="188"/>
      <c r="C59" s="336"/>
      <c r="D59" s="249" t="s">
        <v>181</v>
      </c>
      <c r="E59" s="338">
        <f>(E55+(E57*(E56-E55)))</f>
        <v>0.030773000000000002</v>
      </c>
      <c r="F59" s="188"/>
      <c r="G59" s="188"/>
      <c r="H59" s="188"/>
      <c r="I59" s="188"/>
      <c r="J59" s="188"/>
      <c r="K59" s="188"/>
    </row>
    <row r="60" spans="1:11" ht="15">
      <c r="A60" s="14"/>
      <c r="B60" s="188"/>
      <c r="C60" s="336"/>
      <c r="D60" s="254"/>
      <c r="E60" s="188"/>
      <c r="F60" s="188"/>
      <c r="G60" s="188"/>
      <c r="H60" s="188"/>
      <c r="I60" s="188"/>
      <c r="J60" s="188"/>
      <c r="K60" s="188"/>
    </row>
    <row r="61" spans="1:11" ht="15.75" thickBot="1">
      <c r="A61" s="14"/>
      <c r="B61" s="188"/>
      <c r="C61" s="188"/>
      <c r="D61" s="188"/>
      <c r="E61" s="339"/>
      <c r="F61" s="188"/>
      <c r="G61" s="188"/>
      <c r="H61" s="188"/>
      <c r="I61" s="188"/>
      <c r="J61" s="188"/>
      <c r="K61" s="188"/>
    </row>
    <row r="62" spans="1:11" ht="15">
      <c r="A62" s="14"/>
      <c r="B62" s="188"/>
      <c r="C62" s="189" t="s">
        <v>157</v>
      </c>
      <c r="D62" s="610" t="s">
        <v>182</v>
      </c>
      <c r="E62" s="611"/>
      <c r="F62" s="188"/>
      <c r="G62" s="188"/>
      <c r="H62" s="188"/>
      <c r="I62" s="188"/>
      <c r="J62" s="188"/>
      <c r="K62" s="188"/>
    </row>
    <row r="63" spans="1:11" ht="15.75" thickBot="1">
      <c r="A63" s="14"/>
      <c r="B63" s="188"/>
      <c r="C63" s="191" t="s">
        <v>157</v>
      </c>
      <c r="D63" s="612">
        <f>E59+E58</f>
        <v>0.112573</v>
      </c>
      <c r="E63" s="613"/>
      <c r="F63" s="188"/>
      <c r="G63" s="188"/>
      <c r="H63" s="188"/>
      <c r="I63" s="188"/>
      <c r="J63" s="188"/>
      <c r="K63" s="188"/>
    </row>
    <row r="64" spans="1:11" ht="15">
      <c r="A64" s="14"/>
      <c r="B64" s="188"/>
      <c r="C64" s="188"/>
      <c r="D64" s="188"/>
      <c r="E64" s="188"/>
      <c r="F64" s="188"/>
      <c r="G64" s="188"/>
      <c r="H64" s="188"/>
      <c r="I64" s="188"/>
      <c r="J64" s="188"/>
      <c r="K64" s="188"/>
    </row>
    <row r="65" spans="1:11" ht="15.75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">
      <c r="A66" s="14"/>
      <c r="B66" s="14"/>
      <c r="C66" s="14"/>
      <c r="D66" s="614" t="s">
        <v>200</v>
      </c>
      <c r="E66" s="615"/>
      <c r="F66" s="14"/>
      <c r="G66" s="14"/>
      <c r="H66" s="14"/>
      <c r="I66" s="14"/>
      <c r="J66" s="14"/>
      <c r="K66" s="14"/>
    </row>
    <row r="67" spans="1:11" ht="15">
      <c r="A67" s="14"/>
      <c r="B67" s="14"/>
      <c r="C67" s="14"/>
      <c r="D67" s="616" t="s">
        <v>191</v>
      </c>
      <c r="E67" s="617"/>
      <c r="F67" s="14"/>
      <c r="G67" s="14"/>
      <c r="H67" s="14"/>
      <c r="I67" s="14"/>
      <c r="J67" s="14"/>
      <c r="K67" s="14"/>
    </row>
    <row r="68" spans="1:11" ht="15">
      <c r="A68" s="14"/>
      <c r="B68" s="14"/>
      <c r="C68" s="14"/>
      <c r="D68" s="331" t="s">
        <v>201</v>
      </c>
      <c r="E68" s="340">
        <f>+Amortizacion!C5</f>
        <v>0.1085</v>
      </c>
      <c r="F68" s="14"/>
      <c r="G68" s="14"/>
      <c r="H68" s="14"/>
      <c r="I68" s="14"/>
      <c r="J68" s="14"/>
      <c r="K68" s="14"/>
    </row>
    <row r="69" spans="1:11" ht="15">
      <c r="A69" s="14"/>
      <c r="B69" s="14"/>
      <c r="C69" s="14"/>
      <c r="D69" s="331" t="s">
        <v>202</v>
      </c>
      <c r="E69" s="341">
        <v>0.22</v>
      </c>
      <c r="F69" s="14"/>
      <c r="G69" s="14"/>
      <c r="H69" s="14"/>
      <c r="I69" s="14"/>
      <c r="J69" s="14"/>
      <c r="K69" s="14"/>
    </row>
    <row r="70" spans="1:11" ht="15">
      <c r="A70" s="14"/>
      <c r="B70" s="14"/>
      <c r="C70" s="14"/>
      <c r="D70" s="331" t="s">
        <v>232</v>
      </c>
      <c r="E70" s="342">
        <f>'Indicadores Financieros'!E20</f>
        <v>0.39999999999999997</v>
      </c>
      <c r="F70" s="14"/>
      <c r="G70" s="14"/>
      <c r="H70" s="14"/>
      <c r="I70" s="14"/>
      <c r="J70" s="14"/>
      <c r="K70" s="14"/>
    </row>
    <row r="71" spans="1:11" ht="15">
      <c r="A71" s="14"/>
      <c r="B71" s="14"/>
      <c r="C71" s="14"/>
      <c r="D71" s="331" t="s">
        <v>233</v>
      </c>
      <c r="E71" s="342">
        <f>'Indicadores Financieros'!E21</f>
        <v>0.6</v>
      </c>
      <c r="F71" s="14"/>
      <c r="G71" s="14"/>
      <c r="H71" s="14"/>
      <c r="I71" s="14"/>
      <c r="J71" s="14"/>
      <c r="K71" s="14"/>
    </row>
    <row r="72" spans="1:11" ht="15">
      <c r="A72" s="14"/>
      <c r="B72" s="14"/>
      <c r="C72" s="14"/>
      <c r="D72" s="331" t="s">
        <v>197</v>
      </c>
      <c r="E72" s="340">
        <f>+'Indicadores Financieros'!E11</f>
        <v>0.112573</v>
      </c>
      <c r="F72" s="14"/>
      <c r="G72" s="14"/>
      <c r="H72" s="14"/>
      <c r="I72" s="14"/>
      <c r="J72" s="14"/>
      <c r="K72" s="14"/>
    </row>
    <row r="73" spans="1:11" ht="15.75" thickBot="1">
      <c r="A73" s="14"/>
      <c r="B73" s="14"/>
      <c r="C73" s="14"/>
      <c r="D73" s="343" t="s">
        <v>200</v>
      </c>
      <c r="E73" s="344">
        <f>(E68*((1-E69)*E70))+(E72*E71)</f>
        <v>0.10139580000000001</v>
      </c>
      <c r="F73" s="14"/>
      <c r="G73" s="14"/>
      <c r="H73" s="14"/>
      <c r="I73" s="14"/>
      <c r="J73" s="14"/>
      <c r="K73" s="14"/>
    </row>
    <row r="74" spans="1:1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</sheetData>
  <sheetProtection/>
  <mergeCells count="12">
    <mergeCell ref="D67:E67"/>
    <mergeCell ref="F3:G3"/>
    <mergeCell ref="B5:H5"/>
    <mergeCell ref="B38:H38"/>
    <mergeCell ref="F45:H45"/>
    <mergeCell ref="D52:E52"/>
    <mergeCell ref="D54:E54"/>
    <mergeCell ref="F54:K54"/>
    <mergeCell ref="F55:K55"/>
    <mergeCell ref="D62:E62"/>
    <mergeCell ref="D63:E63"/>
    <mergeCell ref="D66:E6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67"/>
  <sheetViews>
    <sheetView zoomScale="73" zoomScaleNormal="73" zoomScalePageLayoutView="0" workbookViewId="0" topLeftCell="A35">
      <selection activeCell="D66" sqref="D66:E66"/>
    </sheetView>
  </sheetViews>
  <sheetFormatPr defaultColWidth="11.421875" defaultRowHeight="15"/>
  <cols>
    <col min="1" max="1" width="11.421875" style="0" customWidth="1"/>
    <col min="2" max="2" width="34.00390625" style="0" customWidth="1"/>
    <col min="3" max="3" width="14.57421875" style="0" customWidth="1"/>
    <col min="4" max="4" width="14.28125" style="0" bestFit="1" customWidth="1"/>
    <col min="5" max="5" width="14.7109375" style="0" customWidth="1"/>
    <col min="6" max="7" width="13.57421875" style="0" bestFit="1" customWidth="1"/>
    <col min="8" max="8" width="14.8515625" style="0" customWidth="1"/>
    <col min="9" max="9" width="11.421875" style="0" customWidth="1"/>
    <col min="10" max="10" width="18.28125" style="0" customWidth="1"/>
    <col min="11" max="11" width="16.8515625" style="0" customWidth="1"/>
    <col min="12" max="12" width="13.8515625" style="0" customWidth="1"/>
    <col min="13" max="13" width="14.421875" style="0" customWidth="1"/>
    <col min="14" max="14" width="13.8515625" style="0" customWidth="1"/>
    <col min="15" max="15" width="14.00390625" style="0" customWidth="1"/>
    <col min="16" max="16" width="14.140625" style="0" customWidth="1"/>
  </cols>
  <sheetData>
    <row r="2" spans="2:16" ht="15.75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5.75" thickBot="1">
      <c r="B3" s="188"/>
      <c r="C3" s="188"/>
      <c r="D3" s="188"/>
      <c r="E3" s="188"/>
      <c r="F3" s="604" t="s">
        <v>132</v>
      </c>
      <c r="G3" s="606"/>
      <c r="H3" s="196">
        <f>'Flujo de Caja sin Deuda'!H3</f>
        <v>0.0005</v>
      </c>
      <c r="I3" s="14"/>
      <c r="J3" s="14"/>
      <c r="K3" s="14"/>
      <c r="L3" s="14"/>
      <c r="M3" s="14"/>
      <c r="N3" s="14"/>
      <c r="O3" s="14"/>
      <c r="P3" s="14"/>
    </row>
    <row r="4" spans="2:16" ht="2.25" customHeight="1" thickBot="1">
      <c r="B4" s="188"/>
      <c r="C4" s="188"/>
      <c r="D4" s="188"/>
      <c r="E4" s="188"/>
      <c r="F4" s="188"/>
      <c r="G4" s="188"/>
      <c r="H4" s="188"/>
      <c r="I4" s="14"/>
      <c r="J4" s="14"/>
      <c r="K4" s="602" t="s">
        <v>102</v>
      </c>
      <c r="L4" s="603"/>
      <c r="M4" s="603"/>
      <c r="N4" s="603"/>
      <c r="O4" s="603"/>
      <c r="P4" s="624"/>
    </row>
    <row r="5" spans="2:16" ht="15.75" thickBot="1">
      <c r="B5" s="604" t="s">
        <v>161</v>
      </c>
      <c r="C5" s="605"/>
      <c r="D5" s="606"/>
      <c r="E5" s="606"/>
      <c r="F5" s="606"/>
      <c r="G5" s="606"/>
      <c r="H5" s="607"/>
      <c r="I5" s="14"/>
      <c r="J5" s="14"/>
      <c r="K5" s="131"/>
      <c r="L5" s="15"/>
      <c r="M5" s="15"/>
      <c r="N5" s="15"/>
      <c r="O5" s="15"/>
      <c r="P5" s="345"/>
    </row>
    <row r="6" spans="2:16" ht="6" customHeight="1" thickBot="1">
      <c r="B6" s="188"/>
      <c r="C6" s="188"/>
      <c r="D6" s="188"/>
      <c r="E6" s="188"/>
      <c r="F6" s="188"/>
      <c r="G6" s="188"/>
      <c r="H6" s="188"/>
      <c r="I6" s="14"/>
      <c r="J6" s="14"/>
      <c r="K6" s="306" t="s">
        <v>0</v>
      </c>
      <c r="L6" s="307" t="s">
        <v>134</v>
      </c>
      <c r="M6" s="307" t="s">
        <v>135</v>
      </c>
      <c r="N6" s="307" t="s">
        <v>136</v>
      </c>
      <c r="O6" s="307" t="s">
        <v>137</v>
      </c>
      <c r="P6" s="328" t="s">
        <v>138</v>
      </c>
    </row>
    <row r="7" spans="2:16" ht="15.75" thickBot="1">
      <c r="B7" s="393" t="s">
        <v>0</v>
      </c>
      <c r="C7" s="394" t="s">
        <v>133</v>
      </c>
      <c r="D7" s="394" t="s">
        <v>134</v>
      </c>
      <c r="E7" s="394" t="s">
        <v>135</v>
      </c>
      <c r="F7" s="394" t="s">
        <v>136</v>
      </c>
      <c r="G7" s="394" t="s">
        <v>137</v>
      </c>
      <c r="H7" s="396" t="s">
        <v>138</v>
      </c>
      <c r="I7" s="14"/>
      <c r="J7" s="14"/>
      <c r="K7" s="219" t="s">
        <v>139</v>
      </c>
      <c r="L7" s="346">
        <f>D8</f>
        <v>19969</v>
      </c>
      <c r="M7" s="346">
        <f>+$D$8*$H$3+L7</f>
        <v>19978.9845</v>
      </c>
      <c r="N7" s="346">
        <f>+$D$8*$H$3+M7</f>
        <v>19988.968999999997</v>
      </c>
      <c r="O7" s="346">
        <f>+$D$8*$H$3+N7</f>
        <v>19998.953499999996</v>
      </c>
      <c r="P7" s="347">
        <f>+$D$8*$H$3+O7</f>
        <v>20008.937999999995</v>
      </c>
    </row>
    <row r="8" spans="2:16" ht="15">
      <c r="B8" s="208" t="s">
        <v>139</v>
      </c>
      <c r="C8" s="209"/>
      <c r="D8" s="210">
        <f>+Ingresos!C17</f>
        <v>19969</v>
      </c>
      <c r="E8" s="210">
        <f>+$D$8*$H$3+D8</f>
        <v>19978.9845</v>
      </c>
      <c r="F8" s="210">
        <f>+$D$8*$H$3+E8</f>
        <v>19988.968999999997</v>
      </c>
      <c r="G8" s="210">
        <f>+$D$8*$H$3+F8</f>
        <v>19998.953499999996</v>
      </c>
      <c r="H8" s="210">
        <f>+$D$8*$H$3+G8</f>
        <v>20008.937999999995</v>
      </c>
      <c r="I8" s="14"/>
      <c r="J8" s="14"/>
      <c r="K8" s="14"/>
      <c r="L8" s="14"/>
      <c r="M8" s="14"/>
      <c r="N8" s="14"/>
      <c r="O8" s="14"/>
      <c r="P8" s="14"/>
    </row>
    <row r="9" spans="2:16" ht="15">
      <c r="B9" s="208" t="s">
        <v>140</v>
      </c>
      <c r="C9" s="209"/>
      <c r="D9" s="210">
        <v>0</v>
      </c>
      <c r="E9" s="210">
        <f>+$D$9*$H$3+D9</f>
        <v>0</v>
      </c>
      <c r="F9" s="210">
        <f>+$D$9*$H$3+E9</f>
        <v>0</v>
      </c>
      <c r="G9" s="210">
        <f>+$D$9*$H$3+F9</f>
        <v>0</v>
      </c>
      <c r="H9" s="210">
        <f>+$D$9*$H$3+G9</f>
        <v>0</v>
      </c>
      <c r="I9" s="14"/>
      <c r="J9" s="14"/>
      <c r="K9" s="348"/>
      <c r="L9" s="14"/>
      <c r="M9" s="14"/>
      <c r="N9" s="14"/>
      <c r="O9" s="14"/>
      <c r="P9" s="14"/>
    </row>
    <row r="10" spans="2:16" ht="15">
      <c r="B10" s="208" t="s">
        <v>141</v>
      </c>
      <c r="C10" s="209"/>
      <c r="D10" s="210">
        <f>+D8-D9</f>
        <v>19969</v>
      </c>
      <c r="E10" s="210">
        <f>+E8-E9</f>
        <v>19978.9845</v>
      </c>
      <c r="F10" s="210">
        <f>+F8-F9</f>
        <v>19988.968999999997</v>
      </c>
      <c r="G10" s="210">
        <f>+G8-G9</f>
        <v>19998.953499999996</v>
      </c>
      <c r="H10" s="210">
        <f>+H8-H9</f>
        <v>20008.937999999995</v>
      </c>
      <c r="I10" s="14"/>
      <c r="J10" s="14"/>
      <c r="K10" s="14"/>
      <c r="L10" s="14"/>
      <c r="M10" s="14"/>
      <c r="N10" s="14"/>
      <c r="O10" s="14"/>
      <c r="P10" s="14"/>
    </row>
    <row r="11" spans="2:16" ht="15">
      <c r="B11" s="308" t="s">
        <v>76</v>
      </c>
      <c r="C11" s="223"/>
      <c r="D11" s="203"/>
      <c r="E11" s="203"/>
      <c r="F11" s="203"/>
      <c r="G11" s="203"/>
      <c r="H11" s="309"/>
      <c r="I11" s="14"/>
      <c r="J11" s="14"/>
      <c r="K11" s="14"/>
      <c r="L11" s="14"/>
      <c r="M11" s="14"/>
      <c r="N11" s="14"/>
      <c r="O11" s="14"/>
      <c r="P11" s="14"/>
    </row>
    <row r="12" spans="2:16" ht="15">
      <c r="B12" s="310" t="s">
        <v>142</v>
      </c>
      <c r="C12" s="311"/>
      <c r="D12" s="210">
        <f>'Flujo de Caja sin Deuda'!D12</f>
        <v>6277.2</v>
      </c>
      <c r="E12" s="210">
        <f>'Flujo de Caja sin Deuda'!E12</f>
        <v>6677.2</v>
      </c>
      <c r="F12" s="210">
        <f>'Flujo de Caja sin Deuda'!F12</f>
        <v>6677.2</v>
      </c>
      <c r="G12" s="210">
        <f>'Flujo de Caja sin Deuda'!G12</f>
        <v>6677.2</v>
      </c>
      <c r="H12" s="210">
        <f>'Flujo de Caja sin Deuda'!H12</f>
        <v>6677.2</v>
      </c>
      <c r="I12" s="14"/>
      <c r="J12" s="14"/>
      <c r="K12" s="14"/>
      <c r="L12" s="14"/>
      <c r="M12" s="14"/>
      <c r="N12" s="14"/>
      <c r="O12" s="14"/>
      <c r="P12" s="14"/>
    </row>
    <row r="13" spans="2:16" ht="15">
      <c r="B13" s="310" t="s">
        <v>143</v>
      </c>
      <c r="C13" s="311"/>
      <c r="D13" s="210">
        <f>Depreciaciones!$D$10</f>
        <v>3228.67</v>
      </c>
      <c r="E13" s="210">
        <f>Depreciaciones!$D$10</f>
        <v>3228.67</v>
      </c>
      <c r="F13" s="210">
        <f>Depreciaciones!$D$10</f>
        <v>3228.67</v>
      </c>
      <c r="G13" s="210">
        <f>Depreciaciones!$D$10</f>
        <v>3228.67</v>
      </c>
      <c r="H13" s="210">
        <f>Depreciaciones!$D$10</f>
        <v>3228.67</v>
      </c>
      <c r="I13" s="14"/>
      <c r="J13" s="14"/>
      <c r="K13" s="14"/>
      <c r="L13" s="14"/>
      <c r="M13" s="14"/>
      <c r="N13" s="14"/>
      <c r="O13" s="14"/>
      <c r="P13" s="14"/>
    </row>
    <row r="14" spans="2:16" ht="15">
      <c r="B14" s="310" t="s">
        <v>162</v>
      </c>
      <c r="C14" s="311"/>
      <c r="D14" s="210">
        <f>+'Egresos (costos y gastos)'!$F$55</f>
        <v>187</v>
      </c>
      <c r="E14" s="210">
        <f>+'Egresos (costos y gastos)'!$F$55</f>
        <v>187</v>
      </c>
      <c r="F14" s="210">
        <f>+'Egresos (costos y gastos)'!$F$55</f>
        <v>187</v>
      </c>
      <c r="G14" s="210">
        <f>+'Egresos (costos y gastos)'!$F$55</f>
        <v>187</v>
      </c>
      <c r="H14" s="210">
        <f>+'Egresos (costos y gastos)'!$F$55</f>
        <v>187</v>
      </c>
      <c r="I14" s="14"/>
      <c r="J14" s="14"/>
      <c r="K14" s="348"/>
      <c r="L14" s="14"/>
      <c r="M14" s="14"/>
      <c r="N14" s="14"/>
      <c r="O14" s="14"/>
      <c r="P14" s="14"/>
    </row>
    <row r="15" spans="2:16" ht="15">
      <c r="B15" s="310" t="s">
        <v>74</v>
      </c>
      <c r="C15" s="311"/>
      <c r="D15" s="210">
        <f>+'Egresos (costos y gastos)'!$D$28</f>
        <v>4080</v>
      </c>
      <c r="E15" s="210">
        <f>+'Egresos (costos y gastos)'!$D$28</f>
        <v>4080</v>
      </c>
      <c r="F15" s="210">
        <f>+'Egresos (costos y gastos)'!$D$28</f>
        <v>4080</v>
      </c>
      <c r="G15" s="210">
        <f>+'Egresos (costos y gastos)'!$D$28</f>
        <v>4080</v>
      </c>
      <c r="H15" s="210">
        <f>+'Egresos (costos y gastos)'!$D$28</f>
        <v>4080</v>
      </c>
      <c r="I15" s="14"/>
      <c r="J15" s="14"/>
      <c r="K15" s="14"/>
      <c r="L15" s="14"/>
      <c r="M15" s="14"/>
      <c r="N15" s="14"/>
      <c r="O15" s="14"/>
      <c r="P15" s="14"/>
    </row>
    <row r="16" spans="2:16" ht="15">
      <c r="B16" s="310" t="str">
        <f>'Flujo de Caja sin Deuda'!B16</f>
        <v> Gastos de mantenimiento</v>
      </c>
      <c r="C16" s="311"/>
      <c r="D16" s="210">
        <f>+'Egresos (costos y gastos)'!$D$36</f>
        <v>5586</v>
      </c>
      <c r="E16" s="210">
        <f>+'Egresos (costos y gastos)'!$D$36</f>
        <v>5586</v>
      </c>
      <c r="F16" s="210">
        <f>+'Egresos (costos y gastos)'!$D$36</f>
        <v>5586</v>
      </c>
      <c r="G16" s="210">
        <f>+'Egresos (costos y gastos)'!$D$36</f>
        <v>5586</v>
      </c>
      <c r="H16" s="210">
        <f>+'Egresos (costos y gastos)'!$D$36</f>
        <v>5586</v>
      </c>
      <c r="I16" s="14"/>
      <c r="J16" s="14"/>
      <c r="K16" s="14"/>
      <c r="L16" s="14"/>
      <c r="M16" s="14"/>
      <c r="N16" s="14"/>
      <c r="O16" s="14"/>
      <c r="P16" s="14"/>
    </row>
    <row r="17" spans="2:16" ht="15">
      <c r="B17" s="310" t="s">
        <v>145</v>
      </c>
      <c r="C17" s="311"/>
      <c r="D17" s="210">
        <f>SUM(D12:D16)</f>
        <v>19358.87</v>
      </c>
      <c r="E17" s="210">
        <f>SUM(E12:E16)</f>
        <v>19758.87</v>
      </c>
      <c r="F17" s="210">
        <f>SUM(F12:F16)</f>
        <v>19758.87</v>
      </c>
      <c r="G17" s="210">
        <f>SUM(G12:G16)</f>
        <v>19758.87</v>
      </c>
      <c r="H17" s="210">
        <f>SUM(H12:H16)</f>
        <v>19758.87</v>
      </c>
      <c r="I17" s="14"/>
      <c r="J17" s="14"/>
      <c r="K17" s="14"/>
      <c r="L17" s="14"/>
      <c r="M17" s="14"/>
      <c r="N17" s="14"/>
      <c r="O17" s="14"/>
      <c r="P17" s="14"/>
    </row>
    <row r="18" spans="2:16" ht="15.75" thickBot="1">
      <c r="B18" s="208" t="s">
        <v>146</v>
      </c>
      <c r="C18" s="312"/>
      <c r="D18" s="217">
        <f>+D10-D17</f>
        <v>610.130000000001</v>
      </c>
      <c r="E18" s="217">
        <f>+E10-E17</f>
        <v>220.11449999999968</v>
      </c>
      <c r="F18" s="217">
        <f>+F10-F17</f>
        <v>230.09899999999834</v>
      </c>
      <c r="G18" s="217">
        <f>+G10-G17</f>
        <v>240.083499999997</v>
      </c>
      <c r="H18" s="217">
        <f>+H10-H17</f>
        <v>250.06799999999566</v>
      </c>
      <c r="I18" s="14"/>
      <c r="J18" s="463">
        <f>K23</f>
        <v>1147.9029297918696</v>
      </c>
      <c r="K18" s="348">
        <f>J18/J19</f>
        <v>10194.519802769712</v>
      </c>
      <c r="L18" s="14"/>
      <c r="M18" s="14"/>
      <c r="N18" s="14"/>
      <c r="O18" s="14"/>
      <c r="P18" s="14"/>
    </row>
    <row r="19" spans="2:16" ht="15">
      <c r="B19" s="308" t="s">
        <v>147</v>
      </c>
      <c r="C19" s="313"/>
      <c r="D19" s="314"/>
      <c r="E19" s="315"/>
      <c r="F19" s="315"/>
      <c r="G19" s="315"/>
      <c r="H19" s="316"/>
      <c r="I19" s="14"/>
      <c r="J19" s="464">
        <v>0.1126</v>
      </c>
      <c r="K19" s="14"/>
      <c r="L19" s="14"/>
      <c r="M19" s="14"/>
      <c r="N19" s="14"/>
      <c r="O19" s="14"/>
      <c r="P19" s="14"/>
    </row>
    <row r="20" spans="2:16" ht="15">
      <c r="B20" s="310" t="s">
        <v>148</v>
      </c>
      <c r="C20" s="311"/>
      <c r="D20" s="87">
        <f>+Amortizacion!E10</f>
        <v>514.8984679999999</v>
      </c>
      <c r="E20" s="87">
        <f>+Amortizacion!E11</f>
        <v>431.9740129209764</v>
      </c>
      <c r="F20" s="87">
        <f>+Amortizacion!E12</f>
        <v>340.0522544658789</v>
      </c>
      <c r="G20" s="87">
        <f>+Amortizacion!E13</f>
        <v>238.15698521840326</v>
      </c>
      <c r="H20" s="86">
        <f>+Amortizacion!E14</f>
        <v>125.2060792575765</v>
      </c>
      <c r="I20" s="14"/>
      <c r="J20" s="14"/>
      <c r="K20" s="14"/>
      <c r="L20" s="14"/>
      <c r="M20" s="14"/>
      <c r="N20" s="14"/>
      <c r="O20" s="14"/>
      <c r="P20" s="14"/>
    </row>
    <row r="21" spans="2:16" ht="15">
      <c r="B21" s="208" t="s">
        <v>149</v>
      </c>
      <c r="C21" s="312"/>
      <c r="D21" s="217">
        <f>+D18-D20</f>
        <v>95.23153200000115</v>
      </c>
      <c r="E21" s="217">
        <f>+E18-E20</f>
        <v>-211.85951292097673</v>
      </c>
      <c r="F21" s="217">
        <f>+F18-F20</f>
        <v>-109.95325446588055</v>
      </c>
      <c r="G21" s="217">
        <f>+G18-G20</f>
        <v>1.9265147815937382</v>
      </c>
      <c r="H21" s="217">
        <f>+H18-H20</f>
        <v>124.86192074241916</v>
      </c>
      <c r="I21" s="14"/>
      <c r="J21" s="14"/>
      <c r="K21" s="14"/>
      <c r="L21" s="14"/>
      <c r="M21" s="14"/>
      <c r="N21" s="14"/>
      <c r="O21" s="14"/>
      <c r="P21" s="14"/>
    </row>
    <row r="22" spans="2:16" ht="15">
      <c r="B22" s="310" t="s">
        <v>150</v>
      </c>
      <c r="C22" s="209"/>
      <c r="D22" s="210">
        <f>+D21*0.15</f>
        <v>14.284729800000173</v>
      </c>
      <c r="E22" s="210"/>
      <c r="F22" s="210"/>
      <c r="G22" s="210">
        <f>+G21*0.15</f>
        <v>0.2889772172390607</v>
      </c>
      <c r="H22" s="210">
        <f>+H21*0.15</f>
        <v>18.729288111362873</v>
      </c>
      <c r="I22" s="14"/>
      <c r="J22" s="14"/>
      <c r="K22" s="349" t="s">
        <v>242</v>
      </c>
      <c r="L22" s="14"/>
      <c r="M22" s="14"/>
      <c r="N22" s="14"/>
      <c r="O22" s="14"/>
      <c r="P22" s="14"/>
    </row>
    <row r="23" spans="2:16" ht="15.75" thickBot="1">
      <c r="B23" s="208" t="s">
        <v>151</v>
      </c>
      <c r="C23" s="312"/>
      <c r="D23" s="217">
        <f>+D21-D22</f>
        <v>80.94680220000097</v>
      </c>
      <c r="E23" s="217">
        <f>E21-E22</f>
        <v>-211.85951292097673</v>
      </c>
      <c r="F23" s="217">
        <f>F21-F22</f>
        <v>-109.95325446588055</v>
      </c>
      <c r="G23" s="217">
        <f>G21-G22</f>
        <v>1.6375375643546775</v>
      </c>
      <c r="H23" s="217">
        <f>+H21-H22</f>
        <v>106.13263263105628</v>
      </c>
      <c r="I23" s="14"/>
      <c r="J23" s="14"/>
      <c r="K23" s="348">
        <f>G34-G28</f>
        <v>1147.9029297918696</v>
      </c>
      <c r="L23" s="14"/>
      <c r="M23" s="14"/>
      <c r="N23" s="14"/>
      <c r="O23" s="14"/>
      <c r="P23" s="14"/>
    </row>
    <row r="24" spans="2:16" ht="15.75" thickBot="1">
      <c r="B24" s="310" t="s">
        <v>225</v>
      </c>
      <c r="C24" s="311"/>
      <c r="D24" s="210">
        <f>+D23*0.22</f>
        <v>17.808296484000213</v>
      </c>
      <c r="E24" s="210"/>
      <c r="F24" s="210"/>
      <c r="G24" s="210">
        <f>+G23*0.22</f>
        <v>0.36025826415802903</v>
      </c>
      <c r="H24" s="210">
        <f>+H23*0.22</f>
        <v>23.349179178832383</v>
      </c>
      <c r="I24" s="14"/>
      <c r="J24" s="410" t="s">
        <v>298</v>
      </c>
      <c r="K24" s="411">
        <f>+K23/C35</f>
        <v>10196.964900925352</v>
      </c>
      <c r="L24" s="14"/>
      <c r="M24" s="14"/>
      <c r="N24" s="14"/>
      <c r="O24" s="14"/>
      <c r="P24" s="14"/>
    </row>
    <row r="25" spans="2:16" ht="15.75" thickBot="1">
      <c r="B25" s="219" t="s">
        <v>152</v>
      </c>
      <c r="C25" s="317"/>
      <c r="D25" s="221">
        <f>D23-D24</f>
        <v>63.138505716000765</v>
      </c>
      <c r="E25" s="221">
        <f>E23-E24</f>
        <v>-211.85951292097673</v>
      </c>
      <c r="F25" s="221">
        <f>F23-F24</f>
        <v>-109.95325446588055</v>
      </c>
      <c r="G25" s="221">
        <f>G23-G24</f>
        <v>1.2772793001966485</v>
      </c>
      <c r="H25" s="221">
        <f>H23-H24</f>
        <v>82.7834534522239</v>
      </c>
      <c r="I25" s="14"/>
      <c r="J25" s="14"/>
      <c r="K25" s="14"/>
      <c r="L25" s="14"/>
      <c r="M25" s="14"/>
      <c r="N25" s="14"/>
      <c r="O25" s="14"/>
      <c r="P25" s="14"/>
    </row>
    <row r="26" spans="2:16" ht="11.25" customHeight="1" thickBot="1">
      <c r="B26" s="223"/>
      <c r="C26" s="223"/>
      <c r="D26" s="203"/>
      <c r="E26" s="203"/>
      <c r="F26" s="203"/>
      <c r="G26" s="203"/>
      <c r="H26" s="203"/>
      <c r="I26" s="14"/>
      <c r="J26" s="348"/>
      <c r="K26" s="14"/>
      <c r="L26" s="14"/>
      <c r="M26" s="14"/>
      <c r="N26" s="14"/>
      <c r="O26" s="14"/>
      <c r="P26" s="14"/>
    </row>
    <row r="27" spans="2:16" ht="15">
      <c r="B27" s="224" t="s">
        <v>153</v>
      </c>
      <c r="C27" s="350"/>
      <c r="D27" s="226">
        <f>+D13+0</f>
        <v>3228.67</v>
      </c>
      <c r="E27" s="226">
        <f>+E13+0</f>
        <v>3228.67</v>
      </c>
      <c r="F27" s="226">
        <f>+F13+0</f>
        <v>3228.67</v>
      </c>
      <c r="G27" s="226">
        <f>+G13+0</f>
        <v>3228.67</v>
      </c>
      <c r="H27" s="226">
        <f>+H13+0</f>
        <v>3228.67</v>
      </c>
      <c r="I27" s="14"/>
      <c r="J27" s="348"/>
      <c r="K27" s="14"/>
      <c r="L27" s="14"/>
      <c r="M27" s="14"/>
      <c r="N27" s="14"/>
      <c r="O27" s="14"/>
      <c r="P27" s="14"/>
    </row>
    <row r="28" spans="2:16" ht="15">
      <c r="B28" s="208" t="s">
        <v>164</v>
      </c>
      <c r="C28" s="85"/>
      <c r="D28" s="87">
        <f>+Amortizacion!D10</f>
        <v>764.2806919725667</v>
      </c>
      <c r="E28" s="87">
        <f>+Amortizacion!D11</f>
        <v>847.2051470515904</v>
      </c>
      <c r="F28" s="87">
        <f>+Amortizacion!D12</f>
        <v>939.126905506688</v>
      </c>
      <c r="G28" s="87">
        <f>+Amortizacion!D13</f>
        <v>1041.0221747541636</v>
      </c>
      <c r="H28" s="86">
        <f>+Amortizacion!D14</f>
        <v>1153.9730807149904</v>
      </c>
      <c r="I28" s="14"/>
      <c r="J28" s="348"/>
      <c r="K28" s="148"/>
      <c r="L28" s="14"/>
      <c r="M28" s="14"/>
      <c r="N28" s="14"/>
      <c r="O28" s="14"/>
      <c r="P28" s="14"/>
    </row>
    <row r="29" spans="2:16" ht="15">
      <c r="B29" s="208" t="s">
        <v>165</v>
      </c>
      <c r="C29" s="85"/>
      <c r="D29" s="210">
        <f>+D25+D27-D28</f>
        <v>2527.5278137434343</v>
      </c>
      <c r="E29" s="210">
        <f>+E25+E27-E28</f>
        <v>2169.605340027433</v>
      </c>
      <c r="F29" s="210">
        <f>+F25+F27-F28</f>
        <v>2179.589840027432</v>
      </c>
      <c r="G29" s="210">
        <f>+G25+G27-G28</f>
        <v>2188.9251045460333</v>
      </c>
      <c r="H29" s="210">
        <f>+H25+H27-H28</f>
        <v>2157.4803727372337</v>
      </c>
      <c r="I29" s="14"/>
      <c r="J29" s="348"/>
      <c r="K29" s="14"/>
      <c r="L29" s="14"/>
      <c r="M29" s="14"/>
      <c r="N29" s="14"/>
      <c r="O29" s="14"/>
      <c r="P29" s="14"/>
    </row>
    <row r="30" spans="2:16" ht="15">
      <c r="B30" s="208" t="s">
        <v>154</v>
      </c>
      <c r="C30" s="210">
        <f>-+Inversion!H27</f>
        <v>-11864.019999999999</v>
      </c>
      <c r="D30" s="210"/>
      <c r="E30" s="210"/>
      <c r="F30" s="210"/>
      <c r="G30" s="210"/>
      <c r="H30" s="211"/>
      <c r="I30" s="14"/>
      <c r="J30" s="348"/>
      <c r="K30" s="14"/>
      <c r="L30" s="14"/>
      <c r="M30" s="14"/>
      <c r="N30" s="14"/>
      <c r="O30" s="14"/>
      <c r="P30" s="14"/>
    </row>
    <row r="31" spans="2:16" ht="15">
      <c r="B31" s="208" t="s">
        <v>163</v>
      </c>
      <c r="C31" s="351">
        <f>-+Inversion!B7</f>
        <v>-544.56</v>
      </c>
      <c r="D31" s="210"/>
      <c r="E31" s="210"/>
      <c r="F31" s="210"/>
      <c r="G31" s="210"/>
      <c r="H31" s="211"/>
      <c r="I31" s="14"/>
      <c r="J31" s="14"/>
      <c r="K31" s="14"/>
      <c r="L31" s="14"/>
      <c r="M31" s="14"/>
      <c r="N31" s="14"/>
      <c r="O31" s="14"/>
      <c r="P31" s="14"/>
    </row>
    <row r="32" spans="2:16" ht="15">
      <c r="B32" s="208" t="s">
        <v>155</v>
      </c>
      <c r="C32" s="210">
        <f>+Inversion!F6</f>
        <v>4745.607999999999</v>
      </c>
      <c r="D32" s="85"/>
      <c r="E32" s="85"/>
      <c r="F32" s="85"/>
      <c r="G32" s="85"/>
      <c r="H32" s="211"/>
      <c r="I32" s="14"/>
      <c r="J32" s="14"/>
      <c r="K32" s="14"/>
      <c r="L32" s="14"/>
      <c r="M32" s="14"/>
      <c r="N32" s="14"/>
      <c r="O32" s="14"/>
      <c r="P32" s="14"/>
    </row>
    <row r="33" spans="2:16" ht="15">
      <c r="B33" s="230" t="s">
        <v>130</v>
      </c>
      <c r="C33" s="323"/>
      <c r="D33" s="85"/>
      <c r="E33" s="85"/>
      <c r="F33" s="85"/>
      <c r="G33" s="85"/>
      <c r="H33" s="211">
        <f>+K24</f>
        <v>10196.964900925352</v>
      </c>
      <c r="I33" s="14"/>
      <c r="J33" s="348"/>
      <c r="K33" s="14"/>
      <c r="L33" s="14"/>
      <c r="M33" s="14"/>
      <c r="N33" s="14"/>
      <c r="O33" s="14"/>
      <c r="P33" s="14"/>
    </row>
    <row r="34" spans="2:16" ht="15.75" thickBot="1">
      <c r="B34" s="208" t="s">
        <v>156</v>
      </c>
      <c r="C34" s="217">
        <f>SUM(C30:C32)</f>
        <v>-7662.971999999999</v>
      </c>
      <c r="D34" s="233">
        <f>D29+D32</f>
        <v>2527.5278137434343</v>
      </c>
      <c r="E34" s="233">
        <f>E29+E32</f>
        <v>2169.605340027433</v>
      </c>
      <c r="F34" s="233">
        <f>F29+F32</f>
        <v>2179.589840027432</v>
      </c>
      <c r="G34" s="233">
        <f>G29+G32</f>
        <v>2188.9251045460333</v>
      </c>
      <c r="H34" s="234">
        <f>H29+H33</f>
        <v>12354.445273662586</v>
      </c>
      <c r="I34" s="14"/>
      <c r="J34" s="14"/>
      <c r="K34" s="14"/>
      <c r="L34" s="14"/>
      <c r="M34" s="14"/>
      <c r="N34" s="14"/>
      <c r="O34" s="14"/>
      <c r="P34" s="14"/>
    </row>
    <row r="35" spans="2:16" ht="15">
      <c r="B35" s="430" t="s">
        <v>157</v>
      </c>
      <c r="C35" s="236">
        <f>+D66</f>
        <v>0.112573</v>
      </c>
      <c r="D35" s="188"/>
      <c r="E35" s="188"/>
      <c r="F35" s="188"/>
      <c r="G35" s="188"/>
      <c r="H35" s="188"/>
      <c r="I35" s="14"/>
      <c r="J35" s="14"/>
      <c r="K35" s="14"/>
      <c r="L35" s="14"/>
      <c r="M35" s="14"/>
      <c r="N35" s="14"/>
      <c r="O35" s="14"/>
      <c r="P35" s="14"/>
    </row>
    <row r="36" spans="2:16" ht="15">
      <c r="B36" s="414" t="s">
        <v>158</v>
      </c>
      <c r="C36" s="352">
        <f>+IRR(C34:H34)</f>
        <v>0.33316749141583674</v>
      </c>
      <c r="D36" s="239"/>
      <c r="E36" s="14"/>
      <c r="F36" s="188"/>
      <c r="G36" s="188"/>
      <c r="H36" s="188"/>
      <c r="I36" s="14"/>
      <c r="J36" s="14"/>
      <c r="K36" s="14"/>
      <c r="L36" s="14"/>
      <c r="M36" s="14"/>
      <c r="N36" s="14"/>
      <c r="O36" s="14"/>
      <c r="P36" s="14"/>
    </row>
    <row r="37" spans="2:16" ht="15.75" thickBot="1">
      <c r="B37" s="431" t="s">
        <v>159</v>
      </c>
      <c r="C37" s="353">
        <f>+NPV(C35,D34:H34)+C34</f>
        <v>6620.239224002192</v>
      </c>
      <c r="D37" s="188" t="s">
        <v>302</v>
      </c>
      <c r="E37" s="188"/>
      <c r="F37" s="188"/>
      <c r="G37" s="188"/>
      <c r="H37" s="188"/>
      <c r="I37" s="14"/>
      <c r="J37" s="14"/>
      <c r="K37" s="14"/>
      <c r="L37" s="14"/>
      <c r="M37" s="14"/>
      <c r="N37" s="14"/>
      <c r="O37" s="14"/>
      <c r="P37" s="14"/>
    </row>
    <row r="38" spans="2:16" ht="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5">
      <c r="B39" s="14"/>
      <c r="C39" s="14"/>
      <c r="D39" s="14"/>
      <c r="E39" s="14"/>
      <c r="F39" s="14"/>
      <c r="G39" s="14"/>
      <c r="H39" s="14"/>
      <c r="I39" s="14"/>
      <c r="J39" s="14"/>
      <c r="K39" s="626" t="s">
        <v>246</v>
      </c>
      <c r="L39" s="626"/>
      <c r="M39" s="14"/>
      <c r="N39" s="14"/>
      <c r="O39" s="14"/>
      <c r="P39" s="14"/>
    </row>
    <row r="40" spans="2:16" ht="15.75" thickBo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ht="15.75" thickBot="1">
      <c r="B41" s="618" t="s">
        <v>167</v>
      </c>
      <c r="C41" s="619"/>
      <c r="D41" s="619"/>
      <c r="E41" s="619"/>
      <c r="F41" s="619"/>
      <c r="G41" s="619"/>
      <c r="H41" s="620"/>
      <c r="I41" s="188"/>
      <c r="J41" s="188"/>
      <c r="K41" s="188"/>
      <c r="L41" s="14"/>
      <c r="M41" s="14"/>
      <c r="N41" s="14"/>
      <c r="O41" s="14"/>
      <c r="P41" s="14"/>
    </row>
    <row r="42" spans="2:16" ht="15.75" thickBot="1">
      <c r="B42" s="197"/>
      <c r="C42" s="197"/>
      <c r="D42" s="197"/>
      <c r="E42" s="197"/>
      <c r="F42" s="197"/>
      <c r="G42" s="197"/>
      <c r="H42" s="197"/>
      <c r="I42" s="188"/>
      <c r="J42" s="188"/>
      <c r="K42" s="188"/>
      <c r="L42" s="14"/>
      <c r="M42" s="14"/>
      <c r="N42" s="14"/>
      <c r="O42" s="14"/>
      <c r="P42" s="14"/>
    </row>
    <row r="43" spans="2:16" ht="15.75" thickBot="1">
      <c r="B43" s="188"/>
      <c r="C43" s="307" t="s">
        <v>133</v>
      </c>
      <c r="D43" s="307" t="s">
        <v>134</v>
      </c>
      <c r="E43" s="307" t="s">
        <v>135</v>
      </c>
      <c r="F43" s="307" t="s">
        <v>136</v>
      </c>
      <c r="G43" s="307" t="s">
        <v>137</v>
      </c>
      <c r="H43" s="328" t="s">
        <v>138</v>
      </c>
      <c r="I43" s="188"/>
      <c r="J43" s="188"/>
      <c r="K43" s="188"/>
      <c r="L43" s="14"/>
      <c r="M43" s="14"/>
      <c r="N43" s="14"/>
      <c r="O43" s="14"/>
      <c r="P43" s="14"/>
    </row>
    <row r="44" spans="2:16" ht="15">
      <c r="B44" s="329" t="s">
        <v>168</v>
      </c>
      <c r="C44" s="330">
        <f aca="true" t="shared" si="0" ref="C44:H44">+C34</f>
        <v>-7662.971999999999</v>
      </c>
      <c r="D44" s="330">
        <f t="shared" si="0"/>
        <v>2527.5278137434343</v>
      </c>
      <c r="E44" s="330">
        <f t="shared" si="0"/>
        <v>2169.605340027433</v>
      </c>
      <c r="F44" s="330">
        <f t="shared" si="0"/>
        <v>2179.589840027432</v>
      </c>
      <c r="G44" s="330">
        <f t="shared" si="0"/>
        <v>2188.9251045460333</v>
      </c>
      <c r="H44" s="330">
        <f t="shared" si="0"/>
        <v>12354.445273662586</v>
      </c>
      <c r="I44" s="247"/>
      <c r="J44" s="247"/>
      <c r="K44" s="247"/>
      <c r="L44" s="14"/>
      <c r="M44" s="14"/>
      <c r="N44" s="14"/>
      <c r="O44" s="14"/>
      <c r="P44" s="14"/>
    </row>
    <row r="45" spans="2:16" ht="15">
      <c r="B45" s="331" t="s">
        <v>169</v>
      </c>
      <c r="C45" s="245">
        <f>C44</f>
        <v>-7662.971999999999</v>
      </c>
      <c r="D45" s="245">
        <f>D44/(1+$C$35)^1</f>
        <v>2271.786043471695</v>
      </c>
      <c r="E45" s="245">
        <f>E44/(1+$C$35)^1</f>
        <v>1950.0790869699633</v>
      </c>
      <c r="F45" s="245">
        <f>F44/(1+$C$35)^1</f>
        <v>1959.0533295589878</v>
      </c>
      <c r="G45" s="245">
        <f>G44/(1+$C$35)^1</f>
        <v>1967.4440279838116</v>
      </c>
      <c r="H45" s="246">
        <f>H44/(1+$C$35)^1</f>
        <v>11104.390699453057</v>
      </c>
      <c r="I45" s="247"/>
      <c r="J45" s="247"/>
      <c r="K45" s="247"/>
      <c r="L45" s="14"/>
      <c r="M45" s="14"/>
      <c r="N45" s="14"/>
      <c r="O45" s="14"/>
      <c r="P45" s="14"/>
    </row>
    <row r="46" spans="2:16" ht="15.75" thickBot="1">
      <c r="B46" s="249" t="s">
        <v>170</v>
      </c>
      <c r="C46" s="251">
        <f>C45</f>
        <v>-7662.971999999999</v>
      </c>
      <c r="D46" s="251">
        <f>C46+D45</f>
        <v>-5391.185956528304</v>
      </c>
      <c r="E46" s="251">
        <f>D46+E45</f>
        <v>-3441.106869558341</v>
      </c>
      <c r="F46" s="251">
        <f>E46+F45</f>
        <v>-1482.053539999353</v>
      </c>
      <c r="G46" s="251">
        <f>F46+G45</f>
        <v>485.39048798445856</v>
      </c>
      <c r="H46" s="252">
        <f>G46+H45</f>
        <v>11589.781187437515</v>
      </c>
      <c r="I46" s="247"/>
      <c r="J46" s="247"/>
      <c r="K46" s="247"/>
      <c r="L46" s="14"/>
      <c r="M46" s="14"/>
      <c r="N46" s="14"/>
      <c r="O46" s="14"/>
      <c r="P46" s="14"/>
    </row>
    <row r="47" spans="2:16" ht="15.75" thickBot="1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4"/>
      <c r="M47" s="14"/>
      <c r="N47" s="14"/>
      <c r="O47" s="14"/>
      <c r="P47" s="14"/>
    </row>
    <row r="48" spans="2:16" ht="15.75" thickBot="1">
      <c r="B48" s="188"/>
      <c r="C48" s="188"/>
      <c r="D48" s="188"/>
      <c r="E48" s="332" t="s">
        <v>167</v>
      </c>
      <c r="F48" s="621" t="s">
        <v>243</v>
      </c>
      <c r="G48" s="622"/>
      <c r="H48" s="623"/>
      <c r="I48" s="188"/>
      <c r="J48" s="188"/>
      <c r="K48" s="188"/>
      <c r="L48" s="14"/>
      <c r="M48" s="14"/>
      <c r="N48" s="14"/>
      <c r="O48" s="14"/>
      <c r="P48" s="14"/>
    </row>
    <row r="49" spans="2:16" ht="15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4"/>
      <c r="M49" s="14"/>
      <c r="N49" s="14"/>
      <c r="O49" s="14"/>
      <c r="P49" s="14"/>
    </row>
    <row r="50" spans="2:16" ht="15.75" thickBot="1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4"/>
      <c r="M50" s="14"/>
      <c r="N50" s="14"/>
      <c r="O50" s="14"/>
      <c r="P50" s="14"/>
    </row>
    <row r="51" spans="2:16" ht="15">
      <c r="B51" s="188"/>
      <c r="C51" s="254"/>
      <c r="D51" s="254"/>
      <c r="E51" s="254"/>
      <c r="F51" s="243" t="s">
        <v>171</v>
      </c>
      <c r="G51" s="333">
        <v>0.6</v>
      </c>
      <c r="H51" s="188"/>
      <c r="I51" s="188"/>
      <c r="J51" s="188"/>
      <c r="K51" s="188"/>
      <c r="L51" s="14"/>
      <c r="M51" s="14"/>
      <c r="N51" s="14"/>
      <c r="O51" s="14"/>
      <c r="P51" s="14"/>
    </row>
    <row r="52" spans="2:16" ht="15.75" thickBot="1">
      <c r="B52" s="188"/>
      <c r="C52" s="257"/>
      <c r="D52" s="254"/>
      <c r="E52" s="254"/>
      <c r="F52" s="249" t="s">
        <v>40</v>
      </c>
      <c r="G52" s="334">
        <v>0.4</v>
      </c>
      <c r="H52" s="188"/>
      <c r="I52" s="188"/>
      <c r="J52" s="188"/>
      <c r="K52" s="188"/>
      <c r="L52" s="14"/>
      <c r="M52" s="14"/>
      <c r="N52" s="14"/>
      <c r="O52" s="14"/>
      <c r="P52" s="14"/>
    </row>
    <row r="53" spans="2:16" ht="15">
      <c r="B53" s="188"/>
      <c r="C53" s="188"/>
      <c r="D53" s="254"/>
      <c r="E53" s="254"/>
      <c r="F53" s="188"/>
      <c r="G53" s="188"/>
      <c r="H53" s="188"/>
      <c r="I53" s="188"/>
      <c r="J53" s="188"/>
      <c r="K53" s="188"/>
      <c r="L53" s="14"/>
      <c r="M53" s="14"/>
      <c r="N53" s="14"/>
      <c r="O53" s="14"/>
      <c r="P53" s="14"/>
    </row>
    <row r="54" spans="2:16" ht="15.75" thickBot="1">
      <c r="B54" s="188"/>
      <c r="C54" s="188"/>
      <c r="D54" s="188"/>
      <c r="E54" s="188"/>
      <c r="F54" s="254"/>
      <c r="G54" s="254"/>
      <c r="H54" s="188"/>
      <c r="I54" s="188"/>
      <c r="J54" s="188"/>
      <c r="K54" s="188"/>
      <c r="L54" s="14"/>
      <c r="M54" s="14"/>
      <c r="N54" s="14"/>
      <c r="O54" s="14"/>
      <c r="P54" s="14"/>
    </row>
    <row r="55" spans="2:16" ht="18.75" thickBot="1">
      <c r="B55" s="188"/>
      <c r="C55" s="188"/>
      <c r="D55" s="602" t="s">
        <v>172</v>
      </c>
      <c r="E55" s="624"/>
      <c r="F55" s="254"/>
      <c r="G55" s="254"/>
      <c r="H55" s="188"/>
      <c r="I55" s="188"/>
      <c r="J55" s="188"/>
      <c r="K55" s="188"/>
      <c r="L55" s="14"/>
      <c r="M55" s="14"/>
      <c r="N55" s="14"/>
      <c r="O55" s="14"/>
      <c r="P55" s="14"/>
    </row>
    <row r="56" spans="2:16" ht="15.75" thickBot="1">
      <c r="B56" s="188"/>
      <c r="C56" s="188"/>
      <c r="D56" s="335"/>
      <c r="E56" s="335"/>
      <c r="F56" s="254"/>
      <c r="G56" s="254"/>
      <c r="H56" s="188"/>
      <c r="I56" s="188"/>
      <c r="J56" s="188"/>
      <c r="K56" s="188"/>
      <c r="L56" s="14"/>
      <c r="M56" s="14"/>
      <c r="N56" s="14"/>
      <c r="O56" s="14"/>
      <c r="P56" s="14"/>
    </row>
    <row r="57" spans="2:16" ht="15">
      <c r="B57" s="188"/>
      <c r="C57" s="188"/>
      <c r="D57" s="625" t="s">
        <v>157</v>
      </c>
      <c r="E57" s="611"/>
      <c r="F57" s="608"/>
      <c r="G57" s="609"/>
      <c r="H57" s="609"/>
      <c r="I57" s="609"/>
      <c r="J57" s="609"/>
      <c r="K57" s="609"/>
      <c r="L57" s="14"/>
      <c r="M57" s="14"/>
      <c r="N57" s="14"/>
      <c r="O57" s="14"/>
      <c r="P57" s="14"/>
    </row>
    <row r="58" spans="2:16" ht="15">
      <c r="B58" s="335"/>
      <c r="C58" s="188"/>
      <c r="D58" s="248" t="s">
        <v>174</v>
      </c>
      <c r="E58" s="161">
        <v>0.0461</v>
      </c>
      <c r="F58" s="608" t="s">
        <v>175</v>
      </c>
      <c r="G58" s="609"/>
      <c r="H58" s="609"/>
      <c r="I58" s="609"/>
      <c r="J58" s="609"/>
      <c r="K58" s="609"/>
      <c r="L58" s="14"/>
      <c r="M58" s="14"/>
      <c r="N58" s="14"/>
      <c r="O58" s="14"/>
      <c r="P58" s="14"/>
    </row>
    <row r="59" spans="2:16" ht="15">
      <c r="B59" s="335"/>
      <c r="C59" s="336"/>
      <c r="D59" s="248" t="s">
        <v>176</v>
      </c>
      <c r="E59" s="161">
        <v>0.033</v>
      </c>
      <c r="F59" s="254" t="s">
        <v>177</v>
      </c>
      <c r="G59" s="254"/>
      <c r="H59" s="188"/>
      <c r="I59" s="188"/>
      <c r="J59" s="188"/>
      <c r="K59" s="188"/>
      <c r="L59" s="14"/>
      <c r="M59" s="14"/>
      <c r="N59" s="14"/>
      <c r="O59" s="14"/>
      <c r="P59" s="14"/>
    </row>
    <row r="60" spans="2:16" ht="15">
      <c r="B60" s="335"/>
      <c r="C60" s="336"/>
      <c r="D60" s="248" t="s">
        <v>178</v>
      </c>
      <c r="E60" s="162">
        <f>'Indicadores Financieros'!D58</f>
        <v>1.17</v>
      </c>
      <c r="F60" s="254"/>
      <c r="G60" s="254"/>
      <c r="H60" s="188"/>
      <c r="I60" s="188"/>
      <c r="J60" s="188"/>
      <c r="K60" s="188"/>
      <c r="L60" s="14"/>
      <c r="M60" s="14"/>
      <c r="N60" s="14"/>
      <c r="O60" s="14"/>
      <c r="P60" s="14"/>
    </row>
    <row r="61" spans="2:16" ht="15">
      <c r="B61" s="335"/>
      <c r="C61" s="336"/>
      <c r="D61" s="248" t="s">
        <v>179</v>
      </c>
      <c r="E61" s="337">
        <f>'Riesgo Pais'!D37%</f>
        <v>0.0818</v>
      </c>
      <c r="F61" s="254" t="s">
        <v>180</v>
      </c>
      <c r="G61" s="254"/>
      <c r="H61" s="188"/>
      <c r="I61" s="188"/>
      <c r="J61" s="188"/>
      <c r="K61" s="188"/>
      <c r="L61" s="14"/>
      <c r="M61" s="14"/>
      <c r="N61" s="14"/>
      <c r="O61" s="14"/>
      <c r="P61" s="14"/>
    </row>
    <row r="62" spans="2:16" ht="15.75" thickBot="1">
      <c r="B62" s="188"/>
      <c r="C62" s="336"/>
      <c r="D62" s="249" t="s">
        <v>181</v>
      </c>
      <c r="E62" s="338">
        <f>(E58+(E60*(E59-E58)))</f>
        <v>0.030773000000000002</v>
      </c>
      <c r="F62" s="188"/>
      <c r="G62" s="188"/>
      <c r="H62" s="188"/>
      <c r="I62" s="188"/>
      <c r="J62" s="188"/>
      <c r="K62" s="188"/>
      <c r="L62" s="14"/>
      <c r="M62" s="14"/>
      <c r="N62" s="14"/>
      <c r="O62" s="14"/>
      <c r="P62" s="14"/>
    </row>
    <row r="63" spans="2:16" ht="15">
      <c r="B63" s="188"/>
      <c r="C63" s="336"/>
      <c r="D63" s="254"/>
      <c r="E63" s="188"/>
      <c r="F63" s="188"/>
      <c r="G63" s="188"/>
      <c r="H63" s="188"/>
      <c r="I63" s="188"/>
      <c r="J63" s="188"/>
      <c r="K63" s="188"/>
      <c r="L63" s="14"/>
      <c r="M63" s="14"/>
      <c r="N63" s="14"/>
      <c r="O63" s="14"/>
      <c r="P63" s="14"/>
    </row>
    <row r="64" spans="2:16" ht="15.75" thickBot="1">
      <c r="B64" s="188"/>
      <c r="C64" s="188"/>
      <c r="D64" s="188"/>
      <c r="E64" s="339"/>
      <c r="F64" s="188"/>
      <c r="G64" s="188"/>
      <c r="H64" s="188"/>
      <c r="I64" s="188"/>
      <c r="J64" s="188"/>
      <c r="K64" s="188"/>
      <c r="L64" s="14"/>
      <c r="M64" s="14"/>
      <c r="N64" s="14"/>
      <c r="O64" s="14"/>
      <c r="P64" s="14"/>
    </row>
    <row r="65" spans="2:16" ht="15">
      <c r="B65" s="188"/>
      <c r="C65" s="189" t="s">
        <v>157</v>
      </c>
      <c r="D65" s="610" t="s">
        <v>182</v>
      </c>
      <c r="E65" s="611"/>
      <c r="F65" s="188"/>
      <c r="G65" s="188"/>
      <c r="H65" s="188"/>
      <c r="I65" s="188"/>
      <c r="J65" s="188"/>
      <c r="K65" s="188"/>
      <c r="L65" s="14"/>
      <c r="M65" s="14"/>
      <c r="N65" s="14"/>
      <c r="O65" s="14"/>
      <c r="P65" s="14"/>
    </row>
    <row r="66" spans="2:16" ht="15.75" thickBot="1">
      <c r="B66" s="188"/>
      <c r="C66" s="191" t="s">
        <v>157</v>
      </c>
      <c r="D66" s="612">
        <f>E62+E61</f>
        <v>0.112573</v>
      </c>
      <c r="E66" s="613"/>
      <c r="F66" s="188"/>
      <c r="G66" s="188"/>
      <c r="H66" s="188"/>
      <c r="I66" s="188"/>
      <c r="J66" s="188"/>
      <c r="K66" s="188"/>
      <c r="L66" s="14"/>
      <c r="M66" s="14"/>
      <c r="N66" s="14"/>
      <c r="O66" s="14"/>
      <c r="P66" s="14"/>
    </row>
    <row r="67" spans="2:16" ht="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</sheetData>
  <sheetProtection/>
  <mergeCells count="12">
    <mergeCell ref="F3:G3"/>
    <mergeCell ref="B5:H5"/>
    <mergeCell ref="B41:H41"/>
    <mergeCell ref="F48:H48"/>
    <mergeCell ref="K4:P4"/>
    <mergeCell ref="F58:K58"/>
    <mergeCell ref="D65:E65"/>
    <mergeCell ref="D66:E66"/>
    <mergeCell ref="D55:E55"/>
    <mergeCell ref="K39:L39"/>
    <mergeCell ref="D57:E57"/>
    <mergeCell ref="F57:K5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7"/>
  <sheetViews>
    <sheetView zoomScale="80" zoomScaleNormal="80" zoomScalePageLayoutView="0" workbookViewId="0" topLeftCell="A1">
      <selection activeCell="I19" sqref="I19"/>
    </sheetView>
  </sheetViews>
  <sheetFormatPr defaultColWidth="11.421875" defaultRowHeight="15"/>
  <cols>
    <col min="1" max="2" width="11.421875" style="0" customWidth="1"/>
    <col min="3" max="3" width="16.8515625" style="0" customWidth="1"/>
    <col min="4" max="4" width="15.421875" style="0" customWidth="1"/>
  </cols>
  <sheetData>
    <row r="3" spans="2:5" ht="15">
      <c r="B3" s="378" t="s">
        <v>266</v>
      </c>
      <c r="C3" s="378" t="s">
        <v>267</v>
      </c>
      <c r="D3" s="378" t="s">
        <v>268</v>
      </c>
      <c r="E3" s="11"/>
    </row>
    <row r="4" spans="2:4" ht="15">
      <c r="B4" s="397" t="s">
        <v>60</v>
      </c>
      <c r="C4" s="49">
        <v>22</v>
      </c>
      <c r="D4" s="49">
        <v>840</v>
      </c>
    </row>
    <row r="5" spans="2:4" ht="15">
      <c r="B5" s="397" t="s">
        <v>60</v>
      </c>
      <c r="C5" s="49">
        <v>23</v>
      </c>
      <c r="D5" s="49">
        <v>835</v>
      </c>
    </row>
    <row r="6" spans="2:4" ht="15">
      <c r="B6" s="397" t="s">
        <v>60</v>
      </c>
      <c r="C6" s="49">
        <v>24</v>
      </c>
      <c r="D6" s="49">
        <v>835</v>
      </c>
    </row>
    <row r="7" spans="2:4" ht="15">
      <c r="B7" s="397" t="s">
        <v>60</v>
      </c>
      <c r="C7" s="49">
        <v>25</v>
      </c>
      <c r="D7" s="49">
        <v>835</v>
      </c>
    </row>
    <row r="8" spans="2:4" ht="15">
      <c r="B8" s="397" t="s">
        <v>60</v>
      </c>
      <c r="C8" s="49">
        <v>26</v>
      </c>
      <c r="D8" s="49">
        <v>835</v>
      </c>
    </row>
    <row r="9" spans="2:4" ht="15">
      <c r="B9" s="397" t="s">
        <v>60</v>
      </c>
      <c r="C9" s="49">
        <v>27</v>
      </c>
      <c r="D9" s="49">
        <v>836</v>
      </c>
    </row>
    <row r="10" spans="2:4" ht="15">
      <c r="B10" s="397" t="s">
        <v>60</v>
      </c>
      <c r="C10" s="49">
        <v>28</v>
      </c>
      <c r="D10" s="49">
        <v>840</v>
      </c>
    </row>
    <row r="11" spans="2:4" ht="15">
      <c r="B11" s="397" t="s">
        <v>60</v>
      </c>
      <c r="C11" s="49">
        <v>29</v>
      </c>
      <c r="D11" s="49">
        <v>843</v>
      </c>
    </row>
    <row r="12" spans="2:4" ht="15">
      <c r="B12" s="397" t="s">
        <v>60</v>
      </c>
      <c r="C12" s="49">
        <v>30</v>
      </c>
      <c r="D12" s="49">
        <v>846</v>
      </c>
    </row>
    <row r="13" spans="2:4" ht="15">
      <c r="B13" s="397" t="s">
        <v>60</v>
      </c>
      <c r="C13" s="49">
        <v>31</v>
      </c>
      <c r="D13" s="49">
        <v>846</v>
      </c>
    </row>
    <row r="14" spans="2:4" ht="15">
      <c r="B14" s="397" t="s">
        <v>49</v>
      </c>
      <c r="C14" s="49">
        <v>1</v>
      </c>
      <c r="D14" s="49">
        <v>846</v>
      </c>
    </row>
    <row r="15" spans="2:4" ht="15">
      <c r="B15" s="397" t="s">
        <v>49</v>
      </c>
      <c r="C15" s="49">
        <v>2</v>
      </c>
      <c r="D15" s="49">
        <v>846</v>
      </c>
    </row>
    <row r="16" spans="2:4" ht="15">
      <c r="B16" s="397" t="s">
        <v>49</v>
      </c>
      <c r="C16" s="49">
        <v>3</v>
      </c>
      <c r="D16" s="49">
        <v>790</v>
      </c>
    </row>
    <row r="17" spans="2:4" ht="15">
      <c r="B17" s="397" t="s">
        <v>49</v>
      </c>
      <c r="C17" s="49">
        <v>4</v>
      </c>
      <c r="D17" s="49">
        <v>790</v>
      </c>
    </row>
    <row r="18" spans="2:4" ht="15">
      <c r="B18" s="397" t="s">
        <v>49</v>
      </c>
      <c r="C18" s="49">
        <v>5</v>
      </c>
      <c r="D18" s="49">
        <v>791</v>
      </c>
    </row>
    <row r="19" spans="2:4" ht="15">
      <c r="B19" s="397" t="s">
        <v>49</v>
      </c>
      <c r="C19" s="49">
        <v>6</v>
      </c>
      <c r="D19" s="49">
        <v>792</v>
      </c>
    </row>
    <row r="20" spans="2:4" ht="15">
      <c r="B20" s="397" t="s">
        <v>49</v>
      </c>
      <c r="C20" s="49">
        <v>7</v>
      </c>
      <c r="D20" s="49">
        <v>792</v>
      </c>
    </row>
    <row r="21" spans="2:4" ht="15">
      <c r="B21" s="397" t="s">
        <v>49</v>
      </c>
      <c r="C21" s="49">
        <v>8</v>
      </c>
      <c r="D21" s="49">
        <v>792</v>
      </c>
    </row>
    <row r="22" spans="2:4" ht="15">
      <c r="B22" s="397" t="s">
        <v>49</v>
      </c>
      <c r="C22" s="49">
        <v>9</v>
      </c>
      <c r="D22" s="49">
        <v>792</v>
      </c>
    </row>
    <row r="23" spans="2:4" ht="15">
      <c r="B23" s="397" t="s">
        <v>49</v>
      </c>
      <c r="C23" s="49">
        <v>10</v>
      </c>
      <c r="D23" s="49">
        <v>793</v>
      </c>
    </row>
    <row r="24" spans="2:4" ht="15">
      <c r="B24" s="397" t="s">
        <v>49</v>
      </c>
      <c r="C24" s="49">
        <v>11</v>
      </c>
      <c r="D24" s="49">
        <v>795</v>
      </c>
    </row>
    <row r="25" spans="2:4" ht="15">
      <c r="B25" s="397" t="s">
        <v>49</v>
      </c>
      <c r="C25" s="49">
        <v>12</v>
      </c>
      <c r="D25" s="49">
        <v>810</v>
      </c>
    </row>
    <row r="26" spans="2:4" ht="15">
      <c r="B26" s="397" t="s">
        <v>49</v>
      </c>
      <c r="C26" s="49">
        <v>13</v>
      </c>
      <c r="D26" s="49">
        <v>812</v>
      </c>
    </row>
    <row r="27" spans="2:4" ht="15">
      <c r="B27" s="397" t="s">
        <v>49</v>
      </c>
      <c r="C27" s="49">
        <v>14</v>
      </c>
      <c r="D27" s="49">
        <v>812</v>
      </c>
    </row>
    <row r="28" spans="2:4" ht="15">
      <c r="B28" s="397" t="s">
        <v>49</v>
      </c>
      <c r="C28" s="49">
        <v>15</v>
      </c>
      <c r="D28" s="49">
        <v>812</v>
      </c>
    </row>
    <row r="29" spans="2:4" ht="15">
      <c r="B29" s="397" t="s">
        <v>49</v>
      </c>
      <c r="C29" s="49">
        <v>16</v>
      </c>
      <c r="D29" s="49">
        <v>812</v>
      </c>
    </row>
    <row r="30" spans="2:4" ht="15">
      <c r="B30" s="397" t="s">
        <v>49</v>
      </c>
      <c r="C30" s="49">
        <v>17</v>
      </c>
      <c r="D30" s="49">
        <v>813</v>
      </c>
    </row>
    <row r="31" spans="2:4" ht="15">
      <c r="B31" s="397" t="s">
        <v>49</v>
      </c>
      <c r="C31" s="49">
        <v>18</v>
      </c>
      <c r="D31" s="49">
        <v>811</v>
      </c>
    </row>
    <row r="32" spans="2:4" ht="15">
      <c r="B32" s="397" t="s">
        <v>49</v>
      </c>
      <c r="C32" s="49">
        <v>19</v>
      </c>
      <c r="D32" s="49">
        <v>808</v>
      </c>
    </row>
    <row r="33" spans="2:4" ht="15">
      <c r="B33" s="397" t="s">
        <v>49</v>
      </c>
      <c r="C33" s="49">
        <v>20</v>
      </c>
      <c r="D33" s="49">
        <v>808</v>
      </c>
    </row>
    <row r="34" spans="2:4" ht="15">
      <c r="B34" s="49"/>
      <c r="C34" s="49"/>
      <c r="D34" s="398"/>
    </row>
    <row r="35" spans="2:4" ht="15">
      <c r="B35" s="397" t="s">
        <v>269</v>
      </c>
      <c r="C35" s="49"/>
      <c r="D35" s="49">
        <f>MAX(D4:D33)</f>
        <v>846</v>
      </c>
    </row>
    <row r="36" spans="2:4" ht="15">
      <c r="B36" s="397" t="s">
        <v>270</v>
      </c>
      <c r="C36" s="49"/>
      <c r="D36" s="49">
        <f>MIN(D4:D33)</f>
        <v>790</v>
      </c>
    </row>
    <row r="37" spans="2:4" ht="15">
      <c r="B37" s="397" t="s">
        <v>271</v>
      </c>
      <c r="C37" s="49"/>
      <c r="D37" s="398">
        <f>AVERAGE(D35:D36)/100</f>
        <v>8.18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6"/>
  <sheetViews>
    <sheetView zoomScale="98" zoomScaleNormal="98" zoomScalePageLayoutView="0" workbookViewId="0" topLeftCell="A28">
      <selection activeCell="H7" sqref="H7"/>
    </sheetView>
  </sheetViews>
  <sheetFormatPr defaultColWidth="11.421875" defaultRowHeight="15"/>
  <cols>
    <col min="1" max="1" width="11.421875" style="0" customWidth="1"/>
    <col min="2" max="2" width="35.28125" style="0" bestFit="1" customWidth="1"/>
    <col min="3" max="3" width="16.57421875" style="0" customWidth="1"/>
    <col min="4" max="4" width="14.140625" style="0" customWidth="1"/>
    <col min="5" max="5" width="14.8515625" style="0" customWidth="1"/>
    <col min="6" max="6" width="14.28125" style="0" customWidth="1"/>
    <col min="7" max="7" width="15.57421875" style="0" customWidth="1"/>
    <col min="8" max="8" width="14.57421875" style="0" customWidth="1"/>
  </cols>
  <sheetData>
    <row r="1" spans="1:13" ht="15.75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>
      <c r="A2" s="14"/>
      <c r="B2" s="188"/>
      <c r="C2" s="188"/>
      <c r="D2" s="189" t="s">
        <v>102</v>
      </c>
      <c r="E2" s="190">
        <v>1</v>
      </c>
      <c r="F2" s="188"/>
      <c r="G2" s="188"/>
      <c r="H2" s="188"/>
      <c r="I2" s="188"/>
      <c r="J2" s="188"/>
      <c r="K2" s="188"/>
      <c r="L2" s="188"/>
      <c r="M2" s="188"/>
    </row>
    <row r="3" spans="1:13" ht="15.75" thickBot="1">
      <c r="A3" s="14"/>
      <c r="B3" s="188"/>
      <c r="C3" s="188"/>
      <c r="D3" s="191" t="s">
        <v>68</v>
      </c>
      <c r="E3" s="192">
        <v>0</v>
      </c>
      <c r="F3" s="193"/>
      <c r="G3" s="188"/>
      <c r="H3" s="188"/>
      <c r="I3" s="188"/>
      <c r="J3" s="188"/>
      <c r="K3" s="188"/>
      <c r="L3" s="188"/>
      <c r="M3" s="188"/>
    </row>
    <row r="4" spans="1:13" ht="15">
      <c r="A4" s="14"/>
      <c r="B4" s="188"/>
      <c r="C4" s="188"/>
      <c r="D4" s="194"/>
      <c r="E4" s="195"/>
      <c r="F4" s="188"/>
      <c r="G4" s="188"/>
      <c r="H4" s="188"/>
      <c r="I4" s="188"/>
      <c r="K4" s="188"/>
      <c r="L4" s="188"/>
      <c r="M4" s="188"/>
    </row>
    <row r="5" spans="1:13" ht="15.75" thickBot="1">
      <c r="A5" s="14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ht="15.75" thickBot="1">
      <c r="A6" s="14"/>
      <c r="B6" s="188"/>
      <c r="C6" s="188"/>
      <c r="D6" s="188"/>
      <c r="E6" s="188"/>
      <c r="F6" s="602" t="s">
        <v>132</v>
      </c>
      <c r="G6" s="603"/>
      <c r="H6" s="196">
        <v>-0.1</v>
      </c>
      <c r="I6" s="188"/>
      <c r="J6" s="188"/>
      <c r="K6" s="188"/>
      <c r="L6" s="188"/>
      <c r="M6" s="188"/>
    </row>
    <row r="7" spans="1:13" ht="15.75" thickBot="1">
      <c r="A7" s="14"/>
      <c r="B7" s="188"/>
      <c r="C7" s="188"/>
      <c r="D7" s="188"/>
      <c r="E7" s="188"/>
      <c r="F7" s="197"/>
      <c r="G7" s="197"/>
      <c r="H7" s="195"/>
      <c r="I7" s="188"/>
      <c r="J7" s="188"/>
      <c r="K7" s="188"/>
      <c r="L7" s="188"/>
      <c r="M7" s="188"/>
    </row>
    <row r="8" spans="1:13" ht="15.75" thickBot="1">
      <c r="A8" s="14"/>
      <c r="B8" s="188"/>
      <c r="C8" s="198" t="s">
        <v>102</v>
      </c>
      <c r="D8" s="199">
        <f>'Flujo de Caja con Deuda'!D8</f>
        <v>19969</v>
      </c>
      <c r="E8" s="200">
        <f>$D$8*$H$6+D8</f>
        <v>17972.1</v>
      </c>
      <c r="F8" s="200">
        <f>$D$8*$H$6+E8</f>
        <v>15975.199999999999</v>
      </c>
      <c r="G8" s="200">
        <f>$D$8*$H$6+F8</f>
        <v>13978.3</v>
      </c>
      <c r="H8" s="201">
        <f>$D$8*$H$6+G8</f>
        <v>11981.4</v>
      </c>
      <c r="I8" s="188"/>
      <c r="J8" s="188"/>
      <c r="K8" s="188"/>
      <c r="L8" s="188"/>
      <c r="M8" s="188"/>
    </row>
    <row r="9" spans="1:13" ht="15.75" thickBot="1">
      <c r="A9" s="14"/>
      <c r="B9" s="188"/>
      <c r="C9" s="202"/>
      <c r="D9" s="203"/>
      <c r="E9" s="203"/>
      <c r="F9" s="203"/>
      <c r="G9" s="203"/>
      <c r="H9" s="203"/>
      <c r="I9" s="188"/>
      <c r="J9" s="188"/>
      <c r="K9" s="188"/>
      <c r="L9" s="188"/>
      <c r="M9" s="188"/>
    </row>
    <row r="10" spans="1:13" ht="15.75" thickBot="1">
      <c r="A10" s="14"/>
      <c r="B10" s="188"/>
      <c r="C10" s="198" t="s">
        <v>68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188"/>
      <c r="J10" s="188"/>
      <c r="K10" s="188"/>
      <c r="L10" s="188"/>
      <c r="M10" s="188"/>
    </row>
    <row r="11" spans="1:13" ht="15">
      <c r="A11" s="14"/>
      <c r="B11" s="188"/>
      <c r="C11" s="204"/>
      <c r="D11" s="203"/>
      <c r="E11" s="203"/>
      <c r="F11" s="203"/>
      <c r="G11" s="203"/>
      <c r="H11" s="203"/>
      <c r="I11" s="188"/>
      <c r="J11" s="188"/>
      <c r="K11" s="188"/>
      <c r="L11" s="188"/>
      <c r="M11" s="188"/>
    </row>
    <row r="12" spans="1:13" ht="15.75" thickBot="1">
      <c r="A12" s="14"/>
      <c r="B12" s="188"/>
      <c r="C12" s="188"/>
      <c r="D12" s="188"/>
      <c r="E12" s="188"/>
      <c r="F12" s="197"/>
      <c r="G12" s="197"/>
      <c r="H12" s="195"/>
      <c r="I12" s="188"/>
      <c r="J12" s="188"/>
      <c r="K12" s="188"/>
      <c r="L12" s="188"/>
      <c r="M12" s="188"/>
    </row>
    <row r="13" spans="1:13" ht="15.75" thickBot="1">
      <c r="A13" s="14"/>
      <c r="B13" s="602" t="s">
        <v>183</v>
      </c>
      <c r="C13" s="628"/>
      <c r="D13" s="603"/>
      <c r="E13" s="603"/>
      <c r="F13" s="603"/>
      <c r="G13" s="603"/>
      <c r="H13" s="624"/>
      <c r="I13" s="188"/>
      <c r="J13" s="188"/>
      <c r="K13" s="188"/>
      <c r="L13" s="188"/>
      <c r="M13" s="188"/>
    </row>
    <row r="14" spans="1:13" ht="15.75" thickBot="1">
      <c r="A14" s="14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1:13" ht="15">
      <c r="A15" s="14"/>
      <c r="B15" s="205" t="s">
        <v>0</v>
      </c>
      <c r="C15" s="206" t="str">
        <f>'[1]Flujo de Caja &amp; PayBack'!C6</f>
        <v>Año 0</v>
      </c>
      <c r="D15" s="206" t="str">
        <f>'[1]Flujo de Caja &amp; PayBack'!D6</f>
        <v>Año 1</v>
      </c>
      <c r="E15" s="206" t="str">
        <f>'[1]Flujo de Caja &amp; PayBack'!E6</f>
        <v>Año 2</v>
      </c>
      <c r="F15" s="206" t="str">
        <f>'[1]Flujo de Caja &amp; PayBack'!F6</f>
        <v>Año 3</v>
      </c>
      <c r="G15" s="206" t="str">
        <f>'[1]Flujo de Caja &amp; PayBack'!G6</f>
        <v>Año 4</v>
      </c>
      <c r="H15" s="207" t="str">
        <f>'[1]Flujo de Caja &amp; PayBack'!H6</f>
        <v>Año 5</v>
      </c>
      <c r="I15" s="188"/>
      <c r="J15" s="188"/>
      <c r="K15" s="188"/>
      <c r="L15" s="188"/>
      <c r="M15" s="188"/>
    </row>
    <row r="16" spans="1:13" ht="15">
      <c r="A16" s="14"/>
      <c r="B16" s="208" t="str">
        <f>'[1]Flujo de Caja &amp; PayBack'!B7</f>
        <v>Ingresos </v>
      </c>
      <c r="C16" s="209"/>
      <c r="D16" s="210">
        <f>D8*$E$2</f>
        <v>19969</v>
      </c>
      <c r="E16" s="210">
        <f>E8*$E$2</f>
        <v>17972.1</v>
      </c>
      <c r="F16" s="210">
        <f>F8*$E$2</f>
        <v>15975.199999999999</v>
      </c>
      <c r="G16" s="210">
        <f>G8*$E$2</f>
        <v>13978.3</v>
      </c>
      <c r="H16" s="211">
        <f>H8*$E$2</f>
        <v>11981.4</v>
      </c>
      <c r="I16" s="212"/>
      <c r="J16" s="188"/>
      <c r="K16" s="188"/>
      <c r="L16" s="188"/>
      <c r="M16" s="188"/>
    </row>
    <row r="17" spans="1:13" ht="15">
      <c r="A17" s="14"/>
      <c r="B17" s="208" t="s">
        <v>263</v>
      </c>
      <c r="C17" s="209"/>
      <c r="D17" s="210">
        <v>0</v>
      </c>
      <c r="E17" s="210">
        <f>E10*$E$3</f>
        <v>0</v>
      </c>
      <c r="F17" s="210">
        <f>F10*$E$3</f>
        <v>0</v>
      </c>
      <c r="G17" s="210">
        <f>G10*$E$3</f>
        <v>0</v>
      </c>
      <c r="H17" s="211">
        <f>H10*$E$3</f>
        <v>0</v>
      </c>
      <c r="I17" s="212"/>
      <c r="J17" s="188"/>
      <c r="K17" s="188"/>
      <c r="L17" s="188"/>
      <c r="M17" s="188"/>
    </row>
    <row r="18" spans="1:13" ht="15">
      <c r="A18" s="14"/>
      <c r="B18" s="208" t="str">
        <f>'[1]Flujo de Caja &amp; PayBack'!B9</f>
        <v>Margen bruto</v>
      </c>
      <c r="C18" s="213"/>
      <c r="D18" s="210">
        <f>+D16-D17</f>
        <v>19969</v>
      </c>
      <c r="E18" s="210">
        <f>+E16-E17</f>
        <v>17972.1</v>
      </c>
      <c r="F18" s="210">
        <f>+F16-F17</f>
        <v>15975.199999999999</v>
      </c>
      <c r="G18" s="210">
        <f>+G16-G17</f>
        <v>13978.3</v>
      </c>
      <c r="H18" s="210">
        <f>+H16-H17</f>
        <v>11981.4</v>
      </c>
      <c r="I18" s="188"/>
      <c r="J18" s="188"/>
      <c r="K18" s="188"/>
      <c r="L18" s="188"/>
      <c r="M18" s="188"/>
    </row>
    <row r="19" spans="1:13" ht="15">
      <c r="A19" s="14"/>
      <c r="B19" s="629" t="str">
        <f>'[1]Flujo de Caja &amp; PayBack'!B10</f>
        <v>Gastos Operativos</v>
      </c>
      <c r="C19" s="630"/>
      <c r="D19" s="630"/>
      <c r="E19" s="630"/>
      <c r="F19" s="630"/>
      <c r="G19" s="630"/>
      <c r="H19" s="631"/>
      <c r="I19" s="188"/>
      <c r="J19" s="188"/>
      <c r="K19" s="188"/>
      <c r="L19" s="188"/>
      <c r="M19" s="188"/>
    </row>
    <row r="20" spans="1:13" ht="15">
      <c r="A20" s="14"/>
      <c r="B20" s="214" t="str">
        <f>'[1]Flujo de Caja &amp; PayBack'!B11</f>
        <v>Gastos Administrativos</v>
      </c>
      <c r="C20" s="215"/>
      <c r="D20" s="210">
        <f>+'Flujo de Caja con Deuda'!D12</f>
        <v>6277.2</v>
      </c>
      <c r="E20" s="210">
        <f>+'Flujo de Caja con Deuda'!E12</f>
        <v>6677.2</v>
      </c>
      <c r="F20" s="210">
        <f>+'Flujo de Caja con Deuda'!F12</f>
        <v>6677.2</v>
      </c>
      <c r="G20" s="210">
        <f>+'Flujo de Caja con Deuda'!G12</f>
        <v>6677.2</v>
      </c>
      <c r="H20" s="210">
        <f>+'Flujo de Caja con Deuda'!H12</f>
        <v>6677.2</v>
      </c>
      <c r="I20" s="188"/>
      <c r="J20" s="188"/>
      <c r="K20" s="188"/>
      <c r="L20" s="188"/>
      <c r="M20" s="188"/>
    </row>
    <row r="21" spans="1:13" ht="15">
      <c r="A21" s="14"/>
      <c r="B21" s="214" t="str">
        <f>'[1]Flujo de Caja &amp; PayBack'!B13</f>
        <v> Depreciación</v>
      </c>
      <c r="C21" s="215"/>
      <c r="D21" s="210">
        <f>+'Flujo de Caja con Deuda'!D13</f>
        <v>3228.67</v>
      </c>
      <c r="E21" s="210">
        <f>+'Flujo de Caja con Deuda'!E13</f>
        <v>3228.67</v>
      </c>
      <c r="F21" s="210">
        <f>+'Flujo de Caja con Deuda'!F13</f>
        <v>3228.67</v>
      </c>
      <c r="G21" s="210">
        <f>+'Flujo de Caja con Deuda'!G13</f>
        <v>3228.67</v>
      </c>
      <c r="H21" s="210">
        <f>+'Flujo de Caja con Deuda'!H13</f>
        <v>3228.67</v>
      </c>
      <c r="I21" s="188"/>
      <c r="J21" s="188"/>
      <c r="K21" s="188"/>
      <c r="L21" s="188"/>
      <c r="M21" s="188"/>
    </row>
    <row r="22" spans="1:13" ht="15">
      <c r="A22" s="14"/>
      <c r="B22" s="214" t="str">
        <f>'[1]Flujo de Caja &amp; PayBack'!B16</f>
        <v>Gastos de Oficina</v>
      </c>
      <c r="C22" s="215"/>
      <c r="D22" s="210">
        <f>+'Flujo de Caja con Deuda'!D14</f>
        <v>187</v>
      </c>
      <c r="E22" s="210">
        <f>+'Flujo de Caja con Deuda'!E14</f>
        <v>187</v>
      </c>
      <c r="F22" s="210">
        <f>+'Flujo de Caja con Deuda'!F14</f>
        <v>187</v>
      </c>
      <c r="G22" s="210">
        <f>+'Flujo de Caja con Deuda'!G14</f>
        <v>187</v>
      </c>
      <c r="H22" s="210">
        <f>+'Flujo de Caja con Deuda'!H14</f>
        <v>187</v>
      </c>
      <c r="I22" s="188"/>
      <c r="J22" s="188"/>
      <c r="K22" s="188"/>
      <c r="L22" s="188"/>
      <c r="M22" s="188"/>
    </row>
    <row r="23" spans="1:13" ht="15">
      <c r="A23" s="14"/>
      <c r="B23" s="214" t="str">
        <f>'[1]Flujo de Caja &amp; PayBack'!B17</f>
        <v>Gastos Basicos</v>
      </c>
      <c r="C23" s="215"/>
      <c r="D23" s="210">
        <f>+'Flujo de Caja con Deuda'!D15</f>
        <v>4080</v>
      </c>
      <c r="E23" s="210">
        <f>+'Flujo de Caja con Deuda'!E15</f>
        <v>4080</v>
      </c>
      <c r="F23" s="210">
        <f>+'Flujo de Caja con Deuda'!F15</f>
        <v>4080</v>
      </c>
      <c r="G23" s="210">
        <f>+'Flujo de Caja con Deuda'!G15</f>
        <v>4080</v>
      </c>
      <c r="H23" s="210">
        <f>+'Flujo de Caja con Deuda'!H15</f>
        <v>4080</v>
      </c>
      <c r="I23" s="188"/>
      <c r="J23" s="188"/>
      <c r="K23" s="188"/>
      <c r="L23" s="188"/>
      <c r="M23" s="188"/>
    </row>
    <row r="24" spans="1:13" ht="15">
      <c r="A24" s="14"/>
      <c r="B24" s="214" t="str">
        <f>'Flujo de Caja con Deuda'!B16</f>
        <v> Gastos de mantenimiento</v>
      </c>
      <c r="C24" s="215"/>
      <c r="D24" s="210">
        <f>+'Flujo de Caja con Deuda'!D16</f>
        <v>5586</v>
      </c>
      <c r="E24" s="210">
        <f>+'Flujo de Caja con Deuda'!E16</f>
        <v>5586</v>
      </c>
      <c r="F24" s="210">
        <f>+'Flujo de Caja con Deuda'!F16</f>
        <v>5586</v>
      </c>
      <c r="G24" s="210">
        <f>+'Flujo de Caja con Deuda'!G16</f>
        <v>5586</v>
      </c>
      <c r="H24" s="210">
        <f>+'Flujo de Caja con Deuda'!H16</f>
        <v>5586</v>
      </c>
      <c r="I24" s="188"/>
      <c r="J24" s="188"/>
      <c r="K24" s="188"/>
      <c r="L24" s="188"/>
      <c r="M24" s="188"/>
    </row>
    <row r="25" spans="1:13" ht="15">
      <c r="A25" s="14"/>
      <c r="B25" s="214" t="str">
        <f>'Flujo de Caja con Deuda'!B17</f>
        <v>Total Gastos Operativos</v>
      </c>
      <c r="C25" s="215"/>
      <c r="D25" s="210">
        <f>SUM(D20:D24)</f>
        <v>19358.87</v>
      </c>
      <c r="E25" s="210">
        <f>SUM(E20:E24)+(D25*$E$3)</f>
        <v>19758.87</v>
      </c>
      <c r="F25" s="210">
        <f>SUM(F20:F24)+(E25*$E$3)</f>
        <v>19758.87</v>
      </c>
      <c r="G25" s="210">
        <f>SUM(G20:G24)+(F25*$E$3)</f>
        <v>19758.87</v>
      </c>
      <c r="H25" s="210">
        <f>SUM(H20:H24)+(G25*$E$3)</f>
        <v>19758.87</v>
      </c>
      <c r="I25" s="188"/>
      <c r="J25" s="188"/>
      <c r="K25" s="188"/>
      <c r="L25" s="188"/>
      <c r="M25" s="188"/>
    </row>
    <row r="26" spans="1:13" ht="15">
      <c r="A26" s="14"/>
      <c r="B26" s="208" t="str">
        <f>'[1]Flujo de Caja &amp; PayBack'!B20</f>
        <v>Utilidad Operacional</v>
      </c>
      <c r="C26" s="216"/>
      <c r="D26" s="217">
        <f>D18-D25</f>
        <v>610.130000000001</v>
      </c>
      <c r="E26" s="217">
        <f>E18-E25</f>
        <v>-1786.7700000000004</v>
      </c>
      <c r="F26" s="217">
        <f>F18-F25</f>
        <v>-3783.67</v>
      </c>
      <c r="G26" s="217">
        <f>G18-G25</f>
        <v>-5780.57</v>
      </c>
      <c r="H26" s="217">
        <f>H18-H25</f>
        <v>-7777.469999999999</v>
      </c>
      <c r="I26" s="188"/>
      <c r="J26" s="188"/>
      <c r="K26" s="188"/>
      <c r="L26" s="188"/>
      <c r="M26" s="188"/>
    </row>
    <row r="27" spans="1:13" ht="15">
      <c r="A27" s="14"/>
      <c r="B27" s="629" t="str">
        <f>'[1]Flujo de Caja &amp; PayBack'!B21</f>
        <v>Gastos Financieros</v>
      </c>
      <c r="C27" s="630"/>
      <c r="D27" s="630"/>
      <c r="E27" s="630"/>
      <c r="F27" s="630"/>
      <c r="G27" s="630"/>
      <c r="H27" s="631"/>
      <c r="I27" s="188"/>
      <c r="J27" s="188"/>
      <c r="K27" s="188"/>
      <c r="L27" s="188"/>
      <c r="M27" s="188"/>
    </row>
    <row r="28" spans="1:13" ht="15">
      <c r="A28" s="14"/>
      <c r="B28" s="214" t="str">
        <f>'[1]Flujo de Caja &amp; PayBack'!B22</f>
        <v>Intereses sobre prestamos</v>
      </c>
      <c r="C28" s="215"/>
      <c r="D28" s="87">
        <f>+'Flujo de Caja con Deuda'!D20</f>
        <v>514.8984679999999</v>
      </c>
      <c r="E28" s="87">
        <f>+'Flujo de Caja con Deuda'!E20</f>
        <v>431.9740129209764</v>
      </c>
      <c r="F28" s="87">
        <f>+'Flujo de Caja con Deuda'!F20</f>
        <v>340.0522544658789</v>
      </c>
      <c r="G28" s="87">
        <f>+'Flujo de Caja con Deuda'!G20</f>
        <v>238.15698521840326</v>
      </c>
      <c r="H28" s="87">
        <f>+'Flujo de Caja con Deuda'!H20</f>
        <v>125.2060792575765</v>
      </c>
      <c r="I28" s="188"/>
      <c r="J28" s="188"/>
      <c r="K28" s="188"/>
      <c r="L28" s="188"/>
      <c r="M28" s="188"/>
    </row>
    <row r="29" spans="1:13" ht="15">
      <c r="A29" s="14"/>
      <c r="B29" s="208" t="str">
        <f>'[1]Flujo de Caja &amp; PayBack'!B23</f>
        <v>Utilidad antes de Partcip. e Impto.</v>
      </c>
      <c r="C29" s="216"/>
      <c r="D29" s="217">
        <f>+D26-D28</f>
        <v>95.23153200000115</v>
      </c>
      <c r="E29" s="217">
        <f>+E26-E28</f>
        <v>-2218.7440129209767</v>
      </c>
      <c r="F29" s="217">
        <f>+F26-F28</f>
        <v>-4123.722254465879</v>
      </c>
      <c r="G29" s="217">
        <f>+G26-G28</f>
        <v>-6018.726985218403</v>
      </c>
      <c r="H29" s="218">
        <f>+H26-H28</f>
        <v>-7902.676079257576</v>
      </c>
      <c r="I29" s="188"/>
      <c r="J29" s="188"/>
      <c r="K29" s="188"/>
      <c r="L29" s="188"/>
      <c r="M29" s="188"/>
    </row>
    <row r="30" spans="1:13" ht="15">
      <c r="A30" s="14"/>
      <c r="B30" s="214" t="str">
        <f>'[1]Flujo de Caja &amp; PayBack'!B24</f>
        <v>15% Participación de Trabajadores</v>
      </c>
      <c r="C30" s="213"/>
      <c r="D30" s="210">
        <f>+D29*0.15</f>
        <v>14.284729800000173</v>
      </c>
      <c r="E30" s="210">
        <v>0</v>
      </c>
      <c r="F30" s="210">
        <v>0</v>
      </c>
      <c r="G30" s="210">
        <v>0</v>
      </c>
      <c r="H30" s="211">
        <f>+H29*0.15</f>
        <v>-1185.4014118886364</v>
      </c>
      <c r="I30" s="188"/>
      <c r="J30" s="188"/>
      <c r="K30" s="188"/>
      <c r="L30" s="188"/>
      <c r="M30" s="188"/>
    </row>
    <row r="31" spans="1:13" ht="15">
      <c r="A31" s="14"/>
      <c r="B31" s="208" t="str">
        <f>'[1]Flujo de Caja &amp; PayBack'!B25</f>
        <v>Utilidad antes Impto a la Renta</v>
      </c>
      <c r="C31" s="216"/>
      <c r="D31" s="217">
        <f>+D29-D30</f>
        <v>80.94680220000097</v>
      </c>
      <c r="E31" s="217">
        <f>+E29-E30</f>
        <v>-2218.7440129209767</v>
      </c>
      <c r="F31" s="217">
        <f>+F29-F30</f>
        <v>-4123.722254465879</v>
      </c>
      <c r="G31" s="217">
        <f>+G29-G30</f>
        <v>-6018.726985218403</v>
      </c>
      <c r="H31" s="218">
        <f>+H29-H30</f>
        <v>-6717.27466736894</v>
      </c>
      <c r="I31" s="188"/>
      <c r="J31" s="188"/>
      <c r="K31" s="188"/>
      <c r="L31" s="188"/>
      <c r="M31" s="188"/>
    </row>
    <row r="32" spans="1:13" ht="15">
      <c r="A32" s="14"/>
      <c r="B32" s="214" t="s">
        <v>264</v>
      </c>
      <c r="C32" s="215"/>
      <c r="D32" s="210">
        <f>+D31*0.22</f>
        <v>17.808296484000213</v>
      </c>
      <c r="E32" s="210">
        <v>0</v>
      </c>
      <c r="F32" s="210">
        <v>0</v>
      </c>
      <c r="G32" s="210">
        <v>0</v>
      </c>
      <c r="H32" s="211">
        <f>+H31*0.21</f>
        <v>-1410.6276801474773</v>
      </c>
      <c r="I32" s="203"/>
      <c r="J32" s="203"/>
      <c r="K32" s="203"/>
      <c r="L32" s="188"/>
      <c r="M32" s="188"/>
    </row>
    <row r="33" spans="1:13" ht="15.75" thickBot="1">
      <c r="A33" s="14"/>
      <c r="B33" s="219" t="str">
        <f>'[1]Flujo de Caja &amp; PayBack'!B27</f>
        <v>Utilidad Neta</v>
      </c>
      <c r="C33" s="220"/>
      <c r="D33" s="221">
        <f>+D31-D32</f>
        <v>63.138505716000765</v>
      </c>
      <c r="E33" s="221">
        <f>+E31-E32</f>
        <v>-2218.7440129209767</v>
      </c>
      <c r="F33" s="221">
        <f>+F31-F32</f>
        <v>-4123.722254465879</v>
      </c>
      <c r="G33" s="221">
        <f>+G31-G32</f>
        <v>-6018.726985218403</v>
      </c>
      <c r="H33" s="222">
        <f>+H31-H32</f>
        <v>-5306.646987221462</v>
      </c>
      <c r="I33" s="188"/>
      <c r="J33" s="188"/>
      <c r="K33" s="188"/>
      <c r="L33" s="188"/>
      <c r="M33" s="188"/>
    </row>
    <row r="34" spans="1:13" ht="15.75" thickBot="1">
      <c r="A34" s="14"/>
      <c r="B34" s="223"/>
      <c r="C34" s="223"/>
      <c r="D34" s="203"/>
      <c r="E34" s="203"/>
      <c r="F34" s="203"/>
      <c r="G34" s="203"/>
      <c r="H34" s="203"/>
      <c r="I34" s="15"/>
      <c r="J34" s="188"/>
      <c r="K34" s="188"/>
      <c r="L34" s="188"/>
      <c r="M34" s="188"/>
    </row>
    <row r="35" spans="1:13" ht="15">
      <c r="A35" s="14"/>
      <c r="B35" s="224" t="s">
        <v>184</v>
      </c>
      <c r="C35" s="225"/>
      <c r="D35" s="226">
        <f>D21+0</f>
        <v>3228.67</v>
      </c>
      <c r="E35" s="226">
        <f>E21+0</f>
        <v>3228.67</v>
      </c>
      <c r="F35" s="226">
        <f>F21+0</f>
        <v>3228.67</v>
      </c>
      <c r="G35" s="226">
        <f>G21+0</f>
        <v>3228.67</v>
      </c>
      <c r="H35" s="226">
        <f>H21+0</f>
        <v>3228.67</v>
      </c>
      <c r="I35" s="15"/>
      <c r="J35" s="188"/>
      <c r="K35" s="188"/>
      <c r="L35" s="188"/>
      <c r="M35" s="188"/>
    </row>
    <row r="36" spans="1:13" ht="15">
      <c r="A36" s="14"/>
      <c r="B36" s="208" t="s">
        <v>208</v>
      </c>
      <c r="C36" s="227"/>
      <c r="D36" s="87">
        <f>+'Flujo de Caja con Deuda'!D28</f>
        <v>764.2806919725667</v>
      </c>
      <c r="E36" s="87">
        <f>+'Flujo de Caja con Deuda'!E28</f>
        <v>847.2051470515904</v>
      </c>
      <c r="F36" s="87">
        <f>+'Flujo de Caja con Deuda'!F28</f>
        <v>939.126905506688</v>
      </c>
      <c r="G36" s="87">
        <f>+'Flujo de Caja con Deuda'!G28</f>
        <v>1041.0221747541636</v>
      </c>
      <c r="H36" s="87">
        <f>+'Flujo de Caja con Deuda'!H28</f>
        <v>1153.9730807149904</v>
      </c>
      <c r="I36" s="15"/>
      <c r="J36" s="188"/>
      <c r="K36" s="188"/>
      <c r="L36" s="188"/>
      <c r="M36" s="188"/>
    </row>
    <row r="37" spans="1:13" ht="15">
      <c r="A37" s="14"/>
      <c r="B37" s="208" t="s">
        <v>185</v>
      </c>
      <c r="C37" s="227"/>
      <c r="D37" s="210">
        <f>D33+D35-D36</f>
        <v>2527.5278137434343</v>
      </c>
      <c r="E37" s="210">
        <f>E33+E35-E36</f>
        <v>162.72084002743293</v>
      </c>
      <c r="F37" s="210">
        <f>F33+F35-F36</f>
        <v>-1834.1791599725668</v>
      </c>
      <c r="G37" s="210">
        <f>G33+G35-G36</f>
        <v>-3831.0791599725662</v>
      </c>
      <c r="H37" s="211">
        <f>H33+H35-H36</f>
        <v>-3231.9500679364523</v>
      </c>
      <c r="I37" s="15"/>
      <c r="J37" s="188"/>
      <c r="K37" s="188"/>
      <c r="L37" s="188"/>
      <c r="M37" s="188"/>
    </row>
    <row r="38" spans="1:13" ht="15">
      <c r="A38" s="14"/>
      <c r="B38" s="208" t="s">
        <v>154</v>
      </c>
      <c r="C38" s="228">
        <f>+'Flujo de Caja con Deuda'!C30</f>
        <v>-11864.019999999999</v>
      </c>
      <c r="D38" s="210"/>
      <c r="E38" s="210"/>
      <c r="F38" s="210"/>
      <c r="G38" s="210"/>
      <c r="H38" s="211"/>
      <c r="I38" s="15"/>
      <c r="J38" s="188"/>
      <c r="K38" s="188"/>
      <c r="L38" s="188"/>
      <c r="M38" s="188"/>
    </row>
    <row r="39" spans="1:13" ht="15">
      <c r="A39" s="14"/>
      <c r="B39" s="208" t="s">
        <v>186</v>
      </c>
      <c r="C39" s="229">
        <f>+'Flujo de Caja con Deuda'!C31</f>
        <v>-544.56</v>
      </c>
      <c r="D39" s="210"/>
      <c r="E39" s="210"/>
      <c r="F39" s="210"/>
      <c r="G39" s="210"/>
      <c r="H39" s="211"/>
      <c r="I39" s="15"/>
      <c r="J39" s="188"/>
      <c r="K39" s="188"/>
      <c r="L39" s="188"/>
      <c r="M39" s="188"/>
    </row>
    <row r="40" spans="1:13" ht="15">
      <c r="A40" s="14"/>
      <c r="B40" s="208" t="s">
        <v>155</v>
      </c>
      <c r="C40" s="228">
        <f>+'Flujo de Caja con Deuda'!C32</f>
        <v>4745.607999999999</v>
      </c>
      <c r="D40" s="85"/>
      <c r="E40" s="85"/>
      <c r="F40" s="85"/>
      <c r="G40" s="85"/>
      <c r="H40" s="211"/>
      <c r="I40" s="15"/>
      <c r="J40" s="188"/>
      <c r="K40" s="188"/>
      <c r="L40" s="188"/>
      <c r="M40" s="188"/>
    </row>
    <row r="41" spans="1:13" ht="15">
      <c r="A41" s="14"/>
      <c r="B41" s="230" t="s">
        <v>130</v>
      </c>
      <c r="C41" s="231"/>
      <c r="D41" s="85"/>
      <c r="E41" s="85"/>
      <c r="F41" s="85"/>
      <c r="G41" s="85"/>
      <c r="H41" s="211">
        <f>+'Flujo de Caja con Deuda'!H33</f>
        <v>10196.964900925352</v>
      </c>
      <c r="I41" s="15"/>
      <c r="J41" s="188"/>
      <c r="K41" s="188"/>
      <c r="L41" s="188"/>
      <c r="M41" s="188"/>
    </row>
    <row r="42" spans="1:13" ht="15.75" thickBot="1">
      <c r="A42" s="14"/>
      <c r="B42" s="208" t="s">
        <v>156</v>
      </c>
      <c r="C42" s="232">
        <f>SUM(C38:C40)</f>
        <v>-7662.971999999999</v>
      </c>
      <c r="D42" s="233">
        <f>D37+D40</f>
        <v>2527.5278137434343</v>
      </c>
      <c r="E42" s="233">
        <f>E37+E40</f>
        <v>162.72084002743293</v>
      </c>
      <c r="F42" s="233">
        <f>F37+F40</f>
        <v>-1834.1791599725668</v>
      </c>
      <c r="G42" s="233">
        <f>G37+G40</f>
        <v>-3831.0791599725662</v>
      </c>
      <c r="H42" s="234">
        <f>H37+H41</f>
        <v>6965.0148329889</v>
      </c>
      <c r="I42" s="15"/>
      <c r="J42" s="188"/>
      <c r="K42" s="188"/>
      <c r="L42" s="188"/>
      <c r="M42" s="188"/>
    </row>
    <row r="43" spans="1:13" ht="15">
      <c r="A43" s="14"/>
      <c r="B43" s="235" t="s">
        <v>157</v>
      </c>
      <c r="C43" s="236">
        <f>+D75</f>
        <v>0.112573</v>
      </c>
      <c r="D43" s="188"/>
      <c r="E43" s="188"/>
      <c r="F43" s="188"/>
      <c r="G43" s="188"/>
      <c r="H43" s="188"/>
      <c r="I43" s="15"/>
      <c r="J43" s="188"/>
      <c r="K43" s="188"/>
      <c r="L43" s="188"/>
      <c r="M43" s="188"/>
    </row>
    <row r="44" spans="1:13" ht="15">
      <c r="A44" s="14"/>
      <c r="B44" s="237" t="s">
        <v>159</v>
      </c>
      <c r="C44" s="238">
        <f>NPV(C43,D42:H42)+C42</f>
        <v>-5006.144760268307</v>
      </c>
      <c r="D44" s="239"/>
      <c r="E44" s="14"/>
      <c r="F44" s="188"/>
      <c r="G44" s="188"/>
      <c r="H44" s="188"/>
      <c r="I44" s="15"/>
      <c r="J44" s="188"/>
      <c r="K44" s="188"/>
      <c r="L44" s="188"/>
      <c r="M44" s="188"/>
    </row>
    <row r="45" spans="1:13" ht="15.75" thickBot="1">
      <c r="A45" s="14"/>
      <c r="B45" s="240" t="s">
        <v>158</v>
      </c>
      <c r="C45" s="241">
        <f>IRR(C42:H42)</f>
        <v>-0.13093722882130615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</row>
    <row r="46" spans="1:13" ht="15">
      <c r="A46" s="14"/>
      <c r="B46" s="223"/>
      <c r="C46" s="242"/>
      <c r="D46" s="188"/>
      <c r="E46" s="188"/>
      <c r="F46" s="188"/>
      <c r="G46" s="188"/>
      <c r="H46" s="188"/>
      <c r="I46" s="188"/>
      <c r="J46" s="188"/>
      <c r="K46" s="188"/>
      <c r="L46" s="188"/>
      <c r="M46" s="188"/>
    </row>
    <row r="47" spans="1:13" ht="15">
      <c r="A47" s="14"/>
      <c r="B47" s="223"/>
      <c r="C47" s="242"/>
      <c r="D47" s="188"/>
      <c r="E47" s="188"/>
      <c r="F47" s="188"/>
      <c r="G47" s="188"/>
      <c r="H47" s="188"/>
      <c r="I47" s="188"/>
      <c r="J47" s="188"/>
      <c r="K47" s="188"/>
      <c r="L47" s="188"/>
      <c r="M47" s="188"/>
    </row>
    <row r="48" spans="1:13" ht="15">
      <c r="A48" s="14"/>
      <c r="B48" s="223"/>
      <c r="C48" s="242"/>
      <c r="D48" s="188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1:13" ht="15.75" thickBot="1">
      <c r="A49" s="14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1:13" ht="15.75" thickBot="1">
      <c r="A50" s="14"/>
      <c r="B50" s="632" t="s">
        <v>167</v>
      </c>
      <c r="C50" s="633"/>
      <c r="D50" s="633"/>
      <c r="E50" s="633"/>
      <c r="F50" s="633"/>
      <c r="G50" s="633"/>
      <c r="H50" s="634"/>
      <c r="I50" s="188"/>
      <c r="J50" s="188"/>
      <c r="K50" s="188"/>
      <c r="L50" s="188"/>
      <c r="M50" s="188"/>
    </row>
    <row r="51" spans="1:13" ht="15.75" thickBot="1">
      <c r="A51" s="14"/>
      <c r="B51" s="197"/>
      <c r="C51" s="197"/>
      <c r="D51" s="197"/>
      <c r="E51" s="197"/>
      <c r="F51" s="197"/>
      <c r="G51" s="197"/>
      <c r="H51" s="197"/>
      <c r="I51" s="188"/>
      <c r="J51" s="188"/>
      <c r="K51" s="188"/>
      <c r="L51" s="188"/>
      <c r="M51" s="188"/>
    </row>
    <row r="52" spans="1:13" ht="15.75" thickBot="1">
      <c r="A52" s="14"/>
      <c r="B52" s="188"/>
      <c r="C52" s="422" t="str">
        <f>'[1]Flujo de Caja &amp; PayBack'!C47</f>
        <v>Año 0</v>
      </c>
      <c r="D52" s="423" t="str">
        <f>'[1]Flujo de Caja &amp; PayBack'!D47</f>
        <v>Año 1</v>
      </c>
      <c r="E52" s="423" t="str">
        <f>'[1]Flujo de Caja &amp; PayBack'!E47</f>
        <v>Año 2</v>
      </c>
      <c r="F52" s="423" t="str">
        <f>'[1]Flujo de Caja &amp; PayBack'!F47</f>
        <v>Año 3</v>
      </c>
      <c r="G52" s="423" t="str">
        <f>'[1]Flujo de Caja &amp; PayBack'!G47</f>
        <v>Año 4</v>
      </c>
      <c r="H52" s="424" t="str">
        <f>'[1]Flujo de Caja &amp; PayBack'!H47</f>
        <v>Año 5</v>
      </c>
      <c r="I52" s="188"/>
      <c r="J52" s="188"/>
      <c r="K52" s="188"/>
      <c r="L52" s="188"/>
      <c r="M52" s="188"/>
    </row>
    <row r="53" spans="1:13" ht="15">
      <c r="A53" s="14"/>
      <c r="B53" s="243" t="s">
        <v>168</v>
      </c>
      <c r="C53" s="244">
        <f aca="true" t="shared" si="0" ref="C53:H53">C42</f>
        <v>-7662.971999999999</v>
      </c>
      <c r="D53" s="245">
        <f t="shared" si="0"/>
        <v>2527.5278137434343</v>
      </c>
      <c r="E53" s="245">
        <f t="shared" si="0"/>
        <v>162.72084002743293</v>
      </c>
      <c r="F53" s="245">
        <f t="shared" si="0"/>
        <v>-1834.1791599725668</v>
      </c>
      <c r="G53" s="245">
        <f t="shared" si="0"/>
        <v>-3831.0791599725662</v>
      </c>
      <c r="H53" s="246">
        <f t="shared" si="0"/>
        <v>6965.0148329889</v>
      </c>
      <c r="I53" s="247"/>
      <c r="J53" s="247"/>
      <c r="K53" s="247"/>
      <c r="L53" s="247"/>
      <c r="M53" s="247"/>
    </row>
    <row r="54" spans="1:13" ht="15">
      <c r="A54" s="14"/>
      <c r="B54" s="248" t="s">
        <v>169</v>
      </c>
      <c r="C54" s="244">
        <f>C53</f>
        <v>-7662.971999999999</v>
      </c>
      <c r="D54" s="245">
        <f>D53/(1+$C$43)^1</f>
        <v>2271.786043471695</v>
      </c>
      <c r="E54" s="245">
        <f>E53/(1+$C$43)^1</f>
        <v>146.25632657581383</v>
      </c>
      <c r="F54" s="245">
        <f>F53/(1+$C$43)^1</f>
        <v>-1648.5921912293097</v>
      </c>
      <c r="G54" s="245">
        <f>G53/(1+$C$43)^1</f>
        <v>-3443.440709034433</v>
      </c>
      <c r="H54" s="246">
        <f>H53/(1+$C$43)^1</f>
        <v>6260.276703631042</v>
      </c>
      <c r="I54" s="247"/>
      <c r="J54" s="247"/>
      <c r="K54" s="247"/>
      <c r="L54" s="247"/>
      <c r="M54" s="247"/>
    </row>
    <row r="55" spans="1:13" ht="15.75" thickBot="1">
      <c r="A55" s="14"/>
      <c r="B55" s="249" t="s">
        <v>170</v>
      </c>
      <c r="C55" s="250">
        <f>C54</f>
        <v>-7662.971999999999</v>
      </c>
      <c r="D55" s="251">
        <f>C55+D54</f>
        <v>-5391.185956528304</v>
      </c>
      <c r="E55" s="251">
        <f>D55+E54</f>
        <v>-5244.92962995249</v>
      </c>
      <c r="F55" s="251">
        <f>E55+F54</f>
        <v>-6893.5218211818</v>
      </c>
      <c r="G55" s="251">
        <f>F55+G54</f>
        <v>-10336.962530216233</v>
      </c>
      <c r="H55" s="252">
        <f>G55+H54</f>
        <v>-4076.6858265851906</v>
      </c>
      <c r="I55" s="247"/>
      <c r="J55" s="247"/>
      <c r="K55" s="247"/>
      <c r="L55" s="247"/>
      <c r="M55" s="247"/>
    </row>
    <row r="56" spans="1:13" ht="15.75" thickBot="1">
      <c r="A56" s="14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</row>
    <row r="57" spans="1:13" ht="16.5" thickBot="1">
      <c r="A57" s="14"/>
      <c r="B57" s="188"/>
      <c r="C57" s="188"/>
      <c r="D57" s="188"/>
      <c r="E57" s="253" t="s">
        <v>167</v>
      </c>
      <c r="F57" s="635" t="s">
        <v>243</v>
      </c>
      <c r="G57" s="636"/>
      <c r="H57" s="637"/>
      <c r="I57" s="188"/>
      <c r="J57" s="188"/>
      <c r="K57" s="188"/>
      <c r="L57" s="188"/>
      <c r="M57" s="188"/>
    </row>
    <row r="58" spans="1:13" ht="15">
      <c r="A58" s="14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</row>
    <row r="59" spans="1:13" ht="15.75" thickBot="1">
      <c r="A59" s="14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</row>
    <row r="60" spans="1:13" ht="15">
      <c r="A60" s="14"/>
      <c r="B60" s="188"/>
      <c r="C60" s="254"/>
      <c r="D60" s="254"/>
      <c r="E60" s="254"/>
      <c r="F60" s="243" t="s">
        <v>171</v>
      </c>
      <c r="G60" s="255">
        <v>0.6</v>
      </c>
      <c r="H60" s="188"/>
      <c r="I60" s="188"/>
      <c r="J60" s="188"/>
      <c r="K60" s="188"/>
      <c r="L60" s="188"/>
      <c r="M60" s="188"/>
    </row>
    <row r="61" spans="1:13" ht="15.75" thickBot="1">
      <c r="A61" s="14"/>
      <c r="B61" s="256"/>
      <c r="C61" s="257"/>
      <c r="D61" s="254"/>
      <c r="E61" s="254"/>
      <c r="F61" s="249" t="s">
        <v>187</v>
      </c>
      <c r="G61" s="258">
        <v>0.4</v>
      </c>
      <c r="H61" s="188"/>
      <c r="I61" s="188"/>
      <c r="J61" s="188"/>
      <c r="K61" s="188"/>
      <c r="L61" s="188"/>
      <c r="M61" s="188"/>
    </row>
    <row r="62" spans="1:13" ht="15">
      <c r="A62" s="14"/>
      <c r="B62" s="259"/>
      <c r="C62" s="260"/>
      <c r="D62" s="254"/>
      <c r="E62" s="254"/>
      <c r="F62" s="188"/>
      <c r="G62" s="188"/>
      <c r="H62" s="188"/>
      <c r="I62" s="188"/>
      <c r="J62" s="188"/>
      <c r="K62" s="188"/>
      <c r="L62" s="188"/>
      <c r="M62" s="188"/>
    </row>
    <row r="63" spans="1:13" ht="15.75" thickBot="1">
      <c r="A63" s="14"/>
      <c r="B63" s="259"/>
      <c r="C63" s="260"/>
      <c r="D63" s="188"/>
      <c r="E63" s="188"/>
      <c r="F63" s="188"/>
      <c r="G63" s="188"/>
      <c r="H63" s="188"/>
      <c r="I63" s="188"/>
      <c r="J63" s="188"/>
      <c r="K63" s="188"/>
      <c r="L63" s="188"/>
      <c r="M63" s="188"/>
    </row>
    <row r="64" spans="1:13" ht="18.75" thickBot="1">
      <c r="A64" s="14"/>
      <c r="B64" s="259"/>
      <c r="C64" s="260"/>
      <c r="D64" s="618" t="s">
        <v>172</v>
      </c>
      <c r="E64" s="620"/>
      <c r="F64" s="254"/>
      <c r="G64" s="254"/>
      <c r="H64" s="188"/>
      <c r="I64" s="188"/>
      <c r="J64" s="188"/>
      <c r="K64" s="188"/>
      <c r="L64" s="188"/>
      <c r="M64" s="188"/>
    </row>
    <row r="65" spans="1:13" ht="15" customHeight="1" thickBot="1">
      <c r="A65" s="14"/>
      <c r="B65" s="259"/>
      <c r="C65" s="261"/>
      <c r="D65" s="254"/>
      <c r="E65" s="254"/>
      <c r="F65" s="254"/>
      <c r="G65" s="254"/>
      <c r="H65" s="188"/>
      <c r="I65" s="188"/>
      <c r="J65" s="188"/>
      <c r="K65" s="188"/>
      <c r="L65" s="188"/>
      <c r="M65" s="188"/>
    </row>
    <row r="66" spans="1:13" ht="15">
      <c r="A66" s="14"/>
      <c r="B66" s="259"/>
      <c r="C66" s="262"/>
      <c r="D66" s="638" t="str">
        <f>'[1]Flujo de Caja &amp; PayBack'!D61:E61</f>
        <v>Rentabilidad del Activo</v>
      </c>
      <c r="E66" s="639"/>
      <c r="F66" s="254"/>
      <c r="G66" s="254"/>
      <c r="H66" s="188"/>
      <c r="I66" s="188"/>
      <c r="J66" s="188"/>
      <c r="K66" s="188"/>
      <c r="L66" s="188"/>
      <c r="M66" s="188"/>
    </row>
    <row r="67" spans="1:13" ht="15">
      <c r="A67" s="14"/>
      <c r="B67" s="254"/>
      <c r="C67" s="254"/>
      <c r="D67" s="248" t="str">
        <f>'[1]Flujo de Caja &amp; PayBack'!D62</f>
        <v>Rf</v>
      </c>
      <c r="E67" s="161">
        <f>+'Flujo de Caja con Deuda'!E58</f>
        <v>0.0461</v>
      </c>
      <c r="F67" s="254" t="str">
        <f>'[1]Flujo de Caja &amp; PayBack'!F62:K62</f>
        <v>Tasa de Descuento de Bonos del Tesosoro EEUU para plazo similar al proyecto: Yahoo Finanzas</v>
      </c>
      <c r="G67" s="254"/>
      <c r="H67" s="188"/>
      <c r="I67" s="188"/>
      <c r="J67" s="188"/>
      <c r="K67" s="188"/>
      <c r="L67" s="188"/>
      <c r="M67" s="188"/>
    </row>
    <row r="68" spans="1:13" ht="15">
      <c r="A68" s="14"/>
      <c r="B68" s="188"/>
      <c r="C68" s="188"/>
      <c r="D68" s="248" t="str">
        <f>'[1]Flujo de Caja &amp; PayBack'!D63</f>
        <v>Rm</v>
      </c>
      <c r="E68" s="161">
        <f>+'Flujo de Caja con Deuda'!E59</f>
        <v>0.033</v>
      </c>
      <c r="F68" s="254" t="str">
        <f>'[1]Flujo de Caja &amp; PayBack'!F63:K63</f>
        <v>Rentabilidad del Mercado</v>
      </c>
      <c r="G68" s="188"/>
      <c r="H68" s="188"/>
      <c r="I68" s="188"/>
      <c r="J68" s="188"/>
      <c r="K68" s="188"/>
      <c r="L68" s="188"/>
      <c r="M68" s="188"/>
    </row>
    <row r="69" spans="1:13" ht="15">
      <c r="A69" s="14"/>
      <c r="B69" s="188"/>
      <c r="C69" s="188"/>
      <c r="D69" s="248" t="str">
        <f>'[1]Flujo de Caja &amp; PayBack'!D64</f>
        <v>Beta</v>
      </c>
      <c r="E69" s="263">
        <f>'Indicadores Financieros'!D58</f>
        <v>1.17</v>
      </c>
      <c r="F69" s="254" t="s">
        <v>211</v>
      </c>
      <c r="G69" s="188"/>
      <c r="H69" s="188"/>
      <c r="I69" s="188"/>
      <c r="J69" s="188"/>
      <c r="K69" s="188"/>
      <c r="L69" s="188"/>
      <c r="M69" s="188"/>
    </row>
    <row r="70" spans="1:13" ht="15">
      <c r="A70" s="14"/>
      <c r="B70" s="188"/>
      <c r="C70" s="188"/>
      <c r="D70" s="248" t="str">
        <f>'[1]Flujo de Caja &amp; PayBack'!D65</f>
        <v>Riesgo País</v>
      </c>
      <c r="E70" s="161">
        <f>+'Flujo de Caja con Deuda'!E61</f>
        <v>0.0818</v>
      </c>
      <c r="F70" s="254" t="str">
        <f>'[1]Flujo de Caja &amp; PayBack'!F65:K65</f>
        <v>Banco Central del Ecuador</v>
      </c>
      <c r="G70" s="188"/>
      <c r="H70" s="188"/>
      <c r="I70" s="188"/>
      <c r="J70" s="188"/>
      <c r="K70" s="188"/>
      <c r="L70" s="188"/>
      <c r="M70" s="188"/>
    </row>
    <row r="71" spans="1:13" ht="15.75" thickBot="1">
      <c r="A71" s="14"/>
      <c r="B71" s="188"/>
      <c r="C71" s="188"/>
      <c r="D71" s="249" t="str">
        <f>'[1]Flujo de Caja &amp; PayBack'!D66</f>
        <v>Re </v>
      </c>
      <c r="E71" s="264">
        <f>+(E67+(E69*(E68-E67)))</f>
        <v>0.030773000000000002</v>
      </c>
      <c r="F71" s="254"/>
      <c r="G71" s="188"/>
      <c r="H71" s="188"/>
      <c r="I71" s="188"/>
      <c r="J71" s="188"/>
      <c r="K71" s="188"/>
      <c r="L71" s="188"/>
      <c r="M71" s="188"/>
    </row>
    <row r="72" spans="1:13" ht="15">
      <c r="A72" s="14"/>
      <c r="B72" s="188"/>
      <c r="C72" s="188"/>
      <c r="D72" s="254"/>
      <c r="E72" s="188"/>
      <c r="F72" s="188"/>
      <c r="G72" s="188"/>
      <c r="H72" s="188"/>
      <c r="I72" s="188"/>
      <c r="J72" s="188"/>
      <c r="K72" s="188"/>
      <c r="L72" s="188"/>
      <c r="M72" s="188"/>
    </row>
    <row r="73" spans="1:13" ht="15.75" thickBot="1">
      <c r="A73" s="14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</row>
    <row r="74" spans="1:13" ht="15">
      <c r="A74" s="14"/>
      <c r="B74" s="188"/>
      <c r="C74" s="265" t="s">
        <v>188</v>
      </c>
      <c r="D74" s="640" t="s">
        <v>182</v>
      </c>
      <c r="E74" s="641"/>
      <c r="F74" s="188"/>
      <c r="G74" s="188"/>
      <c r="H74" s="188"/>
      <c r="I74" s="188"/>
      <c r="J74" s="188"/>
      <c r="K74" s="188"/>
      <c r="L74" s="188"/>
      <c r="M74" s="188"/>
    </row>
    <row r="75" spans="1:13" ht="15.75" thickBot="1">
      <c r="A75" s="14"/>
      <c r="B75" s="188"/>
      <c r="C75" s="266" t="s">
        <v>188</v>
      </c>
      <c r="D75" s="612">
        <f>+E71+E70</f>
        <v>0.112573</v>
      </c>
      <c r="E75" s="613"/>
      <c r="F75" s="188"/>
      <c r="G75" s="15"/>
      <c r="H75" s="608"/>
      <c r="I75" s="627"/>
      <c r="J75" s="627"/>
      <c r="K75" s="627"/>
      <c r="L75" s="627"/>
      <c r="M75" s="627"/>
    </row>
    <row r="76" spans="2:13" ht="15">
      <c r="B76" s="10"/>
      <c r="C76" s="10"/>
      <c r="D76" s="10"/>
      <c r="E76" s="10"/>
      <c r="F76" s="10"/>
      <c r="G76" s="10"/>
      <c r="H76" s="13"/>
      <c r="I76" s="10"/>
      <c r="J76" s="10"/>
      <c r="K76" s="10"/>
      <c r="L76" s="10"/>
      <c r="M76" s="10"/>
    </row>
  </sheetData>
  <sheetProtection/>
  <mergeCells count="11">
    <mergeCell ref="D75:E75"/>
    <mergeCell ref="H75:M75"/>
    <mergeCell ref="F6:G6"/>
    <mergeCell ref="B13:H13"/>
    <mergeCell ref="B19:H19"/>
    <mergeCell ref="B27:H27"/>
    <mergeCell ref="B50:H50"/>
    <mergeCell ref="F57:H57"/>
    <mergeCell ref="D64:E64"/>
    <mergeCell ref="D66:E66"/>
    <mergeCell ref="D74:E7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F36"/>
  <sheetViews>
    <sheetView zoomScalePageLayoutView="0" workbookViewId="0" topLeftCell="A28">
      <selection activeCell="G31" sqref="G31"/>
    </sheetView>
  </sheetViews>
  <sheetFormatPr defaultColWidth="11.421875" defaultRowHeight="15"/>
  <cols>
    <col min="1" max="1" width="11.421875" style="0" customWidth="1"/>
    <col min="2" max="2" width="10.00390625" style="0" customWidth="1"/>
    <col min="3" max="3" width="12.00390625" style="0" customWidth="1"/>
    <col min="4" max="4" width="7.7109375" style="0" customWidth="1"/>
    <col min="5" max="5" width="9.7109375" style="0" customWidth="1"/>
    <col min="6" max="6" width="10.8515625" style="0" customWidth="1"/>
  </cols>
  <sheetData>
    <row r="2" ht="15.75" thickBot="1"/>
    <row r="3" spans="2:6" ht="15">
      <c r="B3" s="515" t="s">
        <v>212</v>
      </c>
      <c r="C3" s="642"/>
      <c r="D3" s="642"/>
      <c r="E3" s="642"/>
      <c r="F3" s="643"/>
    </row>
    <row r="4" spans="2:6" ht="15">
      <c r="B4" s="401" t="s">
        <v>213</v>
      </c>
      <c r="C4" s="402" t="s">
        <v>159</v>
      </c>
      <c r="D4" s="402" t="s">
        <v>158</v>
      </c>
      <c r="E4" s="402" t="s">
        <v>157</v>
      </c>
      <c r="F4" s="403" t="s">
        <v>214</v>
      </c>
    </row>
    <row r="5" spans="2:6" ht="15">
      <c r="B5" s="178">
        <v>-0.1</v>
      </c>
      <c r="C5" s="179">
        <v>-5006.14</v>
      </c>
      <c r="D5" s="180">
        <v>-0.13</v>
      </c>
      <c r="E5" s="181">
        <v>0.1126</v>
      </c>
      <c r="F5" s="182" t="s">
        <v>216</v>
      </c>
    </row>
    <row r="6" spans="2:6" ht="15">
      <c r="B6" s="450">
        <v>-0.05</v>
      </c>
      <c r="C6" s="465">
        <v>778.65</v>
      </c>
      <c r="D6" s="452">
        <v>0.14</v>
      </c>
      <c r="E6" s="453">
        <f>+'Flujo de Sensibilidad'!C43</f>
        <v>0.112573</v>
      </c>
      <c r="F6" s="454" t="s">
        <v>215</v>
      </c>
    </row>
    <row r="7" spans="2:6" ht="15">
      <c r="B7" s="173">
        <v>0</v>
      </c>
      <c r="C7" s="25">
        <v>6563.44</v>
      </c>
      <c r="D7" s="171">
        <v>0.33</v>
      </c>
      <c r="E7" s="168">
        <f>+E6</f>
        <v>0.112573</v>
      </c>
      <c r="F7" s="466" t="s">
        <v>215</v>
      </c>
    </row>
    <row r="8" spans="2:6" ht="15">
      <c r="B8" s="169">
        <v>0.05</v>
      </c>
      <c r="C8" s="25">
        <v>12348.23</v>
      </c>
      <c r="D8" s="171">
        <v>0.48</v>
      </c>
      <c r="E8" s="168">
        <f>+E7</f>
        <v>0.112573</v>
      </c>
      <c r="F8" s="172" t="s">
        <v>215</v>
      </c>
    </row>
    <row r="9" spans="2:6" ht="15">
      <c r="B9" s="183">
        <v>0.1</v>
      </c>
      <c r="C9" s="184">
        <v>18133.02</v>
      </c>
      <c r="D9" s="185">
        <v>0.6</v>
      </c>
      <c r="E9" s="186">
        <f>+E8</f>
        <v>0.112573</v>
      </c>
      <c r="F9" s="187" t="s">
        <v>215</v>
      </c>
    </row>
    <row r="28" ht="15.75" thickBot="1"/>
    <row r="29" spans="2:6" ht="15">
      <c r="B29" s="566" t="s">
        <v>244</v>
      </c>
      <c r="C29" s="644"/>
      <c r="D29" s="644"/>
      <c r="E29" s="644"/>
      <c r="F29" s="645"/>
    </row>
    <row r="30" spans="2:6" ht="15">
      <c r="B30" s="401" t="s">
        <v>213</v>
      </c>
      <c r="C30" s="402" t="s">
        <v>159</v>
      </c>
      <c r="D30" s="402" t="s">
        <v>158</v>
      </c>
      <c r="E30" s="402" t="s">
        <v>157</v>
      </c>
      <c r="F30" s="403" t="s">
        <v>214</v>
      </c>
    </row>
    <row r="31" spans="2:6" ht="15">
      <c r="B31" s="169">
        <v>-0.05</v>
      </c>
      <c r="C31" s="170">
        <v>9079.26</v>
      </c>
      <c r="D31" s="171">
        <v>0.41</v>
      </c>
      <c r="E31" s="168">
        <f aca="true" t="shared" si="0" ref="E31:E36">+$E$7</f>
        <v>0.112573</v>
      </c>
      <c r="F31" s="172" t="s">
        <v>215</v>
      </c>
    </row>
    <row r="32" spans="2:6" ht="15">
      <c r="B32" s="173">
        <v>0</v>
      </c>
      <c r="C32" s="170">
        <v>6621.29</v>
      </c>
      <c r="D32" s="171">
        <v>0.33</v>
      </c>
      <c r="E32" s="168">
        <f t="shared" si="0"/>
        <v>0.112573</v>
      </c>
      <c r="F32" s="172" t="s">
        <v>215</v>
      </c>
    </row>
    <row r="33" spans="2:6" ht="15">
      <c r="B33" s="450">
        <v>0.05</v>
      </c>
      <c r="C33" s="451">
        <v>3998.54</v>
      </c>
      <c r="D33" s="452">
        <v>0.25</v>
      </c>
      <c r="E33" s="453">
        <f t="shared" si="0"/>
        <v>0.112573</v>
      </c>
      <c r="F33" s="454" t="s">
        <v>215</v>
      </c>
    </row>
    <row r="34" spans="2:6" ht="15">
      <c r="B34" s="450">
        <v>0.1</v>
      </c>
      <c r="C34" s="451">
        <v>1186.13</v>
      </c>
      <c r="D34" s="452">
        <v>0.15</v>
      </c>
      <c r="E34" s="453">
        <f t="shared" si="0"/>
        <v>0.112573</v>
      </c>
      <c r="F34" s="454" t="s">
        <v>215</v>
      </c>
    </row>
    <row r="35" spans="2:6" ht="15">
      <c r="B35" s="355">
        <v>0.15</v>
      </c>
      <c r="C35" s="356">
        <v>-1832.97</v>
      </c>
      <c r="D35" s="357">
        <v>0.04</v>
      </c>
      <c r="E35" s="358">
        <f t="shared" si="0"/>
        <v>0.112573</v>
      </c>
      <c r="F35" s="359" t="s">
        <v>245</v>
      </c>
    </row>
    <row r="36" spans="2:6" ht="15">
      <c r="B36" s="174">
        <v>0.2</v>
      </c>
      <c r="C36" s="175">
        <v>-5076.94</v>
      </c>
      <c r="D36" s="176">
        <v>-0.09</v>
      </c>
      <c r="E36" s="358">
        <f t="shared" si="0"/>
        <v>0.112573</v>
      </c>
      <c r="F36" s="177" t="str">
        <f>+F35</f>
        <v>No Factible</v>
      </c>
    </row>
  </sheetData>
  <sheetProtection/>
  <mergeCells count="2">
    <mergeCell ref="B3:F3"/>
    <mergeCell ref="B29:F2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58"/>
  <sheetViews>
    <sheetView tabSelected="1" zoomScale="154" zoomScaleNormal="154" zoomScalePageLayoutView="0" workbookViewId="0" topLeftCell="C1">
      <selection activeCell="I52" sqref="I52:J52"/>
    </sheetView>
  </sheetViews>
  <sheetFormatPr defaultColWidth="11.421875" defaultRowHeight="15"/>
  <cols>
    <col min="1" max="8" width="11.421875" style="0" customWidth="1"/>
    <col min="9" max="9" width="11.57421875" style="0" bestFit="1" customWidth="1"/>
    <col min="10" max="10" width="11.421875" style="0" customWidth="1"/>
    <col min="11" max="11" width="16.28125" style="0" customWidth="1"/>
  </cols>
  <sheetData>
    <row r="1" spans="2:11" ht="15"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3:5" ht="15">
      <c r="C3" t="s">
        <v>189</v>
      </c>
      <c r="E3" t="s">
        <v>190</v>
      </c>
    </row>
    <row r="5" spans="4:5" ht="15.75" thickBot="1">
      <c r="D5" s="647" t="s">
        <v>157</v>
      </c>
      <c r="E5" s="648"/>
    </row>
    <row r="6" spans="4:11" ht="15.75" thickBot="1">
      <c r="D6" s="647" t="s">
        <v>191</v>
      </c>
      <c r="E6" s="648"/>
      <c r="I6" s="413" t="s">
        <v>231</v>
      </c>
      <c r="J6" s="553" t="s">
        <v>230</v>
      </c>
      <c r="K6" s="554"/>
    </row>
    <row r="7" spans="4:6" ht="15">
      <c r="D7" s="378" t="s">
        <v>192</v>
      </c>
      <c r="E7" s="166">
        <v>0.0461</v>
      </c>
      <c r="F7" t="s">
        <v>175</v>
      </c>
    </row>
    <row r="8" spans="4:6" ht="15.75" thickBot="1">
      <c r="D8" s="378" t="s">
        <v>193</v>
      </c>
      <c r="E8" s="49">
        <v>1.17</v>
      </c>
      <c r="F8" t="s">
        <v>178</v>
      </c>
    </row>
    <row r="9" spans="4:13" ht="15.75" thickBot="1">
      <c r="D9" s="378" t="s">
        <v>194</v>
      </c>
      <c r="E9" s="166">
        <v>0.033</v>
      </c>
      <c r="F9" t="s">
        <v>177</v>
      </c>
      <c r="I9" s="555" t="s">
        <v>272</v>
      </c>
      <c r="J9" s="556"/>
      <c r="K9" s="649" t="s">
        <v>292</v>
      </c>
      <c r="L9" s="649"/>
      <c r="M9" s="650"/>
    </row>
    <row r="10" spans="4:6" ht="15.75" thickBot="1">
      <c r="D10" s="378" t="s">
        <v>195</v>
      </c>
      <c r="E10" s="166">
        <v>0.0818</v>
      </c>
      <c r="F10" t="s">
        <v>196</v>
      </c>
    </row>
    <row r="11" spans="4:11" ht="15.75" thickBot="1">
      <c r="D11" s="378" t="s">
        <v>197</v>
      </c>
      <c r="E11" s="166">
        <f>E7+(E8*(E9-E7))+E10</f>
        <v>0.112573</v>
      </c>
      <c r="F11" t="s">
        <v>210</v>
      </c>
      <c r="I11" s="555" t="s">
        <v>272</v>
      </c>
      <c r="J11" s="556"/>
      <c r="K11" s="165">
        <f>E11</f>
        <v>0.112573</v>
      </c>
    </row>
    <row r="14" spans="3:5" ht="15.75" thickBot="1">
      <c r="C14" t="s">
        <v>198</v>
      </c>
      <c r="E14" t="s">
        <v>199</v>
      </c>
    </row>
    <row r="15" spans="8:11" ht="15.75" thickBot="1">
      <c r="H15" s="555" t="s">
        <v>273</v>
      </c>
      <c r="I15" s="556"/>
      <c r="J15" s="163" t="s">
        <v>234</v>
      </c>
      <c r="K15" s="412"/>
    </row>
    <row r="16" spans="4:5" ht="15.75" thickBot="1">
      <c r="D16" s="647" t="s">
        <v>200</v>
      </c>
      <c r="E16" s="648"/>
    </row>
    <row r="17" spans="4:12" ht="15.75" thickBot="1">
      <c r="D17" s="647" t="s">
        <v>191</v>
      </c>
      <c r="E17" s="648"/>
      <c r="H17" s="399" t="s">
        <v>274</v>
      </c>
      <c r="I17" s="654" t="s">
        <v>300</v>
      </c>
      <c r="J17" s="649"/>
      <c r="K17" s="649"/>
      <c r="L17" s="650"/>
    </row>
    <row r="18" spans="4:6" ht="15">
      <c r="D18" s="378" t="s">
        <v>201</v>
      </c>
      <c r="E18" s="166">
        <v>0.1085</v>
      </c>
      <c r="F18" t="s">
        <v>275</v>
      </c>
    </row>
    <row r="19" spans="4:6" ht="15">
      <c r="D19" s="378" t="s">
        <v>202</v>
      </c>
      <c r="E19" s="49">
        <v>0.22</v>
      </c>
      <c r="F19" t="s">
        <v>276</v>
      </c>
    </row>
    <row r="20" spans="4:6" ht="15">
      <c r="D20" s="378" t="s">
        <v>232</v>
      </c>
      <c r="E20" s="49">
        <f>Inversion!F7/Inversion!B16</f>
        <v>0.39999999999999997</v>
      </c>
      <c r="F20" t="s">
        <v>277</v>
      </c>
    </row>
    <row r="21" spans="4:6" ht="15">
      <c r="D21" s="378" t="s">
        <v>233</v>
      </c>
      <c r="E21" s="49">
        <f>Inversion!F11/Inversion!B16</f>
        <v>0.6</v>
      </c>
      <c r="F21" t="s">
        <v>278</v>
      </c>
    </row>
    <row r="22" spans="4:5" ht="15">
      <c r="D22" s="378" t="s">
        <v>197</v>
      </c>
      <c r="E22" s="167">
        <f>+E11</f>
        <v>0.112573</v>
      </c>
    </row>
    <row r="23" spans="4:5" ht="15">
      <c r="D23" s="378" t="s">
        <v>200</v>
      </c>
      <c r="E23" s="166">
        <f>(E18*((1-E19)*E20))+(E22*E21)</f>
        <v>0.10139580000000001</v>
      </c>
    </row>
    <row r="27" ht="15">
      <c r="C27" t="s">
        <v>203</v>
      </c>
    </row>
    <row r="28" ht="15">
      <c r="C28" t="s">
        <v>204</v>
      </c>
    </row>
    <row r="30" ht="15">
      <c r="C30" t="s">
        <v>205</v>
      </c>
    </row>
    <row r="31" ht="15">
      <c r="C31" t="s">
        <v>206</v>
      </c>
    </row>
    <row r="33" ht="15">
      <c r="C33" t="s">
        <v>279</v>
      </c>
    </row>
    <row r="34" ht="15">
      <c r="C34" t="s">
        <v>280</v>
      </c>
    </row>
    <row r="35" ht="15">
      <c r="C35" t="s">
        <v>281</v>
      </c>
    </row>
    <row r="36" ht="15">
      <c r="C36" t="s">
        <v>282</v>
      </c>
    </row>
    <row r="39" ht="15">
      <c r="C39" t="s">
        <v>207</v>
      </c>
    </row>
    <row r="40" ht="15">
      <c r="C40" t="s">
        <v>206</v>
      </c>
    </row>
    <row r="42" ht="15">
      <c r="C42" t="s">
        <v>283</v>
      </c>
    </row>
    <row r="43" ht="15">
      <c r="C43" t="s">
        <v>284</v>
      </c>
    </row>
    <row r="44" ht="15">
      <c r="C44" t="s">
        <v>285</v>
      </c>
    </row>
    <row r="45" ht="15">
      <c r="C45" t="s">
        <v>286</v>
      </c>
    </row>
    <row r="46" ht="15">
      <c r="C46" t="s">
        <v>287</v>
      </c>
    </row>
    <row r="49" spans="3:10" ht="15">
      <c r="C49" s="378" t="s">
        <v>288</v>
      </c>
      <c r="D49" s="378"/>
      <c r="H49" s="58"/>
      <c r="I49" s="651"/>
      <c r="J49" s="651"/>
    </row>
    <row r="50" spans="3:4" ht="15">
      <c r="C50" s="646" t="s">
        <v>191</v>
      </c>
      <c r="D50" s="646"/>
    </row>
    <row r="51" spans="3:4" ht="15.75" thickBot="1">
      <c r="C51" s="49" t="s">
        <v>289</v>
      </c>
      <c r="D51" s="49">
        <v>0.65</v>
      </c>
    </row>
    <row r="52" spans="3:10" ht="19.5" thickBot="1">
      <c r="C52" s="49" t="s">
        <v>202</v>
      </c>
      <c r="D52" s="49">
        <v>0.22</v>
      </c>
      <c r="H52" s="400" t="s">
        <v>236</v>
      </c>
      <c r="I52" s="652" t="s">
        <v>235</v>
      </c>
      <c r="J52" s="653"/>
    </row>
    <row r="53" spans="3:4" ht="15">
      <c r="C53" s="49" t="s">
        <v>239</v>
      </c>
      <c r="D53" s="398">
        <f>Inversion!F7</f>
        <v>4745.607999999999</v>
      </c>
    </row>
    <row r="54" spans="3:4" ht="15">
      <c r="C54" s="49" t="s">
        <v>240</v>
      </c>
      <c r="D54" s="398">
        <f>Inversion!F11</f>
        <v>7118.411999999999</v>
      </c>
    </row>
    <row r="55" ht="15.75" thickBot="1"/>
    <row r="56" spans="3:6" ht="15.75" thickBot="1">
      <c r="C56" s="399" t="s">
        <v>290</v>
      </c>
      <c r="D56" s="163" t="s">
        <v>299</v>
      </c>
      <c r="E56" s="164"/>
      <c r="F56" s="412"/>
    </row>
    <row r="58" spans="3:4" ht="15">
      <c r="C58" s="378" t="s">
        <v>291</v>
      </c>
      <c r="D58" s="49">
        <f>D51/1+(1-D52)*(D53/D54)</f>
        <v>1.17</v>
      </c>
    </row>
  </sheetData>
  <sheetProtection/>
  <mergeCells count="13">
    <mergeCell ref="I52:J52"/>
    <mergeCell ref="I17:L17"/>
    <mergeCell ref="I9:J9"/>
    <mergeCell ref="D5:E5"/>
    <mergeCell ref="D6:E6"/>
    <mergeCell ref="K9:M9"/>
    <mergeCell ref="I11:J11"/>
    <mergeCell ref="C50:D50"/>
    <mergeCell ref="J6:K6"/>
    <mergeCell ref="H15:I15"/>
    <mergeCell ref="D16:E16"/>
    <mergeCell ref="D17:E17"/>
    <mergeCell ref="I49:J49"/>
  </mergeCells>
  <printOptions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L14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1.421875" style="14" customWidth="1"/>
    <col min="2" max="2" width="17.28125" style="14" customWidth="1"/>
    <col min="3" max="3" width="4.7109375" style="14" customWidth="1"/>
    <col min="4" max="4" width="5.8515625" style="14" customWidth="1"/>
    <col min="5" max="5" width="10.57421875" style="14" customWidth="1"/>
    <col min="6" max="6" width="12.28125" style="14" customWidth="1"/>
    <col min="7" max="7" width="11.421875" style="14" customWidth="1"/>
    <col min="8" max="8" width="13.28125" style="14" customWidth="1"/>
    <col min="9" max="10" width="11.421875" style="14" customWidth="1"/>
    <col min="11" max="11" width="17.7109375" style="14" bestFit="1" customWidth="1"/>
    <col min="12" max="16384" width="11.421875" style="14" customWidth="1"/>
  </cols>
  <sheetData>
    <row r="4" ht="15.75" thickBot="1"/>
    <row r="5" spans="3:5" ht="18.75" customHeight="1">
      <c r="C5" s="655" t="s">
        <v>227</v>
      </c>
      <c r="D5" s="665" t="s">
        <v>228</v>
      </c>
      <c r="E5" s="666"/>
    </row>
    <row r="6" spans="3:5" ht="15.75" thickBot="1">
      <c r="C6" s="656"/>
      <c r="D6" s="657" t="s">
        <v>229</v>
      </c>
      <c r="E6" s="658"/>
    </row>
    <row r="7" spans="10:12" ht="15">
      <c r="J7" s="655" t="s">
        <v>227</v>
      </c>
      <c r="K7" s="661">
        <f>+'Egresos (costos y gastos)'!M30</f>
        <v>10544.2</v>
      </c>
      <c r="L7" s="662"/>
    </row>
    <row r="8" spans="10:12" ht="15.75" thickBot="1">
      <c r="J8" s="656"/>
      <c r="K8" s="663">
        <f>+Ingresos!C17</f>
        <v>19969</v>
      </c>
      <c r="L8" s="664"/>
    </row>
    <row r="9" spans="5:6" ht="15.75" thickBot="1">
      <c r="E9" s="659" t="s">
        <v>224</v>
      </c>
      <c r="F9" s="660"/>
    </row>
    <row r="10" spans="5:6" ht="15.75" thickBot="1">
      <c r="E10" s="416" t="s">
        <v>218</v>
      </c>
      <c r="F10" s="417" t="s">
        <v>219</v>
      </c>
    </row>
    <row r="11" spans="5:6" ht="15.75" thickBot="1">
      <c r="E11" s="419" t="s">
        <v>220</v>
      </c>
      <c r="F11" s="420">
        <f>+K7</f>
        <v>10544.2</v>
      </c>
    </row>
    <row r="12" spans="5:12" ht="15.75" thickBot="1">
      <c r="E12" s="419" t="s">
        <v>221</v>
      </c>
      <c r="F12" s="420">
        <v>0</v>
      </c>
      <c r="J12" s="428" t="s">
        <v>227</v>
      </c>
      <c r="K12" s="429">
        <f>+K7/K8</f>
        <v>0.5280284440883369</v>
      </c>
      <c r="L12" s="354"/>
    </row>
    <row r="13" spans="5:6" ht="15.75" thickBot="1">
      <c r="E13" s="419" t="s">
        <v>222</v>
      </c>
      <c r="F13" s="420">
        <f>+K8</f>
        <v>19969</v>
      </c>
    </row>
    <row r="14" spans="5:6" ht="15.75" thickBot="1">
      <c r="E14" s="418" t="s">
        <v>223</v>
      </c>
      <c r="F14" s="421">
        <f>+F11/F13</f>
        <v>0.5280284440883369</v>
      </c>
    </row>
  </sheetData>
  <sheetProtection/>
  <mergeCells count="7">
    <mergeCell ref="K7:L7"/>
    <mergeCell ref="K8:L8"/>
    <mergeCell ref="D5:E5"/>
    <mergeCell ref="C5:C6"/>
    <mergeCell ref="D6:E6"/>
    <mergeCell ref="J7:J8"/>
    <mergeCell ref="E9:F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="90" zoomScaleNormal="90" zoomScalePageLayoutView="0" workbookViewId="0" topLeftCell="A1">
      <selection activeCell="D7" sqref="D7:D10"/>
    </sheetView>
  </sheetViews>
  <sheetFormatPr defaultColWidth="11.421875" defaultRowHeight="15"/>
  <cols>
    <col min="1" max="1" width="22.28125" style="0" bestFit="1" customWidth="1"/>
    <col min="2" max="2" width="14.8515625" style="0" bestFit="1" customWidth="1"/>
    <col min="3" max="3" width="11.421875" style="0" customWidth="1"/>
    <col min="4" max="4" width="12.57421875" style="0" customWidth="1"/>
    <col min="5" max="5" width="11.421875" style="0" customWidth="1"/>
    <col min="6" max="6" width="24.28125" style="0" bestFit="1" customWidth="1"/>
    <col min="7" max="7" width="14.7109375" style="0" bestFit="1" customWidth="1"/>
  </cols>
  <sheetData>
    <row r="2" spans="1:8" ht="15">
      <c r="A2" s="14"/>
      <c r="B2" s="14"/>
      <c r="C2" s="14"/>
      <c r="D2" s="14"/>
      <c r="E2" s="14"/>
      <c r="F2" s="14"/>
      <c r="G2" s="14"/>
      <c r="H2" s="14"/>
    </row>
    <row r="3" spans="1:8" ht="15" customHeight="1">
      <c r="A3" s="469" t="s">
        <v>19</v>
      </c>
      <c r="B3" s="470"/>
      <c r="C3" s="470"/>
      <c r="D3" s="470"/>
      <c r="E3" s="104"/>
      <c r="F3" s="104"/>
      <c r="G3" s="104"/>
      <c r="H3" s="14"/>
    </row>
    <row r="4" spans="1:8" ht="15" customHeight="1">
      <c r="A4" s="483" t="s">
        <v>20</v>
      </c>
      <c r="B4" s="485" t="s">
        <v>21</v>
      </c>
      <c r="C4" s="485" t="s">
        <v>22</v>
      </c>
      <c r="D4" s="485" t="s">
        <v>23</v>
      </c>
      <c r="E4" s="485" t="s">
        <v>127</v>
      </c>
      <c r="F4" s="471" t="s">
        <v>128</v>
      </c>
      <c r="G4" s="473" t="s">
        <v>129</v>
      </c>
      <c r="H4" s="14"/>
    </row>
    <row r="5" spans="1:8" ht="15">
      <c r="A5" s="484"/>
      <c r="B5" s="468"/>
      <c r="C5" s="468"/>
      <c r="D5" s="468"/>
      <c r="E5" s="468"/>
      <c r="F5" s="472"/>
      <c r="G5" s="467"/>
      <c r="H5" s="14"/>
    </row>
    <row r="6" spans="1:8" ht="15">
      <c r="A6" s="105" t="s">
        <v>7</v>
      </c>
      <c r="B6" s="106">
        <f>+'Anexo Inversiones'!D26</f>
        <v>0</v>
      </c>
      <c r="C6" s="107" t="s">
        <v>24</v>
      </c>
      <c r="D6" s="108">
        <v>0</v>
      </c>
      <c r="E6" s="109" t="s">
        <v>24</v>
      </c>
      <c r="F6" s="110">
        <v>0</v>
      </c>
      <c r="G6" s="111">
        <f>B6</f>
        <v>0</v>
      </c>
      <c r="H6" s="14"/>
    </row>
    <row r="7" spans="1:8" ht="15">
      <c r="A7" s="112" t="s">
        <v>11</v>
      </c>
      <c r="B7" s="106">
        <f>+'Anexo Inversiones'!I22</f>
        <v>1775.5</v>
      </c>
      <c r="C7" s="107">
        <v>10</v>
      </c>
      <c r="D7" s="106">
        <f>+B7/C7</f>
        <v>177.55</v>
      </c>
      <c r="E7" s="109">
        <v>5</v>
      </c>
      <c r="F7" s="110">
        <f>D7*E7</f>
        <v>887.75</v>
      </c>
      <c r="G7" s="111">
        <f>B7-F7</f>
        <v>887.75</v>
      </c>
      <c r="H7" s="14"/>
    </row>
    <row r="8" spans="1:8" ht="15">
      <c r="A8" s="112" t="s">
        <v>25</v>
      </c>
      <c r="B8" s="106">
        <f>+'Anexo Inversiones'!D36</f>
        <v>8985.96</v>
      </c>
      <c r="C8" s="107">
        <v>3</v>
      </c>
      <c r="D8" s="106">
        <f>+B8/C8</f>
        <v>2995.3199999999997</v>
      </c>
      <c r="E8" s="109">
        <v>5</v>
      </c>
      <c r="F8" s="110">
        <f>D8*E8</f>
        <v>14976.599999999999</v>
      </c>
      <c r="G8" s="111">
        <v>0</v>
      </c>
      <c r="H8" s="14"/>
    </row>
    <row r="9" spans="1:8" ht="15">
      <c r="A9" s="112" t="s">
        <v>26</v>
      </c>
      <c r="B9" s="106">
        <f>+'Anexo Inversiones'!I30</f>
        <v>558</v>
      </c>
      <c r="C9" s="107">
        <v>10</v>
      </c>
      <c r="D9" s="106">
        <f>+B9/C9</f>
        <v>55.8</v>
      </c>
      <c r="E9" s="109">
        <v>5</v>
      </c>
      <c r="F9" s="110">
        <f>D9*E9</f>
        <v>279</v>
      </c>
      <c r="G9" s="111">
        <f>B9-F9</f>
        <v>279</v>
      </c>
      <c r="H9" s="14"/>
    </row>
    <row r="10" spans="1:8" ht="15.75" thickBot="1">
      <c r="A10" s="480" t="s">
        <v>27</v>
      </c>
      <c r="B10" s="481"/>
      <c r="C10" s="482"/>
      <c r="D10" s="113">
        <f>SUM(D6:D9)</f>
        <v>3228.67</v>
      </c>
      <c r="E10" s="478" t="s">
        <v>130</v>
      </c>
      <c r="F10" s="479"/>
      <c r="G10" s="114">
        <f>SUM(G6:G9)</f>
        <v>1166.75</v>
      </c>
      <c r="H10" s="14"/>
    </row>
    <row r="11" spans="1:8" ht="15">
      <c r="A11" s="14"/>
      <c r="B11" s="14"/>
      <c r="C11" s="14"/>
      <c r="D11" s="14"/>
      <c r="E11" s="14"/>
      <c r="F11" s="14"/>
      <c r="G11" s="14"/>
      <c r="H11" s="14"/>
    </row>
    <row r="14" ht="15">
      <c r="D14" s="19"/>
    </row>
    <row r="15" ht="15">
      <c r="D15" s="19"/>
    </row>
  </sheetData>
  <sheetProtection/>
  <mergeCells count="10">
    <mergeCell ref="A3:D3"/>
    <mergeCell ref="E4:E5"/>
    <mergeCell ref="F4:F5"/>
    <mergeCell ref="G4:G5"/>
    <mergeCell ref="E10:F10"/>
    <mergeCell ref="A10:C10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zoomScale="90" zoomScaleNormal="90" zoomScalePageLayoutView="0" workbookViewId="0" topLeftCell="A1">
      <selection activeCell="B6" sqref="B6"/>
    </sheetView>
  </sheetViews>
  <sheetFormatPr defaultColWidth="11.421875" defaultRowHeight="15"/>
  <cols>
    <col min="1" max="1" width="30.28125" style="0" bestFit="1" customWidth="1"/>
    <col min="2" max="2" width="13.00390625" style="0" customWidth="1"/>
    <col min="3" max="3" width="2.8515625" style="0" customWidth="1"/>
    <col min="4" max="4" width="11.421875" style="0" customWidth="1"/>
    <col min="5" max="5" width="13.8515625" style="0" customWidth="1"/>
    <col min="6" max="6" width="11.421875" style="0" customWidth="1"/>
    <col min="7" max="7" width="0.9921875" style="0" customWidth="1"/>
    <col min="8" max="10" width="11.421875" style="0" customWidth="1"/>
    <col min="11" max="11" width="13.8515625" style="0" bestFit="1" customWidth="1"/>
    <col min="12" max="14" width="11.421875" style="0" customWidth="1"/>
    <col min="15" max="15" width="12.00390625" style="0" bestFit="1" customWidth="1"/>
  </cols>
  <sheetData>
    <row r="2" spans="1:15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>
      <c r="A3" s="462" t="s">
        <v>114</v>
      </c>
      <c r="B3" s="533"/>
      <c r="C3" s="533"/>
      <c r="D3" s="533"/>
      <c r="E3" s="533"/>
      <c r="F3" s="533"/>
      <c r="G3" s="534"/>
      <c r="H3" s="14"/>
      <c r="I3" s="115"/>
      <c r="J3" s="14"/>
      <c r="K3" s="14"/>
      <c r="L3" s="14"/>
      <c r="M3" s="14"/>
      <c r="N3" s="14"/>
      <c r="O3" s="14"/>
    </row>
    <row r="4" spans="1:15" ht="15">
      <c r="A4" s="546" t="s">
        <v>28</v>
      </c>
      <c r="B4" s="547"/>
      <c r="C4" s="547"/>
      <c r="D4" s="535" t="s">
        <v>29</v>
      </c>
      <c r="E4" s="535"/>
      <c r="F4" s="535"/>
      <c r="G4" s="536"/>
      <c r="H4" s="14"/>
      <c r="I4" s="14"/>
      <c r="J4" s="14"/>
      <c r="K4" s="14"/>
      <c r="L4" s="14"/>
      <c r="M4" s="14"/>
      <c r="N4" s="14"/>
      <c r="O4" s="14"/>
    </row>
    <row r="5" spans="1:15" ht="15">
      <c r="A5" s="548" t="s">
        <v>30</v>
      </c>
      <c r="B5" s="549"/>
      <c r="C5" s="550"/>
      <c r="D5" s="116" t="s">
        <v>31</v>
      </c>
      <c r="E5" s="117"/>
      <c r="F5" s="117"/>
      <c r="G5" s="118"/>
      <c r="H5" s="14"/>
      <c r="I5" s="14"/>
      <c r="J5" s="14"/>
      <c r="K5" s="14"/>
      <c r="L5" s="14"/>
      <c r="M5" s="14"/>
      <c r="N5" s="14"/>
      <c r="O5" s="14"/>
    </row>
    <row r="6" spans="1:15" ht="15.75" thickBot="1">
      <c r="A6" s="105" t="s">
        <v>113</v>
      </c>
      <c r="B6" s="119">
        <f>+-('Capital de Trabajo'!C17)</f>
        <v>544.56</v>
      </c>
      <c r="C6" s="120"/>
      <c r="D6" s="121" t="s">
        <v>32</v>
      </c>
      <c r="E6" s="122"/>
      <c r="F6" s="123">
        <f>+B25</f>
        <v>4745.607999999999</v>
      </c>
      <c r="G6" s="124"/>
      <c r="H6" s="14"/>
      <c r="I6" s="14"/>
      <c r="J6" s="14"/>
      <c r="K6" s="14"/>
      <c r="L6" s="14"/>
      <c r="M6" s="14"/>
      <c r="N6" s="14"/>
      <c r="O6" s="14"/>
    </row>
    <row r="7" spans="1:15" ht="15">
      <c r="A7" s="125" t="s">
        <v>4</v>
      </c>
      <c r="B7" s="126">
        <f>SUM(B6)</f>
        <v>544.56</v>
      </c>
      <c r="C7" s="127"/>
      <c r="D7" s="128" t="s">
        <v>33</v>
      </c>
      <c r="E7" s="127"/>
      <c r="F7" s="129">
        <f>+F6</f>
        <v>4745.607999999999</v>
      </c>
      <c r="G7" s="130"/>
      <c r="H7" s="14"/>
      <c r="I7" s="14"/>
      <c r="J7" s="14"/>
      <c r="K7" s="14"/>
      <c r="L7" s="14"/>
      <c r="M7" s="14"/>
      <c r="N7" s="458" t="s">
        <v>237</v>
      </c>
      <c r="O7" s="459"/>
    </row>
    <row r="8" spans="1:15" ht="15">
      <c r="A8" s="131"/>
      <c r="B8" s="132"/>
      <c r="C8" s="15"/>
      <c r="D8" s="133"/>
      <c r="E8" s="15"/>
      <c r="F8" s="123"/>
      <c r="G8" s="124"/>
      <c r="H8" s="14"/>
      <c r="I8" s="14"/>
      <c r="J8" s="14"/>
      <c r="K8" s="14"/>
      <c r="L8" s="14"/>
      <c r="M8" s="14"/>
      <c r="N8" s="460" t="s">
        <v>191</v>
      </c>
      <c r="O8" s="461"/>
    </row>
    <row r="9" spans="1:15" ht="17.25">
      <c r="A9" s="134" t="s">
        <v>115</v>
      </c>
      <c r="B9" s="135"/>
      <c r="C9" s="122"/>
      <c r="D9" s="537" t="s">
        <v>34</v>
      </c>
      <c r="E9" s="538"/>
      <c r="F9" s="538"/>
      <c r="G9" s="461"/>
      <c r="H9" s="14"/>
      <c r="I9" s="14"/>
      <c r="J9" s="14"/>
      <c r="K9" s="14"/>
      <c r="L9" s="14"/>
      <c r="M9" s="14"/>
      <c r="N9" s="136" t="s">
        <v>238</v>
      </c>
      <c r="O9" s="137">
        <v>0.47</v>
      </c>
    </row>
    <row r="10" spans="1:15" ht="15">
      <c r="A10" s="138" t="s">
        <v>7</v>
      </c>
      <c r="B10" s="123">
        <f>+'Anexo Inversiones'!D26</f>
        <v>0</v>
      </c>
      <c r="C10" s="15"/>
      <c r="D10" s="139" t="s">
        <v>35</v>
      </c>
      <c r="E10" s="122"/>
      <c r="F10" s="123">
        <f>+C25</f>
        <v>7118.411999999999</v>
      </c>
      <c r="G10" s="124"/>
      <c r="H10" s="14"/>
      <c r="I10" s="14"/>
      <c r="J10" s="14"/>
      <c r="K10" s="101"/>
      <c r="L10" s="14"/>
      <c r="M10" s="14"/>
      <c r="N10" s="136" t="s">
        <v>202</v>
      </c>
      <c r="O10" s="140">
        <v>0.23</v>
      </c>
    </row>
    <row r="11" spans="1:15" ht="15">
      <c r="A11" s="141" t="s">
        <v>25</v>
      </c>
      <c r="B11" s="132">
        <f>+'Anexo Inversiones'!D36</f>
        <v>8985.96</v>
      </c>
      <c r="C11" s="15"/>
      <c r="D11" s="128" t="s">
        <v>36</v>
      </c>
      <c r="E11" s="122"/>
      <c r="F11" s="142">
        <f>+F10</f>
        <v>7118.411999999999</v>
      </c>
      <c r="G11" s="143"/>
      <c r="H11" s="14"/>
      <c r="I11" s="14"/>
      <c r="J11" s="14"/>
      <c r="K11" s="14"/>
      <c r="L11" s="14"/>
      <c r="M11" s="14"/>
      <c r="N11" s="136" t="s">
        <v>239</v>
      </c>
      <c r="O11" s="144">
        <f>+F7</f>
        <v>4745.607999999999</v>
      </c>
    </row>
    <row r="12" spans="1:15" ht="15">
      <c r="A12" s="145" t="s">
        <v>11</v>
      </c>
      <c r="B12" s="132">
        <f>+'Anexo Inversiones'!I22</f>
        <v>1775.5</v>
      </c>
      <c r="C12" s="15"/>
      <c r="D12" s="133"/>
      <c r="E12" s="15"/>
      <c r="F12" s="123"/>
      <c r="G12" s="124"/>
      <c r="H12" s="14"/>
      <c r="I12" s="14"/>
      <c r="J12" s="14"/>
      <c r="K12" s="14"/>
      <c r="L12" s="14"/>
      <c r="M12" s="14"/>
      <c r="N12" s="136" t="s">
        <v>240</v>
      </c>
      <c r="O12" s="144">
        <f>+F11</f>
        <v>7118.411999999999</v>
      </c>
    </row>
    <row r="13" spans="1:15" ht="18" thickBot="1">
      <c r="A13" s="145" t="s">
        <v>26</v>
      </c>
      <c r="B13" s="132">
        <f>+'Anexo Inversiones'!I30</f>
        <v>558</v>
      </c>
      <c r="C13" s="15"/>
      <c r="D13" s="133"/>
      <c r="E13" s="15"/>
      <c r="F13" s="123"/>
      <c r="G13" s="124"/>
      <c r="H13" s="14"/>
      <c r="I13" s="14"/>
      <c r="J13" s="14"/>
      <c r="K13" s="101"/>
      <c r="L13" s="14"/>
      <c r="M13" s="14"/>
      <c r="N13" s="146" t="s">
        <v>241</v>
      </c>
      <c r="O13" s="147">
        <f>+O9/(1+(1-O10)*(O11/O12))</f>
        <v>0.31057268722466963</v>
      </c>
    </row>
    <row r="14" spans="1:15" ht="15">
      <c r="A14" s="388" t="s">
        <v>4</v>
      </c>
      <c r="B14" s="142">
        <f>SUM(B10:B13)</f>
        <v>11319.46</v>
      </c>
      <c r="C14" s="122"/>
      <c r="D14" s="133"/>
      <c r="E14" s="15"/>
      <c r="F14" s="123"/>
      <c r="G14" s="124"/>
      <c r="H14" s="14"/>
      <c r="I14" s="14"/>
      <c r="J14" s="14"/>
      <c r="K14" s="148"/>
      <c r="L14" s="14"/>
      <c r="M14" s="14"/>
      <c r="N14" s="14"/>
      <c r="O14" s="14"/>
    </row>
    <row r="15" spans="1:15" ht="15">
      <c r="A15" s="131"/>
      <c r="B15" s="15"/>
      <c r="C15" s="15"/>
      <c r="D15" s="133"/>
      <c r="E15" s="15"/>
      <c r="F15" s="123"/>
      <c r="G15" s="124"/>
      <c r="H15" s="14"/>
      <c r="I15" s="14"/>
      <c r="J15" s="14"/>
      <c r="K15" s="14"/>
      <c r="L15" s="14"/>
      <c r="M15" s="14"/>
      <c r="N15" s="14"/>
      <c r="O15" s="14"/>
    </row>
    <row r="16" spans="1:15" ht="15.75" thickBot="1">
      <c r="A16" s="390" t="s">
        <v>37</v>
      </c>
      <c r="B16" s="149">
        <f>+B7+B14</f>
        <v>11864.019999999999</v>
      </c>
      <c r="C16" s="150"/>
      <c r="D16" s="391" t="s">
        <v>38</v>
      </c>
      <c r="E16" s="389"/>
      <c r="F16" s="149">
        <f>+F11+F7</f>
        <v>11864.019999999999</v>
      </c>
      <c r="G16" s="151"/>
      <c r="H16" s="14"/>
      <c r="I16" s="14"/>
      <c r="J16" s="14"/>
      <c r="K16" s="14"/>
      <c r="L16" s="14"/>
      <c r="M16" s="14"/>
      <c r="N16" s="14"/>
      <c r="O16" s="14"/>
    </row>
    <row r="17" spans="1:15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5.75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">
      <c r="A21" s="14"/>
      <c r="B21" s="515" t="s">
        <v>107</v>
      </c>
      <c r="C21" s="516"/>
      <c r="D21" s="516"/>
      <c r="E21" s="517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5.75" thickBot="1">
      <c r="A22" s="14"/>
      <c r="B22" s="541" t="s">
        <v>39</v>
      </c>
      <c r="C22" s="542"/>
      <c r="D22" s="542"/>
      <c r="E22" s="543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.75" thickBot="1">
      <c r="A23" s="14"/>
      <c r="B23" s="152">
        <v>0.4</v>
      </c>
      <c r="C23" s="544">
        <v>0.6</v>
      </c>
      <c r="D23" s="544"/>
      <c r="E23" s="545"/>
      <c r="F23" s="14"/>
      <c r="G23" s="14"/>
      <c r="H23" s="14"/>
      <c r="I23" s="539" t="s">
        <v>254</v>
      </c>
      <c r="J23" s="540"/>
      <c r="K23" s="540"/>
      <c r="L23" s="153">
        <f>C25</f>
        <v>7118.411999999999</v>
      </c>
      <c r="M23" s="14"/>
      <c r="N23" s="14"/>
      <c r="O23" s="14"/>
    </row>
    <row r="24" spans="1:15" ht="15">
      <c r="A24" s="14"/>
      <c r="B24" s="425" t="s">
        <v>40</v>
      </c>
      <c r="C24" s="518" t="s">
        <v>35</v>
      </c>
      <c r="D24" s="518"/>
      <c r="E24" s="551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.75" thickBot="1">
      <c r="A25" s="14"/>
      <c r="B25" s="154">
        <f>+B16*B23</f>
        <v>4745.607999999999</v>
      </c>
      <c r="C25" s="455">
        <f>+B16*C23</f>
        <v>7118.411999999999</v>
      </c>
      <c r="D25" s="456"/>
      <c r="E25" s="457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">
      <c r="A27" s="14"/>
      <c r="B27" s="14"/>
      <c r="C27" s="14"/>
      <c r="D27" s="14"/>
      <c r="E27" s="14"/>
      <c r="F27" s="14"/>
      <c r="G27" s="14"/>
      <c r="H27" s="155">
        <f>+B25+C25</f>
        <v>11864.019999999999</v>
      </c>
      <c r="I27" s="14"/>
      <c r="J27" s="14"/>
      <c r="K27" s="14"/>
      <c r="L27" s="14"/>
      <c r="M27" s="14"/>
      <c r="N27" s="14"/>
      <c r="O27" s="14"/>
    </row>
    <row r="28" spans="1:15" ht="15">
      <c r="A28" s="14"/>
      <c r="B28" s="14"/>
      <c r="C28" s="14"/>
      <c r="D28" s="14"/>
      <c r="E28" s="14"/>
      <c r="F28" s="14"/>
      <c r="G28" s="14"/>
      <c r="H28" s="14" t="s">
        <v>108</v>
      </c>
      <c r="I28" s="14"/>
      <c r="J28" s="14"/>
      <c r="K28" s="14"/>
      <c r="L28" s="14"/>
      <c r="M28" s="14"/>
      <c r="N28" s="14"/>
      <c r="O28" s="14"/>
    </row>
    <row r="29" spans="1:15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sheetProtection/>
  <mergeCells count="13">
    <mergeCell ref="A4:C4"/>
    <mergeCell ref="A5:C5"/>
    <mergeCell ref="C24:E24"/>
    <mergeCell ref="C25:E25"/>
    <mergeCell ref="N7:O7"/>
    <mergeCell ref="N8:O8"/>
    <mergeCell ref="A3:G3"/>
    <mergeCell ref="D4:G4"/>
    <mergeCell ref="D9:G9"/>
    <mergeCell ref="I23:K23"/>
    <mergeCell ref="B21:E21"/>
    <mergeCell ref="B22:E22"/>
    <mergeCell ref="C23:E2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F20"/>
  <sheetViews>
    <sheetView zoomScale="90" zoomScaleNormal="90" zoomScalePageLayoutView="0" workbookViewId="0" topLeftCell="A1">
      <selection activeCell="D10" sqref="D10"/>
    </sheetView>
  </sheetViews>
  <sheetFormatPr defaultColWidth="11.421875" defaultRowHeight="15"/>
  <cols>
    <col min="1" max="1" width="11.421875" style="0" customWidth="1"/>
    <col min="2" max="2" width="14.7109375" style="0" bestFit="1" customWidth="1"/>
    <col min="3" max="3" width="12.00390625" style="0" bestFit="1" customWidth="1"/>
    <col min="4" max="4" width="13.421875" style="0" bestFit="1" customWidth="1"/>
    <col min="5" max="5" width="11.00390625" style="0" bestFit="1" customWidth="1"/>
    <col min="6" max="6" width="12.00390625" style="0" bestFit="1" customWidth="1"/>
  </cols>
  <sheetData>
    <row r="3" ht="15.75" thickBot="1"/>
    <row r="4" spans="2:6" ht="15">
      <c r="B4" s="385" t="s">
        <v>40</v>
      </c>
      <c r="C4" s="81">
        <f>+Inversion!F6</f>
        <v>4745.607999999999</v>
      </c>
      <c r="D4" s="14"/>
      <c r="E4" s="14"/>
      <c r="F4" s="14"/>
    </row>
    <row r="5" spans="2:6" ht="15">
      <c r="B5" s="386" t="s">
        <v>41</v>
      </c>
      <c r="C5" s="82">
        <v>0.1085</v>
      </c>
      <c r="D5" s="14"/>
      <c r="E5" s="14"/>
      <c r="F5" s="14"/>
    </row>
    <row r="6" spans="2:6" ht="15.75" thickBot="1">
      <c r="B6" s="387" t="s">
        <v>42</v>
      </c>
      <c r="C6" s="83">
        <v>5</v>
      </c>
      <c r="D6" s="14"/>
      <c r="E6" s="14"/>
      <c r="F6" s="14"/>
    </row>
    <row r="7" spans="2:6" ht="15.75" thickBot="1">
      <c r="B7" s="14"/>
      <c r="C7" s="14"/>
      <c r="D7" s="14"/>
      <c r="E7" s="14"/>
      <c r="F7" s="14"/>
    </row>
    <row r="8" spans="2:6" ht="15">
      <c r="B8" s="382" t="s">
        <v>43</v>
      </c>
      <c r="C8" s="383" t="s">
        <v>44</v>
      </c>
      <c r="D8" s="383" t="s">
        <v>45</v>
      </c>
      <c r="E8" s="383" t="s">
        <v>46</v>
      </c>
      <c r="F8" s="384" t="s">
        <v>47</v>
      </c>
    </row>
    <row r="9" spans="2:6" ht="15">
      <c r="B9" s="84">
        <v>0</v>
      </c>
      <c r="C9" s="85"/>
      <c r="D9" s="85"/>
      <c r="E9" s="85"/>
      <c r="F9" s="86">
        <f>+C4</f>
        <v>4745.607999999999</v>
      </c>
    </row>
    <row r="10" spans="2:6" ht="15">
      <c r="B10" s="84">
        <v>1</v>
      </c>
      <c r="C10" s="87">
        <f>+D10+E10</f>
        <v>1279.1791599725666</v>
      </c>
      <c r="D10" s="87">
        <f>+PMT($C$5,5,,-F9)</f>
        <v>764.2806919725667</v>
      </c>
      <c r="E10" s="87">
        <f>+F9*$C$5</f>
        <v>514.8984679999999</v>
      </c>
      <c r="F10" s="86">
        <f>+F9-D10</f>
        <v>3981.3273080274325</v>
      </c>
    </row>
    <row r="11" spans="2:6" ht="15">
      <c r="B11" s="84">
        <v>2</v>
      </c>
      <c r="C11" s="87">
        <f>+D11+E11</f>
        <v>1279.1791599725668</v>
      </c>
      <c r="D11" s="87">
        <f>+PMT($C$5,4,,-F10)</f>
        <v>847.2051470515904</v>
      </c>
      <c r="E11" s="87">
        <f>+F10*$C$5</f>
        <v>431.9740129209764</v>
      </c>
      <c r="F11" s="86">
        <f>+F10-D11</f>
        <v>3134.1221609758422</v>
      </c>
    </row>
    <row r="12" spans="2:6" ht="15">
      <c r="B12" s="84">
        <v>3</v>
      </c>
      <c r="C12" s="87">
        <f>+D12+E12</f>
        <v>1279.1791599725668</v>
      </c>
      <c r="D12" s="87">
        <f>+PMT($C$5,3,,-F11)</f>
        <v>939.126905506688</v>
      </c>
      <c r="E12" s="87">
        <f>+F11*$C$5</f>
        <v>340.0522544658789</v>
      </c>
      <c r="F12" s="86">
        <f>+F11-D12</f>
        <v>2194.9952554691545</v>
      </c>
    </row>
    <row r="13" spans="2:6" ht="15">
      <c r="B13" s="84">
        <v>4</v>
      </c>
      <c r="C13" s="87">
        <f>+D13+E13</f>
        <v>1279.1791599725668</v>
      </c>
      <c r="D13" s="87">
        <f>+PMT($C$5,2,,-F12)</f>
        <v>1041.0221747541636</v>
      </c>
      <c r="E13" s="87">
        <f>+F12*$C$5</f>
        <v>238.15698521840326</v>
      </c>
      <c r="F13" s="86">
        <f>+F12-D13</f>
        <v>1153.9730807149908</v>
      </c>
    </row>
    <row r="14" spans="2:6" ht="15.75" thickBot="1">
      <c r="B14" s="88">
        <v>5</v>
      </c>
      <c r="C14" s="87">
        <f>+D14+E14</f>
        <v>1279.1791599725668</v>
      </c>
      <c r="D14" s="87">
        <f>+PMT($C$5,1,,-F13)</f>
        <v>1153.9730807149904</v>
      </c>
      <c r="E14" s="87">
        <f>+F13*$C$5</f>
        <v>125.2060792575765</v>
      </c>
      <c r="F14" s="86">
        <f>+F13-D14</f>
        <v>0</v>
      </c>
    </row>
    <row r="17" ht="15">
      <c r="B17" t="s">
        <v>109</v>
      </c>
    </row>
    <row r="18" ht="15">
      <c r="B18" t="s">
        <v>110</v>
      </c>
    </row>
    <row r="19" ht="15">
      <c r="B19" t="s">
        <v>111</v>
      </c>
    </row>
    <row r="20" ht="15">
      <c r="B20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6"/>
  <sheetViews>
    <sheetView zoomScale="90" zoomScaleNormal="90" zoomScalePageLayoutView="0" workbookViewId="0" topLeftCell="A13">
      <selection activeCell="C17" sqref="C17"/>
    </sheetView>
  </sheetViews>
  <sheetFormatPr defaultColWidth="11.421875" defaultRowHeight="15"/>
  <cols>
    <col min="1" max="1" width="4.28125" style="0" customWidth="1"/>
    <col min="2" max="2" width="25.57421875" style="0" bestFit="1" customWidth="1"/>
    <col min="3" max="3" width="14.57421875" style="0" bestFit="1" customWidth="1"/>
    <col min="4" max="5" width="13.00390625" style="0" bestFit="1" customWidth="1"/>
    <col min="6" max="6" width="13.8515625" style="0" customWidth="1"/>
    <col min="7" max="7" width="13.140625" style="0" bestFit="1" customWidth="1"/>
    <col min="8" max="8" width="15.7109375" style="0" customWidth="1"/>
    <col min="9" max="14" width="13.00390625" style="0" bestFit="1" customWidth="1"/>
  </cols>
  <sheetData>
    <row r="2" spans="2:5" ht="21.75" thickBot="1">
      <c r="B2" s="557" t="s">
        <v>294</v>
      </c>
      <c r="C2" s="557"/>
      <c r="D2" s="557"/>
      <c r="E2" s="557"/>
    </row>
    <row r="3" spans="2:14" ht="15">
      <c r="B3" s="377">
        <v>504</v>
      </c>
      <c r="C3" s="360" t="s">
        <v>49</v>
      </c>
      <c r="D3" s="360" t="s">
        <v>50</v>
      </c>
      <c r="E3" s="360" t="s">
        <v>51</v>
      </c>
      <c r="F3" s="360" t="s">
        <v>52</v>
      </c>
      <c r="G3" s="360" t="s">
        <v>53</v>
      </c>
      <c r="H3" s="360" t="s">
        <v>54</v>
      </c>
      <c r="I3" s="360" t="s">
        <v>55</v>
      </c>
      <c r="J3" s="360" t="s">
        <v>56</v>
      </c>
      <c r="K3" s="360" t="s">
        <v>57</v>
      </c>
      <c r="L3" s="360" t="s">
        <v>58</v>
      </c>
      <c r="M3" s="360" t="s">
        <v>59</v>
      </c>
      <c r="N3" s="361" t="s">
        <v>60</v>
      </c>
    </row>
    <row r="4" spans="2:14" ht="30">
      <c r="B4" s="501" t="s">
        <v>61</v>
      </c>
      <c r="C4" s="362">
        <v>0.04</v>
      </c>
      <c r="D4" s="363">
        <v>0.0399</v>
      </c>
      <c r="E4" s="362">
        <v>0.04</v>
      </c>
      <c r="F4" s="362">
        <v>0.04</v>
      </c>
      <c r="G4" s="362">
        <v>0.04</v>
      </c>
      <c r="H4" s="362">
        <v>0.04</v>
      </c>
      <c r="I4" s="362">
        <v>0.04</v>
      </c>
      <c r="J4" s="362">
        <v>0.04</v>
      </c>
      <c r="K4" s="362">
        <v>0.04</v>
      </c>
      <c r="L4" s="362">
        <v>0.04</v>
      </c>
      <c r="M4" s="362">
        <v>0.04</v>
      </c>
      <c r="N4" s="364">
        <v>0</v>
      </c>
    </row>
    <row r="5" spans="2:14" ht="15.75" thickBot="1">
      <c r="B5" s="505" t="s">
        <v>62</v>
      </c>
      <c r="C5" s="365">
        <v>20</v>
      </c>
      <c r="D5" s="366">
        <v>20</v>
      </c>
      <c r="E5" s="366">
        <v>20</v>
      </c>
      <c r="F5" s="366">
        <v>20</v>
      </c>
      <c r="G5" s="366">
        <v>20</v>
      </c>
      <c r="H5" s="366">
        <v>20</v>
      </c>
      <c r="I5" s="366">
        <v>20</v>
      </c>
      <c r="J5" s="366">
        <v>20</v>
      </c>
      <c r="K5" s="366">
        <v>20</v>
      </c>
      <c r="L5" s="366">
        <v>20</v>
      </c>
      <c r="M5" s="366">
        <v>20</v>
      </c>
      <c r="N5" s="366">
        <v>0</v>
      </c>
    </row>
    <row r="6" spans="2:3" ht="15">
      <c r="B6" s="506" t="s">
        <v>259</v>
      </c>
      <c r="C6" s="367">
        <v>10</v>
      </c>
    </row>
    <row r="7" spans="2:14" ht="15">
      <c r="B7" s="506" t="s">
        <v>258</v>
      </c>
      <c r="C7" s="368">
        <f>$C$6*C5</f>
        <v>200</v>
      </c>
      <c r="D7" s="368">
        <f aca="true" t="shared" si="0" ref="D7:M7">$C$6*D5</f>
        <v>200</v>
      </c>
      <c r="E7" s="368">
        <f t="shared" si="0"/>
        <v>200</v>
      </c>
      <c r="F7" s="368">
        <f t="shared" si="0"/>
        <v>200</v>
      </c>
      <c r="G7" s="368">
        <f t="shared" si="0"/>
        <v>200</v>
      </c>
      <c r="H7" s="368">
        <f t="shared" si="0"/>
        <v>200</v>
      </c>
      <c r="I7" s="368">
        <f t="shared" si="0"/>
        <v>200</v>
      </c>
      <c r="J7" s="368">
        <f t="shared" si="0"/>
        <v>200</v>
      </c>
      <c r="K7" s="368">
        <f t="shared" si="0"/>
        <v>200</v>
      </c>
      <c r="L7" s="368">
        <f t="shared" si="0"/>
        <v>200</v>
      </c>
      <c r="M7" s="368">
        <f t="shared" si="0"/>
        <v>200</v>
      </c>
      <c r="N7" s="368"/>
    </row>
    <row r="8" spans="2:3" ht="15">
      <c r="B8" s="506" t="s">
        <v>260</v>
      </c>
      <c r="C8" s="369">
        <f>SUM(C7:M7)</f>
        <v>2200</v>
      </c>
    </row>
    <row r="10" spans="2:7" ht="15">
      <c r="B10" s="4" t="s">
        <v>48</v>
      </c>
      <c r="C10" s="5"/>
      <c r="G10" s="5"/>
    </row>
    <row r="11" spans="2:10" ht="21.75" thickBot="1">
      <c r="B11" s="557" t="s">
        <v>295</v>
      </c>
      <c r="C11" s="557"/>
      <c r="D11" s="557"/>
      <c r="E11" s="557"/>
      <c r="F11" s="557"/>
      <c r="G11" s="557"/>
      <c r="H11" s="557"/>
      <c r="I11" s="557"/>
      <c r="J11" s="557"/>
    </row>
    <row r="12" spans="2:14" ht="15">
      <c r="B12" s="377">
        <v>504</v>
      </c>
      <c r="C12" s="370" t="s">
        <v>49</v>
      </c>
      <c r="D12" s="360" t="s">
        <v>50</v>
      </c>
      <c r="E12" s="360" t="s">
        <v>51</v>
      </c>
      <c r="F12" s="360" t="s">
        <v>52</v>
      </c>
      <c r="G12" s="360" t="s">
        <v>53</v>
      </c>
      <c r="H12" s="360" t="s">
        <v>54</v>
      </c>
      <c r="I12" s="360" t="s">
        <v>55</v>
      </c>
      <c r="J12" s="360" t="s">
        <v>56</v>
      </c>
      <c r="K12" s="360" t="s">
        <v>57</v>
      </c>
      <c r="L12" s="360" t="s">
        <v>58</v>
      </c>
      <c r="M12" s="360" t="s">
        <v>59</v>
      </c>
      <c r="N12" s="361" t="s">
        <v>60</v>
      </c>
    </row>
    <row r="13" spans="2:14" ht="30">
      <c r="B13" s="501" t="s">
        <v>61</v>
      </c>
      <c r="C13" s="371">
        <v>0.01</v>
      </c>
      <c r="D13" s="371">
        <v>0.12</v>
      </c>
      <c r="E13" s="371">
        <v>0.12</v>
      </c>
      <c r="F13" s="371">
        <v>0.04</v>
      </c>
      <c r="G13" s="371">
        <v>0.04</v>
      </c>
      <c r="H13" s="371">
        <v>0.04</v>
      </c>
      <c r="I13" s="371">
        <v>0.04</v>
      </c>
      <c r="J13" s="371">
        <v>0.04</v>
      </c>
      <c r="K13" s="371">
        <v>0.04</v>
      </c>
      <c r="L13" s="371">
        <v>0.04</v>
      </c>
      <c r="M13" s="371">
        <v>0.04</v>
      </c>
      <c r="N13" s="364">
        <v>0.02</v>
      </c>
    </row>
    <row r="14" spans="2:15" ht="15.75" thickBot="1">
      <c r="B14" s="502" t="s">
        <v>62</v>
      </c>
      <c r="C14" s="366">
        <f>$B$12*C13</f>
        <v>5.04</v>
      </c>
      <c r="D14" s="366">
        <v>60</v>
      </c>
      <c r="E14" s="366">
        <v>60</v>
      </c>
      <c r="F14" s="366">
        <v>20</v>
      </c>
      <c r="G14" s="366">
        <v>20</v>
      </c>
      <c r="H14" s="366">
        <v>20</v>
      </c>
      <c r="I14" s="366">
        <v>20</v>
      </c>
      <c r="J14" s="366">
        <v>20</v>
      </c>
      <c r="K14" s="366">
        <v>20</v>
      </c>
      <c r="L14" s="366">
        <v>20</v>
      </c>
      <c r="M14" s="366">
        <v>20</v>
      </c>
      <c r="N14" s="366">
        <v>10</v>
      </c>
      <c r="O14" s="415"/>
    </row>
    <row r="15" spans="2:14" ht="15">
      <c r="B15" s="503" t="s">
        <v>63</v>
      </c>
      <c r="C15" s="373">
        <v>15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2:14" ht="15">
      <c r="B16" s="504" t="s">
        <v>64</v>
      </c>
      <c r="C16" s="372">
        <f>+$C$15*C14+C7+H23</f>
        <v>1609.94</v>
      </c>
      <c r="D16" s="372">
        <f>C15*D14+D7</f>
        <v>1100</v>
      </c>
      <c r="E16" s="372">
        <f>+$C$15*E14+E7</f>
        <v>1100</v>
      </c>
      <c r="F16" s="372">
        <f>+$C$15*F14+H26+F7</f>
        <v>1834.34</v>
      </c>
      <c r="G16" s="372">
        <f>+$C$15*G14+H27+G7</f>
        <v>1834.34</v>
      </c>
      <c r="H16" s="372">
        <f>+$C$15*H14+H28+H7</f>
        <v>1834.34</v>
      </c>
      <c r="I16" s="372">
        <f>+$C$15*I14+H29+I7</f>
        <v>1834.34</v>
      </c>
      <c r="J16" s="372">
        <f>+$C$15*J14+H30+J7</f>
        <v>1834.34</v>
      </c>
      <c r="K16" s="372">
        <f>+$C$15*K14+H31+K7</f>
        <v>1834.34</v>
      </c>
      <c r="L16" s="372">
        <f>+$C$15*L14+H32+L7</f>
        <v>1834.34</v>
      </c>
      <c r="M16" s="372">
        <f>+$C$15*M14+H33+M7</f>
        <v>1834.34</v>
      </c>
      <c r="N16" s="372">
        <f>+$C$15*N14+H34</f>
        <v>1484.34</v>
      </c>
    </row>
    <row r="17" spans="2:14" ht="15">
      <c r="B17" s="504" t="s">
        <v>65</v>
      </c>
      <c r="C17" s="374">
        <f>SUM(C16:N16)</f>
        <v>19969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5">
      <c r="B18" s="504" t="s">
        <v>66</v>
      </c>
      <c r="C18" s="375">
        <f>+AVERAGE(C16:N16)</f>
        <v>1664.0833333333333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ht="15.75" thickBot="1">
      <c r="B19" s="249" t="s">
        <v>118</v>
      </c>
      <c r="C19" s="376">
        <f>+AVERAGE(C14:N14)</f>
        <v>24.58666666666667</v>
      </c>
      <c r="D19" s="15"/>
      <c r="E19" s="15"/>
      <c r="F19" s="15"/>
      <c r="G19" s="15"/>
      <c r="H19" s="15"/>
      <c r="I19" s="16"/>
      <c r="J19" s="15"/>
      <c r="K19" s="15"/>
      <c r="L19" s="15"/>
      <c r="M19" s="15"/>
      <c r="N19" s="15"/>
    </row>
    <row r="20" spans="2:14" ht="15.75" thickBot="1">
      <c r="B20" s="6"/>
      <c r="C20" s="3"/>
      <c r="D20" s="2"/>
      <c r="E20" s="2"/>
      <c r="F20" s="2"/>
      <c r="G20" s="2"/>
      <c r="H20" s="2"/>
      <c r="I20" s="2"/>
      <c r="J20" s="555" t="s">
        <v>122</v>
      </c>
      <c r="K20" s="556"/>
      <c r="L20" s="2"/>
      <c r="M20" s="2"/>
      <c r="N20" s="2"/>
    </row>
    <row r="21" spans="5:14" ht="15">
      <c r="E21" s="558" t="s">
        <v>296</v>
      </c>
      <c r="F21" s="559"/>
      <c r="G21" s="559"/>
      <c r="H21" s="560"/>
      <c r="J21" s="491">
        <v>11</v>
      </c>
      <c r="K21" s="492"/>
      <c r="N21">
        <f>504*10+SUM(C14:N14)+SUM(C5:N5)</f>
        <v>5555.04</v>
      </c>
    </row>
    <row r="22" spans="3:11" ht="15">
      <c r="C22" s="12"/>
      <c r="E22" s="406" t="s">
        <v>67</v>
      </c>
      <c r="F22" s="448">
        <v>0.1765</v>
      </c>
      <c r="G22" s="449">
        <f>100%-F22</f>
        <v>0.8235</v>
      </c>
      <c r="H22" s="378" t="s">
        <v>250</v>
      </c>
      <c r="J22" s="493">
        <v>15</v>
      </c>
      <c r="K22" s="494"/>
    </row>
    <row r="23" spans="3:11" ht="15">
      <c r="C23" s="18"/>
      <c r="E23" s="407" t="s">
        <v>49</v>
      </c>
      <c r="F23" s="408">
        <f aca="true" t="shared" si="1" ref="F23:F34">$C$15*$F$22</f>
        <v>2.6475</v>
      </c>
      <c r="G23" s="409">
        <f>$C$15*$G$22</f>
        <v>12.352500000000001</v>
      </c>
      <c r="H23" s="378">
        <f>$B$12*F23</f>
        <v>1334.34</v>
      </c>
      <c r="J23" s="493">
        <v>17</v>
      </c>
      <c r="K23" s="494"/>
    </row>
    <row r="24" spans="5:11" ht="15">
      <c r="E24" s="407" t="s">
        <v>50</v>
      </c>
      <c r="F24" s="408">
        <v>0</v>
      </c>
      <c r="G24" s="409">
        <f aca="true" t="shared" si="2" ref="G24:G34">$C$15*$G$22</f>
        <v>12.352500000000001</v>
      </c>
      <c r="H24" s="378">
        <f aca="true" t="shared" si="3" ref="H24:H34">$B$12*F24</f>
        <v>0</v>
      </c>
      <c r="J24" s="493">
        <v>15</v>
      </c>
      <c r="K24" s="494"/>
    </row>
    <row r="25" spans="5:11" ht="15">
      <c r="E25" s="407" t="s">
        <v>51</v>
      </c>
      <c r="F25" s="408">
        <v>0</v>
      </c>
      <c r="G25" s="409">
        <f t="shared" si="2"/>
        <v>12.352500000000001</v>
      </c>
      <c r="H25" s="378">
        <f t="shared" si="3"/>
        <v>0</v>
      </c>
      <c r="J25" s="493">
        <v>10</v>
      </c>
      <c r="K25" s="494"/>
    </row>
    <row r="26" spans="5:11" ht="15">
      <c r="E26" s="407" t="s">
        <v>52</v>
      </c>
      <c r="F26" s="408">
        <f t="shared" si="1"/>
        <v>2.6475</v>
      </c>
      <c r="G26" s="409">
        <f t="shared" si="2"/>
        <v>12.352500000000001</v>
      </c>
      <c r="H26" s="378">
        <f t="shared" si="3"/>
        <v>1334.34</v>
      </c>
      <c r="J26" s="493">
        <v>18</v>
      </c>
      <c r="K26" s="494"/>
    </row>
    <row r="27" spans="3:11" ht="15">
      <c r="C27" s="18"/>
      <c r="E27" s="407" t="s">
        <v>53</v>
      </c>
      <c r="F27" s="408">
        <f t="shared" si="1"/>
        <v>2.6475</v>
      </c>
      <c r="G27" s="409">
        <f t="shared" si="2"/>
        <v>12.352500000000001</v>
      </c>
      <c r="H27" s="378">
        <f t="shared" si="3"/>
        <v>1334.34</v>
      </c>
      <c r="J27" s="495">
        <v>22</v>
      </c>
      <c r="K27" s="494"/>
    </row>
    <row r="28" spans="5:11" ht="15">
      <c r="E28" s="407" t="s">
        <v>54</v>
      </c>
      <c r="F28" s="408">
        <f t="shared" si="1"/>
        <v>2.6475</v>
      </c>
      <c r="G28" s="409">
        <f t="shared" si="2"/>
        <v>12.352500000000001</v>
      </c>
      <c r="H28" s="378">
        <f t="shared" si="3"/>
        <v>1334.34</v>
      </c>
      <c r="J28" s="493">
        <v>15</v>
      </c>
      <c r="K28" s="494"/>
    </row>
    <row r="29" spans="5:11" ht="15.75" thickBot="1">
      <c r="E29" s="407" t="s">
        <v>55</v>
      </c>
      <c r="F29" s="408">
        <f t="shared" si="1"/>
        <v>2.6475</v>
      </c>
      <c r="G29" s="409">
        <f t="shared" si="2"/>
        <v>12.352500000000001</v>
      </c>
      <c r="H29" s="378">
        <f t="shared" si="3"/>
        <v>1334.34</v>
      </c>
      <c r="J29" s="496"/>
      <c r="K29" s="497"/>
    </row>
    <row r="30" spans="5:11" ht="15.75" thickBot="1">
      <c r="E30" s="407" t="s">
        <v>56</v>
      </c>
      <c r="F30" s="408">
        <f t="shared" si="1"/>
        <v>2.6475</v>
      </c>
      <c r="G30" s="409">
        <f t="shared" si="2"/>
        <v>12.352500000000001</v>
      </c>
      <c r="H30" s="378">
        <f t="shared" si="3"/>
        <v>1334.34</v>
      </c>
      <c r="J30" s="498" t="s">
        <v>123</v>
      </c>
      <c r="K30" s="499">
        <f>+AVERAGE(J21:J29)</f>
        <v>15.375</v>
      </c>
    </row>
    <row r="31" spans="5:8" ht="15">
      <c r="E31" s="407" t="s">
        <v>57</v>
      </c>
      <c r="F31" s="408">
        <f t="shared" si="1"/>
        <v>2.6475</v>
      </c>
      <c r="G31" s="409">
        <f t="shared" si="2"/>
        <v>12.352500000000001</v>
      </c>
      <c r="H31" s="378">
        <f t="shared" si="3"/>
        <v>1334.34</v>
      </c>
    </row>
    <row r="32" spans="5:8" ht="15">
      <c r="E32" s="407" t="s">
        <v>58</v>
      </c>
      <c r="F32" s="408">
        <f t="shared" si="1"/>
        <v>2.6475</v>
      </c>
      <c r="G32" s="409">
        <f t="shared" si="2"/>
        <v>12.352500000000001</v>
      </c>
      <c r="H32" s="378">
        <f t="shared" si="3"/>
        <v>1334.34</v>
      </c>
    </row>
    <row r="33" spans="5:8" ht="15">
      <c r="E33" s="407" t="s">
        <v>59</v>
      </c>
      <c r="F33" s="408">
        <f t="shared" si="1"/>
        <v>2.6475</v>
      </c>
      <c r="G33" s="409">
        <f t="shared" si="2"/>
        <v>12.352500000000001</v>
      </c>
      <c r="H33" s="378">
        <f t="shared" si="3"/>
        <v>1334.34</v>
      </c>
    </row>
    <row r="34" spans="5:8" ht="15">
      <c r="E34" s="407" t="s">
        <v>60</v>
      </c>
      <c r="F34" s="408">
        <f t="shared" si="1"/>
        <v>2.6475</v>
      </c>
      <c r="G34" s="409">
        <f t="shared" si="2"/>
        <v>12.352500000000001</v>
      </c>
      <c r="H34" s="378">
        <f t="shared" si="3"/>
        <v>1334.34</v>
      </c>
    </row>
    <row r="35" ht="15.75" thickBot="1">
      <c r="H35" s="426"/>
    </row>
    <row r="36" spans="5:8" ht="15.75" thickBot="1">
      <c r="E36" s="552" t="s">
        <v>303</v>
      </c>
      <c r="F36" s="553"/>
      <c r="G36" s="554"/>
      <c r="H36" s="427">
        <f>10*H34</f>
        <v>13343.4</v>
      </c>
    </row>
  </sheetData>
  <sheetProtection/>
  <mergeCells count="5">
    <mergeCell ref="E36:G36"/>
    <mergeCell ref="J20:K20"/>
    <mergeCell ref="B2:E2"/>
    <mergeCell ref="E21:H21"/>
    <mergeCell ref="B11:J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56"/>
  <sheetViews>
    <sheetView zoomScale="98" zoomScaleNormal="98" zoomScalePageLayoutView="0" workbookViewId="0" topLeftCell="A10">
      <selection activeCell="C35" sqref="C35"/>
    </sheetView>
  </sheetViews>
  <sheetFormatPr defaultColWidth="11.421875" defaultRowHeight="15"/>
  <cols>
    <col min="1" max="1" width="11.421875" style="0" customWidth="1"/>
    <col min="2" max="2" width="30.140625" style="0" customWidth="1"/>
    <col min="3" max="3" width="11.57421875" style="0" bestFit="1" customWidth="1"/>
    <col min="4" max="6" width="11.421875" style="0" customWidth="1"/>
    <col min="7" max="9" width="12.7109375" style="0" customWidth="1"/>
    <col min="10" max="10" width="11.421875" style="0" customWidth="1"/>
    <col min="11" max="11" width="18.7109375" style="0" bestFit="1" customWidth="1"/>
    <col min="12" max="12" width="20.7109375" style="0" bestFit="1" customWidth="1"/>
    <col min="13" max="13" width="20.28125" style="0" bestFit="1" customWidth="1"/>
    <col min="14" max="14" width="11.421875" style="0" customWidth="1"/>
    <col min="15" max="15" width="14.28125" style="0" customWidth="1"/>
    <col min="16" max="17" width="11.421875" style="0" customWidth="1"/>
    <col min="18" max="18" width="14.57421875" style="0" customWidth="1"/>
  </cols>
  <sheetData>
    <row r="2" ht="15">
      <c r="B2" t="s">
        <v>248</v>
      </c>
    </row>
    <row r="3" ht="15.75" thickBot="1"/>
    <row r="4" spans="2:18" ht="15">
      <c r="B4" s="581" t="s">
        <v>78</v>
      </c>
      <c r="C4" s="563" t="s">
        <v>73</v>
      </c>
      <c r="D4" s="486"/>
      <c r="E4" s="486"/>
      <c r="F4" s="564"/>
      <c r="G4" s="569" t="s">
        <v>124</v>
      </c>
      <c r="H4" s="586" t="s">
        <v>125</v>
      </c>
      <c r="I4" s="586" t="s">
        <v>126</v>
      </c>
      <c r="J4" s="569" t="s">
        <v>79</v>
      </c>
      <c r="K4" s="563" t="s">
        <v>80</v>
      </c>
      <c r="L4" s="583" t="s">
        <v>81</v>
      </c>
      <c r="P4" s="571"/>
      <c r="Q4" s="572"/>
      <c r="R4" s="573"/>
    </row>
    <row r="5" spans="2:18" ht="15">
      <c r="B5" s="582"/>
      <c r="C5" s="561" t="s">
        <v>82</v>
      </c>
      <c r="D5" s="561" t="s">
        <v>83</v>
      </c>
      <c r="E5" s="561" t="s">
        <v>84</v>
      </c>
      <c r="F5" s="561" t="s">
        <v>85</v>
      </c>
      <c r="G5" s="585"/>
      <c r="H5" s="587"/>
      <c r="I5" s="587"/>
      <c r="J5" s="570"/>
      <c r="K5" s="577"/>
      <c r="L5" s="584"/>
      <c r="P5" s="576"/>
      <c r="Q5" s="576"/>
      <c r="R5" s="156"/>
    </row>
    <row r="6" spans="2:18" ht="15">
      <c r="B6" s="484"/>
      <c r="C6" s="562"/>
      <c r="D6" s="562"/>
      <c r="E6" s="562"/>
      <c r="F6" s="562"/>
      <c r="G6" s="379">
        <v>0.1115</v>
      </c>
      <c r="H6" s="379">
        <v>0.01</v>
      </c>
      <c r="I6" s="468"/>
      <c r="J6" s="570"/>
      <c r="K6" s="577"/>
      <c r="L6" s="584"/>
      <c r="P6" s="574"/>
      <c r="Q6" s="575"/>
      <c r="R6" s="157"/>
    </row>
    <row r="7" spans="2:18" ht="15">
      <c r="B7" s="34" t="s">
        <v>255</v>
      </c>
      <c r="C7" s="35">
        <v>400</v>
      </c>
      <c r="D7" s="36">
        <f>+C7</f>
        <v>400</v>
      </c>
      <c r="E7" s="36">
        <v>294</v>
      </c>
      <c r="F7" s="36"/>
      <c r="G7" s="36">
        <f>+C7*G6</f>
        <v>44.6</v>
      </c>
      <c r="H7" s="36">
        <f>+C7*H6</f>
        <v>4</v>
      </c>
      <c r="I7" s="36">
        <f>+C7/24</f>
        <v>16.666666666666668</v>
      </c>
      <c r="J7" s="37">
        <v>1</v>
      </c>
      <c r="K7" s="38">
        <f>+(((C7*12)+SUM(D7:F7)+(G7*12)+(H7*12)+(I7*12))*(J7))</f>
        <v>6277.2</v>
      </c>
      <c r="L7" s="39">
        <f>+C7*12*J7</f>
        <v>4800</v>
      </c>
      <c r="P7" s="575"/>
      <c r="Q7" s="575"/>
      <c r="R7" s="158"/>
    </row>
    <row r="8" spans="2:18" ht="15">
      <c r="B8" s="76"/>
      <c r="C8" s="77"/>
      <c r="D8" s="78"/>
      <c r="E8" s="78"/>
      <c r="F8" s="78"/>
      <c r="G8" s="78"/>
      <c r="H8" s="78"/>
      <c r="I8" s="78"/>
      <c r="J8" s="79"/>
      <c r="K8" s="80"/>
      <c r="L8" s="39"/>
      <c r="P8" s="159"/>
      <c r="Q8" s="159"/>
      <c r="R8" s="157"/>
    </row>
    <row r="9" spans="2:18" ht="15.75" thickBot="1">
      <c r="B9" s="380" t="s">
        <v>4</v>
      </c>
      <c r="C9" s="40">
        <f aca="true" t="shared" si="0" ref="C9:L9">SUM(C7)</f>
        <v>400</v>
      </c>
      <c r="D9" s="40">
        <f t="shared" si="0"/>
        <v>400</v>
      </c>
      <c r="E9" s="40">
        <f t="shared" si="0"/>
        <v>294</v>
      </c>
      <c r="F9" s="40">
        <f t="shared" si="0"/>
        <v>0</v>
      </c>
      <c r="G9" s="40">
        <f t="shared" si="0"/>
        <v>44.6</v>
      </c>
      <c r="H9" s="40">
        <f t="shared" si="0"/>
        <v>4</v>
      </c>
      <c r="I9" s="40">
        <f t="shared" si="0"/>
        <v>16.666666666666668</v>
      </c>
      <c r="J9" s="41">
        <f t="shared" si="0"/>
        <v>1</v>
      </c>
      <c r="K9" s="42">
        <f t="shared" si="0"/>
        <v>6277.2</v>
      </c>
      <c r="L9" s="43">
        <f t="shared" si="0"/>
        <v>4800</v>
      </c>
      <c r="P9" s="16"/>
      <c r="Q9" s="16"/>
      <c r="R9" s="157"/>
    </row>
    <row r="10" spans="2:18" ht="15.75" thickBot="1">
      <c r="B10" s="44"/>
      <c r="C10" s="45"/>
      <c r="D10" s="45"/>
      <c r="E10" s="45"/>
      <c r="F10" s="45"/>
      <c r="G10" s="45"/>
      <c r="H10" s="45"/>
      <c r="I10" s="45"/>
      <c r="J10" s="46"/>
      <c r="K10" s="45"/>
      <c r="L10" s="47"/>
      <c r="P10" s="159"/>
      <c r="Q10" s="159"/>
      <c r="R10" s="157"/>
    </row>
    <row r="11" spans="2:18" ht="15" customHeight="1">
      <c r="B11" s="438" t="s">
        <v>78</v>
      </c>
      <c r="C11" s="436" t="s">
        <v>73</v>
      </c>
      <c r="D11" s="432"/>
      <c r="E11" s="432"/>
      <c r="F11" s="447"/>
      <c r="G11" s="434" t="s">
        <v>124</v>
      </c>
      <c r="H11" s="443" t="s">
        <v>125</v>
      </c>
      <c r="I11" s="443" t="s">
        <v>126</v>
      </c>
      <c r="J11" s="434" t="s">
        <v>79</v>
      </c>
      <c r="K11" s="436" t="s">
        <v>80</v>
      </c>
      <c r="L11" s="440" t="s">
        <v>81</v>
      </c>
      <c r="P11" s="159"/>
      <c r="Q11" s="159"/>
      <c r="R11" s="157"/>
    </row>
    <row r="12" spans="2:18" ht="15" customHeight="1">
      <c r="B12" s="439"/>
      <c r="C12" s="445" t="s">
        <v>82</v>
      </c>
      <c r="D12" s="445" t="s">
        <v>83</v>
      </c>
      <c r="E12" s="445" t="s">
        <v>84</v>
      </c>
      <c r="F12" s="445" t="s">
        <v>85</v>
      </c>
      <c r="G12" s="442"/>
      <c r="H12" s="444"/>
      <c r="I12" s="444"/>
      <c r="J12" s="435"/>
      <c r="K12" s="437"/>
      <c r="L12" s="441"/>
      <c r="P12" s="159"/>
      <c r="Q12" s="159"/>
      <c r="R12" s="157"/>
    </row>
    <row r="13" spans="2:18" ht="15">
      <c r="B13" s="286"/>
      <c r="C13" s="446"/>
      <c r="D13" s="446"/>
      <c r="E13" s="446"/>
      <c r="F13" s="446"/>
      <c r="G13" s="379">
        <v>0.1115</v>
      </c>
      <c r="H13" s="379">
        <v>0.01</v>
      </c>
      <c r="I13" s="433"/>
      <c r="J13" s="435"/>
      <c r="K13" s="437"/>
      <c r="L13" s="441"/>
      <c r="P13" s="159"/>
      <c r="Q13" s="159"/>
      <c r="R13" s="157"/>
    </row>
    <row r="14" spans="2:18" ht="15">
      <c r="B14" s="34" t="s">
        <v>255</v>
      </c>
      <c r="C14" s="35">
        <v>400</v>
      </c>
      <c r="D14" s="36">
        <f>+C14</f>
        <v>400</v>
      </c>
      <c r="E14" s="36">
        <v>294</v>
      </c>
      <c r="F14" s="36">
        <f>+C14</f>
        <v>400</v>
      </c>
      <c r="G14" s="36">
        <f>+C14*G13</f>
        <v>44.6</v>
      </c>
      <c r="H14" s="36">
        <f>+C14*H13</f>
        <v>4</v>
      </c>
      <c r="I14" s="36">
        <f>+C14/24</f>
        <v>16.666666666666668</v>
      </c>
      <c r="J14" s="37">
        <v>1</v>
      </c>
      <c r="K14" s="38">
        <f>+(((C14*12)+SUM(D14:F14)+(G14*12)+(H14*12)+(I14*12))*(J14))</f>
        <v>6677.2</v>
      </c>
      <c r="L14" s="39">
        <f>+C14*12*J14</f>
        <v>4800</v>
      </c>
      <c r="P14" s="159"/>
      <c r="Q14" s="159"/>
      <c r="R14" s="157"/>
    </row>
    <row r="15" spans="2:18" ht="15.75" thickBot="1">
      <c r="B15" s="380" t="s">
        <v>4</v>
      </c>
      <c r="C15" s="40">
        <f aca="true" t="shared" si="1" ref="C15:L15">SUM(C14)</f>
        <v>400</v>
      </c>
      <c r="D15" s="40">
        <f t="shared" si="1"/>
        <v>400</v>
      </c>
      <c r="E15" s="40">
        <f t="shared" si="1"/>
        <v>294</v>
      </c>
      <c r="F15" s="40">
        <f t="shared" si="1"/>
        <v>400</v>
      </c>
      <c r="G15" s="40">
        <f t="shared" si="1"/>
        <v>44.6</v>
      </c>
      <c r="H15" s="40">
        <f t="shared" si="1"/>
        <v>4</v>
      </c>
      <c r="I15" s="40">
        <f t="shared" si="1"/>
        <v>16.666666666666668</v>
      </c>
      <c r="J15" s="41">
        <f t="shared" si="1"/>
        <v>1</v>
      </c>
      <c r="K15" s="42">
        <f t="shared" si="1"/>
        <v>6677.2</v>
      </c>
      <c r="L15" s="43">
        <f t="shared" si="1"/>
        <v>4800</v>
      </c>
      <c r="P15" s="16"/>
      <c r="Q15" s="16"/>
      <c r="R15" s="16"/>
    </row>
    <row r="16" spans="2:18" ht="1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P16" s="575"/>
      <c r="Q16" s="575"/>
      <c r="R16" s="158"/>
    </row>
    <row r="17" spans="2:18" ht="1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N17" s="9"/>
      <c r="P17" s="575"/>
      <c r="Q17" s="575"/>
      <c r="R17" s="158"/>
    </row>
    <row r="18" spans="2:18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P18" s="576"/>
      <c r="Q18" s="576"/>
      <c r="R18" s="160"/>
    </row>
    <row r="19" spans="2:18" ht="18.75">
      <c r="B19" s="267" t="s">
        <v>86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8"/>
      <c r="P19" s="16"/>
      <c r="Q19" s="16"/>
      <c r="R19" s="16"/>
    </row>
    <row r="20" spans="2:18" ht="23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69"/>
      <c r="P20" s="578"/>
      <c r="Q20" s="578"/>
      <c r="R20" s="578"/>
    </row>
    <row r="21" spans="2:18" ht="15">
      <c r="B21" s="270"/>
      <c r="C21" s="157"/>
      <c r="D21" s="157"/>
      <c r="E21" s="157"/>
      <c r="F21" s="157"/>
      <c r="G21" s="157"/>
      <c r="H21" s="157"/>
      <c r="I21" s="157"/>
      <c r="J21" s="14"/>
      <c r="K21" s="157"/>
      <c r="L21" s="14"/>
      <c r="M21" s="271"/>
      <c r="P21" s="16"/>
      <c r="Q21" s="16"/>
      <c r="R21" s="16"/>
    </row>
    <row r="22" spans="2:14" ht="15">
      <c r="B22" s="270"/>
      <c r="C22" s="157"/>
      <c r="D22" s="157"/>
      <c r="E22" s="14"/>
      <c r="F22" s="14"/>
      <c r="G22" s="14"/>
      <c r="H22" s="14"/>
      <c r="I22" s="14"/>
      <c r="J22" s="14"/>
      <c r="K22" s="14"/>
      <c r="L22" s="14"/>
      <c r="M22" s="271"/>
      <c r="N22" s="7"/>
    </row>
    <row r="23" spans="2:13" ht="15.75" thickBot="1">
      <c r="B23" s="561" t="s">
        <v>74</v>
      </c>
      <c r="C23" s="561"/>
      <c r="D23" s="561"/>
      <c r="E23" s="14"/>
      <c r="F23" s="14"/>
      <c r="G23" s="14"/>
      <c r="H23" s="14"/>
      <c r="I23" s="14"/>
      <c r="J23" s="14"/>
      <c r="K23" s="14"/>
      <c r="L23" s="14"/>
      <c r="M23" s="271"/>
    </row>
    <row r="24" spans="2:13" ht="15">
      <c r="B24" s="532" t="s">
        <v>0</v>
      </c>
      <c r="C24" s="532" t="s">
        <v>70</v>
      </c>
      <c r="D24" s="532" t="s">
        <v>71</v>
      </c>
      <c r="E24" s="14"/>
      <c r="F24" s="14"/>
      <c r="G24" s="14"/>
      <c r="H24" s="14"/>
      <c r="I24" s="14"/>
      <c r="J24" s="14"/>
      <c r="K24" s="593" t="s">
        <v>69</v>
      </c>
      <c r="L24" s="594"/>
      <c r="M24" s="595"/>
    </row>
    <row r="25" spans="2:13" ht="15">
      <c r="B25" s="532"/>
      <c r="C25" s="532"/>
      <c r="D25" s="532"/>
      <c r="E25" s="14"/>
      <c r="F25" s="14"/>
      <c r="G25" s="14"/>
      <c r="H25" s="14"/>
      <c r="I25" s="14"/>
      <c r="J25" s="14"/>
      <c r="K25" s="596" t="s">
        <v>0</v>
      </c>
      <c r="L25" s="597"/>
      <c r="M25" s="272" t="s">
        <v>72</v>
      </c>
    </row>
    <row r="26" spans="2:13" ht="15">
      <c r="B26" s="273" t="s">
        <v>256</v>
      </c>
      <c r="C26" s="274">
        <v>140</v>
      </c>
      <c r="D26" s="275">
        <f>+C26*12</f>
        <v>1680</v>
      </c>
      <c r="E26" s="14" t="s">
        <v>261</v>
      </c>
      <c r="F26" s="14" t="s">
        <v>262</v>
      </c>
      <c r="G26" s="14"/>
      <c r="H26" s="14"/>
      <c r="I26" s="14"/>
      <c r="J26" s="14"/>
      <c r="K26" s="598" t="s">
        <v>248</v>
      </c>
      <c r="L26" s="599"/>
      <c r="M26" s="276">
        <f>K7</f>
        <v>6277.2</v>
      </c>
    </row>
    <row r="27" spans="2:13" ht="15">
      <c r="B27" s="273" t="s">
        <v>253</v>
      </c>
      <c r="C27" s="274">
        <v>200</v>
      </c>
      <c r="D27" s="275">
        <f>C27*12</f>
        <v>2400</v>
      </c>
      <c r="E27" s="14"/>
      <c r="F27" s="14"/>
      <c r="G27" s="14"/>
      <c r="H27" s="14"/>
      <c r="I27" s="14"/>
      <c r="J27" s="14"/>
      <c r="K27" s="277" t="s">
        <v>74</v>
      </c>
      <c r="L27" s="278"/>
      <c r="M27" s="279">
        <f>D28</f>
        <v>4080</v>
      </c>
    </row>
    <row r="28" spans="2:13" ht="15">
      <c r="B28" s="381" t="s">
        <v>4</v>
      </c>
      <c r="C28" s="280">
        <f>C27+C26</f>
        <v>340</v>
      </c>
      <c r="D28" s="280">
        <f>D27+D26</f>
        <v>4080</v>
      </c>
      <c r="E28" s="14"/>
      <c r="F28" s="115"/>
      <c r="G28" s="14"/>
      <c r="H28" s="14"/>
      <c r="I28" s="14"/>
      <c r="J28" s="14"/>
      <c r="K28" s="277" t="s">
        <v>75</v>
      </c>
      <c r="L28" s="278"/>
      <c r="M28" s="281">
        <f>F55</f>
        <v>187</v>
      </c>
    </row>
    <row r="29" spans="2:13" ht="15">
      <c r="B29" s="14"/>
      <c r="C29" s="14"/>
      <c r="D29" s="14"/>
      <c r="E29" s="14"/>
      <c r="F29" s="14"/>
      <c r="G29" s="14"/>
      <c r="H29" s="14"/>
      <c r="I29" s="14"/>
      <c r="J29" s="14"/>
      <c r="K29" s="282" t="s">
        <v>19</v>
      </c>
      <c r="L29" s="283"/>
      <c r="M29" s="281">
        <v>0</v>
      </c>
    </row>
    <row r="30" spans="2:13" ht="15.75" thickBot="1">
      <c r="B30" s="14"/>
      <c r="C30" s="14"/>
      <c r="D30" s="14"/>
      <c r="E30" s="14"/>
      <c r="F30" s="14"/>
      <c r="G30" s="14"/>
      <c r="H30" s="14"/>
      <c r="I30" s="14"/>
      <c r="J30" s="14"/>
      <c r="K30" s="579" t="s">
        <v>4</v>
      </c>
      <c r="L30" s="580"/>
      <c r="M30" s="284">
        <f>SUM(M26:M29)</f>
        <v>10544.2</v>
      </c>
    </row>
    <row r="31" spans="2:13" ht="15">
      <c r="B31" s="561" t="s">
        <v>76</v>
      </c>
      <c r="C31" s="561"/>
      <c r="D31" s="561"/>
      <c r="E31" s="14"/>
      <c r="F31" s="14"/>
      <c r="G31" s="14"/>
      <c r="H31" s="14"/>
      <c r="I31" s="14"/>
      <c r="J31" s="14"/>
      <c r="K31" s="14"/>
      <c r="L31" s="14"/>
      <c r="M31" s="14"/>
    </row>
    <row r="32" spans="2:13" ht="15">
      <c r="B32" s="532" t="s">
        <v>0</v>
      </c>
      <c r="C32" s="532" t="s">
        <v>257</v>
      </c>
      <c r="D32" s="532" t="s">
        <v>71</v>
      </c>
      <c r="E32" s="14"/>
      <c r="F32" s="14"/>
      <c r="G32" s="14"/>
      <c r="H32" s="14"/>
      <c r="I32" s="14"/>
      <c r="J32" s="14"/>
      <c r="K32" s="14"/>
      <c r="L32" s="14"/>
      <c r="M32" s="14"/>
    </row>
    <row r="33" spans="2:13" ht="15">
      <c r="B33" s="532"/>
      <c r="C33" s="532"/>
      <c r="D33" s="532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15.75" thickBot="1">
      <c r="B34" s="285" t="s">
        <v>77</v>
      </c>
      <c r="C34" s="274">
        <v>315</v>
      </c>
      <c r="D34" s="275">
        <f>C34*2</f>
        <v>630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5">
      <c r="B35" s="287" t="s">
        <v>297</v>
      </c>
      <c r="C35" s="288">
        <v>413</v>
      </c>
      <c r="D35" s="289">
        <f>C35*12</f>
        <v>4956</v>
      </c>
      <c r="E35" s="14"/>
      <c r="F35" s="14"/>
      <c r="G35" s="14"/>
      <c r="H35" s="14"/>
      <c r="I35" s="14"/>
      <c r="J35" s="14"/>
      <c r="K35" s="500" t="s">
        <v>76</v>
      </c>
      <c r="L35" s="486"/>
      <c r="M35" s="487"/>
    </row>
    <row r="36" spans="2:13" ht="15">
      <c r="B36" s="381" t="s">
        <v>4</v>
      </c>
      <c r="C36" s="280">
        <f>C35+C34</f>
        <v>728</v>
      </c>
      <c r="D36" s="280">
        <f>D35+D34</f>
        <v>5586</v>
      </c>
      <c r="E36" s="14"/>
      <c r="F36" s="14"/>
      <c r="G36" s="14"/>
      <c r="H36" s="14"/>
      <c r="I36" s="14"/>
      <c r="J36" s="14"/>
      <c r="K36" s="588" t="s">
        <v>0</v>
      </c>
      <c r="L36" s="590" t="s">
        <v>70</v>
      </c>
      <c r="M36" s="591" t="s">
        <v>71</v>
      </c>
    </row>
    <row r="37" spans="2:13" ht="15">
      <c r="B37" s="14"/>
      <c r="C37" s="14"/>
      <c r="D37" s="14"/>
      <c r="E37" s="14"/>
      <c r="F37" s="14"/>
      <c r="G37" s="14"/>
      <c r="H37" s="14"/>
      <c r="I37" s="14"/>
      <c r="J37" s="14"/>
      <c r="K37" s="589"/>
      <c r="L37" s="520"/>
      <c r="M37" s="592"/>
    </row>
    <row r="38" spans="2:13" ht="15">
      <c r="B38" s="14"/>
      <c r="C38" s="14"/>
      <c r="D38" s="14"/>
      <c r="E38" s="14"/>
      <c r="F38" s="14"/>
      <c r="G38" s="14"/>
      <c r="H38" s="14"/>
      <c r="I38" s="14"/>
      <c r="J38" s="14"/>
      <c r="K38" s="290" t="s">
        <v>77</v>
      </c>
      <c r="L38" s="274">
        <f>C34</f>
        <v>315</v>
      </c>
      <c r="M38" s="102">
        <f>D34</f>
        <v>630</v>
      </c>
    </row>
    <row r="39" spans="2:13" ht="15">
      <c r="B39" s="14"/>
      <c r="C39" s="14"/>
      <c r="D39" s="14"/>
      <c r="E39" s="14"/>
      <c r="F39" s="14"/>
      <c r="G39" s="14"/>
      <c r="H39" s="14"/>
      <c r="I39" s="14"/>
      <c r="J39" s="14"/>
      <c r="K39" s="287" t="s">
        <v>251</v>
      </c>
      <c r="L39" s="288">
        <f>C35</f>
        <v>413</v>
      </c>
      <c r="M39" s="289">
        <f>L39*12</f>
        <v>4956</v>
      </c>
    </row>
    <row r="40" spans="2:13" ht="15.75" thickBot="1">
      <c r="B40" s="14"/>
      <c r="C40" s="14"/>
      <c r="D40" s="14"/>
      <c r="E40" s="15"/>
      <c r="F40" s="15"/>
      <c r="G40" s="14"/>
      <c r="H40" s="14"/>
      <c r="I40" s="14"/>
      <c r="J40" s="14"/>
      <c r="K40" s="380" t="s">
        <v>4</v>
      </c>
      <c r="L40" s="291">
        <f>SUM(L38:L39)</f>
        <v>728</v>
      </c>
      <c r="M40" s="291">
        <f>SUM(M38:M39)</f>
        <v>5586</v>
      </c>
    </row>
    <row r="41" spans="2:13" ht="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ht="15">
      <c r="B43" s="16"/>
      <c r="C43" s="292"/>
      <c r="D43" s="293"/>
      <c r="E43" s="293"/>
      <c r="F43" s="293"/>
      <c r="G43" s="14"/>
      <c r="H43" s="14"/>
      <c r="I43" s="14"/>
      <c r="J43" s="14"/>
      <c r="K43" s="14"/>
      <c r="L43" s="14"/>
      <c r="M43" s="14"/>
    </row>
    <row r="44" spans="2:13" ht="15.75" thickBo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ht="15">
      <c r="B45" s="566" t="s">
        <v>75</v>
      </c>
      <c r="C45" s="567"/>
      <c r="D45" s="567"/>
      <c r="E45" s="567"/>
      <c r="F45" s="568"/>
      <c r="G45" s="14"/>
      <c r="H45" s="14"/>
      <c r="I45" s="14"/>
      <c r="J45" s="14"/>
      <c r="K45" s="14"/>
      <c r="L45" s="14"/>
      <c r="M45" s="14"/>
    </row>
    <row r="46" spans="2:13" ht="15">
      <c r="B46" s="565" t="s">
        <v>0</v>
      </c>
      <c r="C46" s="532" t="s">
        <v>1</v>
      </c>
      <c r="D46" s="532" t="s">
        <v>5</v>
      </c>
      <c r="E46" s="532" t="s">
        <v>70</v>
      </c>
      <c r="F46" s="532" t="s">
        <v>71</v>
      </c>
      <c r="G46" s="14"/>
      <c r="H46" s="14"/>
      <c r="I46" s="14"/>
      <c r="J46" s="14"/>
      <c r="K46" s="14"/>
      <c r="L46" s="14"/>
      <c r="M46" s="14"/>
    </row>
    <row r="47" spans="2:13" ht="15">
      <c r="B47" s="565"/>
      <c r="C47" s="532"/>
      <c r="D47" s="532"/>
      <c r="E47" s="532"/>
      <c r="F47" s="532"/>
      <c r="G47" s="14"/>
      <c r="H47" s="14"/>
      <c r="I47" s="14"/>
      <c r="J47" s="14"/>
      <c r="K47" s="14"/>
      <c r="L47" s="14"/>
      <c r="M47" s="14"/>
    </row>
    <row r="48" spans="2:13" ht="15">
      <c r="B48" s="23" t="s">
        <v>119</v>
      </c>
      <c r="C48" s="37">
        <v>2</v>
      </c>
      <c r="D48" s="294">
        <v>3</v>
      </c>
      <c r="E48" s="294">
        <f>+C48*D48</f>
        <v>6</v>
      </c>
      <c r="F48" s="294">
        <f>+E48*12</f>
        <v>72</v>
      </c>
      <c r="G48" s="14"/>
      <c r="H48" s="14"/>
      <c r="I48" s="14"/>
      <c r="J48" s="14"/>
      <c r="K48" s="14"/>
      <c r="L48" s="14"/>
      <c r="M48" s="14"/>
    </row>
    <row r="49" spans="2:13" ht="15">
      <c r="B49" s="23" t="s">
        <v>249</v>
      </c>
      <c r="C49" s="37">
        <v>1</v>
      </c>
      <c r="D49" s="294">
        <v>4</v>
      </c>
      <c r="E49" s="294">
        <f>D49*C49</f>
        <v>4</v>
      </c>
      <c r="F49" s="294">
        <f>E49*12</f>
        <v>48</v>
      </c>
      <c r="G49" s="14"/>
      <c r="H49" s="14"/>
      <c r="I49" s="14"/>
      <c r="J49" s="14"/>
      <c r="K49" s="14"/>
      <c r="L49" s="14"/>
      <c r="M49" s="14"/>
    </row>
    <row r="50" spans="2:13" ht="15">
      <c r="B50" s="23" t="s">
        <v>87</v>
      </c>
      <c r="C50" s="37">
        <v>2</v>
      </c>
      <c r="D50" s="294">
        <v>2.4</v>
      </c>
      <c r="E50" s="294">
        <f>+C50*D50</f>
        <v>4.8</v>
      </c>
      <c r="F50" s="294">
        <f>E50</f>
        <v>4.8</v>
      </c>
      <c r="G50" s="14"/>
      <c r="H50" s="14"/>
      <c r="I50" s="14"/>
      <c r="J50" s="14"/>
      <c r="K50" s="14"/>
      <c r="L50" s="14"/>
      <c r="M50" s="14"/>
    </row>
    <row r="51" spans="2:13" ht="15">
      <c r="B51" s="23" t="s">
        <v>120</v>
      </c>
      <c r="C51" s="37">
        <v>1</v>
      </c>
      <c r="D51" s="294">
        <v>0.6</v>
      </c>
      <c r="E51" s="294">
        <f>+C51*D51</f>
        <v>0.6</v>
      </c>
      <c r="F51" s="294">
        <f>+E51*12</f>
        <v>7.199999999999999</v>
      </c>
      <c r="G51" s="14"/>
      <c r="H51" s="14"/>
      <c r="I51" s="14"/>
      <c r="J51" s="14"/>
      <c r="K51" s="14"/>
      <c r="L51" s="14"/>
      <c r="M51" s="14"/>
    </row>
    <row r="52" spans="2:13" ht="15">
      <c r="B52" s="23" t="s">
        <v>121</v>
      </c>
      <c r="C52" s="37">
        <v>2</v>
      </c>
      <c r="D52" s="294">
        <v>1.5</v>
      </c>
      <c r="E52" s="294">
        <f>+C52*D52</f>
        <v>3</v>
      </c>
      <c r="F52" s="294">
        <f>E52</f>
        <v>3</v>
      </c>
      <c r="G52" s="14"/>
      <c r="H52" s="14"/>
      <c r="I52" s="14"/>
      <c r="J52" s="14"/>
      <c r="K52" s="14"/>
      <c r="L52" s="14"/>
      <c r="M52" s="14"/>
    </row>
    <row r="53" spans="2:13" ht="15">
      <c r="B53" s="23" t="s">
        <v>88</v>
      </c>
      <c r="C53" s="37">
        <v>1</v>
      </c>
      <c r="D53" s="294">
        <v>2</v>
      </c>
      <c r="E53" s="294">
        <f>+C53*D53</f>
        <v>2</v>
      </c>
      <c r="F53" s="294">
        <v>2</v>
      </c>
      <c r="G53" s="14"/>
      <c r="H53" s="14"/>
      <c r="I53" s="14"/>
      <c r="J53" s="14"/>
      <c r="K53" s="14"/>
      <c r="L53" s="14"/>
      <c r="M53" s="14"/>
    </row>
    <row r="54" spans="2:13" ht="15">
      <c r="B54" s="23" t="s">
        <v>89</v>
      </c>
      <c r="C54" s="37">
        <v>1</v>
      </c>
      <c r="D54" s="294">
        <v>50</v>
      </c>
      <c r="E54" s="294">
        <f>+C54*D54</f>
        <v>50</v>
      </c>
      <c r="F54" s="294">
        <f>E54</f>
        <v>50</v>
      </c>
      <c r="G54" s="14"/>
      <c r="H54" s="14"/>
      <c r="I54" s="14"/>
      <c r="J54" s="14"/>
      <c r="K54" s="14"/>
      <c r="L54" s="14"/>
      <c r="M54" s="14"/>
    </row>
    <row r="55" spans="2:13" ht="15.75" thickBot="1">
      <c r="B55" s="528" t="s">
        <v>4</v>
      </c>
      <c r="C55" s="529"/>
      <c r="D55" s="295">
        <f>SUM(D48:D54)</f>
        <v>63.5</v>
      </c>
      <c r="E55" s="295">
        <f>SUM(E48:E54)</f>
        <v>70.4</v>
      </c>
      <c r="F55" s="295">
        <f>SUM(F48:F54)</f>
        <v>187</v>
      </c>
      <c r="G55" s="14"/>
      <c r="H55" s="14"/>
      <c r="I55" s="14"/>
      <c r="J55" s="14"/>
      <c r="K55" s="14"/>
      <c r="L55" s="14"/>
      <c r="M55" s="14"/>
    </row>
    <row r="56" spans="2:13" ht="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</sheetData>
  <sheetProtection/>
  <mergeCells count="43">
    <mergeCell ref="I4:I6"/>
    <mergeCell ref="K36:K37"/>
    <mergeCell ref="L36:L37"/>
    <mergeCell ref="M36:M37"/>
    <mergeCell ref="K24:M24"/>
    <mergeCell ref="K25:L25"/>
    <mergeCell ref="K26:L26"/>
    <mergeCell ref="B23:D23"/>
    <mergeCell ref="P20:R20"/>
    <mergeCell ref="K30:L30"/>
    <mergeCell ref="B4:B6"/>
    <mergeCell ref="P7:Q7"/>
    <mergeCell ref="P16:Q16"/>
    <mergeCell ref="P17:Q17"/>
    <mergeCell ref="L4:L6"/>
    <mergeCell ref="G4:G5"/>
    <mergeCell ref="H4:H5"/>
    <mergeCell ref="J4:J6"/>
    <mergeCell ref="K35:M35"/>
    <mergeCell ref="P4:R4"/>
    <mergeCell ref="P6:Q6"/>
    <mergeCell ref="P5:Q5"/>
    <mergeCell ref="K4:K6"/>
    <mergeCell ref="P18:Q18"/>
    <mergeCell ref="E46:E47"/>
    <mergeCell ref="B24:B25"/>
    <mergeCell ref="F46:F47"/>
    <mergeCell ref="C24:C25"/>
    <mergeCell ref="C32:C33"/>
    <mergeCell ref="D32:D33"/>
    <mergeCell ref="B45:F45"/>
    <mergeCell ref="B32:B33"/>
    <mergeCell ref="D24:D25"/>
    <mergeCell ref="B31:D31"/>
    <mergeCell ref="B55:C55"/>
    <mergeCell ref="B46:B47"/>
    <mergeCell ref="C46:C47"/>
    <mergeCell ref="D46:D47"/>
    <mergeCell ref="C5:C6"/>
    <mergeCell ref="D5:D6"/>
    <mergeCell ref="C4:F4"/>
    <mergeCell ref="E5:E6"/>
    <mergeCell ref="F5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24"/>
  <sheetViews>
    <sheetView showGridLines="0" zoomScale="80" zoomScaleNormal="80" zoomScalePageLayoutView="0" workbookViewId="0" topLeftCell="A1">
      <selection activeCell="E14" sqref="E14"/>
    </sheetView>
  </sheetViews>
  <sheetFormatPr defaultColWidth="11.421875" defaultRowHeight="15"/>
  <cols>
    <col min="1" max="1" width="11.421875" style="0" customWidth="1"/>
    <col min="2" max="2" width="24.57421875" style="0" bestFit="1" customWidth="1"/>
    <col min="3" max="3" width="14.00390625" style="0" customWidth="1"/>
    <col min="4" max="4" width="12.8515625" style="0" bestFit="1" customWidth="1"/>
    <col min="5" max="10" width="13.57421875" style="0" bestFit="1" customWidth="1"/>
    <col min="11" max="14" width="14.421875" style="0" bestFit="1" customWidth="1"/>
    <col min="15" max="15" width="11.421875" style="0" customWidth="1"/>
    <col min="16" max="16" width="14.421875" style="0" customWidth="1"/>
  </cols>
  <sheetData>
    <row r="2" spans="2:16" ht="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5.75" thickBot="1">
      <c r="B3" s="16"/>
      <c r="C3" s="50">
        <v>0</v>
      </c>
      <c r="D3" s="50">
        <v>0</v>
      </c>
      <c r="E3" s="50">
        <v>0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1">
        <v>0</v>
      </c>
      <c r="L3" s="51">
        <v>0</v>
      </c>
      <c r="M3" s="51">
        <v>0</v>
      </c>
      <c r="N3" s="51">
        <v>0</v>
      </c>
      <c r="O3" s="14"/>
      <c r="P3" s="52">
        <f>SUM(C3:N3)</f>
        <v>0</v>
      </c>
    </row>
    <row r="4" spans="2:16" ht="15.75" thickBot="1">
      <c r="B4" s="16"/>
      <c r="C4" s="370" t="s">
        <v>90</v>
      </c>
      <c r="D4" s="370" t="s">
        <v>91</v>
      </c>
      <c r="E4" s="370" t="s">
        <v>92</v>
      </c>
      <c r="F4" s="370" t="s">
        <v>93</v>
      </c>
      <c r="G4" s="370" t="s">
        <v>94</v>
      </c>
      <c r="H4" s="370" t="s">
        <v>95</v>
      </c>
      <c r="I4" s="370" t="s">
        <v>96</v>
      </c>
      <c r="J4" s="370" t="s">
        <v>97</v>
      </c>
      <c r="K4" s="370" t="s">
        <v>98</v>
      </c>
      <c r="L4" s="370" t="s">
        <v>99</v>
      </c>
      <c r="M4" s="370" t="s">
        <v>100</v>
      </c>
      <c r="N4" s="392" t="s">
        <v>101</v>
      </c>
      <c r="O4" s="16"/>
      <c r="P4" s="14"/>
    </row>
    <row r="5" spans="2:16" ht="15">
      <c r="B5" s="53" t="s">
        <v>102</v>
      </c>
      <c r="C5" s="54">
        <f>Ingresos!C16</f>
        <v>1609.94</v>
      </c>
      <c r="D5" s="54">
        <f>Ingresos!D16</f>
        <v>1100</v>
      </c>
      <c r="E5" s="54">
        <f>Ingresos!E16</f>
        <v>1100</v>
      </c>
      <c r="F5" s="54">
        <f>Ingresos!F16</f>
        <v>1834.34</v>
      </c>
      <c r="G5" s="54">
        <f>Ingresos!G16</f>
        <v>1834.34</v>
      </c>
      <c r="H5" s="54">
        <f>Ingresos!H16</f>
        <v>1834.34</v>
      </c>
      <c r="I5" s="54">
        <f>Ingresos!I16</f>
        <v>1834.34</v>
      </c>
      <c r="J5" s="54">
        <f>Ingresos!J16</f>
        <v>1834.34</v>
      </c>
      <c r="K5" s="54">
        <f>Ingresos!K16</f>
        <v>1834.34</v>
      </c>
      <c r="L5" s="54">
        <f>Ingresos!L16</f>
        <v>1834.34</v>
      </c>
      <c r="M5" s="54">
        <f>Ingresos!M16</f>
        <v>1834.34</v>
      </c>
      <c r="N5" s="54">
        <f>Ingresos!N16</f>
        <v>1484.34</v>
      </c>
      <c r="O5" s="55"/>
      <c r="P5" s="56">
        <f>SUM(C5:N5)</f>
        <v>19969</v>
      </c>
    </row>
    <row r="6" spans="2:16" ht="1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16"/>
      <c r="P6" s="56"/>
    </row>
    <row r="7" spans="2:16" ht="15">
      <c r="B7" s="60" t="s">
        <v>73</v>
      </c>
      <c r="C7" s="61">
        <f>'Egresos (costos y gastos)'!$K$7/12</f>
        <v>523.1</v>
      </c>
      <c r="D7" s="61">
        <f>'Egresos (costos y gastos)'!$K$7/12</f>
        <v>523.1</v>
      </c>
      <c r="E7" s="61">
        <f>'Egresos (costos y gastos)'!$K$7/12</f>
        <v>523.1</v>
      </c>
      <c r="F7" s="61">
        <f>'Egresos (costos y gastos)'!$K$7/12</f>
        <v>523.1</v>
      </c>
      <c r="G7" s="61">
        <f>'Egresos (costos y gastos)'!$K$7/12</f>
        <v>523.1</v>
      </c>
      <c r="H7" s="61">
        <f>'Egresos (costos y gastos)'!$K$7/12</f>
        <v>523.1</v>
      </c>
      <c r="I7" s="61">
        <f>'Egresos (costos y gastos)'!$K$7/12</f>
        <v>523.1</v>
      </c>
      <c r="J7" s="61">
        <f>'Egresos (costos y gastos)'!$K$7/12</f>
        <v>523.1</v>
      </c>
      <c r="K7" s="61">
        <f>'Egresos (costos y gastos)'!$K$7/12</f>
        <v>523.1</v>
      </c>
      <c r="L7" s="61">
        <f>'Egresos (costos y gastos)'!$K$7/12</f>
        <v>523.1</v>
      </c>
      <c r="M7" s="61">
        <f>'Egresos (costos y gastos)'!$K$7/12</f>
        <v>523.1</v>
      </c>
      <c r="N7" s="61">
        <f>'Egresos (costos y gastos)'!$K$7/12</f>
        <v>523.1</v>
      </c>
      <c r="O7" s="16"/>
      <c r="P7" s="56">
        <f>SUM(C7:N7)</f>
        <v>6277.200000000002</v>
      </c>
    </row>
    <row r="8" spans="2:16" ht="15">
      <c r="B8" s="60" t="s">
        <v>74</v>
      </c>
      <c r="C8" s="61">
        <f>+'Egresos (costos y gastos)'!$C$28</f>
        <v>340</v>
      </c>
      <c r="D8" s="61">
        <f>+'Egresos (costos y gastos)'!$C$28</f>
        <v>340</v>
      </c>
      <c r="E8" s="61">
        <f>+'Egresos (costos y gastos)'!$C$28</f>
        <v>340</v>
      </c>
      <c r="F8" s="61">
        <f>+'Egresos (costos y gastos)'!$C$28</f>
        <v>340</v>
      </c>
      <c r="G8" s="61">
        <f>+'Egresos (costos y gastos)'!$C$28</f>
        <v>340</v>
      </c>
      <c r="H8" s="61">
        <f>+'Egresos (costos y gastos)'!$C$28</f>
        <v>340</v>
      </c>
      <c r="I8" s="61">
        <f>+'Egresos (costos y gastos)'!$C$28</f>
        <v>340</v>
      </c>
      <c r="J8" s="61">
        <f>+'Egresos (costos y gastos)'!$C$28</f>
        <v>340</v>
      </c>
      <c r="K8" s="61">
        <f>+'Egresos (costos y gastos)'!$C$28</f>
        <v>340</v>
      </c>
      <c r="L8" s="61">
        <f>+'Egresos (costos y gastos)'!$C$28</f>
        <v>340</v>
      </c>
      <c r="M8" s="61">
        <f>+'Egresos (costos y gastos)'!$C$28</f>
        <v>340</v>
      </c>
      <c r="N8" s="61">
        <f>+'Egresos (costos y gastos)'!$C$28</f>
        <v>340</v>
      </c>
      <c r="O8" s="62"/>
      <c r="P8" s="56">
        <f>SUM(C8:N8)</f>
        <v>4080</v>
      </c>
    </row>
    <row r="9" spans="2:16" ht="15">
      <c r="B9" s="60" t="s">
        <v>76</v>
      </c>
      <c r="C9" s="61">
        <f>'Egresos (costos y gastos)'!C36</f>
        <v>728</v>
      </c>
      <c r="D9" s="61">
        <f>'Egresos (costos y gastos)'!$C$35</f>
        <v>413</v>
      </c>
      <c r="E9" s="61">
        <f>'Egresos (costos y gastos)'!$C$35</f>
        <v>413</v>
      </c>
      <c r="F9" s="61">
        <f>+C9</f>
        <v>728</v>
      </c>
      <c r="G9" s="61">
        <f>'Egresos (costos y gastos)'!$C$35</f>
        <v>413</v>
      </c>
      <c r="H9" s="61">
        <f>'Egresos (costos y gastos)'!$C$35</f>
        <v>413</v>
      </c>
      <c r="I9" s="61">
        <f>+F9</f>
        <v>728</v>
      </c>
      <c r="J9" s="61">
        <f>'Egresos (costos y gastos)'!$C$35</f>
        <v>413</v>
      </c>
      <c r="K9" s="61">
        <f>+G9</f>
        <v>413</v>
      </c>
      <c r="L9" s="61">
        <f>+I9</f>
        <v>728</v>
      </c>
      <c r="M9" s="61">
        <f>'Egresos (costos y gastos)'!$C$35</f>
        <v>413</v>
      </c>
      <c r="N9" s="61">
        <f>'Egresos (costos y gastos)'!$C$35</f>
        <v>413</v>
      </c>
      <c r="O9" s="62"/>
      <c r="P9" s="56">
        <f>SUM(C9:N9)</f>
        <v>6216</v>
      </c>
    </row>
    <row r="10" spans="2:16" ht="15">
      <c r="B10" s="60" t="s">
        <v>103</v>
      </c>
      <c r="C10" s="61">
        <f>+'Egresos (costos y gastos)'!$E$55</f>
        <v>70.4</v>
      </c>
      <c r="D10" s="61">
        <f>+'Egresos (costos y gastos)'!$E$55</f>
        <v>70.4</v>
      </c>
      <c r="E10" s="61">
        <f>+'Egresos (costos y gastos)'!$E$55</f>
        <v>70.4</v>
      </c>
      <c r="F10" s="61">
        <f>+'Egresos (costos y gastos)'!$E$55</f>
        <v>70.4</v>
      </c>
      <c r="G10" s="61">
        <f>+'Egresos (costos y gastos)'!$E$55</f>
        <v>70.4</v>
      </c>
      <c r="H10" s="61">
        <f>+'Egresos (costos y gastos)'!$E$55</f>
        <v>70.4</v>
      </c>
      <c r="I10" s="61">
        <f>+'Egresos (costos y gastos)'!$E$55</f>
        <v>70.4</v>
      </c>
      <c r="J10" s="61">
        <f>+'Egresos (costos y gastos)'!$E$55</f>
        <v>70.4</v>
      </c>
      <c r="K10" s="61">
        <f>+'Egresos (costos y gastos)'!$E$55</f>
        <v>70.4</v>
      </c>
      <c r="L10" s="61">
        <f>+'Egresos (costos y gastos)'!$E$55</f>
        <v>70.4</v>
      </c>
      <c r="M10" s="61">
        <f>+'Egresos (costos y gastos)'!$E$55</f>
        <v>70.4</v>
      </c>
      <c r="N10" s="61">
        <f>+'Egresos (costos y gastos)'!$E$55</f>
        <v>70.4</v>
      </c>
      <c r="O10" s="63"/>
      <c r="P10" s="56">
        <f>SUM(C10:N10)</f>
        <v>844.7999999999998</v>
      </c>
    </row>
    <row r="11" spans="2:16" ht="15">
      <c r="B11" s="64" t="s">
        <v>104</v>
      </c>
      <c r="C11" s="65">
        <f>C10+C8+C7+C9</f>
        <v>1661.5</v>
      </c>
      <c r="D11" s="65">
        <f aca="true" t="shared" si="0" ref="D11:N11">D10+D8+D7+D9</f>
        <v>1346.5</v>
      </c>
      <c r="E11" s="65">
        <f>E10+E8+E7+E9</f>
        <v>1346.5</v>
      </c>
      <c r="F11" s="65">
        <f t="shared" si="0"/>
        <v>1661.5</v>
      </c>
      <c r="G11" s="65">
        <f t="shared" si="0"/>
        <v>1346.5</v>
      </c>
      <c r="H11" s="65">
        <f t="shared" si="0"/>
        <v>1346.5</v>
      </c>
      <c r="I11" s="65">
        <f t="shared" si="0"/>
        <v>1661.5</v>
      </c>
      <c r="J11" s="65">
        <f t="shared" si="0"/>
        <v>1346.5</v>
      </c>
      <c r="K11" s="65">
        <f t="shared" si="0"/>
        <v>1346.5</v>
      </c>
      <c r="L11" s="65">
        <f t="shared" si="0"/>
        <v>1661.5</v>
      </c>
      <c r="M11" s="65">
        <f t="shared" si="0"/>
        <v>1346.5</v>
      </c>
      <c r="N11" s="65">
        <f t="shared" si="0"/>
        <v>1346.5</v>
      </c>
      <c r="O11" s="55"/>
      <c r="P11" s="56">
        <f>SUM(P7:P10)</f>
        <v>17418</v>
      </c>
    </row>
    <row r="12" spans="2:16" ht="15">
      <c r="B12" s="5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66"/>
      <c r="O12" s="16"/>
      <c r="P12" s="14"/>
    </row>
    <row r="13" spans="2:16" ht="15">
      <c r="B13" s="64" t="s">
        <v>105</v>
      </c>
      <c r="C13" s="67">
        <f aca="true" t="shared" si="1" ref="C13:N13">+C5-C11</f>
        <v>-51.559999999999945</v>
      </c>
      <c r="D13" s="67">
        <f t="shared" si="1"/>
        <v>-246.5</v>
      </c>
      <c r="E13" s="67">
        <f t="shared" si="1"/>
        <v>-246.5</v>
      </c>
      <c r="F13" s="67">
        <f t="shared" si="1"/>
        <v>172.83999999999992</v>
      </c>
      <c r="G13" s="67">
        <f t="shared" si="1"/>
        <v>487.8399999999999</v>
      </c>
      <c r="H13" s="67">
        <f t="shared" si="1"/>
        <v>487.8399999999999</v>
      </c>
      <c r="I13" s="67">
        <f t="shared" si="1"/>
        <v>172.83999999999992</v>
      </c>
      <c r="J13" s="67">
        <f t="shared" si="1"/>
        <v>487.8399999999999</v>
      </c>
      <c r="K13" s="67">
        <f t="shared" si="1"/>
        <v>487.8399999999999</v>
      </c>
      <c r="L13" s="67">
        <f t="shared" si="1"/>
        <v>172.83999999999992</v>
      </c>
      <c r="M13" s="67">
        <f t="shared" si="1"/>
        <v>487.8399999999999</v>
      </c>
      <c r="N13" s="67">
        <f t="shared" si="1"/>
        <v>137.83999999999992</v>
      </c>
      <c r="O13" s="68"/>
      <c r="P13" s="14"/>
    </row>
    <row r="14" spans="2:16" ht="15.75" thickBot="1">
      <c r="B14" s="69" t="s">
        <v>106</v>
      </c>
      <c r="C14" s="70">
        <f>+C13</f>
        <v>-51.559999999999945</v>
      </c>
      <c r="D14" s="70">
        <f>+C14+D13</f>
        <v>-298.05999999999995</v>
      </c>
      <c r="E14" s="405">
        <f aca="true" t="shared" si="2" ref="E14:N14">+D14+E13</f>
        <v>-544.56</v>
      </c>
      <c r="F14" s="70">
        <f t="shared" si="2"/>
        <v>-371.72</v>
      </c>
      <c r="G14" s="70">
        <f t="shared" si="2"/>
        <v>116.11999999999989</v>
      </c>
      <c r="H14" s="71">
        <f t="shared" si="2"/>
        <v>603.9599999999998</v>
      </c>
      <c r="I14" s="70">
        <f t="shared" si="2"/>
        <v>776.7999999999997</v>
      </c>
      <c r="J14" s="70">
        <f t="shared" si="2"/>
        <v>1264.6399999999996</v>
      </c>
      <c r="K14" s="70">
        <f t="shared" si="2"/>
        <v>1752.4799999999996</v>
      </c>
      <c r="L14" s="70">
        <f t="shared" si="2"/>
        <v>1925.3199999999995</v>
      </c>
      <c r="M14" s="70">
        <f t="shared" si="2"/>
        <v>2413.1599999999994</v>
      </c>
      <c r="N14" s="70">
        <f t="shared" si="2"/>
        <v>2550.999999999999</v>
      </c>
      <c r="O14" s="72"/>
      <c r="P14" s="14"/>
    </row>
    <row r="15" spans="2:16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5.75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3"/>
    </row>
    <row r="17" spans="2:16" ht="15.75" thickBot="1">
      <c r="B17" s="74" t="s">
        <v>17</v>
      </c>
      <c r="C17" s="75">
        <f>E14</f>
        <v>-544.56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73"/>
    </row>
    <row r="18" spans="2:16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ht="1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3"/>
    </row>
    <row r="21" spans="2:16" ht="1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ht="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2">
      <selection activeCell="B11" sqref="B11:C11"/>
    </sheetView>
  </sheetViews>
  <sheetFormatPr defaultColWidth="11.421875" defaultRowHeight="15"/>
  <cols>
    <col min="1" max="1" width="11.421875" style="0" customWidth="1"/>
    <col min="2" max="2" width="14.421875" style="0" customWidth="1"/>
    <col min="3" max="3" width="12.421875" style="0" customWidth="1"/>
  </cols>
  <sheetData>
    <row r="1" spans="2:5" ht="15">
      <c r="B1" s="14"/>
      <c r="C1" s="14"/>
      <c r="D1" s="14"/>
      <c r="E1" s="14"/>
    </row>
    <row r="2" spans="2:5" ht="15.75" thickBot="1">
      <c r="B2" s="14"/>
      <c r="C2" s="14"/>
      <c r="D2" s="14"/>
      <c r="E2" s="14"/>
    </row>
    <row r="3" spans="2:5" ht="15">
      <c r="B3" s="600" t="s">
        <v>217</v>
      </c>
      <c r="C3" s="601"/>
      <c r="D3" s="14"/>
      <c r="E3" s="14"/>
    </row>
    <row r="4" spans="2:5" ht="15">
      <c r="B4" s="296" t="s">
        <v>218</v>
      </c>
      <c r="C4" s="297" t="s">
        <v>219</v>
      </c>
      <c r="D4" s="14"/>
      <c r="E4" s="14"/>
    </row>
    <row r="5" spans="2:5" ht="15">
      <c r="B5" s="298" t="s">
        <v>220</v>
      </c>
      <c r="C5" s="299">
        <f>'Egresos (costos y gastos)'!M30</f>
        <v>10544.2</v>
      </c>
      <c r="D5" s="14"/>
      <c r="E5" s="14"/>
    </row>
    <row r="6" spans="2:5" ht="15">
      <c r="B6" s="298" t="s">
        <v>221</v>
      </c>
      <c r="C6" s="299">
        <v>0</v>
      </c>
      <c r="D6" s="14"/>
      <c r="E6" s="14"/>
    </row>
    <row r="7" spans="2:5" ht="15">
      <c r="B7" s="298" t="s">
        <v>222</v>
      </c>
      <c r="C7" s="299">
        <f>+Ingresos!C18</f>
        <v>1664.0833333333333</v>
      </c>
      <c r="D7" s="14"/>
      <c r="E7" s="14"/>
    </row>
    <row r="8" spans="2:6" ht="15.75" thickBot="1">
      <c r="B8" s="300" t="s">
        <v>223</v>
      </c>
      <c r="C8" s="301">
        <f>(C5/(C7-C6))/100</f>
        <v>0.06336341329060044</v>
      </c>
      <c r="D8" s="14"/>
      <c r="E8" s="14"/>
      <c r="F8" s="17"/>
    </row>
    <row r="9" spans="2:5" ht="15">
      <c r="B9" s="302"/>
      <c r="C9" s="303"/>
      <c r="D9" s="14"/>
      <c r="E9" s="14"/>
    </row>
    <row r="10" spans="2:5" ht="15.75" thickBot="1">
      <c r="B10" s="303"/>
      <c r="C10" s="303"/>
      <c r="D10" s="14"/>
      <c r="E10" s="14"/>
    </row>
    <row r="11" spans="2:5" ht="15">
      <c r="B11" s="600" t="s">
        <v>224</v>
      </c>
      <c r="C11" s="601"/>
      <c r="D11" s="14"/>
      <c r="E11" s="14"/>
    </row>
    <row r="12" spans="2:5" ht="15">
      <c r="B12" s="296" t="s">
        <v>218</v>
      </c>
      <c r="C12" s="297" t="s">
        <v>219</v>
      </c>
      <c r="D12" s="14"/>
      <c r="E12" s="14"/>
    </row>
    <row r="13" spans="2:5" ht="15">
      <c r="B13" s="298" t="s">
        <v>220</v>
      </c>
      <c r="C13" s="304">
        <f>C5</f>
        <v>10544.2</v>
      </c>
      <c r="D13" s="14"/>
      <c r="E13" s="14"/>
    </row>
    <row r="14" spans="2:5" ht="15">
      <c r="B14" s="298" t="s">
        <v>221</v>
      </c>
      <c r="C14" s="304">
        <f>C6</f>
        <v>0</v>
      </c>
      <c r="D14" s="14"/>
      <c r="E14" s="14"/>
    </row>
    <row r="15" spans="2:5" ht="15">
      <c r="B15" s="298" t="s">
        <v>222</v>
      </c>
      <c r="C15" s="304">
        <f>C7</f>
        <v>1664.0833333333333</v>
      </c>
      <c r="D15" s="14"/>
      <c r="E15" s="14"/>
    </row>
    <row r="16" spans="2:5" ht="15.75" thickBot="1">
      <c r="B16" s="300" t="s">
        <v>223</v>
      </c>
      <c r="C16" s="305">
        <f>C15*C8</f>
        <v>105.44200000000001</v>
      </c>
      <c r="D16" s="14"/>
      <c r="E16" s="14"/>
    </row>
    <row r="17" spans="2:5" ht="15">
      <c r="B17" s="14"/>
      <c r="C17" s="14"/>
      <c r="D17" s="14"/>
      <c r="E17" s="14"/>
    </row>
  </sheetData>
  <sheetProtection/>
  <mergeCells count="2">
    <mergeCell ref="B3:C3"/>
    <mergeCell ref="B11:C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11.421875" style="0" customWidth="1"/>
    <col min="2" max="2" width="32.57421875" style="0" bestFit="1" customWidth="1"/>
    <col min="3" max="3" width="13.00390625" style="0" bestFit="1" customWidth="1"/>
    <col min="4" max="8" width="16.140625" style="0" bestFit="1" customWidth="1"/>
  </cols>
  <sheetData>
    <row r="2" spans="1:9" ht="15.75" thickBot="1">
      <c r="A2" s="14"/>
      <c r="B2" s="14"/>
      <c r="C2" s="14"/>
      <c r="D2" s="14"/>
      <c r="E2" s="14"/>
      <c r="F2" s="14"/>
      <c r="G2" s="14"/>
      <c r="H2" s="14"/>
      <c r="I2" s="14"/>
    </row>
    <row r="3" spans="1:9" ht="15.75" thickBot="1">
      <c r="A3" s="14"/>
      <c r="B3" s="188"/>
      <c r="C3" s="188"/>
      <c r="D3" s="188"/>
      <c r="E3" s="188"/>
      <c r="F3" s="602" t="s">
        <v>132</v>
      </c>
      <c r="G3" s="603"/>
      <c r="H3" s="196">
        <v>0.0005</v>
      </c>
      <c r="I3" s="14"/>
    </row>
    <row r="4" spans="1:9" ht="15.75" thickBot="1">
      <c r="A4" s="14"/>
      <c r="B4" s="188"/>
      <c r="C4" s="188"/>
      <c r="D4" s="188"/>
      <c r="E4" s="188"/>
      <c r="F4" s="188"/>
      <c r="G4" s="188"/>
      <c r="H4" s="188"/>
      <c r="I4" s="14"/>
    </row>
    <row r="5" spans="1:9" ht="15.75" thickBot="1">
      <c r="A5" s="14"/>
      <c r="B5" s="604" t="s">
        <v>226</v>
      </c>
      <c r="C5" s="605"/>
      <c r="D5" s="606"/>
      <c r="E5" s="606"/>
      <c r="F5" s="606"/>
      <c r="G5" s="606"/>
      <c r="H5" s="607"/>
      <c r="I5" s="14"/>
    </row>
    <row r="6" spans="1:9" ht="15.75" thickBot="1">
      <c r="A6" s="14"/>
      <c r="B6" s="188"/>
      <c r="C6" s="188"/>
      <c r="D6" s="188"/>
      <c r="E6" s="188"/>
      <c r="F6" s="188"/>
      <c r="G6" s="188"/>
      <c r="H6" s="188"/>
      <c r="I6" s="14"/>
    </row>
    <row r="7" spans="1:9" ht="15">
      <c r="A7" s="14"/>
      <c r="B7" s="393" t="s">
        <v>0</v>
      </c>
      <c r="C7" s="394" t="s">
        <v>133</v>
      </c>
      <c r="D7" s="394" t="s">
        <v>134</v>
      </c>
      <c r="E7" s="394" t="s">
        <v>135</v>
      </c>
      <c r="F7" s="394" t="s">
        <v>136</v>
      </c>
      <c r="G7" s="394" t="s">
        <v>137</v>
      </c>
      <c r="H7" s="395" t="s">
        <v>138</v>
      </c>
      <c r="I7" s="14"/>
    </row>
    <row r="8" spans="1:9" ht="15">
      <c r="A8" s="14"/>
      <c r="B8" s="208" t="s">
        <v>139</v>
      </c>
      <c r="C8" s="209"/>
      <c r="D8" s="210">
        <f>+Ingresos!C17</f>
        <v>19969</v>
      </c>
      <c r="E8" s="210">
        <f>+$D$8*$H$3+D8</f>
        <v>19978.9845</v>
      </c>
      <c r="F8" s="210">
        <f>+$D$8*$H$3+E8</f>
        <v>19988.968999999997</v>
      </c>
      <c r="G8" s="210">
        <f>+$D$8*$H$3+F8</f>
        <v>19998.953499999996</v>
      </c>
      <c r="H8" s="210">
        <f>+$D$8*$H$3+G8</f>
        <v>20008.937999999995</v>
      </c>
      <c r="I8" s="14"/>
    </row>
    <row r="9" spans="1:9" ht="15">
      <c r="A9" s="14"/>
      <c r="B9" s="208" t="s">
        <v>252</v>
      </c>
      <c r="C9" s="209"/>
      <c r="D9" s="210">
        <v>0</v>
      </c>
      <c r="E9" s="210">
        <f>+$D$9*$H$3+D9</f>
        <v>0</v>
      </c>
      <c r="F9" s="210">
        <f>+$D$9*$H$3+E9</f>
        <v>0</v>
      </c>
      <c r="G9" s="210">
        <f>+$D$9*$H$3+F9</f>
        <v>0</v>
      </c>
      <c r="H9" s="210">
        <f>+$D$9*$H$3+G9</f>
        <v>0</v>
      </c>
      <c r="I9" s="14"/>
    </row>
    <row r="10" spans="1:9" ht="15">
      <c r="A10" s="14"/>
      <c r="B10" s="208" t="s">
        <v>141</v>
      </c>
      <c r="C10" s="209"/>
      <c r="D10" s="210">
        <f>+D8-D9</f>
        <v>19969</v>
      </c>
      <c r="E10" s="210">
        <f>+E8-E9</f>
        <v>19978.9845</v>
      </c>
      <c r="F10" s="210">
        <f>+F8-F9</f>
        <v>19988.968999999997</v>
      </c>
      <c r="G10" s="210">
        <f>+G8-G9</f>
        <v>19998.953499999996</v>
      </c>
      <c r="H10" s="210">
        <f>+H8-H9</f>
        <v>20008.937999999995</v>
      </c>
      <c r="I10" s="14"/>
    </row>
    <row r="11" spans="1:9" ht="15">
      <c r="A11" s="14"/>
      <c r="B11" s="308" t="s">
        <v>76</v>
      </c>
      <c r="C11" s="223"/>
      <c r="D11" s="203"/>
      <c r="E11" s="203"/>
      <c r="F11" s="203"/>
      <c r="G11" s="203"/>
      <c r="H11" s="309"/>
      <c r="I11" s="14"/>
    </row>
    <row r="12" spans="1:9" ht="15">
      <c r="A12" s="14"/>
      <c r="B12" s="310" t="s">
        <v>142</v>
      </c>
      <c r="C12" s="311"/>
      <c r="D12" s="210">
        <f>'Egresos (costos y gastos)'!$M$26</f>
        <v>6277.2</v>
      </c>
      <c r="E12" s="210">
        <f>+'Egresos (costos y gastos)'!$K$14</f>
        <v>6677.2</v>
      </c>
      <c r="F12" s="210">
        <f>+'Egresos (costos y gastos)'!$K$14</f>
        <v>6677.2</v>
      </c>
      <c r="G12" s="210">
        <f>+'Egresos (costos y gastos)'!$K$14</f>
        <v>6677.2</v>
      </c>
      <c r="H12" s="210">
        <f>+'Egresos (costos y gastos)'!$K$14</f>
        <v>6677.2</v>
      </c>
      <c r="I12" s="14"/>
    </row>
    <row r="13" spans="1:9" ht="15">
      <c r="A13" s="14"/>
      <c r="B13" s="310" t="s">
        <v>143</v>
      </c>
      <c r="C13" s="311"/>
      <c r="D13" s="210">
        <f>Depreciaciones!$D$10</f>
        <v>3228.67</v>
      </c>
      <c r="E13" s="210">
        <f>Depreciaciones!$D$10</f>
        <v>3228.67</v>
      </c>
      <c r="F13" s="210">
        <f>Depreciaciones!$D$10</f>
        <v>3228.67</v>
      </c>
      <c r="G13" s="210">
        <f>Depreciaciones!$D$10</f>
        <v>3228.67</v>
      </c>
      <c r="H13" s="210">
        <f>Depreciaciones!$D$10</f>
        <v>3228.67</v>
      </c>
      <c r="I13" s="14"/>
    </row>
    <row r="14" spans="1:9" ht="15">
      <c r="A14" s="14"/>
      <c r="B14" s="310" t="s">
        <v>162</v>
      </c>
      <c r="C14" s="311"/>
      <c r="D14" s="210">
        <f>+'Egresos (costos y gastos)'!$F$55</f>
        <v>187</v>
      </c>
      <c r="E14" s="210">
        <f>+'Egresos (costos y gastos)'!$F$55</f>
        <v>187</v>
      </c>
      <c r="F14" s="210">
        <f>+'Egresos (costos y gastos)'!$F$55</f>
        <v>187</v>
      </c>
      <c r="G14" s="210">
        <f>+'Egresos (costos y gastos)'!$F$55</f>
        <v>187</v>
      </c>
      <c r="H14" s="210">
        <f>+'Egresos (costos y gastos)'!$F$55</f>
        <v>187</v>
      </c>
      <c r="I14" s="14"/>
    </row>
    <row r="15" spans="1:9" ht="15">
      <c r="A15" s="14"/>
      <c r="B15" s="310" t="s">
        <v>74</v>
      </c>
      <c r="C15" s="311"/>
      <c r="D15" s="210">
        <f>+'Egresos (costos y gastos)'!$D$28</f>
        <v>4080</v>
      </c>
      <c r="E15" s="210">
        <f>+'Egresos (costos y gastos)'!$D$28</f>
        <v>4080</v>
      </c>
      <c r="F15" s="210">
        <f>+'Egresos (costos y gastos)'!$D$28</f>
        <v>4080</v>
      </c>
      <c r="G15" s="210">
        <f>+'Egresos (costos y gastos)'!$D$28</f>
        <v>4080</v>
      </c>
      <c r="H15" s="210">
        <f>+'Egresos (costos y gastos)'!$D$28</f>
        <v>4080</v>
      </c>
      <c r="I15" s="14"/>
    </row>
    <row r="16" spans="1:9" ht="15">
      <c r="A16" s="14"/>
      <c r="B16" s="310" t="s">
        <v>144</v>
      </c>
      <c r="C16" s="311"/>
      <c r="D16" s="210">
        <f>+'Egresos (costos y gastos)'!$D$36</f>
        <v>5586</v>
      </c>
      <c r="E16" s="210">
        <f>+'Egresos (costos y gastos)'!$D$36</f>
        <v>5586</v>
      </c>
      <c r="F16" s="210">
        <f>+'Egresos (costos y gastos)'!$D$36</f>
        <v>5586</v>
      </c>
      <c r="G16" s="210">
        <f>+'Egresos (costos y gastos)'!$D$36</f>
        <v>5586</v>
      </c>
      <c r="H16" s="210">
        <f>+'Egresos (costos y gastos)'!$D$36</f>
        <v>5586</v>
      </c>
      <c r="I16" s="14"/>
    </row>
    <row r="17" spans="1:9" ht="15">
      <c r="A17" s="14"/>
      <c r="B17" s="310" t="s">
        <v>145</v>
      </c>
      <c r="C17" s="311"/>
      <c r="D17" s="210">
        <f>D12+D13+D14+D15+D16</f>
        <v>19358.87</v>
      </c>
      <c r="E17" s="210">
        <f>E12+E13+E14+E15+E16</f>
        <v>19758.87</v>
      </c>
      <c r="F17" s="210">
        <f>F12+F13+F14+F15+F16</f>
        <v>19758.87</v>
      </c>
      <c r="G17" s="210">
        <f>G12+G13+G14+G15+G16</f>
        <v>19758.87</v>
      </c>
      <c r="H17" s="210">
        <f>H12+H13+H14+H15+H16</f>
        <v>19758.87</v>
      </c>
      <c r="I17" s="14"/>
    </row>
    <row r="18" spans="1:9" ht="15">
      <c r="A18" s="14"/>
      <c r="B18" s="208" t="s">
        <v>146</v>
      </c>
      <c r="C18" s="312"/>
      <c r="D18" s="217">
        <f>+D10-D17</f>
        <v>610.130000000001</v>
      </c>
      <c r="E18" s="217">
        <f>+E10-E17</f>
        <v>220.11449999999968</v>
      </c>
      <c r="F18" s="217">
        <f>+F10-F17</f>
        <v>230.09899999999834</v>
      </c>
      <c r="G18" s="217">
        <f>+G10-G17</f>
        <v>240.083499999997</v>
      </c>
      <c r="H18" s="217">
        <f>+H10-H17</f>
        <v>250.06799999999566</v>
      </c>
      <c r="I18" s="14"/>
    </row>
    <row r="19" spans="1:9" ht="15">
      <c r="A19" s="14"/>
      <c r="B19" s="308" t="s">
        <v>147</v>
      </c>
      <c r="C19" s="313"/>
      <c r="D19" s="314"/>
      <c r="E19" s="315"/>
      <c r="F19" s="315"/>
      <c r="G19" s="315"/>
      <c r="H19" s="316"/>
      <c r="I19" s="14"/>
    </row>
    <row r="20" spans="1:9" ht="15">
      <c r="A20" s="14"/>
      <c r="B20" s="310" t="s">
        <v>148</v>
      </c>
      <c r="C20" s="311"/>
      <c r="D20" s="87">
        <f>+Amortizacion!E10</f>
        <v>514.8984679999999</v>
      </c>
      <c r="E20" s="87">
        <f>+Amortizacion!E11</f>
        <v>431.9740129209764</v>
      </c>
      <c r="F20" s="87">
        <f>+Amortizacion!E12</f>
        <v>340.0522544658789</v>
      </c>
      <c r="G20" s="87">
        <f>+Amortizacion!E13</f>
        <v>238.15698521840326</v>
      </c>
      <c r="H20" s="86">
        <f>+Amortizacion!E14</f>
        <v>125.2060792575765</v>
      </c>
      <c r="I20" s="14"/>
    </row>
    <row r="21" spans="1:9" ht="15">
      <c r="A21" s="14"/>
      <c r="B21" s="208" t="s">
        <v>149</v>
      </c>
      <c r="C21" s="312"/>
      <c r="D21" s="217">
        <f>+D18-D20</f>
        <v>95.23153200000115</v>
      </c>
      <c r="E21" s="217">
        <f>+E18-E20</f>
        <v>-211.85951292097673</v>
      </c>
      <c r="F21" s="217">
        <f>+F18-F20</f>
        <v>-109.95325446588055</v>
      </c>
      <c r="G21" s="217">
        <f>+G18-G20</f>
        <v>1.9265147815937382</v>
      </c>
      <c r="H21" s="217">
        <f>+H18-H20</f>
        <v>124.86192074241916</v>
      </c>
      <c r="I21" s="14"/>
    </row>
    <row r="22" spans="1:9" ht="15">
      <c r="A22" s="14"/>
      <c r="B22" s="310" t="s">
        <v>150</v>
      </c>
      <c r="C22" s="209"/>
      <c r="D22" s="210">
        <f>+D21*0.15</f>
        <v>14.284729800000173</v>
      </c>
      <c r="E22" s="210"/>
      <c r="F22" s="210">
        <f>+F21*0.15</f>
        <v>-16.492988169882082</v>
      </c>
      <c r="G22" s="210">
        <f>+G21*0.15</f>
        <v>0.2889772172390607</v>
      </c>
      <c r="H22" s="210">
        <f>+H21*0.15</f>
        <v>18.729288111362873</v>
      </c>
      <c r="I22" s="14"/>
    </row>
    <row r="23" spans="1:9" ht="15">
      <c r="A23" s="14"/>
      <c r="B23" s="208" t="s">
        <v>151</v>
      </c>
      <c r="C23" s="312"/>
      <c r="D23" s="217">
        <f>+D21-D22</f>
        <v>80.94680220000097</v>
      </c>
      <c r="E23" s="217">
        <f>+E21-E22</f>
        <v>-211.85951292097673</v>
      </c>
      <c r="F23" s="217">
        <f>+F21-F22</f>
        <v>-93.46026629599847</v>
      </c>
      <c r="G23" s="217">
        <f>+G21-G22</f>
        <v>1.6375375643546775</v>
      </c>
      <c r="H23" s="217">
        <f>+H21-H22</f>
        <v>106.13263263105628</v>
      </c>
      <c r="I23" s="14"/>
    </row>
    <row r="24" spans="1:9" ht="15">
      <c r="A24" s="14"/>
      <c r="B24" s="310" t="s">
        <v>225</v>
      </c>
      <c r="C24" s="311"/>
      <c r="D24" s="210">
        <f>+D23*0.22</f>
        <v>17.808296484000213</v>
      </c>
      <c r="E24" s="210"/>
      <c r="F24" s="210">
        <f>+F23*0.22</f>
        <v>-20.561258585119663</v>
      </c>
      <c r="G24" s="210">
        <f>+G23*0.22</f>
        <v>0.36025826415802903</v>
      </c>
      <c r="H24" s="210">
        <f>+H23*0.22</f>
        <v>23.349179178832383</v>
      </c>
      <c r="I24" s="14"/>
    </row>
    <row r="25" spans="1:9" ht="15.75" thickBot="1">
      <c r="A25" s="14"/>
      <c r="B25" s="219" t="s">
        <v>152</v>
      </c>
      <c r="C25" s="317"/>
      <c r="D25" s="221">
        <f>+D23-D24</f>
        <v>63.138505716000765</v>
      </c>
      <c r="E25" s="221">
        <f>+E23-E24</f>
        <v>-211.85951292097673</v>
      </c>
      <c r="F25" s="221">
        <f>+F23-F24</f>
        <v>-72.8990077108788</v>
      </c>
      <c r="G25" s="221">
        <f>+G23-G24</f>
        <v>1.2772793001966485</v>
      </c>
      <c r="H25" s="221">
        <f>+H23-H24</f>
        <v>82.7834534522239</v>
      </c>
      <c r="I25" s="14"/>
    </row>
    <row r="26" spans="1:9" ht="1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5">
      <c r="A27" s="14"/>
      <c r="B27" s="14"/>
      <c r="C27" s="14"/>
      <c r="D27" s="14"/>
      <c r="E27" s="14"/>
      <c r="F27" s="14"/>
      <c r="G27" s="14"/>
      <c r="H27" s="14"/>
      <c r="I27" s="14"/>
    </row>
  </sheetData>
  <sheetProtection/>
  <mergeCells count="2">
    <mergeCell ref="F3:G3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Otecel</cp:lastModifiedBy>
  <dcterms:created xsi:type="dcterms:W3CDTF">2011-07-20T19:28:28Z</dcterms:created>
  <dcterms:modified xsi:type="dcterms:W3CDTF">2012-02-24T00:41:55Z</dcterms:modified>
  <cp:category/>
  <cp:version/>
  <cp:contentType/>
  <cp:contentStatus/>
</cp:coreProperties>
</file>