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780" windowWidth="15600" windowHeight="7785" tabRatio="657" firstSheet="5" activeTab="10"/>
  </bookViews>
  <sheets>
    <sheet name="Inv Mina" sheetId="11" r:id="rId1"/>
    <sheet name="Inv Lixiviacion" sheetId="12" r:id="rId2"/>
    <sheet name="Inv Ofi y desc" sheetId="18" r:id="rId3"/>
    <sheet name="Inv Flotacion" sheetId="13" r:id="rId4"/>
    <sheet name="Inv Inicial" sheetId="14" r:id="rId5"/>
    <sheet name="Costos" sheetId="15" r:id="rId6"/>
    <sheet name="Depresiacion" sheetId="5" r:id="rId7"/>
    <sheet name="Cotiz hist" sheetId="7" r:id="rId8"/>
    <sheet name="Ingresos" sheetId="9" r:id="rId9"/>
    <sheet name="Tasa Descuento" sheetId="19" r:id="rId10"/>
    <sheet name="Flujo de Caja" sheetId="16" r:id="rId11"/>
    <sheet name="Van vs Produc" sheetId="28" r:id="rId12"/>
    <sheet name="Van vs C Directo" sheetId="29" r:id="rId13"/>
    <sheet name="Van vs Precio Oro" sheetId="30" r:id="rId14"/>
    <sheet name="Hoja2" sheetId="27" r:id="rId15"/>
  </sheets>
  <definedNames/>
  <calcPr calcId="145621"/>
</workbook>
</file>

<file path=xl/sharedStrings.xml><?xml version="1.0" encoding="utf-8"?>
<sst xmlns="http://schemas.openxmlformats.org/spreadsheetml/2006/main" count="609" uniqueCount="450">
  <si>
    <t>Banda Trasnportadora de 10m</t>
  </si>
  <si>
    <t>Banda Trasnportadora de 4m</t>
  </si>
  <si>
    <t>Carbonero</t>
  </si>
  <si>
    <t>Inversion Planta Agitacion</t>
  </si>
  <si>
    <t>Sernidera  giratoria</t>
  </si>
  <si>
    <t>Balde de Winche con rodillos</t>
  </si>
  <si>
    <t>Infraestructura para la Planta</t>
  </si>
  <si>
    <t>Infraestructura para tanques de cianuracion</t>
  </si>
  <si>
    <t>Infraestructura para Molino de Bolas</t>
  </si>
  <si>
    <t>Infraestructura para Planta de Elucion</t>
  </si>
  <si>
    <t>Banos</t>
  </si>
  <si>
    <t>Dormitorios</t>
  </si>
  <si>
    <t>Laboratorio</t>
  </si>
  <si>
    <t xml:space="preserve">Maquina para medir concentracion de Oro en solucion </t>
  </si>
  <si>
    <t>pozo septico</t>
  </si>
  <si>
    <t>REFERENCIA</t>
  </si>
  <si>
    <t>EQUIPOS</t>
  </si>
  <si>
    <t>CANTIDAD</t>
  </si>
  <si>
    <t>Mano de Obra</t>
  </si>
  <si>
    <t xml:space="preserve">Molino de bolas </t>
  </si>
  <si>
    <t xml:space="preserve">Trituradora </t>
  </si>
  <si>
    <t>model PE150x750 de Quijada</t>
  </si>
  <si>
    <t xml:space="preserve">Motor </t>
  </si>
  <si>
    <t>15Hp Trifasico 1750 RPM</t>
  </si>
  <si>
    <t xml:space="preserve">Trituradora de impacto </t>
  </si>
  <si>
    <t>PF0504      500x400</t>
  </si>
  <si>
    <t>Winche</t>
  </si>
  <si>
    <t xml:space="preserve"> 1 Tn motor de 10 Hp trifasico de 1750 RPM</t>
  </si>
  <si>
    <t xml:space="preserve">Plancha expandida </t>
  </si>
  <si>
    <t xml:space="preserve"> 1/4"  122 x 244cm</t>
  </si>
  <si>
    <t xml:space="preserve">Calentador </t>
  </si>
  <si>
    <t>de plancha naval de 1/2"</t>
  </si>
  <si>
    <t xml:space="preserve">Tanque de solucion </t>
  </si>
  <si>
    <t>1,60cm de alto x 250 de ancho y 250 de profundidad</t>
  </si>
  <si>
    <t xml:space="preserve">Celdas redondas </t>
  </si>
  <si>
    <t>2 Bombas</t>
  </si>
  <si>
    <t>para agua caliente</t>
  </si>
  <si>
    <t xml:space="preserve">Bomba de solidos </t>
  </si>
  <si>
    <t>de 3"</t>
  </si>
  <si>
    <t>Bodegas</t>
  </si>
  <si>
    <t>100cm de diametro x 2,60cm de altura 
plancha acero inoxidable 1/8"</t>
  </si>
  <si>
    <t>100cm de diametro x 2,60cm de altura 
plancha acero inoxidable 1/8"  y tubos de hierro de 3"</t>
  </si>
  <si>
    <t>de Corriente trifasica a 12v continuos</t>
  </si>
  <si>
    <t xml:space="preserve"> capacidad 20 Tn/dia  con plancha naval 1/4" y 320 cm diametro *420cm de  altura; Tubo Draw con eje e impulsor y un motor de 20 Hp trifasico de 1750 RPM (Incluido Mano de Obra)</t>
  </si>
  <si>
    <t xml:space="preserve">Tapas y asientos de los tanques </t>
  </si>
  <si>
    <t>1,20 de altura x 1,20 de diametro  Plancha naval  
cubierta de acero inoxidable (2 celdas)</t>
  </si>
  <si>
    <t xml:space="preserve"> 4m x 4m   500 bloques, 4 varillas de 1/2, 30 sacos de cemento,  piedra,  arena, 5 correas de 60mm y 2 correas de 80mm, 5 hojas de 18</t>
  </si>
  <si>
    <t>2 servicios higienicos y 2 duchas</t>
  </si>
  <si>
    <t>Piso de cemento, paredes empastadas, mesones,
instalaciones luz y agua, materiales para laboratorio</t>
  </si>
  <si>
    <t>Tanque de Almacenamiento de agua</t>
  </si>
  <si>
    <t xml:space="preserve"> 6m x 9m x  2,4m de alto y 20cm de ancho   3 ripio   3 arena  120cemento   90 varillas de 1/2</t>
  </si>
  <si>
    <t>Tanque de Cianuracion</t>
  </si>
  <si>
    <t>Volqueta</t>
  </si>
  <si>
    <t>Camioneta</t>
  </si>
  <si>
    <t>Fragua</t>
  </si>
  <si>
    <t>de 6"</t>
  </si>
  <si>
    <t>con motor de 5Hp</t>
  </si>
  <si>
    <t>de 4x4x4m utilizado para aguas de servicios y cocinas</t>
  </si>
  <si>
    <t>Toyota Hilux4x4 turbo diesel</t>
  </si>
  <si>
    <t>Inversion Planta MINA</t>
  </si>
  <si>
    <t>Maquina para barrenar</t>
  </si>
  <si>
    <t>caseta de guardia</t>
  </si>
  <si>
    <t>con Dormitorio pequeno</t>
  </si>
  <si>
    <t>cerramiento</t>
  </si>
  <si>
    <t>Con malla, tubo poste y bases de cemento</t>
  </si>
  <si>
    <t>Inversion Planta Flotacion</t>
  </si>
  <si>
    <t>Piso de cemento con varilla, tuberias de agua,
mano de obra, techo de zinc con correas metalicas de 80mm e instalacion electrica</t>
  </si>
  <si>
    <t>con plancha naval de 1/4'', draw, eje central
e impulsor, hecha de 6 x 6 pies, con motor 
trifasico de 15 Hp y 1750 Rpm</t>
  </si>
  <si>
    <t>Celdas de Flotacion Serranas</t>
  </si>
  <si>
    <t>retroescabadora para construir las posas</t>
  </si>
  <si>
    <t>Infraestructura para celdas</t>
  </si>
  <si>
    <t>CANT.</t>
  </si>
  <si>
    <t>Total</t>
  </si>
  <si>
    <t xml:space="preserve">Tanque de Carbonero 
</t>
  </si>
  <si>
    <t>Terreno</t>
  </si>
  <si>
    <t>adecuacion de terreno</t>
  </si>
  <si>
    <t>EQUIPOS DE COMPUTACIÓN</t>
  </si>
  <si>
    <t>TOTAL</t>
  </si>
  <si>
    <t>COMPUTADORAS</t>
  </si>
  <si>
    <t>IMPRESORAS</t>
  </si>
  <si>
    <t>FOTOCOPIADORAS</t>
  </si>
  <si>
    <t>FAX</t>
  </si>
  <si>
    <t>MUEBLES Y ENSERES</t>
  </si>
  <si>
    <t>ESCRITORIO</t>
  </si>
  <si>
    <t>SILLAS</t>
  </si>
  <si>
    <t>ARCHIVADORES</t>
  </si>
  <si>
    <t>utiles de oficina</t>
  </si>
  <si>
    <t>DEP. ACUM</t>
  </si>
  <si>
    <t>VALOR EN LIBROS</t>
  </si>
  <si>
    <t>COSTOS DIRECTOS</t>
  </si>
  <si>
    <t>Kg/ton</t>
  </si>
  <si>
    <t>Costo</t>
  </si>
  <si>
    <t>$ Día</t>
  </si>
  <si>
    <t>$ Mes</t>
  </si>
  <si>
    <t>$ Año</t>
  </si>
  <si>
    <t>reac.Kg</t>
  </si>
  <si>
    <t>/ton</t>
  </si>
  <si>
    <t>Carbon activado</t>
  </si>
  <si>
    <t>CN</t>
  </si>
  <si>
    <t>Z-6</t>
  </si>
  <si>
    <t>ER-350</t>
  </si>
  <si>
    <t>Sulfato Zinc</t>
  </si>
  <si>
    <t>Acero</t>
  </si>
  <si>
    <t>COSTO DE MANO DE OBRA</t>
  </si>
  <si>
    <t>Concepto</t>
  </si>
  <si>
    <t>USD/Día</t>
  </si>
  <si>
    <t>USD/Mes</t>
  </si>
  <si>
    <t>USD/Año</t>
  </si>
  <si>
    <t>Costo/ton</t>
  </si>
  <si>
    <t>Gerente de planta</t>
  </si>
  <si>
    <t xml:space="preserve">Secado y otros. </t>
  </si>
  <si>
    <t>ADMINISTRATIVO</t>
  </si>
  <si>
    <t>Movilización</t>
  </si>
  <si>
    <t>Gastos Varios</t>
  </si>
  <si>
    <t>Internet</t>
  </si>
  <si>
    <t>contador</t>
  </si>
  <si>
    <t>3 guardias</t>
  </si>
  <si>
    <t>COSTOS INDIRECTOS</t>
  </si>
  <si>
    <t>Item</t>
  </si>
  <si>
    <t>Descripcion</t>
  </si>
  <si>
    <t>costo</t>
  </si>
  <si>
    <t>uni/mes</t>
  </si>
  <si>
    <t>USD/DIA</t>
  </si>
  <si>
    <t>USD/MES</t>
  </si>
  <si>
    <t>USD/AÑO</t>
  </si>
  <si>
    <t>COSTO/ton</t>
  </si>
  <si>
    <t>alcohol Ind.</t>
  </si>
  <si>
    <t>Caneca 55lt</t>
  </si>
  <si>
    <t>Borax</t>
  </si>
  <si>
    <t>Fundas 25 kl</t>
  </si>
  <si>
    <t>Diesel</t>
  </si>
  <si>
    <t>Tanques 55gl</t>
  </si>
  <si>
    <t>Gas</t>
  </si>
  <si>
    <t>Industrial</t>
  </si>
  <si>
    <t>Sal</t>
  </si>
  <si>
    <t xml:space="preserve">Fundas </t>
  </si>
  <si>
    <t>Soda caustica</t>
  </si>
  <si>
    <t>Imprevistos</t>
  </si>
  <si>
    <t>MESES</t>
  </si>
  <si>
    <t>PRECIO ORO</t>
  </si>
  <si>
    <t>PRECIO PLATA</t>
  </si>
  <si>
    <t>Variacion porcentual de precios</t>
  </si>
  <si>
    <t>Oro</t>
  </si>
  <si>
    <t>Plata</t>
  </si>
  <si>
    <t>Variacion promedio</t>
  </si>
  <si>
    <t>Precio Promedio</t>
  </si>
  <si>
    <t>Meses</t>
  </si>
  <si>
    <t>Oro x Tn</t>
  </si>
  <si>
    <t>Mes</t>
  </si>
  <si>
    <t>Directos</t>
  </si>
  <si>
    <t>Administrativo</t>
  </si>
  <si>
    <t>Indirectos</t>
  </si>
  <si>
    <t>Plata x Tn</t>
  </si>
  <si>
    <t>AÑO</t>
  </si>
  <si>
    <t>INGRESOS POR VENTA</t>
  </si>
  <si>
    <t>COSTOS TOTALES</t>
  </si>
  <si>
    <t>(-)GASTOS FINANCIEROS</t>
  </si>
  <si>
    <t>(-)DEPRECIACIÓN</t>
  </si>
  <si>
    <t>UTILIDAD OPERATIVA</t>
  </si>
  <si>
    <t>UTILIDAD ANTES DE IMPUESTO</t>
  </si>
  <si>
    <t>UTILIDAD NETA</t>
  </si>
  <si>
    <t>(+)DEPRECIACIÓN</t>
  </si>
  <si>
    <t>(-)PAGO DE CAPITAL</t>
  </si>
  <si>
    <t>(-)INVERSIÓN INICIAL</t>
  </si>
  <si>
    <t>(-)CAPITAL DE TRABAJO</t>
  </si>
  <si>
    <t>(+)VALOR DE DESECHO</t>
  </si>
  <si>
    <t>VAN</t>
  </si>
  <si>
    <t>TIR</t>
  </si>
  <si>
    <t>NEVERA</t>
  </si>
  <si>
    <t>FOTOCOPIADORA</t>
  </si>
  <si>
    <t>Valor Desecho</t>
  </si>
  <si>
    <t>Saldo</t>
  </si>
  <si>
    <t xml:space="preserve">Interes </t>
  </si>
  <si>
    <t>Periodo</t>
  </si>
  <si>
    <t>Inversion Total</t>
  </si>
  <si>
    <t>Prestamo</t>
  </si>
  <si>
    <t>Capital de Trabajo</t>
  </si>
  <si>
    <t>Accionistas</t>
  </si>
  <si>
    <t>Inversion en planta</t>
  </si>
  <si>
    <t>Tasa</t>
  </si>
  <si>
    <t>TMAR</t>
  </si>
  <si>
    <t>Pago</t>
  </si>
  <si>
    <t>Capital</t>
  </si>
  <si>
    <t>Ingresos Proyectados</t>
  </si>
  <si>
    <t>capacidad 1 Ton de carbon con plancha acero inoxidable 1/4" y 200 cm diametro *250cm de  altura; Tubo Draw con eje e impulsor y un motor de 15 Hp trifasico de 1750 RPM (Incluido Mano de Obra)</t>
  </si>
  <si>
    <t>Jefe de planta</t>
  </si>
  <si>
    <t>jefe de mina</t>
  </si>
  <si>
    <t xml:space="preserve">Ing. Quimico </t>
  </si>
  <si>
    <t>Ingresos</t>
  </si>
  <si>
    <t>Compresor</t>
  </si>
  <si>
    <t>Carretera</t>
  </si>
  <si>
    <t>construccion de 8km de via de acceso</t>
  </si>
  <si>
    <t>Marca Ingersoll-rand CFM 375</t>
  </si>
  <si>
    <t>Nupson</t>
  </si>
  <si>
    <t>REEFRIGERADORA</t>
  </si>
  <si>
    <t>Destinada a cocina 16 pies</t>
  </si>
  <si>
    <t xml:space="preserve">Mesas con sillas para cocina con cap.  8 personas </t>
  </si>
  <si>
    <t>Utensillos de cocina</t>
  </si>
  <si>
    <t>Comprende ollas, vajilla, cuchillos, etc.</t>
  </si>
  <si>
    <t>cocina industrial de 4 quemadors</t>
  </si>
  <si>
    <t>Piso de cemento con varilla, tuberias de agua, mano de obra, techo de zinc con correas metalicas de 80mm e instalacion electrica y adecuacion de quimicos.</t>
  </si>
  <si>
    <t>Licencia Ambiental</t>
  </si>
  <si>
    <t>15000 ton</t>
  </si>
  <si>
    <t>1250 ton</t>
  </si>
  <si>
    <t>50 ton</t>
  </si>
  <si>
    <t>MESAS</t>
  </si>
  <si>
    <t>COCINA INDUTRIAL</t>
  </si>
  <si>
    <t>Activos a 10 anos</t>
  </si>
  <si>
    <t>Activos a 5 anos</t>
  </si>
  <si>
    <t>4 servicios higienicos y 4 duchas</t>
  </si>
  <si>
    <t>Infraestructura para la Mina</t>
  </si>
  <si>
    <t xml:space="preserve">Compresor </t>
  </si>
  <si>
    <t>Activos a 20 anos</t>
  </si>
  <si>
    <t>Depresiacion</t>
  </si>
  <si>
    <t>Costo Total Final</t>
  </si>
  <si>
    <t>Dep. Anual</t>
  </si>
  <si>
    <t>Calp</t>
  </si>
  <si>
    <t>Detalle</t>
  </si>
  <si>
    <t>CAPITAL DE TRABAJO: DEFICIT MAXIMO ACUMULADO</t>
  </si>
  <si>
    <t>Gastos</t>
  </si>
  <si>
    <t>Costo Unitario</t>
  </si>
  <si>
    <t>Costo Final</t>
  </si>
  <si>
    <t>Incluye compra del terreno y adecuacion de suelo</t>
  </si>
  <si>
    <t>Terreno ubicado en la ciudad Ponce Enriquez, para 
construccion de Planta</t>
  </si>
  <si>
    <t>Zaranda Bibratoria</t>
  </si>
  <si>
    <t>Alimentador</t>
  </si>
  <si>
    <t xml:space="preserve">capacidad de 13 TMH /H, que separa los finos y grueso </t>
  </si>
  <si>
    <t>clasificadora</t>
  </si>
  <si>
    <t>Inversion en Planta de Lixiviacion</t>
  </si>
  <si>
    <t>Inversion en Oficinas y Zona de Descanso</t>
  </si>
  <si>
    <t>CAMA</t>
  </si>
  <si>
    <t>Cama de dos plazas</t>
  </si>
  <si>
    <t>Sillas de Escritorio</t>
  </si>
  <si>
    <t>Area de Oficinas</t>
  </si>
  <si>
    <t>20m x 20m  1200 bloques, 30 varillas de 1/2,
 75 sacos de cemento, piedra, arena,12 correas de 60mm</t>
  </si>
  <si>
    <t>Decimo Cuarto Sueldo</t>
  </si>
  <si>
    <t>Aporte al Seguro Social</t>
  </si>
  <si>
    <t>Clasificadora</t>
  </si>
  <si>
    <t>CAMAS</t>
  </si>
  <si>
    <t>Utilidad Acumulada</t>
  </si>
  <si>
    <t>Utilidad Bruta</t>
  </si>
  <si>
    <t>Inversion Oficinas</t>
  </si>
  <si>
    <t xml:space="preserve">piscinas de cemento </t>
  </si>
  <si>
    <t>Tanque dosificacion</t>
  </si>
  <si>
    <t>Piscinas para Concentrado</t>
  </si>
  <si>
    <t>Piscinas para Arenas Residuales</t>
  </si>
  <si>
    <t>PULMON</t>
  </si>
  <si>
    <t>Planta de Electrodeposicion</t>
  </si>
  <si>
    <t>Inversor de Corriente</t>
  </si>
  <si>
    <t>Area de Cocina</t>
  </si>
  <si>
    <t>TASA DE DESCUENTO</t>
  </si>
  <si>
    <t>Rf</t>
  </si>
  <si>
    <t>Rm</t>
  </si>
  <si>
    <t>Β</t>
  </si>
  <si>
    <t>Riesgo País</t>
  </si>
  <si>
    <t>Prima de Mercado</t>
  </si>
  <si>
    <t>ayudante de laboratorio</t>
  </si>
  <si>
    <t>(-)REINVERSION</t>
  </si>
  <si>
    <t>(-)COSTOS DIRECTOS</t>
  </si>
  <si>
    <t>(-)COSTOS INDIRECTOS</t>
  </si>
  <si>
    <t>(-)GASTOS MANO DE OBRA</t>
  </si>
  <si>
    <t xml:space="preserve">Decimo Tercer Sueldo </t>
  </si>
  <si>
    <t>Decimo Tercer Sueldo Administrativo</t>
  </si>
  <si>
    <t>Decimo Cuarto Sueldo Administrativo</t>
  </si>
  <si>
    <t>Aporte al Seguro Social Administrativo</t>
  </si>
  <si>
    <t>ALCOA</t>
  </si>
  <si>
    <t>VALUATION RATIOS</t>
  </si>
  <si>
    <t>Company</t>
  </si>
  <si>
    <t>Industry</t>
  </si>
  <si>
    <t>Sector</t>
  </si>
  <si>
    <t>P/E Ratio (TTM)</t>
  </si>
  <si>
    <t>P/E High - Last 5 Yrs.</t>
  </si>
  <si>
    <t>P/E Low - Last 5 Yrs.</t>
  </si>
  <si>
    <t>Beta</t>
  </si>
  <si>
    <t>Price to Sales (TTM)</t>
  </si>
  <si>
    <t>Price to Book (MRQ)</t>
  </si>
  <si>
    <t>Price to Tangible Book (MRQ)</t>
  </si>
  <si>
    <t>Price to Cash Flow (TTM)</t>
  </si>
  <si>
    <t>Price to Free Cash Flow (TTM)</t>
  </si>
  <si>
    <t>FINANCIAL STRENGTH</t>
  </si>
  <si>
    <t>Quick Ratio (MRQ)</t>
  </si>
  <si>
    <t>Current Ratio (MRQ)</t>
  </si>
  <si>
    <t>LT Debt to Equity (MRQ)</t>
  </si>
  <si>
    <t>Total Debt to Equity (MRQ)</t>
  </si>
  <si>
    <t>Interest Coverage (TTM)</t>
  </si>
  <si>
    <t>MANAGEMENT EFFECTIVENESS</t>
  </si>
  <si>
    <t>Return on Assets (TTM)</t>
  </si>
  <si>
    <t>Return on Assets - 5 Yr. Avg.</t>
  </si>
  <si>
    <t>Return on Investment (TTM)</t>
  </si>
  <si>
    <t>Return on Investment - 5 Yr. Avg.</t>
  </si>
  <si>
    <t>Return on Equity (TTM)</t>
  </si>
  <si>
    <t>Bu</t>
  </si>
  <si>
    <t>BL</t>
  </si>
  <si>
    <t>31/03/2012</t>
  </si>
  <si>
    <t>31/12/2011</t>
  </si>
  <si>
    <t>3 meses</t>
  </si>
  <si>
    <t>4,61</t>
  </si>
  <si>
    <t>6 meses</t>
  </si>
  <si>
    <t>4,79</t>
  </si>
  <si>
    <t>2 años</t>
  </si>
  <si>
    <t>4,76</t>
  </si>
  <si>
    <t>5 años</t>
  </si>
  <si>
    <t>1,11</t>
  </si>
  <si>
    <t>1,05</t>
  </si>
  <si>
    <t>0,83</t>
  </si>
  <si>
    <t>10 años</t>
  </si>
  <si>
    <t>2,29</t>
  </si>
  <si>
    <t>2,22</t>
  </si>
  <si>
    <t>1,88</t>
  </si>
  <si>
    <t>30 años</t>
  </si>
  <si>
    <t>3,43</t>
  </si>
  <si>
    <t>3,36</t>
  </si>
  <si>
    <t>2,89</t>
  </si>
  <si>
    <t>D/E</t>
  </si>
  <si>
    <t>NOMINAL</t>
  </si>
  <si>
    <t>REAL</t>
  </si>
  <si>
    <t>PAYBACK</t>
  </si>
  <si>
    <t>FLUJO NETO DE EFECTIVO</t>
  </si>
  <si>
    <t>PERIODO DE RECUPERACION</t>
  </si>
  <si>
    <t>Tiempo</t>
  </si>
  <si>
    <t>Relativo (Años)</t>
  </si>
  <si>
    <t>Año</t>
  </si>
  <si>
    <t>Dias</t>
  </si>
  <si>
    <t>Nominal</t>
  </si>
  <si>
    <t>Real</t>
  </si>
  <si>
    <t>Inversion Inicial</t>
  </si>
  <si>
    <t xml:space="preserve">Maquina de medicion  de Oro  </t>
  </si>
  <si>
    <t>DEP.
ANUAL</t>
  </si>
  <si>
    <t>AÑOS DEP.</t>
  </si>
  <si>
    <t>VIDA
 UTIL</t>
  </si>
  <si>
    <t>CT 
FINAL</t>
  </si>
  <si>
    <t>Piscinas Arenas Residuales</t>
  </si>
  <si>
    <t xml:space="preserve">BONOS DEL TESORO DE ESTADOS UNIDOS - TNA </t>
  </si>
  <si>
    <t>(-)IMPUESTO 22%</t>
  </si>
  <si>
    <t>3 Perforistas</t>
  </si>
  <si>
    <t>3 Ayudante de Perforacion</t>
  </si>
  <si>
    <t>Jefe de turno</t>
  </si>
  <si>
    <t>2 secretaria</t>
  </si>
  <si>
    <t>2 Conductor de volquetas</t>
  </si>
  <si>
    <t>Conductor de transportadora</t>
  </si>
  <si>
    <t>2 Polvoreros</t>
  </si>
  <si>
    <t>Compresorista</t>
  </si>
  <si>
    <t>3 Operarios de Planta</t>
  </si>
  <si>
    <t>CARTUCHOS ENTEROS</t>
  </si>
  <si>
    <t>CARTUCHOS MEDIOS</t>
  </si>
  <si>
    <t>METROS DE MECHA</t>
  </si>
  <si>
    <t>FULMINANTES</t>
  </si>
  <si>
    <t>GALONES DE DIESEL</t>
  </si>
  <si>
    <t>KILOS DE NITRATO</t>
  </si>
  <si>
    <t>BROCAS DE PUPO</t>
  </si>
  <si>
    <t>BROCA PARA DESFOGUE</t>
  </si>
  <si>
    <t>LIBRAS DE PERIODICO</t>
  </si>
  <si>
    <t>BARILLON DE 2M /4</t>
  </si>
  <si>
    <t>BARRENO INTEGRAL /4</t>
  </si>
  <si>
    <t>ACEITE DE MAQUINA</t>
  </si>
  <si>
    <r>
      <t>Δ</t>
    </r>
    <r>
      <rPr>
        <sz val="8.8"/>
        <color theme="1"/>
        <rFont val="Calibri"/>
        <family val="2"/>
      </rPr>
      <t>% Costos Directos</t>
    </r>
  </si>
  <si>
    <r>
      <t>Δ</t>
    </r>
    <r>
      <rPr>
        <sz val="8.8"/>
        <color theme="1"/>
        <rFont val="Calibri"/>
        <family val="2"/>
      </rPr>
      <t>% Costos Indirectos</t>
    </r>
  </si>
  <si>
    <r>
      <t>Hino serie 500 de 8m</t>
    </r>
    <r>
      <rPr>
        <sz val="11"/>
        <color theme="1"/>
        <rFont val="Calibri"/>
        <family val="2"/>
      </rPr>
      <t>³</t>
    </r>
  </si>
  <si>
    <t>Maquina para extraer y llenar las volquetas de cuarzo</t>
  </si>
  <si>
    <t>Retroescavadora de Mina</t>
  </si>
  <si>
    <t>BOLAS DE ACERO DE 1"  TONELADAS</t>
  </si>
  <si>
    <t>BOLAS DE ACERO DE 1.5"  TONELADAS</t>
  </si>
  <si>
    <t>BOLAS DE ACERO DE 2"  TONELADAS</t>
  </si>
  <si>
    <t>BOLAS DE ACERO DE 3"  TONELADAS</t>
  </si>
  <si>
    <t>BOLAS DE ACERO DE 4"  TONELADAS</t>
  </si>
  <si>
    <t>NAVE INDUSTRIAL 60 METROS CUADRADOS</t>
  </si>
  <si>
    <t>Nucsen</t>
  </si>
  <si>
    <t>TOLVA DE GRUESOS</t>
  </si>
  <si>
    <t>CONOS PARA TOLVA DE FINOS</t>
  </si>
  <si>
    <t>TANQUE PARA FINOS</t>
  </si>
  <si>
    <t>Luz electrica</t>
  </si>
  <si>
    <t>Licencia de Comercializacion de ORO</t>
  </si>
  <si>
    <t>Vida del Proyecto</t>
  </si>
  <si>
    <t>Concecion de Agua</t>
  </si>
  <si>
    <t>Registro de Restos Arqueologicos</t>
  </si>
  <si>
    <t>Generacion Desechos Peligrosos</t>
  </si>
  <si>
    <t>Permiso de Funcionamiento Municipal</t>
  </si>
  <si>
    <t>Impuesto Funcionamiento al SRI</t>
  </si>
  <si>
    <t>Permiso de Polborin al Municipio</t>
  </si>
  <si>
    <t>Por Año</t>
  </si>
  <si>
    <t>cada 3 años</t>
  </si>
  <si>
    <t>Permiso Compra de Polvora</t>
  </si>
  <si>
    <t>Permiso Compra Combustible</t>
  </si>
  <si>
    <t xml:space="preserve">BOLAS DE ACERO DE 1"  </t>
  </si>
  <si>
    <t xml:space="preserve">BOLAS DE ACERO DE 1.5" </t>
  </si>
  <si>
    <t xml:space="preserve">BOLAS DE ACERO DE 2"  </t>
  </si>
  <si>
    <t xml:space="preserve">BOLAS DE ACERO DE 3"  </t>
  </si>
  <si>
    <t xml:space="preserve">BOLAS DE ACERO DE 4"  </t>
  </si>
  <si>
    <t xml:space="preserve">NAVE INDUSTRIAL </t>
  </si>
  <si>
    <t>(-) PAGO DE CONCESION</t>
  </si>
  <si>
    <t xml:space="preserve">Tanque de Carbonero </t>
  </si>
  <si>
    <t>Cant. Gramos</t>
  </si>
  <si>
    <t>Tasa de Descuento</t>
  </si>
  <si>
    <r>
      <t>Δ</t>
    </r>
    <r>
      <rPr>
        <sz val="8.8"/>
        <color theme="1"/>
        <rFont val="Calibri"/>
        <family val="2"/>
      </rPr>
      <t>% Costos M.O.</t>
    </r>
  </si>
  <si>
    <t>Costos Directos</t>
  </si>
  <si>
    <t>Costos Indirectos</t>
  </si>
  <si>
    <t>Costos Mano de Obra</t>
  </si>
  <si>
    <t>Produccion por año</t>
  </si>
  <si>
    <t>Ingresos Anuales</t>
  </si>
  <si>
    <t>Produccion</t>
  </si>
  <si>
    <t>Costos indirectos</t>
  </si>
  <si>
    <t>Optimista</t>
  </si>
  <si>
    <t>Medio</t>
  </si>
  <si>
    <t>Pesimista</t>
  </si>
  <si>
    <t>Δ  Produccion</t>
  </si>
  <si>
    <t>Precio Oro</t>
  </si>
  <si>
    <t>Precio Plata</t>
  </si>
  <si>
    <t>Costos Unitarios Anuales</t>
  </si>
  <si>
    <t>Δ% Costos Directos</t>
  </si>
  <si>
    <t>Febrero, 2010</t>
  </si>
  <si>
    <t>Ingresos Oro</t>
  </si>
  <si>
    <t>Ingresos Plata</t>
  </si>
  <si>
    <t>Total Ingresos</t>
  </si>
  <si>
    <t>Δ%  Precio de Oro</t>
  </si>
  <si>
    <t>$G$2</t>
  </si>
  <si>
    <t>Normal</t>
  </si>
  <si>
    <t>Celdas cambiantes:</t>
  </si>
  <si>
    <t>Valores actuales:</t>
  </si>
  <si>
    <t>Celdas de resultado:</t>
  </si>
  <si>
    <t>Notas: La columna de valores actuales representa los valores de las celdas cambiantes</t>
  </si>
  <si>
    <t>en el momento en que se creó el Informe resumen de escenario. Las celdas cambiantes de</t>
  </si>
  <si>
    <t>cada escenario se muestran en gris.</t>
  </si>
  <si>
    <t>VAN  Vs  VARIACION DE PRODUCCION</t>
  </si>
  <si>
    <t>$C$1</t>
  </si>
  <si>
    <t>VAN  Vs  VARIACION DE COSTOS DIRECTOS</t>
  </si>
  <si>
    <t>de 4 x 4m x 20cm de ancho</t>
  </si>
  <si>
    <t>ORO</t>
  </si>
  <si>
    <t>PLATA</t>
  </si>
  <si>
    <t>VAN  Vs  VARIACION EN EL PRECIO DEL ORO</t>
  </si>
  <si>
    <t>Costos Fijos</t>
  </si>
  <si>
    <t>Precio Unitario</t>
  </si>
  <si>
    <t>Costo Variable Unitario</t>
  </si>
  <si>
    <t>Punto de Equilibrio</t>
  </si>
  <si>
    <t>(+) PRESTAMO</t>
  </si>
  <si>
    <t>(+) RECUPERACION CAP. TRAB.</t>
  </si>
  <si>
    <t>(-)PAGO DE REGALIAS</t>
  </si>
  <si>
    <t>$J$2</t>
  </si>
  <si>
    <t>$C$33</t>
  </si>
  <si>
    <t>hecho para trabajar con 100 T/D</t>
  </si>
  <si>
    <t>220/440v, 60HZ 1800x2400 MM 3.5 T/H   6ftx7ft
Bolas de hierro maciso de 10.5 cm de diametro y
recubrimiento internoplancha acero negro de 3.5 cm y  Motor  JR126-8 de 30 Hp</t>
  </si>
  <si>
    <t>FLUJO DE CAJA</t>
  </si>
  <si>
    <t>(-)PARTICION DE U. AL ESTADO</t>
  </si>
  <si>
    <t>Δ% Incremento Precio</t>
  </si>
  <si>
    <t>(-)PARTICION DE U. AL TRABAJADOR</t>
  </si>
  <si>
    <t>OPTIMISTA</t>
  </si>
  <si>
    <t>Creado por USUARIO el 21/04/2012</t>
  </si>
  <si>
    <t>NORMAL</t>
  </si>
  <si>
    <t>PESIMISTA</t>
  </si>
  <si>
    <t>Creado por USUARIO el 21/04/2012
Modificado por USUARIO el 21/04/2012</t>
  </si>
  <si>
    <t>Δ Produccion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</si>
</sst>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\ &quot;€&quot;"/>
    <numFmt numFmtId="167" formatCode="d\-m;@"/>
    <numFmt numFmtId="168" formatCode="#,##0.0000"/>
    <numFmt numFmtId="169" formatCode="#,##0.000000"/>
    <numFmt numFmtId="170" formatCode="#,##0.0000000000"/>
    <numFmt numFmtId="171" formatCode="0.0%"/>
    <numFmt numFmtId="172" formatCode="_-* #,##0.0000\ _€_-;\-* #,##0.0000\ _€_-;_-* &quot;-&quot;??\ _€_-;_-@_-"/>
    <numFmt numFmtId="173" formatCode="_-* #,##0.000\ _€_-;\-* #,##0.000\ _€_-;_-* &quot;-&quot;??\ _€_-;_-@_-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 val="single"/>
      <sz val="12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8.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name val="Arial"/>
      <family val="2"/>
    </font>
    <font>
      <b/>
      <u val="singleAccounting"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.5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Times New Roman"/>
      <family val="1"/>
    </font>
    <font>
      <b/>
      <sz val="8"/>
      <color rgb="FFFFFFFF"/>
      <name val="Tahoma"/>
      <family val="2"/>
    </font>
    <font>
      <sz val="8"/>
      <color rgb="FF666666"/>
      <name val="Trebuchet MS"/>
      <family val="2"/>
    </font>
    <font>
      <b/>
      <sz val="8"/>
      <color rgb="FF666666"/>
      <name val="Trebuchet MS"/>
      <family val="2"/>
    </font>
    <font>
      <u val="single"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0E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583A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double"/>
    </border>
    <border>
      <left/>
      <right/>
      <top/>
      <bottom style="medium">
        <color rgb="FFCCCCCC"/>
      </bottom>
    </border>
    <border>
      <left/>
      <right/>
      <top/>
      <bottom style="dotted">
        <color rgb="FFCCCCCC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5">
    <xf numFmtId="0" fontId="0" fillId="0" borderId="0" xfId="0"/>
    <xf numFmtId="0" fontId="3" fillId="0" borderId="0" xfId="0" applyFont="1"/>
    <xf numFmtId="164" fontId="0" fillId="0" borderId="0" xfId="0" applyNumberFormat="1"/>
    <xf numFmtId="164" fontId="8" fillId="0" borderId="0" xfId="20" applyFont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0" fillId="0" borderId="1" xfId="0" applyFont="1" applyBorder="1"/>
    <xf numFmtId="164" fontId="8" fillId="0" borderId="1" xfId="2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Font="1" applyBorder="1" applyAlignment="1">
      <alignment horizontal="left"/>
    </xf>
    <xf numFmtId="0" fontId="0" fillId="0" borderId="3" xfId="20" applyNumberFormat="1" applyFont="1" applyBorder="1"/>
    <xf numFmtId="0" fontId="0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/>
    <xf numFmtId="164" fontId="2" fillId="0" borderId="1" xfId="2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20" applyNumberFormat="1" applyFont="1" applyBorder="1"/>
    <xf numFmtId="0" fontId="0" fillId="0" borderId="1" xfId="0" applyFont="1" applyBorder="1" applyAlignment="1">
      <alignment horizontal="left" wrapText="1"/>
    </xf>
    <xf numFmtId="0" fontId="0" fillId="0" borderId="1" xfId="2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/>
    <xf numFmtId="0" fontId="0" fillId="0" borderId="4" xfId="0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64" fontId="0" fillId="0" borderId="2" xfId="20" applyFont="1" applyBorder="1"/>
    <xf numFmtId="164" fontId="0" fillId="0" borderId="5" xfId="20" applyFont="1" applyBorder="1"/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20" applyFont="1" applyBorder="1"/>
    <xf numFmtId="0" fontId="0" fillId="0" borderId="1" xfId="2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12" fillId="0" borderId="2" xfId="20" applyFont="1" applyBorder="1"/>
    <xf numFmtId="164" fontId="12" fillId="0" borderId="2" xfId="20" applyFont="1" applyBorder="1" applyAlignment="1">
      <alignment horizontal="center"/>
    </xf>
    <xf numFmtId="164" fontId="12" fillId="0" borderId="5" xfId="20" applyFont="1" applyBorder="1"/>
    <xf numFmtId="0" fontId="12" fillId="0" borderId="6" xfId="0" applyFont="1" applyBorder="1"/>
    <xf numFmtId="0" fontId="12" fillId="0" borderId="1" xfId="0" applyFont="1" applyBorder="1" applyAlignment="1">
      <alignment horizontal="center"/>
    </xf>
    <xf numFmtId="164" fontId="12" fillId="0" borderId="1" xfId="20" applyFont="1" applyBorder="1"/>
    <xf numFmtId="0" fontId="12" fillId="0" borderId="7" xfId="0" applyFont="1" applyBorder="1"/>
    <xf numFmtId="0" fontId="12" fillId="0" borderId="8" xfId="0" applyFont="1" applyBorder="1"/>
    <xf numFmtId="164" fontId="12" fillId="0" borderId="2" xfId="20" applyFont="1" applyBorder="1" applyAlignment="1">
      <alignment horizontal="right"/>
    </xf>
    <xf numFmtId="164" fontId="12" fillId="0" borderId="5" xfId="20" applyFont="1" applyBorder="1" applyAlignment="1">
      <alignment horizontal="right"/>
    </xf>
    <xf numFmtId="164" fontId="12" fillId="0" borderId="1" xfId="20" applyFont="1" applyBorder="1" applyAlignment="1">
      <alignment horizontal="right"/>
    </xf>
    <xf numFmtId="164" fontId="12" fillId="0" borderId="9" xfId="20" applyFont="1" applyBorder="1" applyAlignment="1">
      <alignment horizontal="right"/>
    </xf>
    <xf numFmtId="0" fontId="11" fillId="0" borderId="0" xfId="0" applyFont="1" applyFill="1" applyBorder="1"/>
    <xf numFmtId="164" fontId="11" fillId="0" borderId="0" xfId="20" applyFont="1" applyFill="1" applyBorder="1" applyAlignment="1">
      <alignment horizontal="right"/>
    </xf>
    <xf numFmtId="0" fontId="0" fillId="0" borderId="0" xfId="0" applyFill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164" fontId="0" fillId="0" borderId="9" xfId="20" applyFont="1" applyBorder="1"/>
    <xf numFmtId="0" fontId="12" fillId="0" borderId="1" xfId="0" applyFont="1" applyBorder="1"/>
    <xf numFmtId="0" fontId="9" fillId="0" borderId="0" xfId="0" applyFont="1" applyBorder="1" applyAlignment="1">
      <alignment horizontal="center" vertical="center"/>
    </xf>
    <xf numFmtId="165" fontId="0" fillId="0" borderId="2" xfId="20" applyNumberFormat="1" applyFont="1" applyBorder="1" applyAlignment="1">
      <alignment horizontal="center"/>
    </xf>
    <xf numFmtId="165" fontId="0" fillId="0" borderId="1" xfId="20" applyNumberFormat="1" applyFont="1" applyBorder="1" applyAlignment="1">
      <alignment horizontal="center"/>
    </xf>
    <xf numFmtId="164" fontId="8" fillId="2" borderId="10" xfId="20" applyFont="1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4" fontId="0" fillId="0" borderId="0" xfId="0" applyNumberFormat="1"/>
    <xf numFmtId="166" fontId="0" fillId="0" borderId="0" xfId="0" applyNumberFormat="1"/>
    <xf numFmtId="164" fontId="0" fillId="0" borderId="1" xfId="20" applyFont="1" applyFill="1" applyBorder="1" applyAlignment="1">
      <alignment horizontal="center"/>
    </xf>
    <xf numFmtId="164" fontId="0" fillId="0" borderId="1" xfId="20" applyFont="1" applyBorder="1" applyAlignment="1">
      <alignment horizontal="center"/>
    </xf>
    <xf numFmtId="164" fontId="0" fillId="0" borderId="11" xfId="0" applyNumberFormat="1" applyBorder="1"/>
    <xf numFmtId="167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Font="1"/>
    <xf numFmtId="9" fontId="0" fillId="0" borderId="0" xfId="0" applyNumberFormat="1" applyFont="1"/>
    <xf numFmtId="0" fontId="14" fillId="3" borderId="1" xfId="0" applyFont="1" applyFill="1" applyBorder="1" applyAlignment="1">
      <alignment horizontal="center"/>
    </xf>
    <xf numFmtId="164" fontId="0" fillId="0" borderId="0" xfId="0" applyNumberFormat="1" applyBorder="1"/>
    <xf numFmtId="164" fontId="0" fillId="0" borderId="1" xfId="20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2" borderId="0" xfId="0" applyFill="1" applyBorder="1"/>
    <xf numFmtId="0" fontId="0" fillId="2" borderId="0" xfId="0" applyFill="1"/>
    <xf numFmtId="0" fontId="0" fillId="0" borderId="1" xfId="0" applyBorder="1" applyAlignment="1">
      <alignment horizontal="center"/>
    </xf>
    <xf numFmtId="164" fontId="0" fillId="0" borderId="12" xfId="20" applyFont="1" applyBorder="1"/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11" fillId="4" borderId="10" xfId="20" applyFont="1" applyFill="1" applyBorder="1" applyAlignment="1">
      <alignment horizontal="right"/>
    </xf>
    <xf numFmtId="164" fontId="11" fillId="4" borderId="15" xfId="20" applyFont="1" applyFill="1" applyBorder="1" applyAlignment="1">
      <alignment horizontal="right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164" fontId="11" fillId="4" borderId="10" xfId="2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164" fontId="8" fillId="4" borderId="10" xfId="20" applyFont="1" applyFill="1" applyBorder="1"/>
    <xf numFmtId="0" fontId="8" fillId="3" borderId="19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 wrapText="1"/>
    </xf>
    <xf numFmtId="164" fontId="8" fillId="3" borderId="1" xfId="0" applyNumberFormat="1" applyFont="1" applyFill="1" applyBorder="1"/>
    <xf numFmtId="164" fontId="8" fillId="4" borderId="1" xfId="0" applyNumberFormat="1" applyFont="1" applyFill="1" applyBorder="1"/>
    <xf numFmtId="0" fontId="0" fillId="2" borderId="0" xfId="0" applyFill="1" applyAlignment="1">
      <alignment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/>
    <xf numFmtId="0" fontId="2" fillId="2" borderId="0" xfId="0" applyFont="1" applyFill="1" applyBorder="1" applyAlignment="1">
      <alignment horizontal="center"/>
    </xf>
    <xf numFmtId="3" fontId="19" fillId="2" borderId="0" xfId="0" applyNumberFormat="1" applyFont="1" applyFill="1" applyBorder="1"/>
    <xf numFmtId="9" fontId="8" fillId="0" borderId="1" xfId="0" applyNumberFormat="1" applyFont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9" fontId="22" fillId="4" borderId="1" xfId="0" applyNumberFormat="1" applyFont="1" applyFill="1" applyBorder="1"/>
    <xf numFmtId="3" fontId="19" fillId="2" borderId="0" xfId="0" applyNumberFormat="1" applyFont="1" applyFill="1"/>
    <xf numFmtId="0" fontId="2" fillId="2" borderId="0" xfId="0" applyFont="1" applyFill="1" applyBorder="1"/>
    <xf numFmtId="3" fontId="0" fillId="2" borderId="0" xfId="0" applyNumberFormat="1" applyFont="1" applyFill="1" applyBorder="1"/>
    <xf numFmtId="9" fontId="0" fillId="0" borderId="0" xfId="0" applyNumberFormat="1"/>
    <xf numFmtId="3" fontId="19" fillId="2" borderId="21" xfId="0" applyNumberFormat="1" applyFont="1" applyFill="1" applyBorder="1"/>
    <xf numFmtId="3" fontId="19" fillId="2" borderId="22" xfId="0" applyNumberFormat="1" applyFont="1" applyFill="1" applyBorder="1"/>
    <xf numFmtId="3" fontId="19" fillId="2" borderId="23" xfId="0" applyNumberFormat="1" applyFont="1" applyFill="1" applyBorder="1"/>
    <xf numFmtId="3" fontId="19" fillId="2" borderId="24" xfId="0" applyNumberFormat="1" applyFont="1" applyFill="1" applyBorder="1"/>
    <xf numFmtId="3" fontId="19" fillId="2" borderId="11" xfId="0" applyNumberFormat="1" applyFont="1" applyFill="1" applyBorder="1"/>
    <xf numFmtId="3" fontId="19" fillId="2" borderId="25" xfId="0" applyNumberFormat="1" applyFont="1" applyFill="1" applyBorder="1"/>
    <xf numFmtId="3" fontId="19" fillId="2" borderId="26" xfId="0" applyNumberFormat="1" applyFont="1" applyFill="1" applyBorder="1"/>
    <xf numFmtId="3" fontId="19" fillId="2" borderId="27" xfId="0" applyNumberFormat="1" applyFont="1" applyFill="1" applyBorder="1"/>
    <xf numFmtId="168" fontId="19" fillId="2" borderId="0" xfId="0" applyNumberFormat="1" applyFont="1" applyFill="1" applyBorder="1"/>
    <xf numFmtId="169" fontId="19" fillId="2" borderId="0" xfId="0" applyNumberFormat="1" applyFont="1" applyFill="1" applyBorder="1"/>
    <xf numFmtId="170" fontId="0" fillId="0" borderId="0" xfId="0" applyNumberFormat="1" applyBorder="1"/>
    <xf numFmtId="10" fontId="0" fillId="0" borderId="0" xfId="0" applyNumberFormat="1"/>
    <xf numFmtId="0" fontId="8" fillId="0" borderId="0" xfId="0" applyFont="1" applyAlignment="1">
      <alignment horizontal="center"/>
    </xf>
    <xf numFmtId="164" fontId="8" fillId="0" borderId="9" xfId="20" applyFont="1" applyBorder="1"/>
    <xf numFmtId="0" fontId="0" fillId="0" borderId="28" xfId="0" applyBorder="1"/>
    <xf numFmtId="164" fontId="0" fillId="0" borderId="4" xfId="20" applyFont="1" applyBorder="1"/>
    <xf numFmtId="165" fontId="0" fillId="0" borderId="4" xfId="20" applyNumberFormat="1" applyFont="1" applyBorder="1" applyAlignment="1">
      <alignment horizontal="center"/>
    </xf>
    <xf numFmtId="164" fontId="0" fillId="0" borderId="2" xfId="0" applyNumberFormat="1" applyBorder="1"/>
    <xf numFmtId="0" fontId="0" fillId="0" borderId="1" xfId="0" applyFill="1" applyBorder="1" applyAlignment="1">
      <alignment horizontal="left"/>
    </xf>
    <xf numFmtId="0" fontId="7" fillId="0" borderId="1" xfId="0" applyFont="1" applyBorder="1"/>
    <xf numFmtId="0" fontId="0" fillId="0" borderId="1" xfId="0" applyFont="1" applyBorder="1" applyAlignment="1">
      <alignment horizontal="center" vertical="center"/>
    </xf>
    <xf numFmtId="164" fontId="8" fillId="4" borderId="2" xfId="0" applyNumberFormat="1" applyFont="1" applyFill="1" applyBorder="1"/>
    <xf numFmtId="164" fontId="8" fillId="0" borderId="2" xfId="20" applyFont="1" applyBorder="1"/>
    <xf numFmtId="0" fontId="8" fillId="0" borderId="1" xfId="0" applyFont="1" applyBorder="1" applyAlignment="1">
      <alignment horizontal="center" vertical="center"/>
    </xf>
    <xf numFmtId="164" fontId="2" fillId="0" borderId="1" xfId="2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20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2" fillId="0" borderId="9" xfId="20" applyFont="1" applyBorder="1" applyAlignment="1">
      <alignment horizontal="right"/>
    </xf>
    <xf numFmtId="0" fontId="3" fillId="2" borderId="0" xfId="0" applyFont="1" applyFill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20" applyNumberFormat="1" applyFont="1" applyFill="1" applyBorder="1"/>
    <xf numFmtId="164" fontId="2" fillId="2" borderId="1" xfId="20" applyFont="1" applyFill="1" applyBorder="1" applyAlignment="1">
      <alignment horizontal="right"/>
    </xf>
    <xf numFmtId="0" fontId="0" fillId="2" borderId="0" xfId="20" applyNumberFormat="1" applyFont="1" applyFill="1"/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23" fillId="0" borderId="1" xfId="0" applyFont="1" applyBorder="1" applyAlignment="1">
      <alignment wrapText="1"/>
    </xf>
    <xf numFmtId="164" fontId="0" fillId="0" borderId="29" xfId="20" applyFont="1" applyBorder="1"/>
    <xf numFmtId="164" fontId="0" fillId="2" borderId="29" xfId="20" applyFont="1" applyFill="1" applyBorder="1"/>
    <xf numFmtId="164" fontId="0" fillId="0" borderId="11" xfId="20" applyFont="1" applyBorder="1"/>
    <xf numFmtId="0" fontId="2" fillId="5" borderId="1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64" fontId="24" fillId="4" borderId="2" xfId="0" applyNumberFormat="1" applyFont="1" applyFill="1" applyBorder="1"/>
    <xf numFmtId="0" fontId="8" fillId="5" borderId="1" xfId="0" applyFont="1" applyFill="1" applyBorder="1"/>
    <xf numFmtId="164" fontId="2" fillId="5" borderId="1" xfId="0" applyNumberFormat="1" applyFont="1" applyFill="1" applyBorder="1"/>
    <xf numFmtId="0" fontId="18" fillId="5" borderId="1" xfId="0" applyFont="1" applyFill="1" applyBorder="1" applyAlignment="1">
      <alignment horizontal="center"/>
    </xf>
    <xf numFmtId="164" fontId="0" fillId="2" borderId="30" xfId="20" applyFont="1" applyFill="1" applyBorder="1"/>
    <xf numFmtId="164" fontId="0" fillId="0" borderId="31" xfId="20" applyFont="1" applyBorder="1"/>
    <xf numFmtId="164" fontId="0" fillId="0" borderId="25" xfId="20" applyFont="1" applyBorder="1"/>
    <xf numFmtId="164" fontId="0" fillId="0" borderId="32" xfId="20" applyFont="1" applyBorder="1"/>
    <xf numFmtId="164" fontId="0" fillId="0" borderId="0" xfId="20" applyFont="1" applyBorder="1"/>
    <xf numFmtId="164" fontId="0" fillId="0" borderId="21" xfId="20" applyFont="1" applyBorder="1"/>
    <xf numFmtId="164" fontId="19" fillId="2" borderId="23" xfId="20" applyFont="1" applyFill="1" applyBorder="1"/>
    <xf numFmtId="164" fontId="19" fillId="2" borderId="24" xfId="20" applyFont="1" applyFill="1" applyBorder="1"/>
    <xf numFmtId="0" fontId="11" fillId="5" borderId="33" xfId="0" applyFont="1" applyFill="1" applyBorder="1" applyAlignment="1">
      <alignment horizontal="center"/>
    </xf>
    <xf numFmtId="0" fontId="2" fillId="5" borderId="1" xfId="0" applyFont="1" applyFill="1" applyBorder="1"/>
    <xf numFmtId="164" fontId="3" fillId="4" borderId="1" xfId="0" applyNumberFormat="1" applyFont="1" applyFill="1" applyBorder="1"/>
    <xf numFmtId="0" fontId="0" fillId="0" borderId="0" xfId="0" applyAlignment="1">
      <alignment/>
    </xf>
    <xf numFmtId="1" fontId="0" fillId="0" borderId="1" xfId="20" applyNumberFormat="1" applyFont="1" applyBorder="1"/>
    <xf numFmtId="164" fontId="2" fillId="0" borderId="34" xfId="20" applyFont="1" applyBorder="1" applyAlignment="1">
      <alignment horizontal="right" vertical="center"/>
    </xf>
    <xf numFmtId="164" fontId="0" fillId="2" borderId="0" xfId="0" applyNumberFormat="1" applyFill="1"/>
    <xf numFmtId="0" fontId="0" fillId="0" borderId="0" xfId="0" applyFill="1" applyBorder="1" applyAlignment="1">
      <alignment horizontal="center"/>
    </xf>
    <xf numFmtId="164" fontId="12" fillId="0" borderId="4" xfId="20" applyFont="1" applyBorder="1" applyAlignment="1">
      <alignment horizontal="right"/>
    </xf>
    <xf numFmtId="0" fontId="27" fillId="0" borderId="0" xfId="0" applyFont="1" applyAlignment="1">
      <alignment horizontal="left" wrapText="1"/>
    </xf>
    <xf numFmtId="0" fontId="27" fillId="6" borderId="35" xfId="0" applyFont="1" applyFill="1" applyBorder="1" applyAlignment="1">
      <alignment horizontal="left"/>
    </xf>
    <xf numFmtId="0" fontId="27" fillId="6" borderId="35" xfId="0" applyFont="1" applyFill="1" applyBorder="1" applyAlignment="1">
      <alignment horizontal="right"/>
    </xf>
    <xf numFmtId="0" fontId="28" fillId="7" borderId="0" xfId="0" applyFont="1" applyFill="1" applyAlignment="1">
      <alignment vertical="top" wrapText="1"/>
    </xf>
    <xf numFmtId="0" fontId="28" fillId="7" borderId="0" xfId="0" applyFont="1" applyFill="1" applyAlignment="1">
      <alignment horizontal="right" vertical="top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right" vertical="top"/>
    </xf>
    <xf numFmtId="0" fontId="28" fillId="6" borderId="0" xfId="0" applyFont="1" applyFill="1" applyAlignment="1">
      <alignment vertical="top" wrapText="1"/>
    </xf>
    <xf numFmtId="0" fontId="28" fillId="6" borderId="0" xfId="0" applyFont="1" applyFill="1" applyAlignment="1">
      <alignment horizontal="right" vertical="top"/>
    </xf>
    <xf numFmtId="0" fontId="28" fillId="0" borderId="0" xfId="0" applyFont="1" applyAlignment="1">
      <alignment vertical="top" wrapText="1"/>
    </xf>
    <xf numFmtId="0" fontId="29" fillId="0" borderId="36" xfId="0" applyFont="1" applyBorder="1" applyAlignment="1">
      <alignment horizontal="left" wrapText="1" indent="1"/>
    </xf>
    <xf numFmtId="0" fontId="27" fillId="0" borderId="0" xfId="0" applyFont="1" applyAlignment="1">
      <alignment vertical="top" wrapText="1"/>
    </xf>
    <xf numFmtId="0" fontId="27" fillId="7" borderId="0" xfId="0" applyFont="1" applyFill="1" applyAlignment="1">
      <alignment vertical="top" wrapText="1"/>
    </xf>
    <xf numFmtId="0" fontId="27" fillId="8" borderId="0" xfId="0" applyFont="1" applyFill="1" applyAlignment="1">
      <alignment horizontal="right" vertical="top"/>
    </xf>
    <xf numFmtId="0" fontId="30" fillId="9" borderId="0" xfId="0" applyFont="1" applyFill="1" applyAlignment="1">
      <alignment wrapText="1"/>
    </xf>
    <xf numFmtId="14" fontId="32" fillId="9" borderId="0" xfId="0" applyNumberFormat="1" applyFont="1" applyFill="1" applyAlignment="1">
      <alignment horizontal="right" wrapText="1"/>
    </xf>
    <xf numFmtId="0" fontId="32" fillId="9" borderId="0" xfId="0" applyFont="1" applyFill="1" applyAlignment="1">
      <alignment horizontal="right" wrapText="1"/>
    </xf>
    <xf numFmtId="0" fontId="32" fillId="6" borderId="0" xfId="0" applyFont="1" applyFill="1" applyAlignment="1">
      <alignment wrapText="1"/>
    </xf>
    <xf numFmtId="0" fontId="32" fillId="6" borderId="0" xfId="0" applyFont="1" applyFill="1" applyAlignment="1">
      <alignment horizontal="right" wrapText="1"/>
    </xf>
    <xf numFmtId="0" fontId="32" fillId="10" borderId="0" xfId="0" applyFont="1" applyFill="1" applyAlignment="1">
      <alignment wrapText="1"/>
    </xf>
    <xf numFmtId="0" fontId="32" fillId="10" borderId="0" xfId="0" applyFont="1" applyFill="1" applyAlignment="1">
      <alignment horizontal="right" vertical="top" wrapText="1"/>
    </xf>
    <xf numFmtId="0" fontId="32" fillId="6" borderId="0" xfId="0" applyFont="1" applyFill="1" applyAlignment="1">
      <alignment horizontal="right" vertical="top" wrapText="1"/>
    </xf>
    <xf numFmtId="0" fontId="33" fillId="8" borderId="0" xfId="0" applyFont="1" applyFill="1" applyAlignment="1">
      <alignment horizontal="right" vertical="top" wrapText="1"/>
    </xf>
    <xf numFmtId="0" fontId="33" fillId="10" borderId="0" xfId="0" applyFont="1" applyFill="1" applyAlignment="1">
      <alignment wrapText="1"/>
    </xf>
    <xf numFmtId="10" fontId="26" fillId="0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3" fontId="0" fillId="0" borderId="1" xfId="0" applyNumberFormat="1" applyBorder="1"/>
    <xf numFmtId="3" fontId="0" fillId="0" borderId="1" xfId="0" applyNumberFormat="1" applyFill="1" applyBorder="1"/>
    <xf numFmtId="0" fontId="8" fillId="3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0" fontId="26" fillId="0" borderId="9" xfId="0" applyNumberFormat="1" applyFont="1" applyFill="1" applyBorder="1" applyAlignment="1">
      <alignment horizontal="right" vertical="center"/>
    </xf>
    <xf numFmtId="171" fontId="6" fillId="4" borderId="2" xfId="21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 vertical="center" indent="2"/>
    </xf>
    <xf numFmtId="0" fontId="32" fillId="0" borderId="0" xfId="0" applyFont="1" applyFill="1" applyAlignment="1">
      <alignment horizontal="right" wrapText="1"/>
    </xf>
    <xf numFmtId="0" fontId="32" fillId="0" borderId="0" xfId="0" applyFont="1" applyFill="1" applyAlignment="1">
      <alignment horizontal="right" vertical="top" wrapText="1"/>
    </xf>
    <xf numFmtId="172" fontId="0" fillId="0" borderId="0" xfId="20" applyNumberFormat="1" applyFont="1"/>
    <xf numFmtId="164" fontId="0" fillId="0" borderId="0" xfId="20" applyFont="1"/>
    <xf numFmtId="173" fontId="0" fillId="0" borderId="0" xfId="20" applyNumberFormat="1" applyFont="1"/>
    <xf numFmtId="164" fontId="0" fillId="0" borderId="0" xfId="20" applyNumberFormat="1" applyFont="1"/>
    <xf numFmtId="164" fontId="12" fillId="0" borderId="12" xfId="20" applyFont="1" applyBorder="1" applyAlignment="1">
      <alignment horizontal="right"/>
    </xf>
    <xf numFmtId="10" fontId="0" fillId="0" borderId="1" xfId="0" applyNumberFormat="1" applyBorder="1" applyAlignment="1">
      <alignment horizontal="center"/>
    </xf>
    <xf numFmtId="10" fontId="22" fillId="4" borderId="1" xfId="0" applyNumberFormat="1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3" fontId="19" fillId="2" borderId="37" xfId="0" applyNumberFormat="1" applyFont="1" applyFill="1" applyBorder="1"/>
    <xf numFmtId="3" fontId="19" fillId="2" borderId="38" xfId="0" applyNumberFormat="1" applyFont="1" applyFill="1" applyBorder="1"/>
    <xf numFmtId="3" fontId="19" fillId="2" borderId="39" xfId="0" applyNumberFormat="1" applyFont="1" applyFill="1" applyBorder="1"/>
    <xf numFmtId="0" fontId="0" fillId="0" borderId="2" xfId="0" applyFont="1" applyBorder="1"/>
    <xf numFmtId="9" fontId="0" fillId="0" borderId="1" xfId="0" applyNumberFormat="1" applyFont="1" applyBorder="1"/>
    <xf numFmtId="0" fontId="17" fillId="4" borderId="1" xfId="0" applyFont="1" applyFill="1" applyBorder="1" applyAlignment="1">
      <alignment horizontal="center"/>
    </xf>
    <xf numFmtId="2" fontId="0" fillId="0" borderId="1" xfId="0" applyNumberFormat="1" applyFont="1" applyBorder="1"/>
    <xf numFmtId="0" fontId="4" fillId="0" borderId="0" xfId="0" applyFont="1" applyFill="1" applyBorder="1" applyAlignment="1">
      <alignment horizontal="center"/>
    </xf>
    <xf numFmtId="165" fontId="22" fillId="4" borderId="1" xfId="20" applyNumberFormat="1" applyFont="1" applyFill="1" applyBorder="1"/>
    <xf numFmtId="172" fontId="0" fillId="0" borderId="0" xfId="0" applyNumberFormat="1"/>
    <xf numFmtId="0" fontId="27" fillId="2" borderId="0" xfId="0" applyFont="1" applyFill="1" applyAlignment="1">
      <alignment vertical="top" wrapText="1"/>
    </xf>
    <xf numFmtId="0" fontId="28" fillId="2" borderId="0" xfId="0" applyFont="1" applyFill="1" applyAlignment="1">
      <alignment horizontal="right" vertical="top"/>
    </xf>
    <xf numFmtId="0" fontId="27" fillId="2" borderId="0" xfId="0" applyFont="1" applyFill="1" applyAlignment="1">
      <alignment horizontal="right" vertical="top"/>
    </xf>
    <xf numFmtId="0" fontId="27" fillId="2" borderId="0" xfId="0" applyFont="1" applyFill="1" applyAlignment="1">
      <alignment horizontal="center" vertical="center" wrapText="1"/>
    </xf>
    <xf numFmtId="0" fontId="14" fillId="0" borderId="1" xfId="0" applyFont="1" applyBorder="1"/>
    <xf numFmtId="1" fontId="20" fillId="4" borderId="1" xfId="0" applyNumberFormat="1" applyFont="1" applyFill="1" applyBorder="1" applyAlignment="1">
      <alignment horizontal="center"/>
    </xf>
    <xf numFmtId="1" fontId="15" fillId="4" borderId="1" xfId="0" applyNumberFormat="1" applyFont="1" applyFill="1" applyBorder="1" applyAlignment="1">
      <alignment horizontal="center"/>
    </xf>
    <xf numFmtId="165" fontId="0" fillId="0" borderId="1" xfId="0" applyNumberFormat="1" applyBorder="1"/>
    <xf numFmtId="0" fontId="22" fillId="0" borderId="1" xfId="0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center"/>
    </xf>
    <xf numFmtId="2" fontId="22" fillId="0" borderId="1" xfId="0" applyNumberFormat="1" applyFont="1" applyFill="1" applyBorder="1" applyAlignment="1">
      <alignment horizontal="center"/>
    </xf>
    <xf numFmtId="9" fontId="0" fillId="0" borderId="0" xfId="0" applyNumberFormat="1" applyFont="1" applyBorder="1"/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8" fillId="5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4" borderId="4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9" fontId="0" fillId="0" borderId="0" xfId="0" applyNumberFormat="1" applyFill="1" applyBorder="1"/>
    <xf numFmtId="10" fontId="0" fillId="0" borderId="0" xfId="0" applyNumberFormat="1" applyFill="1" applyBorder="1"/>
    <xf numFmtId="0" fontId="0" fillId="0" borderId="0" xfId="0" applyFill="1" applyBorder="1" applyAlignment="1">
      <alignment/>
    </xf>
    <xf numFmtId="3" fontId="0" fillId="0" borderId="41" xfId="0" applyNumberFormat="1" applyFill="1" applyBorder="1" applyAlignment="1">
      <alignment/>
    </xf>
    <xf numFmtId="0" fontId="0" fillId="0" borderId="42" xfId="0" applyFill="1" applyBorder="1" applyAlignment="1">
      <alignment/>
    </xf>
    <xf numFmtId="0" fontId="36" fillId="0" borderId="0" xfId="0" applyFont="1" applyFill="1" applyBorder="1" applyAlignment="1">
      <alignment vertical="top" wrapText="1"/>
    </xf>
    <xf numFmtId="9" fontId="0" fillId="0" borderId="0" xfId="0" applyNumberForma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/>
    </xf>
    <xf numFmtId="10" fontId="25" fillId="4" borderId="1" xfId="21" applyNumberFormat="1" applyFont="1" applyFill="1" applyBorder="1" applyAlignment="1">
      <alignment horizontal="center"/>
    </xf>
    <xf numFmtId="3" fontId="0" fillId="0" borderId="2" xfId="20" applyNumberFormat="1" applyFont="1" applyBorder="1" applyAlignment="1">
      <alignment horizontal="center"/>
    </xf>
    <xf numFmtId="164" fontId="0" fillId="0" borderId="9" xfId="0" applyNumberFormat="1" applyBorder="1"/>
    <xf numFmtId="165" fontId="0" fillId="0" borderId="2" xfId="0" applyNumberFormat="1" applyBorder="1"/>
    <xf numFmtId="164" fontId="0" fillId="0" borderId="43" xfId="0" applyNumberFormat="1" applyBorder="1"/>
    <xf numFmtId="0" fontId="8" fillId="4" borderId="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0" fillId="2" borderId="0" xfId="0" applyFont="1" applyFill="1"/>
    <xf numFmtId="9" fontId="0" fillId="0" borderId="1" xfId="0" applyNumberFormat="1" applyBorder="1" applyAlignment="1">
      <alignment horizontal="center"/>
    </xf>
    <xf numFmtId="0" fontId="35" fillId="11" borderId="44" xfId="0" applyFont="1" applyFill="1" applyBorder="1" applyAlignment="1">
      <alignment horizontal="left"/>
    </xf>
    <xf numFmtId="0" fontId="35" fillId="11" borderId="11" xfId="0" applyFont="1" applyFill="1" applyBorder="1" applyAlignment="1">
      <alignment horizontal="left"/>
    </xf>
    <xf numFmtId="0" fontId="37" fillId="11" borderId="44" xfId="0" applyFont="1" applyFill="1" applyBorder="1" applyAlignment="1">
      <alignment horizontal="right"/>
    </xf>
    <xf numFmtId="0" fontId="37" fillId="11" borderId="11" xfId="0" applyFont="1" applyFill="1" applyBorder="1" applyAlignment="1">
      <alignment horizontal="right"/>
    </xf>
    <xf numFmtId="0" fontId="0" fillId="12" borderId="0" xfId="0" applyFill="1" applyBorder="1" applyAlignment="1">
      <alignment/>
    </xf>
    <xf numFmtId="9" fontId="0" fillId="12" borderId="0" xfId="0" applyNumberFormat="1" applyFill="1" applyBorder="1" applyAlignment="1">
      <alignment/>
    </xf>
    <xf numFmtId="0" fontId="8" fillId="3" borderId="1" xfId="0" applyFont="1" applyFill="1" applyBorder="1" applyAlignment="1">
      <alignment horizontal="left"/>
    </xf>
    <xf numFmtId="165" fontId="22" fillId="0" borderId="0" xfId="20" applyNumberFormat="1" applyFont="1" applyFill="1" applyBorder="1"/>
    <xf numFmtId="0" fontId="0" fillId="0" borderId="0" xfId="0" applyFill="1" applyBorder="1"/>
    <xf numFmtId="164" fontId="0" fillId="0" borderId="0" xfId="20" applyFont="1" applyFill="1" applyBorder="1"/>
    <xf numFmtId="0" fontId="8" fillId="0" borderId="0" xfId="0" applyFont="1" applyFill="1" applyBorder="1"/>
    <xf numFmtId="165" fontId="0" fillId="0" borderId="0" xfId="0" applyNumberFormat="1" applyFill="1" applyBorder="1"/>
    <xf numFmtId="164" fontId="0" fillId="0" borderId="0" xfId="0" applyNumberFormat="1" applyFill="1" applyBorder="1"/>
    <xf numFmtId="3" fontId="0" fillId="0" borderId="0" xfId="20" applyNumberFormat="1" applyFont="1" applyFill="1" applyBorder="1" applyAlignment="1">
      <alignment horizontal="center"/>
    </xf>
    <xf numFmtId="164" fontId="19" fillId="0" borderId="0" xfId="20" applyFont="1" applyFill="1" applyBorder="1"/>
    <xf numFmtId="0" fontId="2" fillId="0" borderId="0" xfId="0" applyFont="1" applyFill="1" applyBorder="1"/>
    <xf numFmtId="164" fontId="3" fillId="0" borderId="0" xfId="0" applyNumberFormat="1" applyFont="1" applyFill="1" applyBorder="1"/>
    <xf numFmtId="0" fontId="4" fillId="3" borderId="1" xfId="0" applyFont="1" applyFill="1" applyBorder="1" applyAlignment="1">
      <alignment horizontal="center"/>
    </xf>
    <xf numFmtId="165" fontId="38" fillId="4" borderId="1" xfId="20" applyNumberFormat="1" applyFont="1" applyFill="1" applyBorder="1" applyAlignment="1">
      <alignment horizontal="center"/>
    </xf>
    <xf numFmtId="3" fontId="19" fillId="2" borderId="32" xfId="0" applyNumberFormat="1" applyFont="1" applyFill="1" applyBorder="1"/>
    <xf numFmtId="3" fontId="21" fillId="4" borderId="2" xfId="0" applyNumberFormat="1" applyFont="1" applyFill="1" applyBorder="1"/>
    <xf numFmtId="10" fontId="0" fillId="0" borderId="0" xfId="0" applyNumberFormat="1" applyFill="1" applyBorder="1" applyAlignment="1">
      <alignment/>
    </xf>
    <xf numFmtId="10" fontId="0" fillId="12" borderId="0" xfId="0" applyNumberFormat="1" applyFill="1" applyBorder="1" applyAlignment="1">
      <alignment/>
    </xf>
    <xf numFmtId="0" fontId="0" fillId="0" borderId="1" xfId="0" applyBorder="1" applyAlignment="1">
      <alignment horizontal="left" wrapText="1"/>
    </xf>
    <xf numFmtId="9" fontId="0" fillId="0" borderId="1" xfId="21" applyFont="1" applyBorder="1" applyAlignment="1">
      <alignment horizontal="center"/>
    </xf>
    <xf numFmtId="0" fontId="28" fillId="0" borderId="0" xfId="0" applyFont="1" applyAlignment="1">
      <alignment vertical="top" wrapText="1"/>
    </xf>
    <xf numFmtId="2" fontId="0" fillId="0" borderId="1" xfId="0" applyNumberFormat="1" applyBorder="1"/>
    <xf numFmtId="0" fontId="27" fillId="2" borderId="35" xfId="0" applyFont="1" applyFill="1" applyBorder="1" applyAlignment="1">
      <alignment horizontal="right"/>
    </xf>
    <xf numFmtId="165" fontId="0" fillId="0" borderId="0" xfId="0" applyNumberFormat="1"/>
    <xf numFmtId="0" fontId="14" fillId="13" borderId="0" xfId="0" applyFont="1" applyFill="1" applyBorder="1" applyAlignment="1">
      <alignment horizontal="left"/>
    </xf>
    <xf numFmtId="0" fontId="39" fillId="14" borderId="42" xfId="0" applyFont="1" applyFill="1" applyBorder="1" applyAlignment="1">
      <alignment horizontal="left"/>
    </xf>
    <xf numFmtId="0" fontId="14" fillId="14" borderId="0" xfId="0" applyFont="1" applyFill="1" applyBorder="1" applyAlignment="1">
      <alignment horizontal="left"/>
    </xf>
    <xf numFmtId="0" fontId="14" fillId="14" borderId="41" xfId="0" applyFont="1" applyFill="1" applyBorder="1" applyAlignment="1">
      <alignment horizontal="left"/>
    </xf>
    <xf numFmtId="9" fontId="0" fillId="0" borderId="0" xfId="21" applyFont="1"/>
    <xf numFmtId="0" fontId="37" fillId="11" borderId="1" xfId="0" applyFont="1" applyFill="1" applyBorder="1" applyAlignment="1">
      <alignment horizontal="right"/>
    </xf>
    <xf numFmtId="0" fontId="35" fillId="11" borderId="1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43" fontId="0" fillId="0" borderId="0" xfId="0" applyNumberFormat="1" applyFill="1"/>
    <xf numFmtId="0" fontId="4" fillId="2" borderId="0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5" borderId="46" xfId="0" applyFont="1" applyFill="1" applyBorder="1" applyAlignment="1">
      <alignment horizontal="center"/>
    </xf>
    <xf numFmtId="0" fontId="11" fillId="5" borderId="47" xfId="0" applyFont="1" applyFill="1" applyBorder="1" applyAlignment="1">
      <alignment horizontal="center"/>
    </xf>
    <xf numFmtId="0" fontId="11" fillId="5" borderId="48" xfId="0" applyFont="1" applyFill="1" applyBorder="1" applyAlignment="1">
      <alignment horizontal="center"/>
    </xf>
    <xf numFmtId="0" fontId="8" fillId="5" borderId="49" xfId="0" applyFont="1" applyFill="1" applyBorder="1" applyAlignment="1">
      <alignment horizontal="center"/>
    </xf>
    <xf numFmtId="0" fontId="8" fillId="5" borderId="50" xfId="0" applyFont="1" applyFill="1" applyBorder="1" applyAlignment="1">
      <alignment horizontal="center"/>
    </xf>
    <xf numFmtId="0" fontId="8" fillId="5" borderId="51" xfId="0" applyFont="1" applyFill="1" applyBorder="1" applyAlignment="1">
      <alignment horizontal="center"/>
    </xf>
    <xf numFmtId="0" fontId="11" fillId="4" borderId="52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5" borderId="53" xfId="0" applyFont="1" applyFill="1" applyBorder="1" applyAlignment="1">
      <alignment horizontal="center"/>
    </xf>
    <xf numFmtId="0" fontId="11" fillId="5" borderId="54" xfId="0" applyFont="1" applyFill="1" applyBorder="1" applyAlignment="1">
      <alignment horizontal="center"/>
    </xf>
    <xf numFmtId="0" fontId="11" fillId="5" borderId="55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1" fillId="15" borderId="0" xfId="0" applyFont="1" applyFill="1" applyAlignment="1">
      <alignment horizontal="center" wrapText="1"/>
    </xf>
    <xf numFmtId="0" fontId="27" fillId="2" borderId="0" xfId="0" applyFont="1" applyFill="1" applyAlignment="1">
      <alignment horizontal="center" vertical="center" wrapText="1"/>
    </xf>
    <xf numFmtId="0" fontId="28" fillId="0" borderId="0" xfId="0" applyFont="1" applyAlignment="1">
      <alignment vertical="top" wrapText="1"/>
    </xf>
    <xf numFmtId="0" fontId="4" fillId="2" borderId="0" xfId="0" applyFont="1" applyFill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0" fontId="4" fillId="5" borderId="45" xfId="0" applyFont="1" applyFill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18" fillId="5" borderId="40" xfId="0" applyFont="1" applyFill="1" applyBorder="1" applyAlignment="1">
      <alignment horizontal="center"/>
    </xf>
    <xf numFmtId="0" fontId="18" fillId="5" borderId="45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675"/>
          <c:y val="0.16875"/>
          <c:w val="0.7965"/>
          <c:h val="0.5745"/>
        </c:manualLayout>
      </c:layout>
      <c:lineChart>
        <c:grouping val="standard"/>
        <c:varyColors val="0"/>
        <c:ser>
          <c:idx val="0"/>
          <c:order val="0"/>
          <c:tx>
            <c:strRef>
              <c:f>'Cotiz hist'!$B$2</c:f>
              <c:strCache>
                <c:ptCount val="1"/>
                <c:pt idx="0">
                  <c:v>PRECIO ORO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'Cotiz hist'!$A$3:$A$29</c:f>
              <c:strCache/>
            </c:strRef>
          </c:cat>
          <c:val>
            <c:numRef>
              <c:f>'Cotiz hist'!$B$3:$B$29</c:f>
              <c:numCache/>
            </c:numRef>
          </c:val>
          <c:smooth val="0"/>
        </c:ser>
        <c:marker val="1"/>
        <c:axId val="1094033"/>
        <c:axId val="4003282"/>
      </c:lineChart>
      <c:catAx>
        <c:axId val="1094033"/>
        <c:scaling>
          <c:orientation val="minMax"/>
        </c:scaling>
        <c:axPos val="b"/>
        <c:delete val="0"/>
        <c:numFmt formatCode="d\-m;@" sourceLinked="1"/>
        <c:majorTickMark val="out"/>
        <c:minorTickMark val="none"/>
        <c:tickLblPos val="nextTo"/>
        <c:crossAx val="4003282"/>
        <c:crosses val="autoZero"/>
        <c:auto val="1"/>
        <c:lblOffset val="100"/>
        <c:noMultiLvlLbl val="0"/>
      </c:catAx>
      <c:valAx>
        <c:axId val="4003282"/>
        <c:scaling>
          <c:orientation val="minMax"/>
        </c:scaling>
        <c:axPos val="l"/>
        <c:majorGridlines/>
        <c:delete val="0"/>
        <c:numFmt formatCode="_-* #,##0.00\ _€_-;\-* #,##0.00\ _€_-;_-* &quot;-&quot;??\ _€_-;_-@_-" sourceLinked="1"/>
        <c:majorTickMark val="out"/>
        <c:minorTickMark val="none"/>
        <c:tickLblPos val="nextTo"/>
        <c:crossAx val="109403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s-EC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3225"/>
          <c:y val="0.17125"/>
          <c:w val="0.83725"/>
          <c:h val="0.55975"/>
        </c:manualLayout>
      </c:layout>
      <c:lineChart>
        <c:grouping val="standard"/>
        <c:varyColors val="0"/>
        <c:ser>
          <c:idx val="0"/>
          <c:order val="0"/>
          <c:tx>
            <c:strRef>
              <c:f>'Cotiz hist'!$C$2</c:f>
              <c:strCache>
                <c:ptCount val="1"/>
                <c:pt idx="0">
                  <c:v>PRECIO PLATA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'Cotiz hist'!$A$3:$A$29</c:f>
              <c:strCache/>
            </c:strRef>
          </c:cat>
          <c:val>
            <c:numRef>
              <c:f>'Cotiz hist'!$C$3:$C$29</c:f>
              <c:numCache/>
            </c:numRef>
          </c:val>
          <c:smooth val="0"/>
        </c:ser>
        <c:marker val="1"/>
        <c:axId val="58886739"/>
        <c:axId val="2432788"/>
      </c:lineChart>
      <c:catAx>
        <c:axId val="58886739"/>
        <c:scaling>
          <c:orientation val="minMax"/>
        </c:scaling>
        <c:axPos val="b"/>
        <c:delete val="0"/>
        <c:numFmt formatCode="d\-m;@" sourceLinked="1"/>
        <c:majorTickMark val="out"/>
        <c:minorTickMark val="none"/>
        <c:tickLblPos val="nextTo"/>
        <c:crossAx val="2432788"/>
        <c:crosses val="autoZero"/>
        <c:auto val="1"/>
        <c:lblOffset val="100"/>
        <c:noMultiLvlLbl val="0"/>
      </c:catAx>
      <c:valAx>
        <c:axId val="2432788"/>
        <c:scaling>
          <c:orientation val="minMax"/>
        </c:scaling>
        <c:axPos val="l"/>
        <c:majorGridlines/>
        <c:delete val="0"/>
        <c:numFmt formatCode="_-* #,##0.00\ _€_-;\-* #,##0.00\ _€_-;_-* &quot;-&quot;??\ _€_-;_-@_-" sourceLinked="1"/>
        <c:majorTickMark val="out"/>
        <c:minorTickMark val="none"/>
        <c:tickLblPos val="nextTo"/>
        <c:crossAx val="5888673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s-EC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lineChart>
        <c:grouping val="stacked"/>
        <c:varyColors val="0"/>
        <c:ser>
          <c:idx val="0"/>
          <c:order val="0"/>
          <c:tx>
            <c:strRef>
              <c:f>'Van vs Produc'!$D$14</c:f>
              <c:strCache>
                <c:ptCount val="1"/>
                <c:pt idx="0">
                  <c:v>VAN  Vs  VARIACION DE PRODUCCION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'Van vs Produc'!$E$13:$G$13</c:f>
              <c:strCache/>
            </c:strRef>
          </c:cat>
          <c:val>
            <c:numRef>
              <c:f>'Van vs Produc'!$E$14:$G$14</c:f>
              <c:numCache/>
            </c:numRef>
          </c:val>
          <c:smooth val="0"/>
        </c:ser>
        <c:marker val="1"/>
        <c:axId val="23913493"/>
        <c:axId val="10873174"/>
      </c:lineChart>
      <c:catAx>
        <c:axId val="23913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0873174"/>
        <c:crosses val="autoZero"/>
        <c:auto val="1"/>
        <c:lblOffset val="100"/>
        <c:noMultiLvlLbl val="0"/>
      </c:catAx>
      <c:valAx>
        <c:axId val="10873174"/>
        <c:scaling>
          <c:orientation val="minMax"/>
        </c:scaling>
        <c:axPos val="l"/>
        <c:majorGridlines/>
        <c:delete val="0"/>
        <c:numFmt formatCode="#,##0" sourceLinked="1"/>
        <c:majorTickMark val="none"/>
        <c:minorTickMark val="none"/>
        <c:tickLblPos val="nextTo"/>
        <c:crossAx val="23913493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</c:plotArea>
    <c:plotVisOnly val="1"/>
    <c:dispBlanksAs val="zero"/>
    <c:showDLblsOverMax val="0"/>
  </c:chart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lineChart>
        <c:grouping val="stacked"/>
        <c:varyColors val="0"/>
        <c:ser>
          <c:idx val="0"/>
          <c:order val="0"/>
          <c:tx>
            <c:strRef>
              <c:f>'Van vs C Directo'!$D$14</c:f>
              <c:strCache>
                <c:ptCount val="1"/>
                <c:pt idx="0">
                  <c:v>VAN  Vs  VARIACION DE COSTOS DIRECTOS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'Van vs C Directo'!$E$13:$G$13</c:f>
              <c:strCache/>
            </c:strRef>
          </c:cat>
          <c:val>
            <c:numRef>
              <c:f>'Van vs C Directo'!$E$14:$G$14</c:f>
              <c:numCache/>
            </c:numRef>
          </c:val>
          <c:smooth val="0"/>
        </c:ser>
        <c:marker val="1"/>
        <c:axId val="35667671"/>
        <c:axId val="36697240"/>
      </c:lineChart>
      <c:catAx>
        <c:axId val="35667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6697240"/>
        <c:crosses val="autoZero"/>
        <c:auto val="1"/>
        <c:lblOffset val="100"/>
        <c:noMultiLvlLbl val="0"/>
      </c:catAx>
      <c:valAx>
        <c:axId val="36697240"/>
        <c:scaling>
          <c:orientation val="minMax"/>
        </c:scaling>
        <c:axPos val="l"/>
        <c:majorGridlines/>
        <c:delete val="0"/>
        <c:numFmt formatCode="#,##0" sourceLinked="1"/>
        <c:majorTickMark val="none"/>
        <c:minorTickMark val="none"/>
        <c:tickLblPos val="nextTo"/>
        <c:crossAx val="35667671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</c:plotArea>
    <c:plotVisOnly val="1"/>
    <c:dispBlanksAs val="zero"/>
    <c:showDLblsOverMax val="0"/>
  </c:chart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lineChart>
        <c:grouping val="stacked"/>
        <c:varyColors val="0"/>
        <c:ser>
          <c:idx val="0"/>
          <c:order val="0"/>
          <c:tx>
            <c:strRef>
              <c:f>'Van vs Precio Oro'!$D$15</c:f>
              <c:strCache>
                <c:ptCount val="1"/>
                <c:pt idx="0">
                  <c:v>VAN  Vs  VARIACION EN EL PRECIO DEL ORO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'Van vs Precio Oro'!$E$14:$G$14</c:f>
              <c:strCache/>
            </c:strRef>
          </c:cat>
          <c:val>
            <c:numRef>
              <c:f>'Van vs Precio Oro'!$E$15:$G$15</c:f>
              <c:numCache/>
            </c:numRef>
          </c:val>
          <c:smooth val="0"/>
        </c:ser>
        <c:marker val="1"/>
        <c:axId val="36510361"/>
        <c:axId val="24363226"/>
      </c:lineChart>
      <c:catAx>
        <c:axId val="36510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4363226"/>
        <c:crosses val="autoZero"/>
        <c:auto val="1"/>
        <c:lblOffset val="100"/>
        <c:noMultiLvlLbl val="0"/>
      </c:catAx>
      <c:valAx>
        <c:axId val="24363226"/>
        <c:scaling>
          <c:orientation val="minMax"/>
        </c:scaling>
        <c:axPos val="l"/>
        <c:majorGridlines/>
        <c:delete val="0"/>
        <c:numFmt formatCode="#,##0" sourceLinked="1"/>
        <c:majorTickMark val="none"/>
        <c:minorTickMark val="none"/>
        <c:tickLblPos val="nextTo"/>
        <c:crossAx val="36510361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</c:plotArea>
    <c:plotVisOnly val="1"/>
    <c:dispBlanksAs val="zero"/>
    <c:showDLblsOverMax val="0"/>
  </c:chart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ANALISIS DE SENSIBILIDAD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125"/>
          <c:y val="0.175"/>
          <c:w val="0.8275"/>
          <c:h val="0.5045"/>
        </c:manualLayout>
      </c:layout>
      <c:lineChart>
        <c:grouping val="standard"/>
        <c:varyColors val="0"/>
        <c:ser>
          <c:idx val="0"/>
          <c:order val="0"/>
          <c:tx>
            <c:strRef>
              <c:f>Hoja2!$B$6</c:f>
              <c:strCache>
                <c:ptCount val="1"/>
                <c:pt idx="0">
                  <c:v>VAN  Vs  VARIACION DE PRODUCCION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Hoja2!$C$5:$E$5</c:f>
              <c:strCache/>
            </c:strRef>
          </c:cat>
          <c:val>
            <c:numRef>
              <c:f>Hoja2!$C$6:$E$6</c:f>
              <c:numCache/>
            </c:numRef>
          </c:val>
          <c:smooth val="0"/>
        </c:ser>
        <c:ser>
          <c:idx val="1"/>
          <c:order val="1"/>
          <c:tx>
            <c:strRef>
              <c:f>Hoja2!$B$7</c:f>
              <c:strCache>
                <c:ptCount val="1"/>
                <c:pt idx="0">
                  <c:v>VAN  Vs  VARIACION EN EL PRECIO DEL ORO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Hoja2!$C$5:$E$5</c:f>
              <c:strCache/>
            </c:strRef>
          </c:cat>
          <c:val>
            <c:numRef>
              <c:f>Hoja2!$C$7:$E$7</c:f>
              <c:numCache/>
            </c:numRef>
          </c:val>
          <c:smooth val="0"/>
        </c:ser>
        <c:ser>
          <c:idx val="2"/>
          <c:order val="2"/>
          <c:tx>
            <c:strRef>
              <c:f>Hoja2!$B$8</c:f>
              <c:strCache>
                <c:ptCount val="1"/>
                <c:pt idx="0">
                  <c:v>VAN  Vs  VARIACION DE COSTOS DIRECTOS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Hoja2!$C$5:$E$5</c:f>
              <c:strCache/>
            </c:strRef>
          </c:cat>
          <c:val>
            <c:numRef>
              <c:f>Hoja2!$C$8:$E$8</c:f>
              <c:numCache/>
            </c:numRef>
          </c:val>
          <c:smooth val="0"/>
        </c:ser>
        <c:marker val="1"/>
        <c:axId val="40105819"/>
        <c:axId val="56741404"/>
      </c:lineChart>
      <c:catAx>
        <c:axId val="401058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6741404"/>
        <c:crosses val="autoZero"/>
        <c:auto val="1"/>
        <c:lblOffset val="100"/>
        <c:noMultiLvlLbl val="0"/>
      </c:catAx>
      <c:valAx>
        <c:axId val="56741404"/>
        <c:scaling>
          <c:orientation val="minMax"/>
          <c:max val="16000000"/>
          <c:min val="10000000"/>
        </c:scaling>
        <c:axPos val="l"/>
        <c:majorGridlines/>
        <c:delete val="0"/>
        <c:numFmt formatCode="#,##0" sourceLinked="1"/>
        <c:majorTickMark val="none"/>
        <c:minorTickMark val="none"/>
        <c:tickLblPos val="nextTo"/>
        <c:crossAx val="4010581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145"/>
          <c:y val="0.784"/>
          <c:w val="0.54875"/>
          <c:h val="0.2142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s-EC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1</xdr:row>
      <xdr:rowOff>9525</xdr:rowOff>
    </xdr:from>
    <xdr:to>
      <xdr:col>14</xdr:col>
      <xdr:colOff>352425</xdr:colOff>
      <xdr:row>16</xdr:row>
      <xdr:rowOff>0</xdr:rowOff>
    </xdr:to>
    <xdr:graphicFrame macro="">
      <xdr:nvGraphicFramePr>
        <xdr:cNvPr id="7" name="6 Gráfico"/>
        <xdr:cNvGraphicFramePr/>
      </xdr:nvGraphicFramePr>
      <xdr:xfrm>
        <a:off x="6915150" y="200025"/>
        <a:ext cx="49339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17</xdr:row>
      <xdr:rowOff>0</xdr:rowOff>
    </xdr:from>
    <xdr:to>
      <xdr:col>14</xdr:col>
      <xdr:colOff>342900</xdr:colOff>
      <xdr:row>30</xdr:row>
      <xdr:rowOff>180975</xdr:rowOff>
    </xdr:to>
    <xdr:graphicFrame macro="">
      <xdr:nvGraphicFramePr>
        <xdr:cNvPr id="8" name="7 Gráfico"/>
        <xdr:cNvGraphicFramePr/>
      </xdr:nvGraphicFramePr>
      <xdr:xfrm>
        <a:off x="6934200" y="3238500"/>
        <a:ext cx="49053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3075" name="Picture 3" descr="https://www.portfoliopersonal.com/grafica/dummi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95400" y="3409950"/>
          <a:ext cx="9525" cy="9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076" name="Picture 4" descr="https://www.portfoliopersonal.com/grafica/dummi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609975"/>
          <a:ext cx="9525" cy="9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15</xdr:row>
      <xdr:rowOff>95250</xdr:rowOff>
    </xdr:from>
    <xdr:to>
      <xdr:col>7</xdr:col>
      <xdr:colOff>428625</xdr:colOff>
      <xdr:row>29</xdr:row>
      <xdr:rowOff>171450</xdr:rowOff>
    </xdr:to>
    <xdr:graphicFrame macro="">
      <xdr:nvGraphicFramePr>
        <xdr:cNvPr id="2" name="1 Gráfico"/>
        <xdr:cNvGraphicFramePr/>
      </xdr:nvGraphicFramePr>
      <xdr:xfrm>
        <a:off x="1676400" y="2828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15</xdr:row>
      <xdr:rowOff>19050</xdr:rowOff>
    </xdr:from>
    <xdr:to>
      <xdr:col>7</xdr:col>
      <xdr:colOff>247650</xdr:colOff>
      <xdr:row>29</xdr:row>
      <xdr:rowOff>95250</xdr:rowOff>
    </xdr:to>
    <xdr:graphicFrame macro="">
      <xdr:nvGraphicFramePr>
        <xdr:cNvPr id="2" name="1 Gráfico"/>
        <xdr:cNvGraphicFramePr/>
      </xdr:nvGraphicFramePr>
      <xdr:xfrm>
        <a:off x="1495425" y="2752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16</xdr:row>
      <xdr:rowOff>28575</xdr:rowOff>
    </xdr:from>
    <xdr:to>
      <xdr:col>7</xdr:col>
      <xdr:colOff>514350</xdr:colOff>
      <xdr:row>30</xdr:row>
      <xdr:rowOff>104775</xdr:rowOff>
    </xdr:to>
    <xdr:graphicFrame macro="">
      <xdr:nvGraphicFramePr>
        <xdr:cNvPr id="2" name="1 Gráfico"/>
        <xdr:cNvGraphicFramePr/>
      </xdr:nvGraphicFramePr>
      <xdr:xfrm>
        <a:off x="1762125" y="29527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9</xdr:row>
      <xdr:rowOff>114300</xdr:rowOff>
    </xdr:from>
    <xdr:to>
      <xdr:col>5</xdr:col>
      <xdr:colOff>752475</xdr:colOff>
      <xdr:row>28</xdr:row>
      <xdr:rowOff>57150</xdr:rowOff>
    </xdr:to>
    <xdr:graphicFrame macro="">
      <xdr:nvGraphicFramePr>
        <xdr:cNvPr id="3" name="2 Gráfico"/>
        <xdr:cNvGraphicFramePr/>
      </xdr:nvGraphicFramePr>
      <xdr:xfrm>
        <a:off x="1590675" y="1857375"/>
        <a:ext cx="51530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6" Type="http://schemas.openxmlformats.org/officeDocument/2006/relationships/control" Target="../activeX/activeX2.xml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 topLeftCell="A1">
      <selection activeCell="H14" sqref="H14"/>
    </sheetView>
  </sheetViews>
  <sheetFormatPr defaultColWidth="11.421875" defaultRowHeight="15"/>
  <cols>
    <col min="1" max="1" width="11.140625" style="0" bestFit="1" customWidth="1"/>
    <col min="2" max="2" width="25.7109375" style="0" customWidth="1"/>
    <col min="3" max="3" width="48.7109375" style="0" hidden="1" customWidth="1"/>
    <col min="4" max="4" width="17.7109375" style="0" hidden="1" customWidth="1"/>
    <col min="5" max="5" width="18.00390625" style="0" bestFit="1" customWidth="1"/>
    <col min="6" max="6" width="13.28125" style="0" bestFit="1" customWidth="1"/>
  </cols>
  <sheetData>
    <row r="1" spans="1:6" ht="18.75">
      <c r="A1" s="341" t="s">
        <v>59</v>
      </c>
      <c r="B1" s="341"/>
      <c r="C1" s="341"/>
      <c r="D1" s="341"/>
      <c r="E1" s="341"/>
      <c r="F1" s="90"/>
    </row>
    <row r="2" spans="1:5" ht="15.75">
      <c r="A2" s="174" t="s">
        <v>17</v>
      </c>
      <c r="B2" s="174" t="s">
        <v>16</v>
      </c>
      <c r="C2" s="174" t="s">
        <v>15</v>
      </c>
      <c r="D2" s="174" t="s">
        <v>220</v>
      </c>
      <c r="E2" s="174" t="s">
        <v>221</v>
      </c>
    </row>
    <row r="3" spans="1:5" ht="15">
      <c r="A3" s="12">
        <v>1</v>
      </c>
      <c r="B3" s="5" t="s">
        <v>74</v>
      </c>
      <c r="C3" s="6" t="s">
        <v>222</v>
      </c>
      <c r="D3" s="6">
        <v>70000</v>
      </c>
      <c r="E3" s="7">
        <f>D3*A3</f>
        <v>70000</v>
      </c>
    </row>
    <row r="4" spans="1:5" ht="15">
      <c r="A4" s="12">
        <v>8</v>
      </c>
      <c r="B4" s="5" t="s">
        <v>190</v>
      </c>
      <c r="C4" s="6" t="s">
        <v>191</v>
      </c>
      <c r="D4" s="6">
        <v>4200</v>
      </c>
      <c r="E4" s="7">
        <f>D4*A4</f>
        <v>33600</v>
      </c>
    </row>
    <row r="5" spans="1:6" ht="15">
      <c r="A5" s="12">
        <v>1</v>
      </c>
      <c r="B5" s="5" t="s">
        <v>189</v>
      </c>
      <c r="C5" s="6" t="s">
        <v>192</v>
      </c>
      <c r="D5" s="6">
        <v>35000</v>
      </c>
      <c r="E5" s="7">
        <f aca="true" t="shared" si="0" ref="E5:E16">A5*D5</f>
        <v>35000</v>
      </c>
      <c r="F5" s="3"/>
    </row>
    <row r="6" spans="1:6" ht="15">
      <c r="A6" s="12"/>
      <c r="B6" s="148" t="s">
        <v>210</v>
      </c>
      <c r="C6" s="6"/>
      <c r="D6" s="6"/>
      <c r="E6" s="7"/>
      <c r="F6" s="3"/>
    </row>
    <row r="7" spans="1:6" ht="45">
      <c r="A7" s="149">
        <v>4</v>
      </c>
      <c r="B7" s="149" t="s">
        <v>39</v>
      </c>
      <c r="C7" s="8" t="s">
        <v>46</v>
      </c>
      <c r="D7" s="6">
        <v>2200</v>
      </c>
      <c r="E7" s="7">
        <f t="shared" si="0"/>
        <v>8800</v>
      </c>
      <c r="F7" s="3"/>
    </row>
    <row r="8" spans="1:6" ht="15">
      <c r="A8" s="10">
        <v>1</v>
      </c>
      <c r="B8" s="10" t="s">
        <v>10</v>
      </c>
      <c r="C8" s="6" t="s">
        <v>209</v>
      </c>
      <c r="D8" s="6">
        <v>1800</v>
      </c>
      <c r="E8" s="7">
        <f t="shared" si="0"/>
        <v>1800</v>
      </c>
      <c r="F8" s="3"/>
    </row>
    <row r="9" spans="1:6" ht="15">
      <c r="A9" s="10">
        <v>1</v>
      </c>
      <c r="B9" s="10" t="s">
        <v>61</v>
      </c>
      <c r="C9" s="6" t="s">
        <v>62</v>
      </c>
      <c r="D9" s="6">
        <v>1300</v>
      </c>
      <c r="E9" s="7">
        <f t="shared" si="0"/>
        <v>1300</v>
      </c>
      <c r="F9" s="3"/>
    </row>
    <row r="10" spans="1:6" ht="15">
      <c r="A10" s="10">
        <v>1</v>
      </c>
      <c r="B10" s="10" t="s">
        <v>63</v>
      </c>
      <c r="C10" s="11" t="s">
        <v>64</v>
      </c>
      <c r="D10" s="6">
        <v>7000</v>
      </c>
      <c r="E10" s="7">
        <f>A10*D10</f>
        <v>7000</v>
      </c>
      <c r="F10" s="3"/>
    </row>
    <row r="11" spans="1:6" ht="15">
      <c r="A11" s="12">
        <v>1</v>
      </c>
      <c r="B11" s="5" t="s">
        <v>359</v>
      </c>
      <c r="C11" s="11" t="s">
        <v>358</v>
      </c>
      <c r="D11" s="6">
        <v>52000</v>
      </c>
      <c r="E11" s="151">
        <f>A11*D11</f>
        <v>52000</v>
      </c>
      <c r="F11" s="3"/>
    </row>
    <row r="12" spans="1:6" ht="15">
      <c r="A12" s="12">
        <v>3</v>
      </c>
      <c r="B12" s="5" t="s">
        <v>60</v>
      </c>
      <c r="C12" s="6"/>
      <c r="D12" s="6">
        <v>1200</v>
      </c>
      <c r="E12" s="151">
        <f t="shared" si="0"/>
        <v>3600</v>
      </c>
      <c r="F12" s="3"/>
    </row>
    <row r="13" spans="1:6" ht="15">
      <c r="A13" s="12">
        <v>2</v>
      </c>
      <c r="B13" s="5" t="s">
        <v>54</v>
      </c>
      <c r="C13" s="10" t="s">
        <v>55</v>
      </c>
      <c r="D13" s="6">
        <v>450</v>
      </c>
      <c r="E13" s="7">
        <f t="shared" si="0"/>
        <v>900</v>
      </c>
      <c r="F13" s="3"/>
    </row>
    <row r="14" spans="1:6" ht="15">
      <c r="A14" s="12">
        <v>2</v>
      </c>
      <c r="B14" s="5" t="s">
        <v>246</v>
      </c>
      <c r="C14" s="10"/>
      <c r="D14" s="6">
        <v>4500</v>
      </c>
      <c r="E14" s="7">
        <f t="shared" si="0"/>
        <v>9000</v>
      </c>
      <c r="F14" s="3"/>
    </row>
    <row r="15" spans="1:6" ht="15.75">
      <c r="A15" s="12">
        <v>2</v>
      </c>
      <c r="B15" s="78" t="s">
        <v>52</v>
      </c>
      <c r="C15" s="10" t="s">
        <v>357</v>
      </c>
      <c r="D15" s="6">
        <v>91392</v>
      </c>
      <c r="E15" s="7">
        <f t="shared" si="0"/>
        <v>182784</v>
      </c>
      <c r="F15" s="3"/>
    </row>
    <row r="16" spans="1:6" ht="15.75" thickBot="1">
      <c r="A16" s="12">
        <v>1</v>
      </c>
      <c r="B16" s="5" t="s">
        <v>53</v>
      </c>
      <c r="C16" s="10" t="s">
        <v>58</v>
      </c>
      <c r="D16" s="6">
        <v>41990</v>
      </c>
      <c r="E16" s="142">
        <f t="shared" si="0"/>
        <v>41990</v>
      </c>
      <c r="F16" s="3"/>
    </row>
    <row r="17" spans="1:5" ht="18.75" thickTop="1">
      <c r="A17" s="92"/>
      <c r="B17" s="175" t="s">
        <v>77</v>
      </c>
      <c r="E17" s="177">
        <f>SUM(E3:E16)</f>
        <v>447774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41"/>
  <sheetViews>
    <sheetView zoomScale="85" zoomScaleNormal="85" workbookViewId="0" topLeftCell="A1">
      <selection activeCell="K12" sqref="K12"/>
    </sheetView>
  </sheetViews>
  <sheetFormatPr defaultColWidth="11.421875" defaultRowHeight="15"/>
  <cols>
    <col min="1" max="1" width="19.421875" style="0" bestFit="1" customWidth="1"/>
    <col min="6" max="6" width="24.421875" style="0" customWidth="1"/>
    <col min="11" max="11" width="25.8515625" style="0" customWidth="1"/>
  </cols>
  <sheetData>
    <row r="1" spans="1:9" ht="18.75">
      <c r="A1" s="366" t="s">
        <v>250</v>
      </c>
      <c r="B1" s="367"/>
      <c r="F1" s="376" t="s">
        <v>265</v>
      </c>
      <c r="G1" s="376"/>
      <c r="H1" s="376"/>
      <c r="I1" s="376"/>
    </row>
    <row r="2" spans="1:9" ht="15.75">
      <c r="A2" s="224" t="s">
        <v>251</v>
      </c>
      <c r="B2" s="222">
        <v>0.0229</v>
      </c>
      <c r="F2" s="374" t="s">
        <v>266</v>
      </c>
      <c r="G2" s="374"/>
      <c r="H2" s="374"/>
      <c r="I2" s="374"/>
    </row>
    <row r="3" spans="1:9" ht="16.5" thickBot="1">
      <c r="A3" s="224" t="s">
        <v>252</v>
      </c>
      <c r="B3" s="222">
        <v>0.1072</v>
      </c>
      <c r="F3" s="92"/>
      <c r="G3" s="328" t="s">
        <v>267</v>
      </c>
      <c r="H3" s="328" t="s">
        <v>268</v>
      </c>
      <c r="I3" s="328" t="s">
        <v>269</v>
      </c>
    </row>
    <row r="4" spans="1:9" ht="15.75">
      <c r="A4" s="224" t="s">
        <v>253</v>
      </c>
      <c r="B4" s="223">
        <f>B13</f>
        <v>2.432620279558267</v>
      </c>
      <c r="F4" s="201" t="s">
        <v>270</v>
      </c>
      <c r="G4" s="202">
        <v>19.1</v>
      </c>
      <c r="H4" s="202">
        <v>14.76</v>
      </c>
      <c r="I4" s="202">
        <v>26.4</v>
      </c>
    </row>
    <row r="5" spans="1:9" ht="15.75">
      <c r="A5" s="224" t="s">
        <v>254</v>
      </c>
      <c r="B5" s="222">
        <v>0.0804</v>
      </c>
      <c r="F5" s="203" t="s">
        <v>271</v>
      </c>
      <c r="G5" s="204">
        <v>59.07</v>
      </c>
      <c r="H5" s="204">
        <v>41.54</v>
      </c>
      <c r="I5" s="204">
        <v>197.22</v>
      </c>
    </row>
    <row r="6" spans="1:9" ht="16.5" thickBot="1">
      <c r="A6" s="224" t="s">
        <v>255</v>
      </c>
      <c r="B6" s="230">
        <f>B3-B2</f>
        <v>0.0843</v>
      </c>
      <c r="F6" s="201" t="s">
        <v>272</v>
      </c>
      <c r="G6" s="202">
        <v>11.3</v>
      </c>
      <c r="H6" s="202">
        <v>5.65</v>
      </c>
      <c r="I6" s="202">
        <v>32.17</v>
      </c>
    </row>
    <row r="7" spans="1:48" ht="16.5" thickTop="1">
      <c r="A7" s="224" t="s">
        <v>392</v>
      </c>
      <c r="B7" s="231">
        <f>B2+(B4*B6)+B5</f>
        <v>0.3083698895667619</v>
      </c>
      <c r="F7" s="210" t="s">
        <v>273</v>
      </c>
      <c r="G7" s="202">
        <v>2.09</v>
      </c>
      <c r="H7" s="202">
        <v>1.4</v>
      </c>
      <c r="I7" s="211">
        <v>1.26</v>
      </c>
      <c r="J7" s="326"/>
      <c r="AV7" s="207"/>
    </row>
    <row r="9" spans="6:48" ht="15">
      <c r="F9" s="375"/>
      <c r="G9" s="375"/>
      <c r="H9" s="375"/>
      <c r="I9" s="375"/>
      <c r="J9" s="375"/>
      <c r="AV9" s="207"/>
    </row>
    <row r="10" spans="6:9" ht="15">
      <c r="F10" s="201" t="s">
        <v>274</v>
      </c>
      <c r="G10" s="202">
        <v>0.43</v>
      </c>
      <c r="H10" s="202">
        <v>21.56</v>
      </c>
      <c r="I10" s="202">
        <v>3.47</v>
      </c>
    </row>
    <row r="11" spans="1:9" ht="15">
      <c r="A11" s="4" t="s">
        <v>313</v>
      </c>
      <c r="B11" s="26">
        <f>'Inv Inicial'!G6/'Inv Inicial'!G5</f>
        <v>1.4999999999999998</v>
      </c>
      <c r="F11" s="205" t="s">
        <v>275</v>
      </c>
      <c r="G11" s="206">
        <v>0.79</v>
      </c>
      <c r="H11" s="206">
        <v>0.12</v>
      </c>
      <c r="I11" s="206">
        <v>1.34</v>
      </c>
    </row>
    <row r="12" spans="1:9" ht="15">
      <c r="A12" s="4" t="s">
        <v>291</v>
      </c>
      <c r="B12" s="327">
        <f>I7/(1+(I33/100))</f>
        <v>0.9730481118233069</v>
      </c>
      <c r="F12" s="201" t="s">
        <v>276</v>
      </c>
      <c r="G12" s="202">
        <v>1.26</v>
      </c>
      <c r="H12" s="202">
        <v>0.13</v>
      </c>
      <c r="I12" s="202">
        <v>1.82</v>
      </c>
    </row>
    <row r="13" spans="1:9" ht="15">
      <c r="A13" s="4" t="s">
        <v>292</v>
      </c>
      <c r="B13" s="327">
        <f>B12*(1+B11)</f>
        <v>2.432620279558267</v>
      </c>
      <c r="F13" s="203" t="s">
        <v>277</v>
      </c>
      <c r="G13" s="204">
        <v>4.74</v>
      </c>
      <c r="H13" s="204">
        <v>12.46</v>
      </c>
      <c r="I13" s="204">
        <v>23.12</v>
      </c>
    </row>
    <row r="14" spans="6:9" ht="24">
      <c r="F14" s="201" t="s">
        <v>278</v>
      </c>
      <c r="G14" s="202">
        <v>13.99</v>
      </c>
      <c r="H14" s="202">
        <v>1.28</v>
      </c>
      <c r="I14" s="202">
        <v>2.09</v>
      </c>
    </row>
    <row r="15" spans="6:48" ht="15">
      <c r="F15" s="375"/>
      <c r="G15" s="375"/>
      <c r="H15" s="375"/>
      <c r="I15" s="375"/>
      <c r="J15" s="375"/>
      <c r="AV15" s="207"/>
    </row>
    <row r="16" spans="6:9" ht="24">
      <c r="F16" s="267" t="s">
        <v>285</v>
      </c>
      <c r="G16" s="267"/>
      <c r="H16" s="267"/>
      <c r="I16" s="267"/>
    </row>
    <row r="17" spans="1:9" ht="15.75" thickBot="1">
      <c r="A17" s="373" t="s">
        <v>332</v>
      </c>
      <c r="B17" s="373"/>
      <c r="C17" s="373"/>
      <c r="D17" s="373"/>
      <c r="F17" s="199"/>
      <c r="G17" s="200" t="s">
        <v>267</v>
      </c>
      <c r="H17" s="200" t="s">
        <v>268</v>
      </c>
      <c r="I17" s="200" t="s">
        <v>269</v>
      </c>
    </row>
    <row r="18" spans="1:48" ht="15.75" customHeight="1">
      <c r="A18" s="212"/>
      <c r="B18" s="213">
        <v>41003</v>
      </c>
      <c r="C18" s="214" t="s">
        <v>293</v>
      </c>
      <c r="D18" s="214" t="s">
        <v>294</v>
      </c>
      <c r="F18" s="201" t="s">
        <v>286</v>
      </c>
      <c r="G18" s="202">
        <v>2.03</v>
      </c>
      <c r="H18" s="202">
        <v>0.45</v>
      </c>
      <c r="I18" s="202">
        <v>7.15</v>
      </c>
      <c r="AV18" s="207"/>
    </row>
    <row r="19" spans="1:9" ht="15.75">
      <c r="A19" s="215" t="s">
        <v>295</v>
      </c>
      <c r="B19" s="216" t="s">
        <v>296</v>
      </c>
      <c r="C19" s="216" t="s">
        <v>296</v>
      </c>
      <c r="D19" s="216" t="s">
        <v>296</v>
      </c>
      <c r="F19" s="207" t="s">
        <v>287</v>
      </c>
      <c r="G19" s="204">
        <v>2.03</v>
      </c>
      <c r="H19" s="204">
        <v>6.13</v>
      </c>
      <c r="I19" s="204">
        <v>11.49</v>
      </c>
    </row>
    <row r="20" spans="1:10" ht="15.75">
      <c r="A20" s="217" t="s">
        <v>297</v>
      </c>
      <c r="B20" s="218" t="s">
        <v>298</v>
      </c>
      <c r="C20" s="218" t="s">
        <v>298</v>
      </c>
      <c r="D20" s="218" t="s">
        <v>298</v>
      </c>
      <c r="F20" s="207" t="s">
        <v>288</v>
      </c>
      <c r="G20" s="204">
        <v>2.64</v>
      </c>
      <c r="H20" s="204">
        <v>0.71</v>
      </c>
      <c r="I20" s="204">
        <v>10.55</v>
      </c>
      <c r="J20" s="207"/>
    </row>
    <row r="21" spans="1:48" ht="24">
      <c r="A21" s="217" t="s">
        <v>299</v>
      </c>
      <c r="B21" s="218" t="s">
        <v>300</v>
      </c>
      <c r="C21" s="218" t="s">
        <v>300</v>
      </c>
      <c r="D21" s="218" t="s">
        <v>300</v>
      </c>
      <c r="F21" s="201" t="s">
        <v>289</v>
      </c>
      <c r="G21" s="202">
        <v>2.65</v>
      </c>
      <c r="H21" s="202">
        <v>7.71</v>
      </c>
      <c r="I21" s="202">
        <v>16.32</v>
      </c>
      <c r="AV21" s="207"/>
    </row>
    <row r="22" spans="1:9" ht="15.75">
      <c r="A22" s="215" t="s">
        <v>301</v>
      </c>
      <c r="B22" s="219" t="s">
        <v>302</v>
      </c>
      <c r="C22" s="219" t="s">
        <v>303</v>
      </c>
      <c r="D22" s="219" t="s">
        <v>304</v>
      </c>
      <c r="F22" s="210" t="s">
        <v>290</v>
      </c>
      <c r="G22" s="202">
        <v>4.47</v>
      </c>
      <c r="H22" s="202">
        <v>1.28</v>
      </c>
      <c r="I22" s="211">
        <v>10.72</v>
      </c>
    </row>
    <row r="23" spans="1:10" ht="15.75">
      <c r="A23" s="221" t="s">
        <v>305</v>
      </c>
      <c r="B23" s="220" t="s">
        <v>306</v>
      </c>
      <c r="C23" s="218" t="s">
        <v>307</v>
      </c>
      <c r="D23" s="218" t="s">
        <v>308</v>
      </c>
      <c r="F23" s="207"/>
      <c r="G23" s="207"/>
      <c r="H23" s="207"/>
      <c r="I23" s="207"/>
      <c r="J23" s="207"/>
    </row>
    <row r="24" spans="1:4" ht="15.75">
      <c r="A24" s="215" t="s">
        <v>309</v>
      </c>
      <c r="B24" s="219" t="s">
        <v>310</v>
      </c>
      <c r="C24" s="219" t="s">
        <v>311</v>
      </c>
      <c r="D24" s="219" t="s">
        <v>312</v>
      </c>
    </row>
    <row r="25" spans="6:9" ht="15">
      <c r="F25" s="264"/>
      <c r="G25" s="265"/>
      <c r="H25" s="265"/>
      <c r="I25" s="266"/>
    </row>
    <row r="28" ht="15">
      <c r="F28" s="198" t="s">
        <v>279</v>
      </c>
    </row>
    <row r="29" spans="6:9" ht="15.75" thickBot="1">
      <c r="F29" s="199"/>
      <c r="G29" s="200" t="s">
        <v>267</v>
      </c>
      <c r="H29" s="200" t="s">
        <v>268</v>
      </c>
      <c r="I29" s="200" t="s">
        <v>269</v>
      </c>
    </row>
    <row r="30" spans="6:9" ht="15">
      <c r="F30" s="201" t="s">
        <v>280</v>
      </c>
      <c r="G30" s="202">
        <v>0.8</v>
      </c>
      <c r="H30" s="202">
        <v>0.12</v>
      </c>
      <c r="I30" s="202">
        <v>0.7</v>
      </c>
    </row>
    <row r="31" spans="6:9" ht="15">
      <c r="F31" s="207" t="s">
        <v>281</v>
      </c>
      <c r="G31" s="204">
        <v>1.28</v>
      </c>
      <c r="H31" s="204">
        <v>0.18</v>
      </c>
      <c r="I31" s="204">
        <v>1.06</v>
      </c>
    </row>
    <row r="32" spans="6:9" ht="15">
      <c r="F32" s="201" t="s">
        <v>282</v>
      </c>
      <c r="G32" s="202">
        <v>62.41</v>
      </c>
      <c r="H32" s="202">
        <v>8.54</v>
      </c>
      <c r="I32" s="202">
        <v>15</v>
      </c>
    </row>
    <row r="33" spans="6:50" ht="24">
      <c r="F33" s="209" t="s">
        <v>283</v>
      </c>
      <c r="G33" s="204">
        <v>67.69</v>
      </c>
      <c r="H33" s="204">
        <v>18.41</v>
      </c>
      <c r="I33" s="211">
        <v>29.49</v>
      </c>
      <c r="AX33" s="208"/>
    </row>
    <row r="34" spans="6:9" ht="15">
      <c r="F34" s="201" t="s">
        <v>284</v>
      </c>
      <c r="G34" s="202">
        <v>2.07</v>
      </c>
      <c r="H34" s="202">
        <v>0.02</v>
      </c>
      <c r="I34" s="202">
        <v>0.94</v>
      </c>
    </row>
    <row r="35" spans="5:53" ht="15.75">
      <c r="E35" s="235"/>
      <c r="M35" s="235"/>
      <c r="N35" s="56"/>
      <c r="AX35" s="235"/>
      <c r="AY35" s="235"/>
      <c r="AZ35" s="235"/>
      <c r="BA35" s="56"/>
    </row>
    <row r="36" spans="5:53" ht="15.75">
      <c r="E36" s="235"/>
      <c r="M36" s="235"/>
      <c r="N36" s="56"/>
      <c r="AX36" s="235"/>
      <c r="AY36" s="235"/>
      <c r="AZ36" s="235"/>
      <c r="BA36" s="56"/>
    </row>
    <row r="37" spans="5:53" ht="15">
      <c r="E37" s="236"/>
      <c r="M37" s="236"/>
      <c r="N37" s="56"/>
      <c r="AX37" s="236"/>
      <c r="AY37" s="236"/>
      <c r="AZ37" s="236"/>
      <c r="BA37" s="56"/>
    </row>
    <row r="38" spans="5:53" ht="15">
      <c r="E38" s="236"/>
      <c r="M38" s="236"/>
      <c r="N38" s="56"/>
      <c r="AX38" s="236"/>
      <c r="AY38" s="236"/>
      <c r="AZ38" s="236"/>
      <c r="BA38" s="56"/>
    </row>
    <row r="39" spans="5:53" ht="15">
      <c r="E39" s="236"/>
      <c r="M39" s="236"/>
      <c r="N39" s="56"/>
      <c r="AX39" s="236"/>
      <c r="AY39" s="236"/>
      <c r="AZ39" s="236"/>
      <c r="BA39" s="56"/>
    </row>
    <row r="40" spans="5:53" ht="15">
      <c r="E40" s="236"/>
      <c r="M40" s="236"/>
      <c r="N40" s="56"/>
      <c r="AX40" s="236"/>
      <c r="AY40" s="236"/>
      <c r="AZ40" s="236"/>
      <c r="BA40" s="56"/>
    </row>
    <row r="41" spans="5:53" ht="15">
      <c r="E41" s="236"/>
      <c r="M41" s="236"/>
      <c r="N41" s="56"/>
      <c r="AX41" s="236"/>
      <c r="AY41" s="236"/>
      <c r="AZ41" s="236"/>
      <c r="BA41" s="56"/>
    </row>
  </sheetData>
  <mergeCells count="6">
    <mergeCell ref="A17:D17"/>
    <mergeCell ref="F2:I2"/>
    <mergeCell ref="A1:B1"/>
    <mergeCell ref="F9:J9"/>
    <mergeCell ref="F15:J15"/>
    <mergeCell ref="F1:I1"/>
  </mergeCells>
  <printOptions/>
  <pageMargins left="0.7" right="0.7" top="0.75" bottom="0.75" header="0.3" footer="0.3"/>
  <pageSetup horizontalDpi="600" verticalDpi="600" orientation="portrait" r:id="rId9"/>
  <drawing r:id="rId8"/>
  <legacyDrawing r:id="rId3"/>
  <controls>
    <control shapeId="3074" r:id="rId1" name="Control 2"/>
    <control shapeId="3073" r:id="rId2" name="Control 1"/>
  </control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zoomScale="90" zoomScaleNormal="90" workbookViewId="0" topLeftCell="A10">
      <selection activeCell="B7" sqref="B7:M7"/>
    </sheetView>
  </sheetViews>
  <sheetFormatPr defaultColWidth="11.421875" defaultRowHeight="15"/>
  <cols>
    <col min="1" max="1" width="6.00390625" style="0" customWidth="1"/>
    <col min="2" max="2" width="33.140625" style="0" bestFit="1" customWidth="1"/>
    <col min="3" max="3" width="10.00390625" style="0" customWidth="1"/>
    <col min="4" max="5" width="9.57421875" style="0" customWidth="1"/>
    <col min="6" max="6" width="9.8515625" style="0" bestFit="1" customWidth="1"/>
    <col min="7" max="8" width="9.57421875" style="0" customWidth="1"/>
    <col min="9" max="13" width="10.00390625" style="0" customWidth="1"/>
    <col min="15" max="15" width="18.00390625" style="0" bestFit="1" customWidth="1"/>
    <col min="16" max="16" width="14.57421875" style="0" bestFit="1" customWidth="1"/>
    <col min="17" max="17" width="12.00390625" style="0" bestFit="1" customWidth="1"/>
    <col min="18" max="18" width="9.57421875" style="0" bestFit="1" customWidth="1"/>
    <col min="19" max="19" width="4.7109375" style="0" bestFit="1" customWidth="1"/>
  </cols>
  <sheetData>
    <row r="1" spans="2:18" s="80" customFormat="1" ht="18.75">
      <c r="B1" s="281" t="s">
        <v>355</v>
      </c>
      <c r="C1" s="258">
        <v>0.07</v>
      </c>
      <c r="E1" s="383" t="s">
        <v>397</v>
      </c>
      <c r="F1" s="384"/>
      <c r="G1" s="291">
        <v>15000</v>
      </c>
      <c r="I1" s="299"/>
      <c r="J1" s="180" t="s">
        <v>426</v>
      </c>
      <c r="K1" s="180" t="s">
        <v>427</v>
      </c>
      <c r="O1" s="299"/>
      <c r="P1" s="227" t="s">
        <v>401</v>
      </c>
      <c r="Q1" s="227" t="s">
        <v>402</v>
      </c>
      <c r="R1" s="227" t="s">
        <v>403</v>
      </c>
    </row>
    <row r="2" spans="2:18" s="80" customFormat="1" ht="18.75">
      <c r="B2" s="281" t="s">
        <v>356</v>
      </c>
      <c r="C2" s="258">
        <v>0.03</v>
      </c>
      <c r="E2" s="383" t="s">
        <v>449</v>
      </c>
      <c r="F2" s="384"/>
      <c r="G2" s="291">
        <v>1500</v>
      </c>
      <c r="I2" s="180" t="s">
        <v>442</v>
      </c>
      <c r="J2" s="292">
        <v>0.0199563478500884</v>
      </c>
      <c r="K2" s="292">
        <v>0.0117</v>
      </c>
      <c r="O2" s="227" t="s">
        <v>404</v>
      </c>
      <c r="P2" s="40">
        <v>1800</v>
      </c>
      <c r="Q2" s="40">
        <v>1500</v>
      </c>
      <c r="R2" s="40">
        <v>600</v>
      </c>
    </row>
    <row r="3" spans="2:18" s="80" customFormat="1" ht="18.75">
      <c r="B3" s="281" t="s">
        <v>393</v>
      </c>
      <c r="C3" s="258">
        <v>0.03</v>
      </c>
      <c r="O3" s="227" t="s">
        <v>408</v>
      </c>
      <c r="P3" s="325">
        <v>0.05</v>
      </c>
      <c r="Q3" s="325">
        <v>0.07</v>
      </c>
      <c r="R3" s="325">
        <v>0.1</v>
      </c>
    </row>
    <row r="4" spans="5:18" s="80" customFormat="1" ht="18.75">
      <c r="E4" s="261"/>
      <c r="F4" s="290"/>
      <c r="G4" s="275"/>
      <c r="O4" s="227" t="s">
        <v>413</v>
      </c>
      <c r="P4" s="300">
        <v>0.04</v>
      </c>
      <c r="Q4" s="300">
        <v>0.02</v>
      </c>
      <c r="R4" s="242">
        <v>0.0005</v>
      </c>
    </row>
    <row r="5" spans="5:18" s="80" customFormat="1" ht="18.75">
      <c r="E5" s="261"/>
      <c r="F5" s="277"/>
      <c r="G5" s="275"/>
      <c r="O5" s="276"/>
      <c r="P5" s="283"/>
      <c r="Q5" s="284"/>
      <c r="R5" s="283"/>
    </row>
    <row r="6" spans="15:16" ht="18.75">
      <c r="O6" s="276"/>
      <c r="P6" s="282"/>
    </row>
    <row r="7" spans="2:13" ht="18.75">
      <c r="B7" s="377" t="s">
        <v>440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9"/>
    </row>
    <row r="8" spans="2:13" ht="15">
      <c r="B8" s="123" t="s">
        <v>153</v>
      </c>
      <c r="C8" s="123">
        <v>0</v>
      </c>
      <c r="D8" s="123">
        <v>1</v>
      </c>
      <c r="E8" s="123">
        <v>2</v>
      </c>
      <c r="F8" s="123">
        <v>3</v>
      </c>
      <c r="G8" s="269">
        <v>4</v>
      </c>
      <c r="H8" s="269">
        <v>5</v>
      </c>
      <c r="I8" s="269">
        <v>6</v>
      </c>
      <c r="J8" s="269">
        <v>7</v>
      </c>
      <c r="K8" s="269">
        <v>8</v>
      </c>
      <c r="L8" s="269">
        <v>9</v>
      </c>
      <c r="M8" s="270">
        <v>10</v>
      </c>
    </row>
    <row r="9" spans="2:13" ht="15">
      <c r="B9" s="6" t="s">
        <v>154</v>
      </c>
      <c r="C9" s="125"/>
      <c r="D9" s="125">
        <f>Ingresos!I12</f>
        <v>3299684.4855305464</v>
      </c>
      <c r="E9" s="125">
        <f>Ingresos!J12</f>
        <v>10093780.25301458</v>
      </c>
      <c r="F9" s="125">
        <f>Ingresos!K12</f>
        <v>11321596.072464783</v>
      </c>
      <c r="G9" s="125">
        <f>Ingresos!L12</f>
        <v>12593843.281188345</v>
      </c>
      <c r="H9" s="125">
        <f>Ingresos!M12</f>
        <v>13911802.172348546</v>
      </c>
      <c r="I9" s="125">
        <f>Ingresos!N12</f>
        <v>15276786.423951084</v>
      </c>
      <c r="J9" s="125">
        <f>Ingresos!O10</f>
        <v>16140356.167920861</v>
      </c>
      <c r="K9" s="125">
        <f>Ingresos!P12</f>
        <v>18153257.60038337</v>
      </c>
      <c r="L9" s="125">
        <f>Ingresos!Q12</f>
        <v>19667546.30779402</v>
      </c>
      <c r="M9" s="129">
        <f>Ingresos!R12</f>
        <v>21234465.68572693</v>
      </c>
    </row>
    <row r="10" spans="2:13" ht="15">
      <c r="B10" s="6" t="s">
        <v>258</v>
      </c>
      <c r="C10" s="125"/>
      <c r="D10" s="121">
        <f>Costos!K11*Costos!K10</f>
        <v>289980</v>
      </c>
      <c r="E10" s="121">
        <f>Costos!L11*Costos!L10</f>
        <v>930835.8000000002</v>
      </c>
      <c r="F10" s="121">
        <f>Costos!M11*Costos!M10</f>
        <v>1095593.7366000002</v>
      </c>
      <c r="G10" s="121">
        <f>Costos!N11*Costos!N10</f>
        <v>1278856.6889040002</v>
      </c>
      <c r="H10" s="121">
        <f>Costos!O11*Costos!O10</f>
        <v>1482408.0452212205</v>
      </c>
      <c r="I10" s="121">
        <f>Costos!P11*Costos!P10</f>
        <v>1708190.193647222</v>
      </c>
      <c r="J10" s="121">
        <f>Costos!Q11*Costos!Q10</f>
        <v>1958318.0434312795</v>
      </c>
      <c r="K10" s="121">
        <f>Costos!R11*Costos!R10</f>
        <v>2235093.660236234</v>
      </c>
      <c r="L10" s="121">
        <f>Costos!S11*Costos!S10</f>
        <v>2541022.104981068</v>
      </c>
      <c r="M10" s="129">
        <f>Costos!T11*Costos!T10</f>
        <v>2878828.573055022</v>
      </c>
    </row>
    <row r="11" spans="2:13" ht="15">
      <c r="B11" s="6" t="s">
        <v>259</v>
      </c>
      <c r="C11" s="125"/>
      <c r="D11" s="121">
        <f>Costos!K12*Costos!K10</f>
        <v>37420.490071111104</v>
      </c>
      <c r="E11" s="121">
        <f>Costos!L12*Costos!L10</f>
        <v>115629.3143197333</v>
      </c>
      <c r="F11" s="121">
        <f>Costos!M12*Costos!M10</f>
        <v>131008.01312425784</v>
      </c>
      <c r="G11" s="121">
        <f>Costos!N12*Costos!N10</f>
        <v>147205.36747416607</v>
      </c>
      <c r="H11" s="121">
        <f>Costos!O12*Costos!O10</f>
        <v>164256.655873257</v>
      </c>
      <c r="I11" s="121">
        <f>Costos!P12*Costos!P10</f>
        <v>182198.53674556658</v>
      </c>
      <c r="J11" s="121">
        <f>Costos!Q12*Costos!Q10</f>
        <v>201069.09947992885</v>
      </c>
      <c r="K11" s="121">
        <f>Costos!R12*Costos!R10</f>
        <v>220907.91729528183</v>
      </c>
      <c r="L11" s="121">
        <f>Costos!S12*Costos!S10</f>
        <v>241756.10199002406</v>
      </c>
      <c r="M11" s="129">
        <f>Costos!T12*Costos!T10</f>
        <v>263656.3606408851</v>
      </c>
    </row>
    <row r="12" spans="2:15" ht="15">
      <c r="B12" s="6" t="s">
        <v>260</v>
      </c>
      <c r="C12" s="125"/>
      <c r="D12" s="133">
        <f>Costos!K13*Costos!K10</f>
        <v>204039.07399999996</v>
      </c>
      <c r="E12" s="133">
        <f>Costos!L13*Costos!L10</f>
        <v>630480.73866</v>
      </c>
      <c r="F12" s="133">
        <f>Costos!M13*Costos!M10</f>
        <v>714334.6769017801</v>
      </c>
      <c r="G12" s="133">
        <f>Costos!N13*Costos!N10</f>
        <v>802652.4187732729</v>
      </c>
      <c r="H12" s="133">
        <f>Costos!O13*Costos!O10</f>
        <v>895626.3239478436</v>
      </c>
      <c r="I12" s="133">
        <f>Costos!P13*Costos!P10</f>
        <v>993456.2762559927</v>
      </c>
      <c r="J12" s="133">
        <f>Costos!Q13*Costos!Q10</f>
        <v>1096349.9620110777</v>
      </c>
      <c r="K12" s="133">
        <f>Costos!R13*Costos!R10</f>
        <v>1204523.1582628374</v>
      </c>
      <c r="L12" s="133">
        <f>Costos!S13*Costos!S10</f>
        <v>1318200.0313238928</v>
      </c>
      <c r="M12" s="134">
        <f>Costos!T13*Costos!T10</f>
        <v>1437613.4459261748</v>
      </c>
      <c r="O12" s="138"/>
    </row>
    <row r="13" spans="2:15" ht="15">
      <c r="B13" s="6" t="s">
        <v>155</v>
      </c>
      <c r="C13" s="125"/>
      <c r="D13" s="121">
        <f aca="true" t="shared" si="0" ref="D13:M13">SUM(D10:D12)</f>
        <v>531439.5640711111</v>
      </c>
      <c r="E13" s="121">
        <f t="shared" si="0"/>
        <v>1676945.8529797336</v>
      </c>
      <c r="F13" s="121">
        <f t="shared" si="0"/>
        <v>1940936.426626038</v>
      </c>
      <c r="G13" s="121">
        <f t="shared" si="0"/>
        <v>2228714.475151439</v>
      </c>
      <c r="H13" s="121">
        <f t="shared" si="0"/>
        <v>2542291.025042321</v>
      </c>
      <c r="I13" s="121">
        <f t="shared" si="0"/>
        <v>2883845.0066487812</v>
      </c>
      <c r="J13" s="121">
        <f t="shared" si="0"/>
        <v>3255737.1049222862</v>
      </c>
      <c r="K13" s="121">
        <f t="shared" si="0"/>
        <v>3660524.7357943533</v>
      </c>
      <c r="L13" s="121">
        <f t="shared" si="0"/>
        <v>4100978.238294985</v>
      </c>
      <c r="M13" s="129">
        <f t="shared" si="0"/>
        <v>4580098.379622081</v>
      </c>
      <c r="O13" s="137"/>
    </row>
    <row r="14" spans="1:13" ht="15">
      <c r="A14" s="128">
        <v>0.05</v>
      </c>
      <c r="B14" s="26" t="s">
        <v>435</v>
      </c>
      <c r="C14" s="125"/>
      <c r="D14" s="125">
        <f>D9*$A$14</f>
        <v>164984.22427652733</v>
      </c>
      <c r="E14" s="125">
        <f aca="true" t="shared" si="1" ref="E14:M14">E9*$A$14</f>
        <v>504689.012650729</v>
      </c>
      <c r="F14" s="125">
        <f t="shared" si="1"/>
        <v>566079.8036232392</v>
      </c>
      <c r="G14" s="125">
        <f t="shared" si="1"/>
        <v>629692.1640594173</v>
      </c>
      <c r="H14" s="125">
        <f t="shared" si="1"/>
        <v>695590.1086174273</v>
      </c>
      <c r="I14" s="125">
        <f t="shared" si="1"/>
        <v>763839.3211975542</v>
      </c>
      <c r="J14" s="125">
        <f t="shared" si="1"/>
        <v>807017.8083960431</v>
      </c>
      <c r="K14" s="125">
        <f t="shared" si="1"/>
        <v>907662.8800191686</v>
      </c>
      <c r="L14" s="125">
        <f t="shared" si="1"/>
        <v>983377.315389701</v>
      </c>
      <c r="M14" s="129">
        <f t="shared" si="1"/>
        <v>1061723.2842863465</v>
      </c>
    </row>
    <row r="15" spans="2:13" ht="15">
      <c r="B15" s="6" t="s">
        <v>156</v>
      </c>
      <c r="C15" s="125"/>
      <c r="D15" s="121">
        <f>'Inv Inicial'!D13</f>
        <v>91531.68012213333</v>
      </c>
      <c r="E15" s="121">
        <f>'Inv Inicial'!D14</f>
        <v>85788.48870861034</v>
      </c>
      <c r="F15" s="121">
        <f>'Inv Inicial'!D15</f>
        <v>79470.97815373505</v>
      </c>
      <c r="G15" s="121">
        <f>'Inv Inicial'!D16</f>
        <v>72521.71654337223</v>
      </c>
      <c r="H15" s="121">
        <f>'Inv Inicial'!D17</f>
        <v>64877.52877197313</v>
      </c>
      <c r="I15" s="121">
        <f>'Inv Inicial'!D18</f>
        <v>56468.922223434114</v>
      </c>
      <c r="J15" s="121">
        <f>'Inv Inicial'!D19</f>
        <v>47219.4550200412</v>
      </c>
      <c r="K15" s="121">
        <f>'Inv Inicial'!D20</f>
        <v>37045.04109630899</v>
      </c>
      <c r="L15" s="121">
        <f>'Inv Inicial'!D21</f>
        <v>25853.185780203567</v>
      </c>
      <c r="M15" s="129">
        <f>'Inv Inicial'!D22</f>
        <v>13542.144932487596</v>
      </c>
    </row>
    <row r="16" spans="2:13" ht="15.75" thickBot="1">
      <c r="B16" s="6" t="s">
        <v>157</v>
      </c>
      <c r="C16" s="125"/>
      <c r="D16" s="131">
        <f>Depresiacion!L7</f>
        <v>101143.65800000001</v>
      </c>
      <c r="E16" s="131">
        <f aca="true" t="shared" si="2" ref="E16:M16">D16</f>
        <v>101143.65800000001</v>
      </c>
      <c r="F16" s="131">
        <f t="shared" si="2"/>
        <v>101143.65800000001</v>
      </c>
      <c r="G16" s="131">
        <f t="shared" si="2"/>
        <v>101143.65800000001</v>
      </c>
      <c r="H16" s="131">
        <f t="shared" si="2"/>
        <v>101143.65800000001</v>
      </c>
      <c r="I16" s="131">
        <f t="shared" si="2"/>
        <v>101143.65800000001</v>
      </c>
      <c r="J16" s="131">
        <f t="shared" si="2"/>
        <v>101143.65800000001</v>
      </c>
      <c r="K16" s="131">
        <f t="shared" si="2"/>
        <v>101143.65800000001</v>
      </c>
      <c r="L16" s="131">
        <f t="shared" si="2"/>
        <v>101143.65800000001</v>
      </c>
      <c r="M16" s="132">
        <f t="shared" si="2"/>
        <v>101143.65800000001</v>
      </c>
    </row>
    <row r="17" spans="1:13" ht="15.75" thickTop="1">
      <c r="A17" s="80"/>
      <c r="B17" s="6" t="s">
        <v>158</v>
      </c>
      <c r="C17" s="125"/>
      <c r="D17" s="135">
        <f>D9-D13-D14-D15-D16</f>
        <v>2410585.359060775</v>
      </c>
      <c r="E17" s="135">
        <f aca="true" t="shared" si="3" ref="E17:M17">E9-E13-E14-E15-E16</f>
        <v>7725213.240675505</v>
      </c>
      <c r="F17" s="135">
        <f t="shared" si="3"/>
        <v>8633965.206061771</v>
      </c>
      <c r="G17" s="135">
        <f t="shared" si="3"/>
        <v>9561771.267434115</v>
      </c>
      <c r="H17" s="135">
        <f t="shared" si="3"/>
        <v>10507899.851916825</v>
      </c>
      <c r="I17" s="135">
        <f t="shared" si="3"/>
        <v>11471489.515881315</v>
      </c>
      <c r="J17" s="135">
        <f t="shared" si="3"/>
        <v>11929238.14158249</v>
      </c>
      <c r="K17" s="135">
        <f t="shared" si="3"/>
        <v>13446881.285473539</v>
      </c>
      <c r="L17" s="135">
        <f t="shared" si="3"/>
        <v>14456193.910329131</v>
      </c>
      <c r="M17" s="136">
        <f t="shared" si="3"/>
        <v>15477958.218886014</v>
      </c>
    </row>
    <row r="18" spans="1:13" ht="15">
      <c r="A18" s="81">
        <v>0.12</v>
      </c>
      <c r="B18" s="6" t="s">
        <v>441</v>
      </c>
      <c r="C18" s="125"/>
      <c r="D18" s="121">
        <f>D9*$A$18</f>
        <v>395962.13826366555</v>
      </c>
      <c r="E18" s="121">
        <f aca="true" t="shared" si="4" ref="E18:M18">E9*$A$18</f>
        <v>1211253.6303617496</v>
      </c>
      <c r="F18" s="121">
        <f t="shared" si="4"/>
        <v>1358591.5286957738</v>
      </c>
      <c r="G18" s="121">
        <f t="shared" si="4"/>
        <v>1511261.1937426012</v>
      </c>
      <c r="H18" s="121">
        <f t="shared" si="4"/>
        <v>1669416.2606818255</v>
      </c>
      <c r="I18" s="121">
        <f t="shared" si="4"/>
        <v>1833214.37087413</v>
      </c>
      <c r="J18" s="121">
        <f t="shared" si="4"/>
        <v>1936842.7401505033</v>
      </c>
      <c r="K18" s="121">
        <f t="shared" si="4"/>
        <v>2178390.9120460046</v>
      </c>
      <c r="L18" s="121">
        <f t="shared" si="4"/>
        <v>2360105.5569352824</v>
      </c>
      <c r="M18" s="129">
        <f t="shared" si="4"/>
        <v>2548135.8822872313</v>
      </c>
    </row>
    <row r="19" spans="1:13" ht="15.75" thickBot="1">
      <c r="A19" s="81">
        <v>0.03</v>
      </c>
      <c r="B19" s="6" t="s">
        <v>443</v>
      </c>
      <c r="C19" s="125"/>
      <c r="D19" s="131">
        <f>D9*$A$19</f>
        <v>98990.53456591639</v>
      </c>
      <c r="E19" s="131">
        <f aca="true" t="shared" si="5" ref="E19:M19">E9*$A$19</f>
        <v>302813.4075904374</v>
      </c>
      <c r="F19" s="131">
        <f t="shared" si="5"/>
        <v>339647.88217394345</v>
      </c>
      <c r="G19" s="131">
        <f t="shared" si="5"/>
        <v>377815.2984356503</v>
      </c>
      <c r="H19" s="131">
        <f t="shared" si="5"/>
        <v>417354.06517045636</v>
      </c>
      <c r="I19" s="131">
        <f t="shared" si="5"/>
        <v>458303.5927185325</v>
      </c>
      <c r="J19" s="131">
        <f t="shared" si="5"/>
        <v>484210.68503762584</v>
      </c>
      <c r="K19" s="131">
        <f t="shared" si="5"/>
        <v>544597.7280115011</v>
      </c>
      <c r="L19" s="131">
        <f t="shared" si="5"/>
        <v>590026.3892338206</v>
      </c>
      <c r="M19" s="132">
        <f t="shared" si="5"/>
        <v>637033.9705718078</v>
      </c>
    </row>
    <row r="20" spans="1:13" ht="15.75" thickTop="1">
      <c r="A20" s="80"/>
      <c r="B20" s="6" t="s">
        <v>159</v>
      </c>
      <c r="C20" s="125"/>
      <c r="D20" s="135">
        <f aca="true" t="shared" si="6" ref="D20:M20">D17-D18-D19</f>
        <v>1915632.6862311931</v>
      </c>
      <c r="E20" s="135">
        <f t="shared" si="6"/>
        <v>6211146.202723318</v>
      </c>
      <c r="F20" s="135">
        <f t="shared" si="6"/>
        <v>6935725.7951920545</v>
      </c>
      <c r="G20" s="135">
        <f t="shared" si="6"/>
        <v>7672694.775255863</v>
      </c>
      <c r="H20" s="135">
        <f t="shared" si="6"/>
        <v>8421129.526064545</v>
      </c>
      <c r="I20" s="135">
        <f t="shared" si="6"/>
        <v>9179971.552288653</v>
      </c>
      <c r="J20" s="135">
        <f t="shared" si="6"/>
        <v>9508184.716394361</v>
      </c>
      <c r="K20" s="135">
        <f t="shared" si="6"/>
        <v>10723892.645416033</v>
      </c>
      <c r="L20" s="135">
        <f t="shared" si="6"/>
        <v>11506061.964160029</v>
      </c>
      <c r="M20" s="136">
        <f t="shared" si="6"/>
        <v>12292788.366026975</v>
      </c>
    </row>
    <row r="21" spans="1:13" ht="15.75" thickBot="1">
      <c r="A21" s="81">
        <v>0.22</v>
      </c>
      <c r="B21" s="6" t="s">
        <v>333</v>
      </c>
      <c r="C21" s="125"/>
      <c r="D21" s="131">
        <f aca="true" t="shared" si="7" ref="D21:M21">D20*$A$21</f>
        <v>421439.1909708625</v>
      </c>
      <c r="E21" s="131">
        <f t="shared" si="7"/>
        <v>1366452.16459913</v>
      </c>
      <c r="F21" s="131">
        <f t="shared" si="7"/>
        <v>1525859.674942252</v>
      </c>
      <c r="G21" s="131">
        <f t="shared" si="7"/>
        <v>1687992.8505562898</v>
      </c>
      <c r="H21" s="131">
        <f t="shared" si="7"/>
        <v>1852648.4957341999</v>
      </c>
      <c r="I21" s="131">
        <f t="shared" si="7"/>
        <v>2019593.7415035036</v>
      </c>
      <c r="J21" s="131">
        <f t="shared" si="7"/>
        <v>2091800.6376067596</v>
      </c>
      <c r="K21" s="131">
        <f t="shared" si="7"/>
        <v>2359256.381991527</v>
      </c>
      <c r="L21" s="131">
        <f t="shared" si="7"/>
        <v>2531333.632115206</v>
      </c>
      <c r="M21" s="132">
        <f t="shared" si="7"/>
        <v>2704413.4405259346</v>
      </c>
    </row>
    <row r="22" spans="2:13" ht="15.75" thickTop="1">
      <c r="B22" s="6" t="s">
        <v>160</v>
      </c>
      <c r="C22" s="133"/>
      <c r="D22" s="133">
        <f aca="true" t="shared" si="8" ref="D22:M22">D20-D21</f>
        <v>1494193.4952603306</v>
      </c>
      <c r="E22" s="133">
        <f t="shared" si="8"/>
        <v>4844694.038124188</v>
      </c>
      <c r="F22" s="133">
        <f t="shared" si="8"/>
        <v>5409866.120249802</v>
      </c>
      <c r="G22" s="133">
        <f t="shared" si="8"/>
        <v>5984701.924699573</v>
      </c>
      <c r="H22" s="133">
        <f t="shared" si="8"/>
        <v>6568481.030330345</v>
      </c>
      <c r="I22" s="133">
        <f t="shared" si="8"/>
        <v>7160377.81078515</v>
      </c>
      <c r="J22" s="133">
        <f t="shared" si="8"/>
        <v>7416384.078787602</v>
      </c>
      <c r="K22" s="133">
        <f t="shared" si="8"/>
        <v>8364636.2634245055</v>
      </c>
      <c r="L22" s="133">
        <f t="shared" si="8"/>
        <v>8974728.332044823</v>
      </c>
      <c r="M22" s="134">
        <f t="shared" si="8"/>
        <v>9588374.925501041</v>
      </c>
    </row>
    <row r="23" spans="2:13" ht="15">
      <c r="B23" s="257" t="s">
        <v>161</v>
      </c>
      <c r="C23" s="125"/>
      <c r="D23" s="125">
        <f aca="true" t="shared" si="9" ref="D23:M23">D16</f>
        <v>101143.65800000001</v>
      </c>
      <c r="E23" s="125">
        <f t="shared" si="9"/>
        <v>101143.65800000001</v>
      </c>
      <c r="F23" s="125">
        <f t="shared" si="9"/>
        <v>101143.65800000001</v>
      </c>
      <c r="G23" s="125">
        <f t="shared" si="9"/>
        <v>101143.65800000001</v>
      </c>
      <c r="H23" s="125">
        <f t="shared" si="9"/>
        <v>101143.65800000001</v>
      </c>
      <c r="I23" s="125">
        <f t="shared" si="9"/>
        <v>101143.65800000001</v>
      </c>
      <c r="J23" s="125">
        <f t="shared" si="9"/>
        <v>101143.65800000001</v>
      </c>
      <c r="K23" s="125">
        <f t="shared" si="9"/>
        <v>101143.65800000001</v>
      </c>
      <c r="L23" s="125">
        <f t="shared" si="9"/>
        <v>101143.65800000001</v>
      </c>
      <c r="M23" s="129">
        <f t="shared" si="9"/>
        <v>101143.65800000001</v>
      </c>
    </row>
    <row r="24" spans="1:13" ht="15">
      <c r="A24" s="128">
        <v>0.1</v>
      </c>
      <c r="B24" s="6" t="s">
        <v>389</v>
      </c>
      <c r="C24" s="125"/>
      <c r="D24" s="125">
        <f>+D22*$A$24</f>
        <v>149419.34952603307</v>
      </c>
      <c r="E24" s="125">
        <f aca="true" t="shared" si="10" ref="E24:M24">+E22*$A$24</f>
        <v>484469.4038124188</v>
      </c>
      <c r="F24" s="125">
        <f t="shared" si="10"/>
        <v>540986.6120249802</v>
      </c>
      <c r="G24" s="125">
        <f t="shared" si="10"/>
        <v>598470.1924699573</v>
      </c>
      <c r="H24" s="125">
        <f t="shared" si="10"/>
        <v>656848.1030330346</v>
      </c>
      <c r="I24" s="125">
        <f t="shared" si="10"/>
        <v>716037.7810785151</v>
      </c>
      <c r="J24" s="125">
        <f t="shared" si="10"/>
        <v>741638.4078787602</v>
      </c>
      <c r="K24" s="125">
        <f t="shared" si="10"/>
        <v>836463.6263424506</v>
      </c>
      <c r="L24" s="125">
        <f t="shared" si="10"/>
        <v>897472.8332044823</v>
      </c>
      <c r="M24" s="129">
        <f t="shared" si="10"/>
        <v>958837.4925501042</v>
      </c>
    </row>
    <row r="25" spans="2:13" ht="15">
      <c r="B25" s="6" t="s">
        <v>162</v>
      </c>
      <c r="C25" s="125"/>
      <c r="D25" s="125">
        <f>'Inv Inicial'!E13</f>
        <v>57431.914135229934</v>
      </c>
      <c r="E25" s="125">
        <f>'Inv Inicial'!E14</f>
        <v>63175.10554875292</v>
      </c>
      <c r="F25" s="125">
        <f>'Inv Inicial'!E15</f>
        <v>69492.61610362821</v>
      </c>
      <c r="G25" s="125">
        <f>'Inv Inicial'!E16</f>
        <v>76441.87771399104</v>
      </c>
      <c r="H25" s="125">
        <f>'Inv Inicial'!E17</f>
        <v>84086.06548539014</v>
      </c>
      <c r="I25" s="125">
        <f>'Inv Inicial'!E18</f>
        <v>92494.67203392915</v>
      </c>
      <c r="J25" s="125">
        <f>'Inv Inicial'!E19</f>
        <v>101744.13923732206</v>
      </c>
      <c r="K25" s="125">
        <f>'Inv Inicial'!E20</f>
        <v>111918.55316105427</v>
      </c>
      <c r="L25" s="125">
        <f>'Inv Inicial'!E21</f>
        <v>123110.4084771597</v>
      </c>
      <c r="M25" s="129">
        <f>'Inv Inicial'!E22</f>
        <v>135421.44932487566</v>
      </c>
    </row>
    <row r="26" spans="1:13" ht="15">
      <c r="A26" s="128"/>
      <c r="B26" s="26" t="s">
        <v>433</v>
      </c>
      <c r="C26" s="125">
        <f>'Inv Inicial'!G6</f>
        <v>915316.8012213332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9"/>
    </row>
    <row r="27" spans="2:13" ht="15">
      <c r="B27" s="6" t="s">
        <v>163</v>
      </c>
      <c r="C27" s="125">
        <f>'Inv Inicial'!C5</f>
        <v>1259808.22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9"/>
    </row>
    <row r="28" spans="2:13" ht="15">
      <c r="B28" s="6" t="s">
        <v>164</v>
      </c>
      <c r="C28" s="125">
        <f>'Inv Inicial'!C6</f>
        <v>265719.7820355556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9"/>
    </row>
    <row r="29" spans="2:13" ht="15">
      <c r="B29" s="6" t="s">
        <v>257</v>
      </c>
      <c r="C29" s="125"/>
      <c r="D29" s="125"/>
      <c r="E29" s="125"/>
      <c r="F29" s="125"/>
      <c r="G29" s="125"/>
      <c r="H29" s="125">
        <f>Depresiacion!K4</f>
        <v>141127.32</v>
      </c>
      <c r="I29" s="125"/>
      <c r="J29" s="125"/>
      <c r="K29" s="125"/>
      <c r="L29" s="125"/>
      <c r="M29" s="129"/>
    </row>
    <row r="30" spans="2:13" ht="15">
      <c r="B30" s="26" t="s">
        <v>434</v>
      </c>
      <c r="C30" s="320"/>
      <c r="D30" s="121"/>
      <c r="E30" s="121"/>
      <c r="F30" s="121"/>
      <c r="G30" s="121"/>
      <c r="H30" s="121"/>
      <c r="I30" s="121"/>
      <c r="J30" s="121"/>
      <c r="K30" s="121"/>
      <c r="L30" s="121"/>
      <c r="M30" s="129">
        <f>C28</f>
        <v>265719.7820355556</v>
      </c>
    </row>
    <row r="31" spans="2:13" ht="15.75" thickBot="1">
      <c r="B31" s="6" t="s">
        <v>165</v>
      </c>
      <c r="C31" s="130"/>
      <c r="D31" s="131"/>
      <c r="E31" s="131"/>
      <c r="F31" s="131"/>
      <c r="G31" s="131"/>
      <c r="H31" s="131"/>
      <c r="I31" s="131"/>
      <c r="J31" s="131"/>
      <c r="K31" s="131"/>
      <c r="L31" s="131"/>
      <c r="M31" s="132">
        <f>Depresiacion!H63</f>
        <v>117650</v>
      </c>
    </row>
    <row r="32" spans="2:13" ht="13.5" customHeight="1" thickTop="1">
      <c r="B32" s="268" t="s">
        <v>317</v>
      </c>
      <c r="C32" s="254">
        <f>C22+C23-C24-C25+C26-C27-C28-C29+C30+C31</f>
        <v>-610211.2008142223</v>
      </c>
      <c r="D32" s="255">
        <f aca="true" t="shared" si="11" ref="D32:M32">D22+D23-D24-D25+D26-D27-D28-D29+D30+D31</f>
        <v>1388485.8895990676</v>
      </c>
      <c r="E32" s="255">
        <f t="shared" si="11"/>
        <v>4398193.1867630165</v>
      </c>
      <c r="F32" s="255">
        <f t="shared" si="11"/>
        <v>4900530.550121193</v>
      </c>
      <c r="G32" s="255">
        <f t="shared" si="11"/>
        <v>5410933.512515624</v>
      </c>
      <c r="H32" s="255">
        <f t="shared" si="11"/>
        <v>5787563.1998119205</v>
      </c>
      <c r="I32" s="255">
        <f t="shared" si="11"/>
        <v>6452989.015672705</v>
      </c>
      <c r="J32" s="255">
        <f t="shared" si="11"/>
        <v>6674145.189671519</v>
      </c>
      <c r="K32" s="255">
        <f t="shared" si="11"/>
        <v>7517397.741921002</v>
      </c>
      <c r="L32" s="255">
        <f t="shared" si="11"/>
        <v>8055288.74836318</v>
      </c>
      <c r="M32" s="256">
        <f t="shared" si="11"/>
        <v>8978629.423661616</v>
      </c>
    </row>
    <row r="33" spans="2:13" ht="15">
      <c r="B33" s="85" t="s">
        <v>166</v>
      </c>
      <c r="C33" s="321">
        <f>NPV(C35,D32:M32)+C32</f>
        <v>13070904.841189744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</row>
    <row r="34" spans="2:13" ht="15">
      <c r="B34" s="82" t="s">
        <v>167</v>
      </c>
      <c r="C34" s="124">
        <f>IRR(C32:M32)</f>
        <v>3.439929162330394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2:13" ht="15">
      <c r="B35" s="227" t="s">
        <v>180</v>
      </c>
      <c r="C35" s="243">
        <f>'Tasa Descuento'!B7</f>
        <v>0.3083698895667619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1:14" ht="1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</row>
    <row r="37" spans="1:14" ht="1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spans="1:14" ht="15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</row>
    <row r="40" spans="1:14" ht="18.75">
      <c r="A40" s="91"/>
      <c r="B40" s="372" t="s">
        <v>316</v>
      </c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92"/>
    </row>
    <row r="41" spans="2:19" ht="15">
      <c r="B41" s="91"/>
      <c r="C41" s="227">
        <v>0</v>
      </c>
      <c r="D41" s="227">
        <v>1</v>
      </c>
      <c r="E41" s="227">
        <v>2</v>
      </c>
      <c r="F41" s="227">
        <v>3</v>
      </c>
      <c r="G41" s="227">
        <v>4</v>
      </c>
      <c r="H41" s="227">
        <v>5</v>
      </c>
      <c r="I41" s="227">
        <v>6</v>
      </c>
      <c r="J41" s="227">
        <v>7</v>
      </c>
      <c r="K41" s="227">
        <v>8</v>
      </c>
      <c r="L41" s="227">
        <v>9</v>
      </c>
      <c r="M41" s="227">
        <v>10</v>
      </c>
      <c r="O41" s="380" t="s">
        <v>318</v>
      </c>
      <c r="P41" s="381"/>
      <c r="Q41" s="381"/>
      <c r="R41" s="381"/>
      <c r="S41" s="382"/>
    </row>
    <row r="42" spans="2:19" ht="15">
      <c r="B42" s="268" t="s">
        <v>317</v>
      </c>
      <c r="C42" s="225">
        <f aca="true" t="shared" si="12" ref="C42:M42">C32</f>
        <v>-610211.2008142223</v>
      </c>
      <c r="D42" s="225">
        <f t="shared" si="12"/>
        <v>1388485.8895990676</v>
      </c>
      <c r="E42" s="225">
        <f t="shared" si="12"/>
        <v>4398193.1867630165</v>
      </c>
      <c r="F42" s="225">
        <f t="shared" si="12"/>
        <v>4900530.550121193</v>
      </c>
      <c r="G42" s="225">
        <f t="shared" si="12"/>
        <v>5410933.512515624</v>
      </c>
      <c r="H42" s="225">
        <f t="shared" si="12"/>
        <v>5787563.1998119205</v>
      </c>
      <c r="I42" s="225">
        <f t="shared" si="12"/>
        <v>6452989.015672705</v>
      </c>
      <c r="J42" s="225">
        <f t="shared" si="12"/>
        <v>6674145.189671519</v>
      </c>
      <c r="K42" s="225">
        <f t="shared" si="12"/>
        <v>7517397.741921002</v>
      </c>
      <c r="L42" s="225">
        <f t="shared" si="12"/>
        <v>8055288.74836318</v>
      </c>
      <c r="M42" s="225">
        <f t="shared" si="12"/>
        <v>8978629.423661616</v>
      </c>
      <c r="O42" s="228" t="s">
        <v>319</v>
      </c>
      <c r="P42" s="229" t="s">
        <v>320</v>
      </c>
      <c r="Q42" s="229" t="s">
        <v>321</v>
      </c>
      <c r="R42" s="229" t="s">
        <v>146</v>
      </c>
      <c r="S42" s="229" t="s">
        <v>322</v>
      </c>
    </row>
    <row r="43" spans="2:19" ht="15">
      <c r="B43" s="26"/>
      <c r="C43" s="225"/>
      <c r="D43" s="225">
        <f>D32/(1+C35)</f>
        <v>1061233.4483322864</v>
      </c>
      <c r="E43" s="225">
        <f>E32/((1+$C$35)^2)</f>
        <v>2569290.5513106855</v>
      </c>
      <c r="F43" s="225">
        <f>F32/((1+$C$35)^3)</f>
        <v>2188020.9622174534</v>
      </c>
      <c r="G43" s="225">
        <f>G32/((1+$C$35)^4)</f>
        <v>1846503.0704058283</v>
      </c>
      <c r="H43" s="225">
        <f>H32/((1+$C$35)^5)</f>
        <v>1509534.4970151854</v>
      </c>
      <c r="I43" s="225">
        <f>I32/((1+$C$35)^6)</f>
        <v>1286404.8855359978</v>
      </c>
      <c r="J43" s="225">
        <f>J32/((1+$C$35)^7)</f>
        <v>1016908.4688557261</v>
      </c>
      <c r="K43" s="225">
        <f>K32/((1+$C$35)^8)</f>
        <v>875433.5821909</v>
      </c>
      <c r="L43" s="225">
        <f>L32/((1+$C$35)^9)</f>
        <v>716978.6855208443</v>
      </c>
      <c r="M43" s="225">
        <f>M32/((1+$C$35)^10)</f>
        <v>610807.890619059</v>
      </c>
      <c r="O43" s="118" t="s">
        <v>323</v>
      </c>
      <c r="P43" s="26">
        <f>1+(-D44/E32)</f>
        <v>0.82304672493078</v>
      </c>
      <c r="Q43" s="93">
        <v>0</v>
      </c>
      <c r="R43" s="93">
        <v>9</v>
      </c>
      <c r="S43" s="93">
        <v>26</v>
      </c>
    </row>
    <row r="44" spans="2:19" ht="15">
      <c r="B44" s="12" t="s">
        <v>314</v>
      </c>
      <c r="C44" s="225">
        <f>C42</f>
        <v>-610211.2008142223</v>
      </c>
      <c r="D44" s="226">
        <f>C44+D42</f>
        <v>778274.6887848453</v>
      </c>
      <c r="E44" s="226">
        <f aca="true" t="shared" si="13" ref="E44:M44">D44+E43</f>
        <v>3347565.2400955306</v>
      </c>
      <c r="F44" s="226">
        <f t="shared" si="13"/>
        <v>5535586.202312984</v>
      </c>
      <c r="G44" s="226">
        <f t="shared" si="13"/>
        <v>7382089.272718811</v>
      </c>
      <c r="H44" s="226">
        <f t="shared" si="13"/>
        <v>8891623.769733997</v>
      </c>
      <c r="I44" s="226">
        <f t="shared" si="13"/>
        <v>10178028.655269995</v>
      </c>
      <c r="J44" s="226">
        <f t="shared" si="13"/>
        <v>11194937.124125721</v>
      </c>
      <c r="K44" s="226">
        <f t="shared" si="13"/>
        <v>12070370.70631662</v>
      </c>
      <c r="L44" s="226">
        <f t="shared" si="13"/>
        <v>12787349.391837465</v>
      </c>
      <c r="M44" s="226">
        <f t="shared" si="13"/>
        <v>13398157.282456523</v>
      </c>
      <c r="O44" s="118" t="s">
        <v>324</v>
      </c>
      <c r="P44" s="26">
        <f>1+(-D45/E43)</f>
        <v>0.8244565032600217</v>
      </c>
      <c r="Q44" s="93">
        <v>0</v>
      </c>
      <c r="R44" s="93">
        <v>9</v>
      </c>
      <c r="S44" s="93">
        <v>26</v>
      </c>
    </row>
    <row r="45" spans="2:13" ht="15">
      <c r="B45" s="12" t="s">
        <v>315</v>
      </c>
      <c r="C45" s="225">
        <f>C44</f>
        <v>-610211.2008142223</v>
      </c>
      <c r="D45" s="226">
        <f>C45+D43</f>
        <v>451022.2475180641</v>
      </c>
      <c r="E45" s="226">
        <f aca="true" t="shared" si="14" ref="E45:M45">D45+E43</f>
        <v>3020312.7988287495</v>
      </c>
      <c r="F45" s="226">
        <f t="shared" si="14"/>
        <v>5208333.761046203</v>
      </c>
      <c r="G45" s="226">
        <f t="shared" si="14"/>
        <v>7054836.831452031</v>
      </c>
      <c r="H45" s="226">
        <f t="shared" si="14"/>
        <v>8564371.328467216</v>
      </c>
      <c r="I45" s="226">
        <f t="shared" si="14"/>
        <v>9850776.214003215</v>
      </c>
      <c r="J45" s="226">
        <f t="shared" si="14"/>
        <v>10867684.68285894</v>
      </c>
      <c r="K45" s="226">
        <f t="shared" si="14"/>
        <v>11743118.26504984</v>
      </c>
      <c r="L45" s="226">
        <f t="shared" si="14"/>
        <v>12460096.950570684</v>
      </c>
      <c r="M45" s="226">
        <f t="shared" si="14"/>
        <v>13070904.841189742</v>
      </c>
    </row>
    <row r="47" spans="15:17" ht="15">
      <c r="O47">
        <f>(P43)*12</f>
        <v>9.87656069916936</v>
      </c>
      <c r="Q47">
        <f>(O47-9)*30</f>
        <v>26.296820975080806</v>
      </c>
    </row>
    <row r="48" spans="15:17" ht="15">
      <c r="O48">
        <f>(P44)*12</f>
        <v>9.89347803912026</v>
      </c>
      <c r="Q48">
        <f>(O48-9)*30</f>
        <v>26.804341173607824</v>
      </c>
    </row>
    <row r="49" spans="2:5" ht="15">
      <c r="B49" s="31"/>
      <c r="C49" s="31"/>
      <c r="D49" s="31"/>
      <c r="E49" s="31"/>
    </row>
    <row r="50" spans="2:5" ht="15">
      <c r="B50" s="276"/>
      <c r="C50" s="308"/>
      <c r="D50" s="31"/>
      <c r="E50" s="31"/>
    </row>
    <row r="51" spans="2:5" ht="15">
      <c r="B51" s="309"/>
      <c r="C51" s="309"/>
      <c r="D51" s="31"/>
      <c r="E51" s="31"/>
    </row>
    <row r="52" spans="2:5" ht="15">
      <c r="B52" s="31"/>
      <c r="C52" s="31"/>
      <c r="D52" s="31"/>
      <c r="E52" s="31"/>
    </row>
    <row r="53" spans="2:5" ht="15">
      <c r="B53" s="31"/>
      <c r="C53" s="31"/>
      <c r="D53" s="31"/>
      <c r="E53" s="31"/>
    </row>
    <row r="54" spans="2:5" ht="15">
      <c r="B54" s="31"/>
      <c r="C54" s="31"/>
      <c r="D54" s="31"/>
      <c r="E54" s="31"/>
    </row>
  </sheetData>
  <mergeCells count="5">
    <mergeCell ref="B7:M7"/>
    <mergeCell ref="O41:S41"/>
    <mergeCell ref="B40:M40"/>
    <mergeCell ref="E1:F1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2:G14"/>
  <sheetViews>
    <sheetView showGridLines="0" workbookViewId="0" topLeftCell="A1">
      <selection activeCell="G8" sqref="B2:G8"/>
    </sheetView>
  </sheetViews>
  <sheetFormatPr defaultColWidth="11.421875" defaultRowHeight="15" outlineLevelRow="1" outlineLevelCol="1"/>
  <cols>
    <col min="3" max="3" width="6.140625" style="0" customWidth="1"/>
    <col min="4" max="7" width="14.57421875" style="0" bestFit="1" customWidth="1" outlineLevel="1"/>
  </cols>
  <sheetData>
    <row r="1" ht="15.75" thickBot="1"/>
    <row r="2" spans="2:7" ht="15.75">
      <c r="B2" s="301" t="s">
        <v>422</v>
      </c>
      <c r="C2" s="301"/>
      <c r="D2" s="303"/>
      <c r="E2" s="303"/>
      <c r="F2" s="303"/>
      <c r="G2" s="303"/>
    </row>
    <row r="3" spans="2:7" ht="15.75" collapsed="1">
      <c r="B3" s="302"/>
      <c r="C3" s="302"/>
      <c r="D3" s="304" t="s">
        <v>417</v>
      </c>
      <c r="E3" s="304" t="s">
        <v>444</v>
      </c>
      <c r="F3" s="304" t="s">
        <v>446</v>
      </c>
      <c r="G3" s="304" t="s">
        <v>447</v>
      </c>
    </row>
    <row r="4" spans="2:7" ht="22.5" hidden="1" outlineLevel="1">
      <c r="B4" s="330"/>
      <c r="C4" s="330"/>
      <c r="D4" s="285"/>
      <c r="E4" s="288" t="s">
        <v>445</v>
      </c>
      <c r="F4" s="288" t="s">
        <v>445</v>
      </c>
      <c r="G4" s="288" t="s">
        <v>445</v>
      </c>
    </row>
    <row r="5" spans="2:7" ht="15">
      <c r="B5" s="331" t="s">
        <v>416</v>
      </c>
      <c r="C5" s="331"/>
      <c r="D5" s="287"/>
      <c r="E5" s="287"/>
      <c r="F5" s="287"/>
      <c r="G5" s="287"/>
    </row>
    <row r="6" spans="2:7" ht="15" outlineLevel="1">
      <c r="B6" s="332"/>
      <c r="C6" s="332" t="s">
        <v>414</v>
      </c>
      <c r="D6" s="285">
        <v>1500</v>
      </c>
      <c r="E6" s="305">
        <v>1800</v>
      </c>
      <c r="F6" s="305">
        <v>1500</v>
      </c>
      <c r="G6" s="305">
        <v>600</v>
      </c>
    </row>
    <row r="7" spans="2:7" ht="15">
      <c r="B7" s="331" t="s">
        <v>418</v>
      </c>
      <c r="C7" s="331"/>
      <c r="D7" s="287"/>
      <c r="E7" s="287"/>
      <c r="F7" s="287"/>
      <c r="G7" s="287"/>
    </row>
    <row r="8" spans="2:7" ht="15.75" outlineLevel="1" thickBot="1">
      <c r="B8" s="333"/>
      <c r="C8" s="333" t="s">
        <v>437</v>
      </c>
      <c r="D8" s="286">
        <v>13070904.8411897</v>
      </c>
      <c r="E8" s="286">
        <v>13569339.9190409</v>
      </c>
      <c r="F8" s="286">
        <v>13070904.8411897</v>
      </c>
      <c r="G8" s="286">
        <v>11575599.6076362</v>
      </c>
    </row>
    <row r="9" ht="15">
      <c r="B9" t="s">
        <v>419</v>
      </c>
    </row>
    <row r="10" ht="15">
      <c r="B10" t="s">
        <v>420</v>
      </c>
    </row>
    <row r="11" ht="15">
      <c r="B11" t="s">
        <v>421</v>
      </c>
    </row>
    <row r="13" spans="5:7" ht="15.75" thickBot="1">
      <c r="E13" s="304" t="s">
        <v>444</v>
      </c>
      <c r="F13" s="304" t="s">
        <v>446</v>
      </c>
      <c r="G13" s="304" t="s">
        <v>447</v>
      </c>
    </row>
    <row r="14" spans="4:7" ht="16.5" thickBot="1">
      <c r="D14" s="301" t="s">
        <v>422</v>
      </c>
      <c r="E14" s="286">
        <v>13569339.9190409</v>
      </c>
      <c r="F14" s="286">
        <v>13070904.8411897</v>
      </c>
      <c r="G14" s="286">
        <v>11575599.6076362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2:G14"/>
  <sheetViews>
    <sheetView showGridLines="0" workbookViewId="0" topLeftCell="A14">
      <selection activeCell="J28" sqref="J28"/>
    </sheetView>
  </sheetViews>
  <sheetFormatPr defaultColWidth="11.421875" defaultRowHeight="15" outlineLevelRow="1" outlineLevelCol="1"/>
  <cols>
    <col min="3" max="3" width="6.140625" style="0" customWidth="1"/>
    <col min="4" max="7" width="14.57421875" style="0" bestFit="1" customWidth="1" outlineLevel="1"/>
  </cols>
  <sheetData>
    <row r="1" ht="15.75" thickBot="1"/>
    <row r="2" spans="2:7" ht="15.75">
      <c r="B2" s="301" t="s">
        <v>424</v>
      </c>
      <c r="C2" s="301"/>
      <c r="D2" s="303"/>
      <c r="E2" s="303"/>
      <c r="F2" s="303"/>
      <c r="G2" s="303"/>
    </row>
    <row r="3" spans="2:7" ht="15.75" collapsed="1">
      <c r="B3" s="302"/>
      <c r="C3" s="302"/>
      <c r="D3" s="304" t="s">
        <v>417</v>
      </c>
      <c r="E3" s="304" t="s">
        <v>444</v>
      </c>
      <c r="F3" s="304" t="s">
        <v>446</v>
      </c>
      <c r="G3" s="304" t="s">
        <v>447</v>
      </c>
    </row>
    <row r="4" spans="2:7" ht="56.25" hidden="1" outlineLevel="1">
      <c r="B4" s="330"/>
      <c r="C4" s="330"/>
      <c r="D4" s="285"/>
      <c r="E4" s="288" t="s">
        <v>448</v>
      </c>
      <c r="F4" s="288" t="s">
        <v>448</v>
      </c>
      <c r="G4" s="288" t="s">
        <v>448</v>
      </c>
    </row>
    <row r="5" spans="2:7" ht="15">
      <c r="B5" s="331" t="s">
        <v>416</v>
      </c>
      <c r="C5" s="331"/>
      <c r="D5" s="287"/>
      <c r="E5" s="287"/>
      <c r="F5" s="287"/>
      <c r="G5" s="287"/>
    </row>
    <row r="6" spans="2:7" ht="15" outlineLevel="1">
      <c r="B6" s="332"/>
      <c r="C6" s="332" t="s">
        <v>423</v>
      </c>
      <c r="D6" s="289">
        <v>0.07</v>
      </c>
      <c r="E6" s="306">
        <v>0.05</v>
      </c>
      <c r="F6" s="306">
        <v>0.07</v>
      </c>
      <c r="G6" s="306">
        <v>0.1</v>
      </c>
    </row>
    <row r="7" spans="2:7" ht="15">
      <c r="B7" s="331" t="s">
        <v>418</v>
      </c>
      <c r="C7" s="331"/>
      <c r="D7" s="287"/>
      <c r="E7" s="287"/>
      <c r="F7" s="287"/>
      <c r="G7" s="287"/>
    </row>
    <row r="8" spans="2:7" ht="15.75" outlineLevel="1" thickBot="1">
      <c r="B8" s="333"/>
      <c r="C8" s="333" t="s">
        <v>437</v>
      </c>
      <c r="D8" s="286">
        <v>13070904.8411897</v>
      </c>
      <c r="E8" s="286">
        <v>13237615.6215363</v>
      </c>
      <c r="F8" s="286">
        <v>13070904.8411897</v>
      </c>
      <c r="G8" s="286">
        <v>12792008.1961808</v>
      </c>
    </row>
    <row r="9" ht="15">
      <c r="B9" t="s">
        <v>419</v>
      </c>
    </row>
    <row r="10" ht="15">
      <c r="B10" t="s">
        <v>420</v>
      </c>
    </row>
    <row r="11" ht="15">
      <c r="B11" t="s">
        <v>421</v>
      </c>
    </row>
    <row r="13" spans="5:7" ht="15.75" thickBot="1">
      <c r="E13" s="304" t="s">
        <v>444</v>
      </c>
      <c r="F13" s="304" t="s">
        <v>446</v>
      </c>
      <c r="G13" s="304" t="s">
        <v>447</v>
      </c>
    </row>
    <row r="14" spans="4:7" ht="16.5" thickBot="1">
      <c r="D14" s="301" t="s">
        <v>424</v>
      </c>
      <c r="E14" s="286">
        <v>13237615.6215363</v>
      </c>
      <c r="F14" s="286">
        <v>13070904.8411897</v>
      </c>
      <c r="G14" s="286">
        <v>12792008.1961808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2:G15"/>
  <sheetViews>
    <sheetView showGridLines="0" workbookViewId="0" topLeftCell="A14">
      <selection activeCell="G8" sqref="B2:G8"/>
    </sheetView>
  </sheetViews>
  <sheetFormatPr defaultColWidth="11.421875" defaultRowHeight="15" outlineLevelRow="1" outlineLevelCol="1"/>
  <cols>
    <col min="3" max="3" width="6.140625" style="0" customWidth="1"/>
    <col min="4" max="7" width="14.57421875" style="0" bestFit="1" customWidth="1" outlineLevel="1"/>
  </cols>
  <sheetData>
    <row r="1" ht="15.75" thickBot="1"/>
    <row r="2" spans="2:7" ht="15.75">
      <c r="B2" s="301" t="s">
        <v>428</v>
      </c>
      <c r="C2" s="301"/>
      <c r="D2" s="303"/>
      <c r="E2" s="303"/>
      <c r="F2" s="303"/>
      <c r="G2" s="303"/>
    </row>
    <row r="3" spans="2:7" ht="15.75" collapsed="1">
      <c r="B3" s="302"/>
      <c r="C3" s="302"/>
      <c r="D3" s="304" t="s">
        <v>417</v>
      </c>
      <c r="E3" s="304" t="s">
        <v>444</v>
      </c>
      <c r="F3" s="304" t="s">
        <v>446</v>
      </c>
      <c r="G3" s="304" t="s">
        <v>447</v>
      </c>
    </row>
    <row r="4" spans="2:7" ht="56.25" hidden="1" outlineLevel="1">
      <c r="B4" s="330"/>
      <c r="C4" s="330"/>
      <c r="D4" s="285"/>
      <c r="E4" s="288" t="s">
        <v>448</v>
      </c>
      <c r="F4" s="288" t="s">
        <v>448</v>
      </c>
      <c r="G4" s="288" t="s">
        <v>448</v>
      </c>
    </row>
    <row r="5" spans="2:7" ht="15">
      <c r="B5" s="331" t="s">
        <v>416</v>
      </c>
      <c r="C5" s="331"/>
      <c r="D5" s="287"/>
      <c r="E5" s="287"/>
      <c r="F5" s="287"/>
      <c r="G5" s="287"/>
    </row>
    <row r="6" spans="2:7" ht="15" outlineLevel="1">
      <c r="B6" s="332"/>
      <c r="C6" s="332" t="s">
        <v>436</v>
      </c>
      <c r="D6" s="322">
        <v>0.0199563478500884</v>
      </c>
      <c r="E6" s="323">
        <v>0.04</v>
      </c>
      <c r="F6" s="323">
        <v>0.0199563478500884</v>
      </c>
      <c r="G6" s="323">
        <v>0.005</v>
      </c>
    </row>
    <row r="7" spans="2:7" ht="15">
      <c r="B7" s="331" t="s">
        <v>418</v>
      </c>
      <c r="C7" s="331"/>
      <c r="D7" s="287"/>
      <c r="E7" s="287"/>
      <c r="F7" s="287"/>
      <c r="G7" s="287"/>
    </row>
    <row r="8" spans="2:7" ht="15.75" outlineLevel="1" thickBot="1">
      <c r="B8" s="333"/>
      <c r="C8" s="333" t="s">
        <v>437</v>
      </c>
      <c r="D8" s="286">
        <v>13070904.8411897</v>
      </c>
      <c r="E8" s="286">
        <v>14360438.3112393</v>
      </c>
      <c r="F8" s="286">
        <v>13070904.8411897</v>
      </c>
      <c r="G8" s="286">
        <v>12178595.9374183</v>
      </c>
    </row>
    <row r="9" ht="15">
      <c r="B9" t="s">
        <v>419</v>
      </c>
    </row>
    <row r="10" ht="15">
      <c r="B10" t="s">
        <v>420</v>
      </c>
    </row>
    <row r="11" ht="15">
      <c r="B11" t="s">
        <v>421</v>
      </c>
    </row>
    <row r="14" spans="5:7" ht="15.75" thickBot="1">
      <c r="E14" s="304" t="s">
        <v>444</v>
      </c>
      <c r="F14" s="304" t="s">
        <v>446</v>
      </c>
      <c r="G14" s="304" t="s">
        <v>447</v>
      </c>
    </row>
    <row r="15" spans="4:7" ht="16.5" thickBot="1">
      <c r="D15" s="301" t="s">
        <v>428</v>
      </c>
      <c r="E15" s="286">
        <v>14360438.3112393</v>
      </c>
      <c r="F15" s="286">
        <v>13070904.8411897</v>
      </c>
      <c r="G15" s="286">
        <v>12178595.9374183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8"/>
  <sheetViews>
    <sheetView workbookViewId="0" topLeftCell="A1">
      <selection activeCell="J8" sqref="J8"/>
    </sheetView>
  </sheetViews>
  <sheetFormatPr defaultColWidth="11.421875" defaultRowHeight="15"/>
  <cols>
    <col min="2" max="2" width="44.140625" style="0" bestFit="1" customWidth="1"/>
  </cols>
  <sheetData>
    <row r="5" spans="2:5" ht="15">
      <c r="B5" s="91"/>
      <c r="C5" s="335" t="s">
        <v>401</v>
      </c>
      <c r="D5" s="335" t="s">
        <v>415</v>
      </c>
      <c r="E5" s="335" t="s">
        <v>403</v>
      </c>
    </row>
    <row r="6" spans="2:8" ht="15.75">
      <c r="B6" s="336" t="s">
        <v>422</v>
      </c>
      <c r="C6" s="337">
        <v>13569339.9190409</v>
      </c>
      <c r="D6" s="337">
        <v>13070904.8411897</v>
      </c>
      <c r="E6" s="337">
        <v>11575599.6076362</v>
      </c>
      <c r="G6" s="334"/>
      <c r="H6" s="334"/>
    </row>
    <row r="7" spans="2:8" ht="15.75">
      <c r="B7" s="336" t="s">
        <v>428</v>
      </c>
      <c r="C7" s="337">
        <v>14360438.3112393</v>
      </c>
      <c r="D7" s="337">
        <v>13070904.8411897</v>
      </c>
      <c r="E7" s="337">
        <v>12178595.9374183</v>
      </c>
      <c r="G7" s="334"/>
      <c r="H7" s="334"/>
    </row>
    <row r="8" spans="2:8" ht="15.75">
      <c r="B8" s="336" t="s">
        <v>424</v>
      </c>
      <c r="C8" s="337">
        <v>13237615.6215363</v>
      </c>
      <c r="D8" s="337">
        <v>13070904.8411897</v>
      </c>
      <c r="E8" s="337">
        <v>12792008.1961808</v>
      </c>
      <c r="G8" s="334"/>
      <c r="H8" s="334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="70" zoomScaleNormal="70" workbookViewId="0" topLeftCell="A4">
      <selection activeCell="I31" sqref="I31"/>
    </sheetView>
  </sheetViews>
  <sheetFormatPr defaultColWidth="11.421875" defaultRowHeight="15"/>
  <cols>
    <col min="1" max="1" width="13.421875" style="0" bestFit="1" customWidth="1"/>
    <col min="2" max="2" width="48.57421875" style="0" customWidth="1"/>
    <col min="3" max="3" width="46.57421875" style="0" customWidth="1"/>
    <col min="4" max="4" width="15.140625" style="0" customWidth="1"/>
    <col min="5" max="5" width="18.00390625" style="0" bestFit="1" customWidth="1"/>
    <col min="7" max="7" width="15.00390625" style="0" bestFit="1" customWidth="1"/>
  </cols>
  <sheetData>
    <row r="1" spans="1:12" ht="18.75">
      <c r="A1" s="342" t="s">
        <v>228</v>
      </c>
      <c r="B1" s="343"/>
      <c r="C1" s="343"/>
      <c r="D1" s="343"/>
      <c r="E1" s="344"/>
      <c r="F1" s="92"/>
      <c r="G1" s="56"/>
      <c r="H1" s="56"/>
      <c r="I1" s="56"/>
      <c r="J1" s="56"/>
      <c r="K1" s="56"/>
      <c r="L1" s="56"/>
    </row>
    <row r="2" spans="1:12" ht="15.75">
      <c r="A2" s="172" t="s">
        <v>17</v>
      </c>
      <c r="B2" s="172" t="s">
        <v>16</v>
      </c>
      <c r="C2" s="172" t="s">
        <v>15</v>
      </c>
      <c r="D2" s="172" t="s">
        <v>220</v>
      </c>
      <c r="E2" s="172" t="s">
        <v>221</v>
      </c>
      <c r="F2" s="92"/>
      <c r="G2" s="56"/>
      <c r="H2" s="56"/>
      <c r="I2" s="56"/>
      <c r="J2" s="56"/>
      <c r="K2" s="56"/>
      <c r="L2" s="56"/>
    </row>
    <row r="3" spans="1:12" ht="30">
      <c r="A3" s="247">
        <v>1</v>
      </c>
      <c r="B3" s="19" t="s">
        <v>74</v>
      </c>
      <c r="C3" s="24" t="s">
        <v>223</v>
      </c>
      <c r="D3" s="25">
        <v>150000</v>
      </c>
      <c r="E3" s="153">
        <f>D3*A3</f>
        <v>150000</v>
      </c>
      <c r="F3" s="92"/>
      <c r="G3" s="56"/>
      <c r="H3" s="56"/>
      <c r="I3" s="56"/>
      <c r="J3" s="56"/>
      <c r="K3" s="56"/>
      <c r="L3" s="56"/>
    </row>
    <row r="4" spans="1:12" s="1" customFormat="1" ht="15.75">
      <c r="A4" s="247">
        <v>2</v>
      </c>
      <c r="B4" s="19" t="s">
        <v>1</v>
      </c>
      <c r="C4" s="19"/>
      <c r="D4" s="25">
        <v>1942.82</v>
      </c>
      <c r="E4" s="153">
        <f>A4*D4</f>
        <v>3885.64</v>
      </c>
      <c r="F4" s="159"/>
      <c r="G4" s="339"/>
      <c r="H4" s="339"/>
      <c r="I4" s="339"/>
      <c r="J4" s="339"/>
      <c r="K4" s="339"/>
      <c r="L4" s="339"/>
    </row>
    <row r="5" spans="1:12" ht="15.75">
      <c r="A5" s="247">
        <v>2</v>
      </c>
      <c r="B5" s="19" t="s">
        <v>0</v>
      </c>
      <c r="C5" s="21"/>
      <c r="D5" s="25">
        <v>3235.88</v>
      </c>
      <c r="E5" s="153">
        <f>A5*D5</f>
        <v>6471.76</v>
      </c>
      <c r="F5" s="159"/>
      <c r="G5" s="340"/>
      <c r="H5" s="56"/>
      <c r="I5" s="56"/>
      <c r="J5" s="56"/>
      <c r="K5" s="56"/>
      <c r="L5" s="56"/>
    </row>
    <row r="6" spans="1:12" ht="15.75">
      <c r="A6" s="248">
        <v>1</v>
      </c>
      <c r="B6" s="249" t="s">
        <v>227</v>
      </c>
      <c r="C6" s="14"/>
      <c r="D6" s="15">
        <v>3500</v>
      </c>
      <c r="E6" s="153">
        <f>A6*D6</f>
        <v>3500</v>
      </c>
      <c r="F6" s="92"/>
      <c r="G6" s="56"/>
      <c r="H6" s="56"/>
      <c r="I6" s="56"/>
      <c r="J6" s="56"/>
      <c r="K6" s="56"/>
      <c r="L6" s="56"/>
    </row>
    <row r="7" spans="1:12" ht="15.75">
      <c r="A7" s="248">
        <v>2</v>
      </c>
      <c r="B7" s="249" t="s">
        <v>225</v>
      </c>
      <c r="C7" s="9"/>
      <c r="D7" s="25">
        <v>1200</v>
      </c>
      <c r="E7" s="20">
        <f aca="true" t="shared" si="0" ref="E7:E19">A7*D7</f>
        <v>2400</v>
      </c>
      <c r="F7" s="92"/>
      <c r="G7" s="56"/>
      <c r="H7" s="56"/>
      <c r="I7" s="56"/>
      <c r="J7" s="56"/>
      <c r="K7" s="56"/>
      <c r="L7" s="56"/>
    </row>
    <row r="8" spans="1:12" ht="30">
      <c r="A8" s="247">
        <v>2</v>
      </c>
      <c r="B8" s="21" t="s">
        <v>224</v>
      </c>
      <c r="C8" s="278" t="s">
        <v>226</v>
      </c>
      <c r="D8" s="25">
        <v>10000</v>
      </c>
      <c r="E8" s="20">
        <f t="shared" si="0"/>
        <v>20000</v>
      </c>
      <c r="F8" s="92"/>
      <c r="G8" s="56"/>
      <c r="H8" s="56"/>
      <c r="I8" s="56"/>
      <c r="J8" s="56"/>
      <c r="K8" s="56"/>
      <c r="L8" s="56"/>
    </row>
    <row r="9" spans="1:12" ht="15.75">
      <c r="A9" s="247">
        <v>1</v>
      </c>
      <c r="B9" s="249" t="s">
        <v>367</v>
      </c>
      <c r="C9" s="26"/>
      <c r="D9" s="26">
        <v>25000</v>
      </c>
      <c r="E9" s="20">
        <f t="shared" si="0"/>
        <v>25000</v>
      </c>
      <c r="G9" s="56"/>
      <c r="H9" s="56"/>
      <c r="I9" s="56"/>
      <c r="J9" s="56"/>
      <c r="K9" s="56"/>
      <c r="L9" s="56"/>
    </row>
    <row r="10" spans="1:12" ht="15.75">
      <c r="A10" s="247">
        <v>2</v>
      </c>
      <c r="B10" s="249" t="s">
        <v>368</v>
      </c>
      <c r="C10" s="26"/>
      <c r="D10" s="26">
        <v>6000</v>
      </c>
      <c r="E10" s="20">
        <f t="shared" si="0"/>
        <v>12000</v>
      </c>
      <c r="G10" s="56"/>
      <c r="H10" s="56"/>
      <c r="I10" s="56"/>
      <c r="J10" s="56"/>
      <c r="K10" s="56"/>
      <c r="L10" s="56"/>
    </row>
    <row r="11" spans="1:12" ht="15.75">
      <c r="A11" s="247">
        <v>2</v>
      </c>
      <c r="B11" s="249" t="s">
        <v>369</v>
      </c>
      <c r="C11" s="26"/>
      <c r="D11" s="26">
        <v>6000</v>
      </c>
      <c r="E11" s="20">
        <f t="shared" si="0"/>
        <v>12000</v>
      </c>
      <c r="G11" s="56"/>
      <c r="H11" s="56"/>
      <c r="I11" s="56"/>
      <c r="J11" s="56"/>
      <c r="K11" s="56"/>
      <c r="L11" s="56"/>
    </row>
    <row r="12" spans="1:12" ht="60">
      <c r="A12" s="248">
        <v>1</v>
      </c>
      <c r="B12" s="249" t="s">
        <v>19</v>
      </c>
      <c r="C12" s="324" t="s">
        <v>439</v>
      </c>
      <c r="D12" s="25">
        <v>75447.94</v>
      </c>
      <c r="E12" s="20">
        <f t="shared" si="0"/>
        <v>75447.94</v>
      </c>
      <c r="F12" s="159"/>
      <c r="G12" s="56"/>
      <c r="H12" s="56"/>
      <c r="I12" s="56"/>
      <c r="J12" s="56"/>
      <c r="K12" s="56"/>
      <c r="L12" s="56"/>
    </row>
    <row r="13" spans="1:12" ht="15.75">
      <c r="A13" s="247">
        <v>10</v>
      </c>
      <c r="B13" s="21" t="s">
        <v>360</v>
      </c>
      <c r="C13" s="26"/>
      <c r="D13" s="26">
        <f>+E13/A13</f>
        <v>1200</v>
      </c>
      <c r="E13" s="20">
        <v>12000</v>
      </c>
      <c r="G13" s="56"/>
      <c r="H13" s="56"/>
      <c r="I13" s="56"/>
      <c r="J13" s="56"/>
      <c r="K13" s="56"/>
      <c r="L13" s="56"/>
    </row>
    <row r="14" spans="1:12" ht="15.75">
      <c r="A14" s="247">
        <v>10</v>
      </c>
      <c r="B14" s="21" t="s">
        <v>361</v>
      </c>
      <c r="C14" s="26"/>
      <c r="D14" s="26">
        <f aca="true" t="shared" si="1" ref="D14:D18">+E14/A14</f>
        <v>1100</v>
      </c>
      <c r="E14" s="20">
        <v>11000</v>
      </c>
      <c r="G14" s="56"/>
      <c r="H14" s="56"/>
      <c r="I14" s="56"/>
      <c r="J14" s="56"/>
      <c r="K14" s="56"/>
      <c r="L14" s="56"/>
    </row>
    <row r="15" spans="1:12" ht="15.75">
      <c r="A15" s="247">
        <v>10</v>
      </c>
      <c r="B15" s="21" t="s">
        <v>362</v>
      </c>
      <c r="C15" s="26"/>
      <c r="D15" s="26">
        <f t="shared" si="1"/>
        <v>1000</v>
      </c>
      <c r="E15" s="20">
        <v>10000</v>
      </c>
      <c r="G15" s="56"/>
      <c r="H15" s="56"/>
      <c r="I15" s="56"/>
      <c r="J15" s="56"/>
      <c r="K15" s="56"/>
      <c r="L15" s="56"/>
    </row>
    <row r="16" spans="1:12" ht="15.75">
      <c r="A16" s="247">
        <v>10</v>
      </c>
      <c r="B16" s="21" t="s">
        <v>363</v>
      </c>
      <c r="C16" s="26"/>
      <c r="D16" s="26">
        <f t="shared" si="1"/>
        <v>900</v>
      </c>
      <c r="E16" s="20">
        <v>9000</v>
      </c>
      <c r="G16" s="56"/>
      <c r="H16" s="56"/>
      <c r="I16" s="56"/>
      <c r="J16" s="56"/>
      <c r="K16" s="56"/>
      <c r="L16" s="56"/>
    </row>
    <row r="17" spans="1:12" ht="15.75">
      <c r="A17" s="247">
        <v>10</v>
      </c>
      <c r="B17" s="21" t="s">
        <v>364</v>
      </c>
      <c r="C17" s="26"/>
      <c r="D17" s="26">
        <f t="shared" si="1"/>
        <v>800</v>
      </c>
      <c r="E17" s="20">
        <v>8000</v>
      </c>
      <c r="G17" s="56"/>
      <c r="H17" s="56"/>
      <c r="I17" s="56"/>
      <c r="J17" s="56"/>
      <c r="K17" s="56"/>
      <c r="L17" s="56"/>
    </row>
    <row r="18" spans="1:12" ht="15.75">
      <c r="A18" s="247">
        <v>60</v>
      </c>
      <c r="B18" s="21" t="s">
        <v>365</v>
      </c>
      <c r="C18" s="26"/>
      <c r="D18" s="26">
        <f t="shared" si="1"/>
        <v>300</v>
      </c>
      <c r="E18" s="20">
        <v>18000</v>
      </c>
      <c r="G18" s="56"/>
      <c r="H18" s="56"/>
      <c r="I18" s="56"/>
      <c r="J18" s="56"/>
      <c r="K18" s="56"/>
      <c r="L18" s="56"/>
    </row>
    <row r="19" spans="1:12" ht="15.75">
      <c r="A19" s="247">
        <v>1</v>
      </c>
      <c r="B19" s="21" t="s">
        <v>20</v>
      </c>
      <c r="C19" s="24" t="s">
        <v>21</v>
      </c>
      <c r="D19" s="193">
        <v>15000</v>
      </c>
      <c r="E19" s="20">
        <f t="shared" si="0"/>
        <v>15000</v>
      </c>
      <c r="F19" s="159"/>
      <c r="G19" s="56"/>
      <c r="H19" s="56"/>
      <c r="I19" s="56"/>
      <c r="J19" s="56"/>
      <c r="K19" s="56"/>
      <c r="L19" s="56"/>
    </row>
    <row r="20" spans="1:12" s="1" customFormat="1" ht="15.75">
      <c r="A20" s="247">
        <v>2</v>
      </c>
      <c r="B20" s="21" t="s">
        <v>22</v>
      </c>
      <c r="C20" s="24" t="s">
        <v>23</v>
      </c>
      <c r="D20" s="25">
        <v>594.96</v>
      </c>
      <c r="E20" s="20">
        <f>A20*D20</f>
        <v>1189.92</v>
      </c>
      <c r="F20" s="159"/>
      <c r="G20" s="339"/>
      <c r="H20" s="339"/>
      <c r="I20" s="339"/>
      <c r="J20" s="339"/>
      <c r="K20" s="339"/>
      <c r="L20" s="339"/>
    </row>
    <row r="21" spans="1:12" s="1" customFormat="1" ht="15.75">
      <c r="A21" s="247">
        <v>1</v>
      </c>
      <c r="B21" s="21" t="s">
        <v>24</v>
      </c>
      <c r="C21" s="24" t="s">
        <v>25</v>
      </c>
      <c r="D21" s="25">
        <v>18000</v>
      </c>
      <c r="E21" s="20">
        <f>A21*D21</f>
        <v>18000</v>
      </c>
      <c r="F21" s="159"/>
      <c r="G21" s="339"/>
      <c r="H21" s="339"/>
      <c r="I21" s="339"/>
      <c r="J21" s="339"/>
      <c r="K21" s="339"/>
      <c r="L21" s="339"/>
    </row>
    <row r="22" spans="1:12" s="1" customFormat="1" ht="15.75">
      <c r="A22" s="247">
        <v>2</v>
      </c>
      <c r="B22" s="21" t="s">
        <v>4</v>
      </c>
      <c r="C22" s="24" t="s">
        <v>56</v>
      </c>
      <c r="D22" s="23">
        <v>1300</v>
      </c>
      <c r="E22" s="20">
        <f>A22*D22</f>
        <v>2600</v>
      </c>
      <c r="F22" s="159"/>
      <c r="G22" s="339"/>
      <c r="H22" s="339"/>
      <c r="I22" s="339"/>
      <c r="J22" s="339"/>
      <c r="K22" s="339"/>
      <c r="L22" s="339"/>
    </row>
    <row r="23" spans="1:12" s="1" customFormat="1" ht="15.75">
      <c r="A23" s="247">
        <v>1</v>
      </c>
      <c r="B23" s="21" t="s">
        <v>26</v>
      </c>
      <c r="C23" s="24" t="s">
        <v>27</v>
      </c>
      <c r="D23" s="25">
        <v>3800</v>
      </c>
      <c r="E23" s="20">
        <f>A23*D23</f>
        <v>3800</v>
      </c>
      <c r="F23" s="159"/>
      <c r="G23" s="339"/>
      <c r="H23" s="339"/>
      <c r="I23" s="339"/>
      <c r="J23" s="339"/>
      <c r="K23" s="339"/>
      <c r="L23" s="339"/>
    </row>
    <row r="24" spans="1:12" s="1" customFormat="1" ht="15.75">
      <c r="A24" s="247">
        <v>1</v>
      </c>
      <c r="B24" s="21" t="s">
        <v>5</v>
      </c>
      <c r="C24" s="21"/>
      <c r="D24" s="25">
        <v>650</v>
      </c>
      <c r="E24" s="20">
        <f>A24*D24</f>
        <v>650</v>
      </c>
      <c r="F24" s="159"/>
      <c r="G24" s="339"/>
      <c r="H24" s="339"/>
      <c r="I24" s="339"/>
      <c r="J24" s="339"/>
      <c r="K24" s="339"/>
      <c r="L24" s="339"/>
    </row>
    <row r="25" spans="1:12" s="1" customFormat="1" ht="46.5" customHeight="1">
      <c r="A25" s="248">
        <v>4</v>
      </c>
      <c r="B25" s="250" t="s">
        <v>51</v>
      </c>
      <c r="C25" s="278" t="s">
        <v>43</v>
      </c>
      <c r="D25" s="25">
        <v>12000</v>
      </c>
      <c r="E25" s="20">
        <f aca="true" t="shared" si="2" ref="E25:E30">D25*A25</f>
        <v>48000</v>
      </c>
      <c r="F25" s="92"/>
      <c r="G25" s="339"/>
      <c r="H25" s="339"/>
      <c r="I25" s="339"/>
      <c r="J25" s="339"/>
      <c r="K25" s="339"/>
      <c r="L25" s="339"/>
    </row>
    <row r="26" spans="1:12" ht="15.75">
      <c r="A26" s="247">
        <v>16</v>
      </c>
      <c r="B26" s="21" t="s">
        <v>28</v>
      </c>
      <c r="C26" s="24" t="s">
        <v>29</v>
      </c>
      <c r="D26" s="25">
        <v>115.56</v>
      </c>
      <c r="E26" s="20">
        <f t="shared" si="2"/>
        <v>1848.96</v>
      </c>
      <c r="F26" s="92"/>
      <c r="G26" s="56"/>
      <c r="H26" s="56"/>
      <c r="I26" s="56"/>
      <c r="J26" s="56"/>
      <c r="K26" s="56"/>
      <c r="L26" s="56"/>
    </row>
    <row r="27" spans="1:12" ht="15.75">
      <c r="A27" s="247">
        <v>1</v>
      </c>
      <c r="B27" s="21" t="s">
        <v>366</v>
      </c>
      <c r="C27" s="324" t="s">
        <v>438</v>
      </c>
      <c r="D27" s="25">
        <v>9500</v>
      </c>
      <c r="E27" s="20">
        <f t="shared" si="2"/>
        <v>9500</v>
      </c>
      <c r="F27" s="92"/>
      <c r="G27" s="56"/>
      <c r="H27" s="56"/>
      <c r="I27" s="56"/>
      <c r="J27" s="56"/>
      <c r="K27" s="56"/>
      <c r="L27" s="56"/>
    </row>
    <row r="28" spans="1:12" ht="75">
      <c r="A28" s="248">
        <v>2</v>
      </c>
      <c r="B28" s="250" t="s">
        <v>390</v>
      </c>
      <c r="C28" s="24" t="s">
        <v>184</v>
      </c>
      <c r="D28" s="25">
        <v>20000</v>
      </c>
      <c r="E28" s="20">
        <f t="shared" si="2"/>
        <v>40000</v>
      </c>
      <c r="F28" s="92"/>
      <c r="G28" s="56"/>
      <c r="H28" s="56"/>
      <c r="I28" s="56"/>
      <c r="J28" s="56"/>
      <c r="K28" s="56"/>
      <c r="L28" s="56"/>
    </row>
    <row r="29" spans="1:12" ht="31.5">
      <c r="A29" s="248">
        <v>1</v>
      </c>
      <c r="B29" s="22" t="s">
        <v>13</v>
      </c>
      <c r="C29" s="22"/>
      <c r="D29" s="25">
        <v>20000</v>
      </c>
      <c r="E29" s="20">
        <f t="shared" si="2"/>
        <v>20000</v>
      </c>
      <c r="F29" s="92"/>
      <c r="G29" s="56"/>
      <c r="H29" s="56"/>
      <c r="I29" s="56"/>
      <c r="J29" s="56"/>
      <c r="K29" s="56"/>
      <c r="L29" s="56"/>
    </row>
    <row r="30" spans="1:12" ht="15.75">
      <c r="A30" s="251">
        <v>1</v>
      </c>
      <c r="B30" s="21" t="s">
        <v>247</v>
      </c>
      <c r="C30" s="21"/>
      <c r="D30" s="25">
        <v>45000</v>
      </c>
      <c r="E30" s="20">
        <f t="shared" si="2"/>
        <v>45000</v>
      </c>
      <c r="F30" s="92"/>
      <c r="G30" s="56"/>
      <c r="H30" s="56"/>
      <c r="I30" s="56"/>
      <c r="J30" s="56"/>
      <c r="K30" s="56"/>
      <c r="L30" s="56"/>
    </row>
    <row r="31" spans="1:12" ht="45">
      <c r="A31" s="80"/>
      <c r="B31" s="252" t="s">
        <v>30</v>
      </c>
      <c r="C31" s="16" t="s">
        <v>41</v>
      </c>
      <c r="D31" s="164"/>
      <c r="E31" s="164"/>
      <c r="F31" s="92"/>
      <c r="G31" s="56"/>
      <c r="H31" s="56"/>
      <c r="I31" s="56"/>
      <c r="J31" s="56"/>
      <c r="K31" s="56"/>
      <c r="L31" s="56"/>
    </row>
    <row r="32" spans="1:12" ht="30">
      <c r="A32" s="80"/>
      <c r="B32" s="252" t="s">
        <v>2</v>
      </c>
      <c r="C32" s="16" t="s">
        <v>40</v>
      </c>
      <c r="D32" s="164"/>
      <c r="E32" s="164"/>
      <c r="F32" s="92"/>
      <c r="G32" s="56"/>
      <c r="H32" s="56"/>
      <c r="I32" s="56"/>
      <c r="J32" s="56"/>
      <c r="K32" s="56"/>
      <c r="L32" s="56"/>
    </row>
    <row r="33" spans="1:12" ht="15">
      <c r="A33" s="80"/>
      <c r="B33" s="252" t="s">
        <v>44</v>
      </c>
      <c r="C33" s="14" t="s">
        <v>31</v>
      </c>
      <c r="D33" s="164"/>
      <c r="E33" s="164"/>
      <c r="F33" s="92"/>
      <c r="G33" s="56"/>
      <c r="H33" s="56"/>
      <c r="I33" s="56"/>
      <c r="J33" s="56"/>
      <c r="K33" s="56"/>
      <c r="L33" s="56"/>
    </row>
    <row r="34" spans="1:12" ht="30">
      <c r="A34" s="80"/>
      <c r="B34" s="253" t="s">
        <v>32</v>
      </c>
      <c r="C34" s="16" t="s">
        <v>33</v>
      </c>
      <c r="D34" s="164"/>
      <c r="E34" s="164"/>
      <c r="F34" s="92"/>
      <c r="G34" s="56"/>
      <c r="H34" s="56"/>
      <c r="I34" s="56"/>
      <c r="J34" s="56"/>
      <c r="K34" s="56"/>
      <c r="L34" s="56"/>
    </row>
    <row r="35" spans="1:12" ht="30">
      <c r="A35" s="80"/>
      <c r="B35" s="252" t="s">
        <v>34</v>
      </c>
      <c r="C35" s="16" t="s">
        <v>45</v>
      </c>
      <c r="D35" s="164"/>
      <c r="E35" s="164"/>
      <c r="F35" s="92"/>
      <c r="G35" s="56"/>
      <c r="H35" s="56"/>
      <c r="I35" s="56"/>
      <c r="J35" s="56"/>
      <c r="K35" s="56"/>
      <c r="L35" s="56"/>
    </row>
    <row r="36" spans="1:12" ht="15">
      <c r="A36" s="80"/>
      <c r="B36" s="252" t="s">
        <v>35</v>
      </c>
      <c r="C36" s="14" t="s">
        <v>36</v>
      </c>
      <c r="D36" s="164"/>
      <c r="E36" s="164"/>
      <c r="F36" s="92"/>
      <c r="G36" s="56"/>
      <c r="H36" s="56"/>
      <c r="I36" s="56"/>
      <c r="J36" s="56"/>
      <c r="K36" s="56"/>
      <c r="L36" s="56"/>
    </row>
    <row r="37" spans="1:12" ht="16.5" customHeight="1">
      <c r="A37" s="247">
        <v>1</v>
      </c>
      <c r="B37" s="19" t="s">
        <v>248</v>
      </c>
      <c r="C37" s="21" t="s">
        <v>42</v>
      </c>
      <c r="D37" s="23">
        <v>12000</v>
      </c>
      <c r="E37" s="20">
        <f>D37*A37</f>
        <v>12000</v>
      </c>
      <c r="F37" s="92"/>
      <c r="G37" s="56"/>
      <c r="H37" s="56"/>
      <c r="I37" s="56"/>
      <c r="J37" s="56"/>
      <c r="K37" s="56"/>
      <c r="L37" s="56"/>
    </row>
    <row r="38" spans="1:12" ht="15.75">
      <c r="A38" s="247">
        <v>1</v>
      </c>
      <c r="B38" s="19" t="s">
        <v>37</v>
      </c>
      <c r="C38" s="21" t="s">
        <v>38</v>
      </c>
      <c r="D38" s="25">
        <v>4000</v>
      </c>
      <c r="E38" s="20">
        <f>D38*A38</f>
        <v>4000</v>
      </c>
      <c r="F38" s="92"/>
      <c r="G38" s="56"/>
      <c r="H38" s="56"/>
      <c r="I38" s="56"/>
      <c r="J38" s="56"/>
      <c r="K38" s="56"/>
      <c r="L38" s="56"/>
    </row>
    <row r="39" spans="1:12" ht="15.75">
      <c r="A39" s="17"/>
      <c r="B39" s="18" t="s">
        <v>6</v>
      </c>
      <c r="C39" s="26"/>
      <c r="D39" s="25"/>
      <c r="E39" s="25"/>
      <c r="F39" s="92"/>
      <c r="G39" s="56"/>
      <c r="H39" s="56"/>
      <c r="I39" s="56"/>
      <c r="J39" s="56"/>
      <c r="K39" s="56"/>
      <c r="L39" s="56"/>
    </row>
    <row r="40" spans="1:12" ht="15.75">
      <c r="A40" s="93">
        <v>1</v>
      </c>
      <c r="B40" s="244" t="s">
        <v>75</v>
      </c>
      <c r="C40" s="26"/>
      <c r="D40" s="25">
        <v>35000</v>
      </c>
      <c r="E40" s="20">
        <f aca="true" t="shared" si="3" ref="E40:E47">D40*A40</f>
        <v>35000</v>
      </c>
      <c r="F40" s="92"/>
      <c r="G40" s="56"/>
      <c r="H40" s="56"/>
      <c r="I40" s="56"/>
      <c r="J40" s="56"/>
      <c r="K40" s="56"/>
      <c r="L40" s="56"/>
    </row>
    <row r="41" spans="1:12" ht="15.75">
      <c r="A41" s="93">
        <v>4</v>
      </c>
      <c r="B41" s="244" t="s">
        <v>7</v>
      </c>
      <c r="C41" s="345" t="s">
        <v>66</v>
      </c>
      <c r="D41" s="25">
        <v>4000</v>
      </c>
      <c r="E41" s="20">
        <f t="shared" si="3"/>
        <v>16000</v>
      </c>
      <c r="F41" s="92"/>
      <c r="G41" s="56"/>
      <c r="H41" s="56"/>
      <c r="I41" s="56"/>
      <c r="J41" s="56"/>
      <c r="K41" s="56"/>
      <c r="L41" s="56"/>
    </row>
    <row r="42" spans="1:12" ht="15.75">
      <c r="A42" s="93">
        <v>1</v>
      </c>
      <c r="B42" s="244" t="s">
        <v>8</v>
      </c>
      <c r="C42" s="345"/>
      <c r="D42" s="25">
        <v>13000</v>
      </c>
      <c r="E42" s="20">
        <f t="shared" si="3"/>
        <v>13000</v>
      </c>
      <c r="F42" s="92"/>
      <c r="G42" s="56"/>
      <c r="H42" s="56"/>
      <c r="I42" s="56"/>
      <c r="J42" s="56"/>
      <c r="K42" s="56"/>
      <c r="L42" s="56"/>
    </row>
    <row r="43" spans="1:12" ht="15.75">
      <c r="A43" s="93">
        <v>1</v>
      </c>
      <c r="B43" s="9" t="s">
        <v>9</v>
      </c>
      <c r="C43" s="345"/>
      <c r="D43" s="25">
        <v>15000</v>
      </c>
      <c r="E43" s="20">
        <f t="shared" si="3"/>
        <v>15000</v>
      </c>
      <c r="F43" s="92"/>
      <c r="G43" s="56"/>
      <c r="H43" s="56"/>
      <c r="I43" s="56"/>
      <c r="J43" s="56"/>
      <c r="K43" s="56"/>
      <c r="L43" s="56"/>
    </row>
    <row r="44" spans="1:12" ht="45">
      <c r="A44" s="154">
        <v>3</v>
      </c>
      <c r="B44" s="245" t="s">
        <v>39</v>
      </c>
      <c r="C44" s="27" t="s">
        <v>46</v>
      </c>
      <c r="D44" s="25">
        <v>2800</v>
      </c>
      <c r="E44" s="163">
        <f t="shared" si="3"/>
        <v>8400</v>
      </c>
      <c r="F44" s="92"/>
      <c r="G44" s="56"/>
      <c r="H44" s="56"/>
      <c r="I44" s="56"/>
      <c r="J44" s="56"/>
      <c r="K44" s="56"/>
      <c r="L44" s="56"/>
    </row>
    <row r="45" spans="1:12" ht="34.5" customHeight="1">
      <c r="A45" s="93">
        <v>1</v>
      </c>
      <c r="B45" s="244" t="s">
        <v>12</v>
      </c>
      <c r="C45" s="27" t="s">
        <v>48</v>
      </c>
      <c r="D45" s="25">
        <v>16000</v>
      </c>
      <c r="E45" s="163">
        <f t="shared" si="3"/>
        <v>16000</v>
      </c>
      <c r="F45" s="92"/>
      <c r="G45" s="56"/>
      <c r="H45" s="56"/>
      <c r="I45" s="56"/>
      <c r="J45" s="56"/>
      <c r="K45" s="56"/>
      <c r="L45" s="56"/>
    </row>
    <row r="46" spans="1:12" ht="30">
      <c r="A46" s="154">
        <v>1</v>
      </c>
      <c r="B46" s="245" t="s">
        <v>49</v>
      </c>
      <c r="C46" s="27" t="s">
        <v>50</v>
      </c>
      <c r="D46" s="25">
        <v>7000</v>
      </c>
      <c r="E46" s="163">
        <f t="shared" si="3"/>
        <v>7000</v>
      </c>
      <c r="F46" s="92"/>
      <c r="G46" s="56"/>
      <c r="H46" s="56"/>
      <c r="I46" s="56"/>
      <c r="J46" s="56"/>
      <c r="K46" s="56"/>
      <c r="L46" s="56"/>
    </row>
    <row r="47" spans="1:12" ht="15.75">
      <c r="A47" s="160">
        <v>1</v>
      </c>
      <c r="B47" s="246" t="s">
        <v>14</v>
      </c>
      <c r="C47" s="161" t="s">
        <v>57</v>
      </c>
      <c r="D47" s="162">
        <v>2500</v>
      </c>
      <c r="E47" s="163">
        <f t="shared" si="3"/>
        <v>2500</v>
      </c>
      <c r="F47" s="92"/>
      <c r="G47" s="56"/>
      <c r="H47" s="56"/>
      <c r="I47" s="56"/>
      <c r="J47" s="56"/>
      <c r="K47" s="56"/>
      <c r="L47" s="56"/>
    </row>
    <row r="48" spans="1:12" ht="18">
      <c r="A48" s="92"/>
      <c r="B48" s="92"/>
      <c r="C48" s="92"/>
      <c r="D48" s="175" t="s">
        <v>77</v>
      </c>
      <c r="E48" s="177">
        <f>SUM(E3:E47)</f>
        <v>713194.22</v>
      </c>
      <c r="F48" s="92"/>
      <c r="G48" s="56"/>
      <c r="H48" s="56"/>
      <c r="I48" s="56"/>
      <c r="J48" s="56"/>
      <c r="K48" s="56"/>
      <c r="L48" s="56"/>
    </row>
    <row r="49" spans="1:12" ht="15">
      <c r="A49" s="92"/>
      <c r="B49" s="92"/>
      <c r="C49" s="92"/>
      <c r="D49" s="92"/>
      <c r="E49" s="92"/>
      <c r="F49" s="92"/>
      <c r="G49" s="56"/>
      <c r="H49" s="56"/>
      <c r="I49" s="56"/>
      <c r="J49" s="56"/>
      <c r="K49" s="56"/>
      <c r="L49" s="56"/>
    </row>
    <row r="50" spans="1:12" ht="15">
      <c r="A50" s="92"/>
      <c r="B50" s="92"/>
      <c r="C50" s="92"/>
      <c r="D50" s="92"/>
      <c r="E50" s="92"/>
      <c r="F50" s="92"/>
      <c r="G50" s="56"/>
      <c r="H50" s="56"/>
      <c r="I50" s="56"/>
      <c r="J50" s="56"/>
      <c r="K50" s="56"/>
      <c r="L50" s="56"/>
    </row>
    <row r="51" spans="1:12" ht="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ht="1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2" ht="1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12" ht="1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1:12" ht="1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1:12" ht="1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ht="1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1:12" ht="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12" ht="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spans="1:9" ht="15">
      <c r="A60" s="56"/>
      <c r="B60" s="56"/>
      <c r="C60" s="56"/>
      <c r="D60" s="56"/>
      <c r="E60" s="56"/>
      <c r="F60" s="56"/>
      <c r="G60" s="56"/>
      <c r="H60" s="56"/>
      <c r="I60" s="56"/>
    </row>
    <row r="61" spans="1:9" ht="15">
      <c r="A61" s="56"/>
      <c r="B61" s="56"/>
      <c r="C61" s="56"/>
      <c r="D61" s="56"/>
      <c r="E61" s="56"/>
      <c r="F61" s="56"/>
      <c r="G61" s="56"/>
      <c r="H61" s="56"/>
      <c r="I61" s="56"/>
    </row>
    <row r="62" spans="1:9" ht="15">
      <c r="A62" s="56"/>
      <c r="B62" s="56"/>
      <c r="C62" s="56"/>
      <c r="D62" s="56"/>
      <c r="E62" s="56"/>
      <c r="F62" s="56"/>
      <c r="G62" s="56"/>
      <c r="H62" s="56"/>
      <c r="I62" s="56"/>
    </row>
    <row r="63" spans="1:9" ht="18.75">
      <c r="A63" s="56"/>
      <c r="B63" s="56"/>
      <c r="C63" s="56"/>
      <c r="D63" s="56"/>
      <c r="E63" s="338"/>
      <c r="F63" s="56"/>
      <c r="G63" s="56"/>
      <c r="H63" s="56"/>
      <c r="I63" s="56"/>
    </row>
    <row r="64" spans="1:9" ht="15">
      <c r="A64" s="56"/>
      <c r="B64" s="56"/>
      <c r="C64" s="56"/>
      <c r="D64" s="56"/>
      <c r="E64" s="56"/>
      <c r="F64" s="56"/>
      <c r="G64" s="56"/>
      <c r="H64" s="56"/>
      <c r="I64" s="56"/>
    </row>
    <row r="65" spans="1:9" ht="15">
      <c r="A65" s="56"/>
      <c r="B65" s="56"/>
      <c r="C65" s="56"/>
      <c r="D65" s="56"/>
      <c r="E65" s="56"/>
      <c r="F65" s="56"/>
      <c r="G65" s="56"/>
      <c r="H65" s="56"/>
      <c r="I65" s="56"/>
    </row>
  </sheetData>
  <mergeCells count="2">
    <mergeCell ref="A1:E1"/>
    <mergeCell ref="C41:C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3">
      <selection activeCell="B16" sqref="B16"/>
    </sheetView>
  </sheetViews>
  <sheetFormatPr defaultColWidth="11.421875" defaultRowHeight="15"/>
  <cols>
    <col min="2" max="2" width="34.00390625" style="0" customWidth="1"/>
    <col min="3" max="3" width="44.421875" style="0" customWidth="1"/>
    <col min="4" max="4" width="17.7109375" style="0" customWidth="1"/>
    <col min="5" max="5" width="16.57421875" style="0" bestFit="1" customWidth="1"/>
  </cols>
  <sheetData>
    <row r="1" spans="1:9" ht="18.75">
      <c r="A1" s="346" t="s">
        <v>229</v>
      </c>
      <c r="B1" s="346"/>
      <c r="C1" s="346"/>
      <c r="D1" s="346"/>
      <c r="E1" s="346"/>
      <c r="F1" s="92"/>
      <c r="G1" s="92"/>
      <c r="H1" s="92"/>
      <c r="I1" s="92"/>
    </row>
    <row r="2" spans="1:9" ht="18.75">
      <c r="A2" s="174" t="s">
        <v>17</v>
      </c>
      <c r="B2" s="174" t="s">
        <v>16</v>
      </c>
      <c r="C2" s="174" t="s">
        <v>15</v>
      </c>
      <c r="D2" s="173" t="s">
        <v>220</v>
      </c>
      <c r="E2" s="173" t="s">
        <v>221</v>
      </c>
      <c r="F2" s="92"/>
      <c r="G2" s="92"/>
      <c r="H2" s="92"/>
      <c r="I2" s="92"/>
    </row>
    <row r="3" spans="1:9" ht="45">
      <c r="A3" s="93">
        <v>1</v>
      </c>
      <c r="B3" s="93" t="s">
        <v>233</v>
      </c>
      <c r="C3" s="27" t="s">
        <v>234</v>
      </c>
      <c r="D3" s="25">
        <v>9500</v>
      </c>
      <c r="E3" s="20">
        <f>D3*A3</f>
        <v>9500</v>
      </c>
      <c r="F3" s="92"/>
      <c r="G3" s="92"/>
      <c r="H3" s="92"/>
      <c r="I3" s="92"/>
    </row>
    <row r="4" spans="1:9" ht="15.75">
      <c r="A4" s="93">
        <v>1</v>
      </c>
      <c r="B4" s="93" t="s">
        <v>10</v>
      </c>
      <c r="C4" s="26" t="s">
        <v>47</v>
      </c>
      <c r="D4" s="25">
        <v>1600</v>
      </c>
      <c r="E4" s="20">
        <f>D4*A4</f>
        <v>1600</v>
      </c>
      <c r="F4" s="92"/>
      <c r="G4" s="92"/>
      <c r="H4" s="92"/>
      <c r="I4" s="92"/>
    </row>
    <row r="5" spans="1:9" ht="15.75">
      <c r="A5" s="93">
        <v>3</v>
      </c>
      <c r="B5" s="93" t="s">
        <v>11</v>
      </c>
      <c r="C5" s="26"/>
      <c r="D5" s="25">
        <v>1400</v>
      </c>
      <c r="E5" s="20">
        <f>D5*A5</f>
        <v>4200</v>
      </c>
      <c r="F5" s="92"/>
      <c r="G5" s="92"/>
      <c r="H5" s="92"/>
      <c r="I5" s="92"/>
    </row>
    <row r="6" spans="1:9" ht="15.75">
      <c r="A6" s="93">
        <v>1</v>
      </c>
      <c r="B6" s="93" t="s">
        <v>249</v>
      </c>
      <c r="C6" s="26"/>
      <c r="D6" s="25">
        <v>4200</v>
      </c>
      <c r="E6" s="20">
        <f>D6*A6</f>
        <v>4200</v>
      </c>
      <c r="F6" s="92"/>
      <c r="G6" s="92"/>
      <c r="H6" s="92"/>
      <c r="I6" s="92"/>
    </row>
    <row r="7" spans="1:9" ht="18.75">
      <c r="A7" s="26"/>
      <c r="B7" s="167" t="s">
        <v>76</v>
      </c>
      <c r="C7" s="33"/>
      <c r="D7" s="33"/>
      <c r="E7" s="26"/>
      <c r="F7" s="92"/>
      <c r="G7" s="92"/>
      <c r="H7" s="92"/>
      <c r="I7" s="92"/>
    </row>
    <row r="8" spans="1:9" ht="15.75">
      <c r="A8" s="93">
        <v>3</v>
      </c>
      <c r="B8" s="93" t="s">
        <v>78</v>
      </c>
      <c r="C8" s="26"/>
      <c r="D8" s="25">
        <v>600</v>
      </c>
      <c r="E8" s="20">
        <f>+D8*A8</f>
        <v>1800</v>
      </c>
      <c r="F8" s="92"/>
      <c r="G8" s="92"/>
      <c r="H8" s="92"/>
      <c r="I8" s="92"/>
    </row>
    <row r="9" spans="1:9" ht="15.75">
      <c r="A9" s="93">
        <v>2</v>
      </c>
      <c r="B9" s="93" t="s">
        <v>79</v>
      </c>
      <c r="C9" s="26"/>
      <c r="D9" s="25">
        <v>110</v>
      </c>
      <c r="E9" s="20">
        <f>+D9*A9</f>
        <v>220</v>
      </c>
      <c r="F9" s="92"/>
      <c r="G9" s="92"/>
      <c r="H9" s="92"/>
      <c r="I9" s="92"/>
    </row>
    <row r="10" spans="1:9" ht="15.75">
      <c r="A10" s="93">
        <v>1</v>
      </c>
      <c r="B10" s="93" t="s">
        <v>80</v>
      </c>
      <c r="C10" s="26"/>
      <c r="D10" s="25">
        <v>500</v>
      </c>
      <c r="E10" s="20">
        <f>+D10*A10</f>
        <v>500</v>
      </c>
      <c r="F10" s="92"/>
      <c r="G10" s="92"/>
      <c r="H10" s="92"/>
      <c r="I10" s="92"/>
    </row>
    <row r="11" spans="1:9" ht="15.75">
      <c r="A11" s="93">
        <v>1</v>
      </c>
      <c r="B11" s="93" t="s">
        <v>81</v>
      </c>
      <c r="C11" s="26"/>
      <c r="D11" s="25">
        <v>120</v>
      </c>
      <c r="E11" s="20">
        <f>+D11*A11</f>
        <v>120</v>
      </c>
      <c r="F11" s="92"/>
      <c r="G11" s="92"/>
      <c r="H11" s="92"/>
      <c r="I11" s="92"/>
    </row>
    <row r="12" spans="1:9" ht="15.75">
      <c r="A12" s="93">
        <v>1</v>
      </c>
      <c r="B12" s="93" t="s">
        <v>86</v>
      </c>
      <c r="C12" s="26"/>
      <c r="D12" s="155">
        <v>1000</v>
      </c>
      <c r="E12" s="20">
        <f>+D12*A12</f>
        <v>1000</v>
      </c>
      <c r="F12" s="92"/>
      <c r="G12" s="92"/>
      <c r="H12" s="92"/>
      <c r="I12" s="92"/>
    </row>
    <row r="13" spans="1:9" ht="18.75">
      <c r="A13" s="34"/>
      <c r="B13" s="167" t="s">
        <v>82</v>
      </c>
      <c r="C13" s="34"/>
      <c r="D13" s="34"/>
      <c r="E13" s="20"/>
      <c r="F13" s="92"/>
      <c r="G13" s="92"/>
      <c r="H13" s="92"/>
      <c r="I13" s="92"/>
    </row>
    <row r="14" spans="1:9" ht="15.75">
      <c r="A14" s="93">
        <v>3</v>
      </c>
      <c r="B14" s="93" t="s">
        <v>83</v>
      </c>
      <c r="C14" s="26"/>
      <c r="D14" s="25">
        <v>170</v>
      </c>
      <c r="E14" s="20">
        <f aca="true" t="shared" si="0" ref="E14:E22">+D14*A14</f>
        <v>510</v>
      </c>
      <c r="F14" s="92"/>
      <c r="G14" s="92"/>
      <c r="H14" s="92"/>
      <c r="I14" s="92"/>
    </row>
    <row r="15" spans="1:9" ht="15.75">
      <c r="A15" s="93">
        <v>4</v>
      </c>
      <c r="B15" s="93" t="s">
        <v>230</v>
      </c>
      <c r="C15" s="26" t="s">
        <v>231</v>
      </c>
      <c r="D15" s="25">
        <v>250</v>
      </c>
      <c r="E15" s="20">
        <f t="shared" si="0"/>
        <v>1000</v>
      </c>
      <c r="F15" s="92"/>
      <c r="G15" s="92"/>
      <c r="H15" s="92"/>
      <c r="I15" s="92"/>
    </row>
    <row r="16" spans="1:9" ht="15.75">
      <c r="A16" s="93">
        <v>10</v>
      </c>
      <c r="B16" s="93" t="s">
        <v>84</v>
      </c>
      <c r="C16" s="26" t="s">
        <v>232</v>
      </c>
      <c r="D16" s="25">
        <v>45</v>
      </c>
      <c r="E16" s="20">
        <f t="shared" si="0"/>
        <v>450</v>
      </c>
      <c r="F16" s="92"/>
      <c r="G16" s="92"/>
      <c r="H16" s="92"/>
      <c r="I16" s="92"/>
    </row>
    <row r="17" spans="1:9" ht="15.75">
      <c r="A17" s="93">
        <v>3</v>
      </c>
      <c r="B17" s="93" t="s">
        <v>85</v>
      </c>
      <c r="C17" s="26"/>
      <c r="D17" s="25">
        <v>180</v>
      </c>
      <c r="E17" s="20">
        <f t="shared" si="0"/>
        <v>540</v>
      </c>
      <c r="F17" s="92"/>
      <c r="G17" s="92"/>
      <c r="H17" s="92"/>
      <c r="I17" s="92"/>
    </row>
    <row r="18" spans="1:9" ht="15.75">
      <c r="A18" s="93">
        <v>1</v>
      </c>
      <c r="B18" s="93" t="s">
        <v>168</v>
      </c>
      <c r="C18" s="26"/>
      <c r="D18" s="25">
        <v>650</v>
      </c>
      <c r="E18" s="20">
        <f t="shared" si="0"/>
        <v>650</v>
      </c>
      <c r="F18" s="92"/>
      <c r="G18" s="92"/>
      <c r="H18" s="92"/>
      <c r="I18" s="92"/>
    </row>
    <row r="19" spans="1:9" ht="15.75">
      <c r="A19" s="156">
        <v>1</v>
      </c>
      <c r="B19" s="156" t="s">
        <v>194</v>
      </c>
      <c r="C19" s="26" t="s">
        <v>195</v>
      </c>
      <c r="D19" s="155">
        <v>750</v>
      </c>
      <c r="E19" s="20">
        <f t="shared" si="0"/>
        <v>750</v>
      </c>
      <c r="F19" s="92"/>
      <c r="G19" s="92"/>
      <c r="H19" s="92"/>
      <c r="I19" s="92"/>
    </row>
    <row r="20" spans="1:9" ht="15.75">
      <c r="A20" s="156">
        <v>2</v>
      </c>
      <c r="B20" s="156" t="s">
        <v>205</v>
      </c>
      <c r="C20" s="26" t="s">
        <v>196</v>
      </c>
      <c r="D20" s="155">
        <v>400</v>
      </c>
      <c r="E20" s="20">
        <f t="shared" si="0"/>
        <v>800</v>
      </c>
      <c r="F20" s="92"/>
      <c r="G20" s="92"/>
      <c r="H20" s="92"/>
      <c r="I20" s="92"/>
    </row>
    <row r="21" spans="1:9" ht="15.75">
      <c r="A21" s="156">
        <v>1</v>
      </c>
      <c r="B21" s="156" t="s">
        <v>197</v>
      </c>
      <c r="C21" s="26" t="s">
        <v>198</v>
      </c>
      <c r="D21" s="155">
        <v>400</v>
      </c>
      <c r="E21" s="20">
        <f t="shared" si="0"/>
        <v>400</v>
      </c>
      <c r="F21" s="92"/>
      <c r="G21" s="92"/>
      <c r="H21" s="92"/>
      <c r="I21" s="92"/>
    </row>
    <row r="22" spans="1:9" ht="16.5" thickBot="1">
      <c r="A22" s="156">
        <v>1</v>
      </c>
      <c r="B22" s="156" t="s">
        <v>206</v>
      </c>
      <c r="C22" s="157" t="s">
        <v>199</v>
      </c>
      <c r="D22" s="155">
        <v>200</v>
      </c>
      <c r="E22" s="158">
        <f t="shared" si="0"/>
        <v>200</v>
      </c>
      <c r="F22" s="92"/>
      <c r="G22" s="92"/>
      <c r="H22" s="92"/>
      <c r="I22" s="92"/>
    </row>
    <row r="23" spans="1:9" ht="18.75" thickTop="1">
      <c r="A23" s="92"/>
      <c r="B23" s="92"/>
      <c r="C23" s="92"/>
      <c r="D23" s="175" t="s">
        <v>77</v>
      </c>
      <c r="E23" s="177">
        <f>SUM(E3:E22)</f>
        <v>28440</v>
      </c>
      <c r="F23" s="92"/>
      <c r="G23" s="92"/>
      <c r="H23" s="92"/>
      <c r="I23" s="92"/>
    </row>
    <row r="24" spans="1:7" ht="15">
      <c r="A24" s="92"/>
      <c r="B24" s="92"/>
      <c r="C24" s="92"/>
      <c r="D24" s="92"/>
      <c r="E24" s="92"/>
      <c r="F24" s="92"/>
      <c r="G24" s="92"/>
    </row>
    <row r="25" spans="1:7" ht="15">
      <c r="A25" s="92"/>
      <c r="B25" s="92"/>
      <c r="C25" s="92"/>
      <c r="D25" s="92"/>
      <c r="E25" s="92"/>
      <c r="F25" s="92"/>
      <c r="G25" s="92"/>
    </row>
    <row r="26" spans="1:7" ht="15">
      <c r="A26" s="92"/>
      <c r="B26" s="92"/>
      <c r="C26" s="92"/>
      <c r="D26" s="92"/>
      <c r="E26" s="92"/>
      <c r="F26" s="92"/>
      <c r="G26" s="92"/>
    </row>
    <row r="27" spans="1:7" ht="15">
      <c r="A27" s="92"/>
      <c r="B27" s="92"/>
      <c r="C27" s="92"/>
      <c r="D27" s="92"/>
      <c r="E27" s="92"/>
      <c r="F27" s="92"/>
      <c r="G27" s="92"/>
    </row>
    <row r="28" spans="1:7" ht="15">
      <c r="A28" s="92"/>
      <c r="B28" s="92"/>
      <c r="C28" s="92"/>
      <c r="D28" s="92"/>
      <c r="E28" s="92"/>
      <c r="F28" s="92"/>
      <c r="G28" s="92"/>
    </row>
    <row r="29" spans="1:7" ht="15">
      <c r="A29" s="92"/>
      <c r="B29" s="92"/>
      <c r="C29" s="92"/>
      <c r="D29" s="92"/>
      <c r="E29" s="92"/>
      <c r="F29" s="92"/>
      <c r="G29" s="92"/>
    </row>
    <row r="30" spans="1:7" ht="15">
      <c r="A30" s="92"/>
      <c r="B30" s="92"/>
      <c r="C30" s="92"/>
      <c r="D30" s="92"/>
      <c r="E30" s="92"/>
      <c r="F30" s="92"/>
      <c r="G30" s="92"/>
    </row>
    <row r="31" spans="6:7" ht="15">
      <c r="F31" s="92"/>
      <c r="G31" s="92"/>
    </row>
    <row r="32" spans="6:7" ht="15">
      <c r="F32" s="92"/>
      <c r="G32" s="92"/>
    </row>
    <row r="33" spans="6:7" ht="15">
      <c r="F33" s="92"/>
      <c r="G33" s="92"/>
    </row>
    <row r="34" spans="6:7" ht="15">
      <c r="F34" s="92"/>
      <c r="G34" s="92"/>
    </row>
    <row r="35" spans="6:7" ht="15">
      <c r="F35" s="92"/>
      <c r="G35" s="92"/>
    </row>
  </sheetData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 topLeftCell="A1">
      <selection activeCell="C22" sqref="C22"/>
    </sheetView>
  </sheetViews>
  <sheetFormatPr defaultColWidth="11.421875" defaultRowHeight="15"/>
  <cols>
    <col min="1" max="1" width="6.8515625" style="0" bestFit="1" customWidth="1"/>
    <col min="2" max="2" width="29.28125" style="0" bestFit="1" customWidth="1"/>
    <col min="3" max="3" width="42.140625" style="0" customWidth="1"/>
    <col min="4" max="4" width="17.7109375" style="0" customWidth="1"/>
    <col min="5" max="5" width="16.57421875" style="0" bestFit="1" customWidth="1"/>
  </cols>
  <sheetData>
    <row r="1" spans="1:9" ht="18.75">
      <c r="A1" s="346" t="s">
        <v>65</v>
      </c>
      <c r="B1" s="346"/>
      <c r="C1" s="346"/>
      <c r="D1" s="346"/>
      <c r="E1" s="346"/>
      <c r="F1" s="165"/>
      <c r="G1" s="92"/>
      <c r="H1" s="92"/>
      <c r="I1" s="92"/>
    </row>
    <row r="2" spans="1:9" ht="18.75">
      <c r="A2" s="172" t="s">
        <v>71</v>
      </c>
      <c r="B2" s="172" t="s">
        <v>16</v>
      </c>
      <c r="C2" s="172" t="s">
        <v>15</v>
      </c>
      <c r="D2" s="173" t="s">
        <v>220</v>
      </c>
      <c r="E2" s="173" t="s">
        <v>221</v>
      </c>
      <c r="F2" s="166"/>
      <c r="G2" s="92"/>
      <c r="H2" s="92"/>
      <c r="I2" s="92"/>
    </row>
    <row r="3" spans="1:9" ht="45">
      <c r="A3" s="12">
        <v>3</v>
      </c>
      <c r="B3" s="4" t="s">
        <v>68</v>
      </c>
      <c r="C3" s="27" t="s">
        <v>67</v>
      </c>
      <c r="D3" s="26">
        <v>6800</v>
      </c>
      <c r="E3" s="20">
        <f>A3*D3</f>
        <v>20400</v>
      </c>
      <c r="F3" s="92"/>
      <c r="G3" s="92"/>
      <c r="H3" s="92"/>
      <c r="I3" s="92"/>
    </row>
    <row r="4" spans="1:9" ht="15.75">
      <c r="A4" s="12">
        <v>1</v>
      </c>
      <c r="B4" s="28" t="s">
        <v>243</v>
      </c>
      <c r="C4" s="26" t="s">
        <v>425</v>
      </c>
      <c r="D4" s="26">
        <v>6000</v>
      </c>
      <c r="E4" s="20">
        <f>A4*D4</f>
        <v>6000</v>
      </c>
      <c r="F4" s="92"/>
      <c r="G4" s="92"/>
      <c r="H4" s="92"/>
      <c r="I4" s="92"/>
    </row>
    <row r="5" spans="1:9" ht="15.75">
      <c r="A5" s="12">
        <v>4</v>
      </c>
      <c r="B5" s="28" t="s">
        <v>245</v>
      </c>
      <c r="C5" s="26" t="s">
        <v>69</v>
      </c>
      <c r="D5" s="26">
        <v>5000</v>
      </c>
      <c r="E5" s="20">
        <f>A5*D5</f>
        <v>20000</v>
      </c>
      <c r="F5" s="92"/>
      <c r="G5" s="92"/>
      <c r="H5" s="92"/>
      <c r="I5" s="92"/>
    </row>
    <row r="6" spans="1:9" ht="15.75">
      <c r="A6" s="12">
        <v>2</v>
      </c>
      <c r="B6" s="28" t="s">
        <v>244</v>
      </c>
      <c r="C6" s="26" t="s">
        <v>242</v>
      </c>
      <c r="D6" s="26">
        <v>4500</v>
      </c>
      <c r="E6" s="20">
        <f>A6*D6</f>
        <v>9000</v>
      </c>
      <c r="F6" s="92"/>
      <c r="G6" s="92"/>
      <c r="H6" s="92"/>
      <c r="I6" s="92"/>
    </row>
    <row r="7" spans="1:9" ht="59.25" customHeight="1" thickBot="1">
      <c r="A7" s="152">
        <v>3</v>
      </c>
      <c r="B7" s="29" t="s">
        <v>70</v>
      </c>
      <c r="C7" s="27" t="s">
        <v>200</v>
      </c>
      <c r="D7" s="30">
        <v>5000</v>
      </c>
      <c r="E7" s="194">
        <f>A7*D7</f>
        <v>15000</v>
      </c>
      <c r="F7" s="92"/>
      <c r="G7" s="92"/>
      <c r="H7" s="92"/>
      <c r="I7" s="92"/>
    </row>
    <row r="8" spans="1:9" ht="18.75" thickTop="1">
      <c r="A8" s="91"/>
      <c r="B8" s="91"/>
      <c r="C8" s="91"/>
      <c r="D8" s="175" t="s">
        <v>77</v>
      </c>
      <c r="E8" s="177">
        <f>SUM(E3:E7)</f>
        <v>70400</v>
      </c>
      <c r="F8" s="92"/>
      <c r="G8" s="92"/>
      <c r="H8" s="92"/>
      <c r="I8" s="92"/>
    </row>
    <row r="9" spans="1:9" ht="15">
      <c r="A9" s="91"/>
      <c r="B9" s="91"/>
      <c r="C9" s="91"/>
      <c r="D9" s="92"/>
      <c r="E9" s="92"/>
      <c r="F9" s="92"/>
      <c r="G9" s="92"/>
      <c r="H9" s="92"/>
      <c r="I9" s="92"/>
    </row>
    <row r="10" spans="1:9" ht="15">
      <c r="A10" s="91"/>
      <c r="B10" s="91"/>
      <c r="C10" s="91"/>
      <c r="D10" s="92"/>
      <c r="E10" s="92"/>
      <c r="F10" s="92"/>
      <c r="G10" s="92"/>
      <c r="H10" s="92"/>
      <c r="I10" s="92"/>
    </row>
    <row r="11" spans="1:9" ht="15">
      <c r="A11" s="91"/>
      <c r="B11" s="91"/>
      <c r="C11" s="91"/>
      <c r="D11" s="92"/>
      <c r="E11" s="92"/>
      <c r="F11" s="92"/>
      <c r="G11" s="92"/>
      <c r="H11" s="92"/>
      <c r="I11" s="92"/>
    </row>
    <row r="12" spans="1:8" ht="15">
      <c r="A12" s="91"/>
      <c r="B12" s="91"/>
      <c r="C12" s="91"/>
      <c r="D12" s="92"/>
      <c r="E12" s="92"/>
      <c r="F12" s="92"/>
      <c r="G12" s="92"/>
      <c r="H12" s="92"/>
    </row>
    <row r="13" spans="1:8" ht="15">
      <c r="A13" s="92"/>
      <c r="B13" s="92"/>
      <c r="C13" s="92"/>
      <c r="D13" s="92"/>
      <c r="E13" s="92"/>
      <c r="F13" s="92"/>
      <c r="G13" s="92"/>
      <c r="H13" s="92"/>
    </row>
    <row r="14" spans="1:8" ht="15">
      <c r="A14" s="92"/>
      <c r="B14" s="92"/>
      <c r="C14" s="92"/>
      <c r="D14" s="92"/>
      <c r="E14" s="92"/>
      <c r="F14" s="92"/>
      <c r="G14" s="92"/>
      <c r="H14" s="92"/>
    </row>
    <row r="15" spans="3:8" ht="15">
      <c r="C15" s="92"/>
      <c r="D15" s="92"/>
      <c r="E15" s="92"/>
      <c r="F15" s="92"/>
      <c r="G15" s="92"/>
      <c r="H15" s="92"/>
    </row>
    <row r="16" spans="3:8" ht="15">
      <c r="C16" s="92"/>
      <c r="D16" s="92"/>
      <c r="E16" s="92"/>
      <c r="F16" s="92"/>
      <c r="G16" s="92"/>
      <c r="H16" s="92"/>
    </row>
    <row r="17" spans="3:8" ht="15">
      <c r="C17" s="92"/>
      <c r="D17" s="92"/>
      <c r="E17" s="92"/>
      <c r="F17" s="92"/>
      <c r="G17" s="92"/>
      <c r="H17" s="92"/>
    </row>
    <row r="18" spans="3:8" ht="15">
      <c r="C18" s="92"/>
      <c r="D18" s="92"/>
      <c r="E18" s="92"/>
      <c r="F18" s="92"/>
      <c r="G18" s="92"/>
      <c r="H18" s="92"/>
    </row>
  </sheetData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 topLeftCell="A1">
      <selection activeCell="I21" sqref="I21"/>
    </sheetView>
  </sheetViews>
  <sheetFormatPr defaultColWidth="11.421875" defaultRowHeight="15"/>
  <cols>
    <col min="3" max="3" width="14.57421875" style="0" bestFit="1" customWidth="1"/>
    <col min="4" max="5" width="13.00390625" style="0" bestFit="1" customWidth="1"/>
    <col min="6" max="7" width="14.57421875" style="0" bestFit="1" customWidth="1"/>
    <col min="8" max="8" width="18.421875" style="0" customWidth="1"/>
    <col min="9" max="9" width="14.421875" style="0" customWidth="1"/>
    <col min="10" max="10" width="14.00390625" style="0" bestFit="1" customWidth="1"/>
    <col min="11" max="11" width="12.8515625" style="0" customWidth="1"/>
    <col min="13" max="13" width="13.00390625" style="0" bestFit="1" customWidth="1"/>
  </cols>
  <sheetData>
    <row r="2" spans="7:9" ht="15">
      <c r="G2" s="192"/>
      <c r="H2" s="192"/>
      <c r="I2" s="192"/>
    </row>
    <row r="4" spans="1:7" ht="15">
      <c r="A4" s="347" t="s">
        <v>325</v>
      </c>
      <c r="B4" s="347"/>
      <c r="C4" s="347"/>
      <c r="E4" s="176" t="s">
        <v>179</v>
      </c>
      <c r="F4" s="242">
        <v>0.1</v>
      </c>
      <c r="G4" s="176" t="s">
        <v>72</v>
      </c>
    </row>
    <row r="5" spans="1:7" ht="15">
      <c r="A5" s="348" t="s">
        <v>178</v>
      </c>
      <c r="B5" s="348"/>
      <c r="C5" s="76">
        <f>'Inv Mina'!E17+'Inv Lixiviacion'!E48+'Inv Ofi y desc'!E23+'Inv Flotacion'!E8</f>
        <v>1259808.22</v>
      </c>
      <c r="E5" s="122">
        <v>0.4</v>
      </c>
      <c r="F5" s="176" t="s">
        <v>177</v>
      </c>
      <c r="G5" s="76">
        <f>E5*C7</f>
        <v>610211.2008142222</v>
      </c>
    </row>
    <row r="6" spans="1:7" ht="15">
      <c r="A6" s="348" t="s">
        <v>176</v>
      </c>
      <c r="B6" s="348"/>
      <c r="C6" s="76">
        <f>Ingresos!I23</f>
        <v>265719.7820355556</v>
      </c>
      <c r="E6" s="122">
        <f>1-E5</f>
        <v>0.6</v>
      </c>
      <c r="F6" s="176" t="s">
        <v>175</v>
      </c>
      <c r="G6" s="76">
        <f>E6*C7</f>
        <v>915316.8012213332</v>
      </c>
    </row>
    <row r="7" spans="1:3" ht="15">
      <c r="A7" s="348" t="s">
        <v>174</v>
      </c>
      <c r="B7" s="348"/>
      <c r="C7" s="76">
        <f>C5+C6</f>
        <v>1525528.0020355554</v>
      </c>
    </row>
    <row r="11" spans="2:6" ht="15.75">
      <c r="B11" s="174" t="s">
        <v>173</v>
      </c>
      <c r="C11" s="174" t="s">
        <v>181</v>
      </c>
      <c r="D11" s="174" t="s">
        <v>172</v>
      </c>
      <c r="E11" s="174" t="s">
        <v>182</v>
      </c>
      <c r="F11" s="174" t="s">
        <v>171</v>
      </c>
    </row>
    <row r="12" spans="2:6" ht="15">
      <c r="B12" s="79">
        <v>0</v>
      </c>
      <c r="C12" s="79"/>
      <c r="D12" s="79"/>
      <c r="E12" s="77"/>
      <c r="F12" s="77">
        <f>G6</f>
        <v>915316.8012213332</v>
      </c>
    </row>
    <row r="13" spans="2:6" ht="15">
      <c r="B13" s="79">
        <v>1</v>
      </c>
      <c r="C13" s="84">
        <f>PMT(F4,B22,-F12)</f>
        <v>148963.59425736326</v>
      </c>
      <c r="D13" s="77">
        <f aca="true" t="shared" si="0" ref="D13:D22">F12*$F$4</f>
        <v>91531.68012213333</v>
      </c>
      <c r="E13" s="77">
        <f>C13-D13</f>
        <v>57431.914135229934</v>
      </c>
      <c r="F13" s="77">
        <f>F12-E13</f>
        <v>857884.8870861033</v>
      </c>
    </row>
    <row r="14" spans="2:6" ht="15">
      <c r="B14" s="79">
        <v>2</v>
      </c>
      <c r="C14" s="77">
        <f>C13</f>
        <v>148963.59425736326</v>
      </c>
      <c r="D14" s="77">
        <f t="shared" si="0"/>
        <v>85788.48870861034</v>
      </c>
      <c r="E14" s="77">
        <f aca="true" t="shared" si="1" ref="E14:E22">C14-D14</f>
        <v>63175.10554875292</v>
      </c>
      <c r="F14" s="77">
        <f aca="true" t="shared" si="2" ref="F14:F21">F13-E14</f>
        <v>794709.7815373504</v>
      </c>
    </row>
    <row r="15" spans="2:6" ht="15">
      <c r="B15" s="79">
        <v>3</v>
      </c>
      <c r="C15" s="77">
        <f aca="true" t="shared" si="3" ref="C15:C21">C14</f>
        <v>148963.59425736326</v>
      </c>
      <c r="D15" s="77">
        <f t="shared" si="0"/>
        <v>79470.97815373505</v>
      </c>
      <c r="E15" s="77">
        <f t="shared" si="1"/>
        <v>69492.61610362821</v>
      </c>
      <c r="F15" s="77">
        <f t="shared" si="2"/>
        <v>725217.1654337222</v>
      </c>
    </row>
    <row r="16" spans="2:6" ht="15">
      <c r="B16" s="79">
        <v>4</v>
      </c>
      <c r="C16" s="77">
        <f t="shared" si="3"/>
        <v>148963.59425736326</v>
      </c>
      <c r="D16" s="77">
        <f t="shared" si="0"/>
        <v>72521.71654337223</v>
      </c>
      <c r="E16" s="77">
        <f t="shared" si="1"/>
        <v>76441.87771399104</v>
      </c>
      <c r="F16" s="77">
        <f t="shared" si="2"/>
        <v>648775.2877197312</v>
      </c>
    </row>
    <row r="17" spans="2:6" ht="15">
      <c r="B17" s="79">
        <v>5</v>
      </c>
      <c r="C17" s="77">
        <f t="shared" si="3"/>
        <v>148963.59425736326</v>
      </c>
      <c r="D17" s="77">
        <f t="shared" si="0"/>
        <v>64877.52877197313</v>
      </c>
      <c r="E17" s="77">
        <f t="shared" si="1"/>
        <v>84086.06548539014</v>
      </c>
      <c r="F17" s="77">
        <f t="shared" si="2"/>
        <v>564689.2222343411</v>
      </c>
    </row>
    <row r="18" spans="2:6" ht="15">
      <c r="B18" s="79">
        <v>6</v>
      </c>
      <c r="C18" s="77">
        <f t="shared" si="3"/>
        <v>148963.59425736326</v>
      </c>
      <c r="D18" s="77">
        <f t="shared" si="0"/>
        <v>56468.922223434114</v>
      </c>
      <c r="E18" s="77">
        <f t="shared" si="1"/>
        <v>92494.67203392915</v>
      </c>
      <c r="F18" s="77">
        <f t="shared" si="2"/>
        <v>472194.55020041193</v>
      </c>
    </row>
    <row r="19" spans="2:6" ht="15">
      <c r="B19" s="79">
        <v>7</v>
      </c>
      <c r="C19" s="77">
        <f t="shared" si="3"/>
        <v>148963.59425736326</v>
      </c>
      <c r="D19" s="77">
        <f t="shared" si="0"/>
        <v>47219.4550200412</v>
      </c>
      <c r="E19" s="77">
        <f t="shared" si="1"/>
        <v>101744.13923732206</v>
      </c>
      <c r="F19" s="77">
        <f t="shared" si="2"/>
        <v>370450.4109630899</v>
      </c>
    </row>
    <row r="20" spans="2:6" ht="15">
      <c r="B20" s="79">
        <v>8</v>
      </c>
      <c r="C20" s="77">
        <f t="shared" si="3"/>
        <v>148963.59425736326</v>
      </c>
      <c r="D20" s="77">
        <f t="shared" si="0"/>
        <v>37045.04109630899</v>
      </c>
      <c r="E20" s="77">
        <f t="shared" si="1"/>
        <v>111918.55316105427</v>
      </c>
      <c r="F20" s="77">
        <f t="shared" si="2"/>
        <v>258531.85780203564</v>
      </c>
    </row>
    <row r="21" spans="2:6" ht="15">
      <c r="B21" s="79">
        <v>9</v>
      </c>
      <c r="C21" s="77">
        <f t="shared" si="3"/>
        <v>148963.59425736326</v>
      </c>
      <c r="D21" s="77">
        <f t="shared" si="0"/>
        <v>25853.185780203567</v>
      </c>
      <c r="E21" s="77">
        <f t="shared" si="1"/>
        <v>123110.4084771597</v>
      </c>
      <c r="F21" s="77">
        <f t="shared" si="2"/>
        <v>135421.44932487595</v>
      </c>
    </row>
    <row r="22" spans="2:6" ht="15">
      <c r="B22" s="79">
        <v>10</v>
      </c>
      <c r="C22" s="77">
        <f>C21</f>
        <v>148963.59425736326</v>
      </c>
      <c r="D22" s="77">
        <f t="shared" si="0"/>
        <v>13542.144932487596</v>
      </c>
      <c r="E22" s="77">
        <f t="shared" si="1"/>
        <v>135421.44932487566</v>
      </c>
      <c r="F22" s="77">
        <f>F21-E22</f>
        <v>2.9103830456733704E-10</v>
      </c>
    </row>
  </sheetData>
  <mergeCells count="4">
    <mergeCell ref="A4:C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zoomScale="80" zoomScaleNormal="80" workbookViewId="0" topLeftCell="A1">
      <selection activeCell="I25" sqref="I25"/>
    </sheetView>
  </sheetViews>
  <sheetFormatPr defaultColWidth="11.421875" defaultRowHeight="15"/>
  <cols>
    <col min="1" max="1" width="37.00390625" style="0" bestFit="1" customWidth="1"/>
    <col min="2" max="2" width="16.7109375" style="0" bestFit="1" customWidth="1"/>
    <col min="3" max="3" width="14.421875" style="0" bestFit="1" customWidth="1"/>
    <col min="4" max="4" width="15.57421875" style="0" bestFit="1" customWidth="1"/>
    <col min="5" max="5" width="15.140625" style="0" bestFit="1" customWidth="1"/>
    <col min="6" max="6" width="16.28125" style="0" bestFit="1" customWidth="1"/>
    <col min="7" max="7" width="15.57421875" style="0" bestFit="1" customWidth="1"/>
    <col min="10" max="10" width="20.7109375" style="0" bestFit="1" customWidth="1"/>
    <col min="11" max="11" width="9.57421875" style="0" customWidth="1"/>
    <col min="12" max="20" width="9.8515625" style="0" customWidth="1"/>
  </cols>
  <sheetData>
    <row r="1" spans="1:7" ht="16.5" thickBot="1">
      <c r="A1" s="350" t="s">
        <v>89</v>
      </c>
      <c r="B1" s="351"/>
      <c r="C1" s="351"/>
      <c r="D1" s="351"/>
      <c r="E1" s="351"/>
      <c r="F1" s="351"/>
      <c r="G1" s="352"/>
    </row>
    <row r="2" spans="1:7" ht="15.75">
      <c r="A2" s="356" t="s">
        <v>217</v>
      </c>
      <c r="B2" s="358" t="s">
        <v>90</v>
      </c>
      <c r="C2" s="95" t="s">
        <v>91</v>
      </c>
      <c r="D2" s="95" t="s">
        <v>92</v>
      </c>
      <c r="E2" s="95" t="s">
        <v>93</v>
      </c>
      <c r="F2" s="95" t="s">
        <v>94</v>
      </c>
      <c r="G2" s="96" t="s">
        <v>91</v>
      </c>
    </row>
    <row r="3" spans="1:11" ht="16.5" thickBot="1">
      <c r="A3" s="357"/>
      <c r="B3" s="359"/>
      <c r="C3" s="97" t="s">
        <v>95</v>
      </c>
      <c r="D3" s="97" t="s">
        <v>204</v>
      </c>
      <c r="E3" s="97" t="s">
        <v>203</v>
      </c>
      <c r="F3" s="97" t="s">
        <v>202</v>
      </c>
      <c r="G3" s="98" t="s">
        <v>96</v>
      </c>
      <c r="J3" s="259" t="s">
        <v>394</v>
      </c>
      <c r="K3" s="260">
        <f>Costos!G23</f>
        <v>57.996</v>
      </c>
    </row>
    <row r="4" spans="1:11" ht="16.5" thickTop="1">
      <c r="A4" s="232" t="s">
        <v>97</v>
      </c>
      <c r="B4" s="41">
        <v>2</v>
      </c>
      <c r="C4" s="42">
        <v>4.1</v>
      </c>
      <c r="D4" s="43">
        <f>(C4*50)</f>
        <v>204.99999999999997</v>
      </c>
      <c r="E4" s="42">
        <f>(D4*25)</f>
        <v>5124.999999999999</v>
      </c>
      <c r="F4" s="42">
        <f>(E4*12)</f>
        <v>61499.999999999985</v>
      </c>
      <c r="G4" s="44">
        <f>+F4/15000</f>
        <v>4.099999999999999</v>
      </c>
      <c r="J4" s="259" t="s">
        <v>395</v>
      </c>
      <c r="K4" s="260">
        <f>Costos!H79</f>
        <v>7.48409801422222</v>
      </c>
    </row>
    <row r="5" spans="1:11" ht="15.75">
      <c r="A5" s="62" t="s">
        <v>98</v>
      </c>
      <c r="B5" s="46">
        <v>0.5</v>
      </c>
      <c r="C5" s="47">
        <v>2.96</v>
      </c>
      <c r="D5" s="43">
        <f aca="true" t="shared" si="0" ref="D5:D9">(C5*50)</f>
        <v>148</v>
      </c>
      <c r="E5" s="47">
        <f aca="true" t="shared" si="1" ref="E5:E11">(D5*25)</f>
        <v>3700</v>
      </c>
      <c r="F5" s="47">
        <f aca="true" t="shared" si="2" ref="F5:F11">(E5*12)</f>
        <v>44400</v>
      </c>
      <c r="G5" s="44">
        <f aca="true" t="shared" si="3" ref="G5:G11">+F5/15000</f>
        <v>2.96</v>
      </c>
      <c r="J5" s="259" t="s">
        <v>396</v>
      </c>
      <c r="K5" s="260">
        <f>Costos!E43+Costos!E57</f>
        <v>40.807814799999996</v>
      </c>
    </row>
    <row r="6" spans="1:7" ht="15.75">
      <c r="A6" s="62" t="s">
        <v>99</v>
      </c>
      <c r="B6" s="46">
        <v>0.3</v>
      </c>
      <c r="C6" s="47">
        <v>2.75</v>
      </c>
      <c r="D6" s="43">
        <f t="shared" si="0"/>
        <v>137.5</v>
      </c>
      <c r="E6" s="47">
        <f t="shared" si="1"/>
        <v>3437.5</v>
      </c>
      <c r="F6" s="47">
        <f t="shared" si="2"/>
        <v>41250</v>
      </c>
      <c r="G6" s="44">
        <f t="shared" si="3"/>
        <v>2.75</v>
      </c>
    </row>
    <row r="7" spans="1:20" ht="15.75">
      <c r="A7" s="62" t="s">
        <v>100</v>
      </c>
      <c r="B7" s="46">
        <v>0.05</v>
      </c>
      <c r="C7" s="47">
        <v>2.6</v>
      </c>
      <c r="D7" s="43">
        <f t="shared" si="0"/>
        <v>130</v>
      </c>
      <c r="E7" s="47">
        <f t="shared" si="1"/>
        <v>3250</v>
      </c>
      <c r="F7" s="47">
        <f t="shared" si="2"/>
        <v>39000</v>
      </c>
      <c r="G7" s="44">
        <f t="shared" si="3"/>
        <v>2.6</v>
      </c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ht="15.75">
      <c r="A8" s="62" t="s">
        <v>216</v>
      </c>
      <c r="B8" s="46">
        <v>3</v>
      </c>
      <c r="C8" s="47">
        <v>0.24</v>
      </c>
      <c r="D8" s="43">
        <f t="shared" si="0"/>
        <v>12</v>
      </c>
      <c r="E8" s="47">
        <f t="shared" si="1"/>
        <v>300</v>
      </c>
      <c r="F8" s="47">
        <f t="shared" si="2"/>
        <v>3600</v>
      </c>
      <c r="G8" s="44">
        <f t="shared" si="3"/>
        <v>0.24</v>
      </c>
      <c r="J8" s="349" t="s">
        <v>407</v>
      </c>
      <c r="K8" s="349"/>
      <c r="L8" s="349"/>
      <c r="M8" s="349"/>
      <c r="N8" s="349"/>
      <c r="O8" s="349"/>
      <c r="P8" s="349"/>
      <c r="Q8" s="349"/>
      <c r="R8" s="349"/>
      <c r="S8" s="349"/>
      <c r="T8" s="349"/>
    </row>
    <row r="9" spans="1:20" ht="15.75">
      <c r="A9" s="62" t="s">
        <v>101</v>
      </c>
      <c r="B9" s="46">
        <v>0.7</v>
      </c>
      <c r="C9" s="47">
        <v>0.9</v>
      </c>
      <c r="D9" s="43">
        <f t="shared" si="0"/>
        <v>45</v>
      </c>
      <c r="E9" s="47">
        <f t="shared" si="1"/>
        <v>1125</v>
      </c>
      <c r="F9" s="47">
        <f t="shared" si="2"/>
        <v>13500</v>
      </c>
      <c r="G9" s="44">
        <f t="shared" si="3"/>
        <v>0.9</v>
      </c>
      <c r="J9" s="279" t="s">
        <v>153</v>
      </c>
      <c r="K9" s="118">
        <v>1</v>
      </c>
      <c r="L9" s="118">
        <v>2</v>
      </c>
      <c r="M9" s="118">
        <v>3</v>
      </c>
      <c r="N9" s="118">
        <v>4</v>
      </c>
      <c r="O9" s="118">
        <v>5</v>
      </c>
      <c r="P9" s="118">
        <v>6</v>
      </c>
      <c r="Q9" s="118">
        <v>7</v>
      </c>
      <c r="R9" s="118">
        <v>8</v>
      </c>
      <c r="S9" s="118">
        <v>9</v>
      </c>
      <c r="T9" s="118">
        <v>10</v>
      </c>
    </row>
    <row r="10" spans="1:20" ht="15.75">
      <c r="A10" s="62" t="s">
        <v>102</v>
      </c>
      <c r="B10" s="46">
        <v>2</v>
      </c>
      <c r="C10" s="47">
        <v>2</v>
      </c>
      <c r="D10" s="43">
        <f>(C10*B10*50)</f>
        <v>200</v>
      </c>
      <c r="E10" s="47">
        <f t="shared" si="1"/>
        <v>5000</v>
      </c>
      <c r="F10" s="47">
        <f t="shared" si="2"/>
        <v>60000</v>
      </c>
      <c r="G10" s="44">
        <f t="shared" si="3"/>
        <v>4</v>
      </c>
      <c r="J10" s="123" t="s">
        <v>399</v>
      </c>
      <c r="K10" s="272">
        <f>('Flujo de Caja'!G1/3)</f>
        <v>5000</v>
      </c>
      <c r="L10" s="273">
        <f>'Flujo de Caja'!G1</f>
        <v>15000</v>
      </c>
      <c r="M10" s="273">
        <f>L10+'Flujo de Caja'!$G$2</f>
        <v>16500</v>
      </c>
      <c r="N10" s="273">
        <f>M10+'Flujo de Caja'!$G$2</f>
        <v>18000</v>
      </c>
      <c r="O10" s="273">
        <f>N10+'Flujo de Caja'!$G$2</f>
        <v>19500</v>
      </c>
      <c r="P10" s="273">
        <f>O10+'Flujo de Caja'!$G$2</f>
        <v>21000</v>
      </c>
      <c r="Q10" s="273">
        <f>P10+'Flujo de Caja'!$G$2</f>
        <v>22500</v>
      </c>
      <c r="R10" s="273">
        <f>Q10+'Flujo de Caja'!$G$2</f>
        <v>24000</v>
      </c>
      <c r="S10" s="273">
        <f>R10+'Flujo de Caja'!$G$2</f>
        <v>25500</v>
      </c>
      <c r="T10" s="273">
        <f>S10+'Flujo de Caja'!$G$2</f>
        <v>27000</v>
      </c>
    </row>
    <row r="11" spans="1:20" ht="15.75">
      <c r="A11" s="62" t="s">
        <v>343</v>
      </c>
      <c r="B11" s="46">
        <v>8</v>
      </c>
      <c r="C11" s="47">
        <v>3</v>
      </c>
      <c r="D11" s="43">
        <f>+C11*7</f>
        <v>21</v>
      </c>
      <c r="E11" s="47">
        <f t="shared" si="1"/>
        <v>525</v>
      </c>
      <c r="F11" s="47">
        <f t="shared" si="2"/>
        <v>6300</v>
      </c>
      <c r="G11" s="44">
        <f t="shared" si="3"/>
        <v>0.42</v>
      </c>
      <c r="J11" s="123" t="s">
        <v>394</v>
      </c>
      <c r="K11" s="274">
        <f>Costos!K3</f>
        <v>57.996</v>
      </c>
      <c r="L11" s="274">
        <f>K11*(1+'Flujo de Caja'!$C$1)</f>
        <v>62.05572000000001</v>
      </c>
      <c r="M11" s="274">
        <f>L11*(1+'Flujo de Caja'!$C$1)</f>
        <v>66.39962040000002</v>
      </c>
      <c r="N11" s="274">
        <f>M11*(1+'Flujo de Caja'!$C$1)</f>
        <v>71.04759382800002</v>
      </c>
      <c r="O11" s="274">
        <f>N11*(1+'Flujo de Caja'!$C$1)</f>
        <v>76.02092539596002</v>
      </c>
      <c r="P11" s="274">
        <f>O11*(1+'Flujo de Caja'!$C$1)</f>
        <v>81.34239017367723</v>
      </c>
      <c r="Q11" s="274">
        <f>P11*(1+'Flujo de Caja'!$C$1)</f>
        <v>87.03635748583464</v>
      </c>
      <c r="R11" s="274">
        <f>Q11*(1+'Flujo de Caja'!$C$1)</f>
        <v>93.12890250984307</v>
      </c>
      <c r="S11" s="274">
        <f>R11*(1+'Flujo de Caja'!$C$1)</f>
        <v>99.64792568553209</v>
      </c>
      <c r="T11" s="274">
        <f>S11*(1+'Flujo de Caja'!$C$1)</f>
        <v>106.62328048351934</v>
      </c>
    </row>
    <row r="12" spans="1:20" ht="15.75">
      <c r="A12" s="62" t="s">
        <v>344</v>
      </c>
      <c r="B12" s="46">
        <v>46</v>
      </c>
      <c r="C12" s="47">
        <v>8.6</v>
      </c>
      <c r="D12" s="43">
        <f aca="true" t="shared" si="4" ref="D12:D22">+C12*7</f>
        <v>60.199999999999996</v>
      </c>
      <c r="E12" s="47">
        <f aca="true" t="shared" si="5" ref="E12:E22">(D12*25)</f>
        <v>1505</v>
      </c>
      <c r="F12" s="47">
        <f aca="true" t="shared" si="6" ref="F12:F22">(E12*12)</f>
        <v>18060</v>
      </c>
      <c r="G12" s="44">
        <f aca="true" t="shared" si="7" ref="G12:G22">+F12/15000</f>
        <v>1.204</v>
      </c>
      <c r="J12" s="123" t="s">
        <v>400</v>
      </c>
      <c r="K12" s="274">
        <f>Costos!K4</f>
        <v>7.48409801422222</v>
      </c>
      <c r="L12" s="274">
        <f>K12*(1+'Flujo de Caja'!$C$2)</f>
        <v>7.708620954648887</v>
      </c>
      <c r="M12" s="274">
        <f>L12*(1+'Flujo de Caja'!$C$2)</f>
        <v>7.939879583288354</v>
      </c>
      <c r="N12" s="274">
        <f>M12*(1+'Flujo de Caja'!$C$2)</f>
        <v>8.178075970787004</v>
      </c>
      <c r="O12" s="274">
        <f>N12*(1+'Flujo de Caja'!$C$2)</f>
        <v>8.423418249910615</v>
      </c>
      <c r="P12" s="274">
        <f>O12*(1+'Flujo de Caja'!$C$2)</f>
        <v>8.676120797407933</v>
      </c>
      <c r="Q12" s="274">
        <f>P12*(1+'Flujo de Caja'!$C$2)</f>
        <v>8.93640442133017</v>
      </c>
      <c r="R12" s="274">
        <f>Q12*(1+'Flujo de Caja'!$C$2)</f>
        <v>9.204496553970076</v>
      </c>
      <c r="S12" s="274">
        <f>R12*(1+'Flujo de Caja'!$C$2)</f>
        <v>9.480631450589179</v>
      </c>
      <c r="T12" s="274">
        <f>S12*(1+'Flujo de Caja'!$C$2)</f>
        <v>9.765050394106854</v>
      </c>
    </row>
    <row r="13" spans="1:20" ht="15.75">
      <c r="A13" s="62" t="s">
        <v>345</v>
      </c>
      <c r="B13" s="46">
        <v>115</v>
      </c>
      <c r="C13" s="47">
        <v>23.2</v>
      </c>
      <c r="D13" s="43">
        <f t="shared" si="4"/>
        <v>162.4</v>
      </c>
      <c r="E13" s="47">
        <f t="shared" si="5"/>
        <v>4060</v>
      </c>
      <c r="F13" s="47">
        <f t="shared" si="6"/>
        <v>48720</v>
      </c>
      <c r="G13" s="44">
        <f t="shared" si="7"/>
        <v>3.248</v>
      </c>
      <c r="I13" s="2"/>
      <c r="J13" s="123" t="s">
        <v>396</v>
      </c>
      <c r="K13" s="274">
        <f>Costos!K5</f>
        <v>40.807814799999996</v>
      </c>
      <c r="L13" s="274">
        <f>K13*(1+'Flujo de Caja'!$C$3)</f>
        <v>42.032049244</v>
      </c>
      <c r="M13" s="274">
        <f>L13*(1+'Flujo de Caja'!$C$3)</f>
        <v>43.29301072132</v>
      </c>
      <c r="N13" s="274">
        <f>M13*(1+'Flujo de Caja'!$C$3)</f>
        <v>44.5918010429596</v>
      </c>
      <c r="O13" s="274">
        <f>N13*(1+'Flujo de Caja'!$C$3)</f>
        <v>45.92955507424839</v>
      </c>
      <c r="P13" s="274">
        <f>O13*(1+'Flujo de Caja'!$C$3)</f>
        <v>47.307441726475844</v>
      </c>
      <c r="Q13" s="274">
        <f>P13*(1+'Flujo de Caja'!$C$3)</f>
        <v>48.72666497827012</v>
      </c>
      <c r="R13" s="274">
        <f>Q13*(1+'Flujo de Caja'!$C$3)</f>
        <v>50.18846492761823</v>
      </c>
      <c r="S13" s="274">
        <f>R13*(1+'Flujo de Caja'!$C$3)</f>
        <v>51.694118875446776</v>
      </c>
      <c r="T13" s="274">
        <f>S13*(1+'Flujo de Caja'!$C$3)</f>
        <v>53.24494244171018</v>
      </c>
    </row>
    <row r="14" spans="1:13" ht="15.75">
      <c r="A14" s="62" t="s">
        <v>346</v>
      </c>
      <c r="B14" s="46">
        <v>50</v>
      </c>
      <c r="C14" s="47">
        <v>14</v>
      </c>
      <c r="D14" s="43">
        <f t="shared" si="4"/>
        <v>98</v>
      </c>
      <c r="E14" s="47">
        <f t="shared" si="5"/>
        <v>2450</v>
      </c>
      <c r="F14" s="47">
        <f t="shared" si="6"/>
        <v>29400</v>
      </c>
      <c r="G14" s="44">
        <f t="shared" si="7"/>
        <v>1.96</v>
      </c>
      <c r="L14" s="237"/>
      <c r="M14" s="238"/>
    </row>
    <row r="15" spans="1:13" ht="15.75">
      <c r="A15" s="62" t="s">
        <v>347</v>
      </c>
      <c r="B15" s="46">
        <v>6</v>
      </c>
      <c r="C15" s="47">
        <v>21.6</v>
      </c>
      <c r="D15" s="43">
        <f t="shared" si="4"/>
        <v>151.20000000000002</v>
      </c>
      <c r="E15" s="47">
        <f t="shared" si="5"/>
        <v>3780.0000000000005</v>
      </c>
      <c r="F15" s="47">
        <f t="shared" si="6"/>
        <v>45360.00000000001</v>
      </c>
      <c r="G15" s="44">
        <f t="shared" si="7"/>
        <v>3.0240000000000005</v>
      </c>
      <c r="L15" s="239"/>
      <c r="M15" s="238"/>
    </row>
    <row r="16" spans="1:7" ht="15.75">
      <c r="A16" s="62" t="s">
        <v>348</v>
      </c>
      <c r="B16" s="46">
        <v>33.3</v>
      </c>
      <c r="C16" s="47">
        <v>18.5</v>
      </c>
      <c r="D16" s="43">
        <f t="shared" si="4"/>
        <v>129.5</v>
      </c>
      <c r="E16" s="47">
        <f t="shared" si="5"/>
        <v>3237.5</v>
      </c>
      <c r="F16" s="47">
        <f t="shared" si="6"/>
        <v>38850</v>
      </c>
      <c r="G16" s="44">
        <f t="shared" si="7"/>
        <v>2.59</v>
      </c>
    </row>
    <row r="17" spans="1:7" ht="15.75">
      <c r="A17" s="62" t="s">
        <v>349</v>
      </c>
      <c r="B17" s="46">
        <v>3</v>
      </c>
      <c r="C17" s="47">
        <v>60</v>
      </c>
      <c r="D17" s="43">
        <f t="shared" si="4"/>
        <v>420</v>
      </c>
      <c r="E17" s="47">
        <f t="shared" si="5"/>
        <v>10500</v>
      </c>
      <c r="F17" s="47">
        <f t="shared" si="6"/>
        <v>126000</v>
      </c>
      <c r="G17" s="44">
        <f t="shared" si="7"/>
        <v>8.4</v>
      </c>
    </row>
    <row r="18" spans="1:7" ht="15.75">
      <c r="A18" s="62" t="s">
        <v>350</v>
      </c>
      <c r="B18" s="46">
        <v>1</v>
      </c>
      <c r="C18" s="47">
        <v>20</v>
      </c>
      <c r="D18" s="43">
        <f t="shared" si="4"/>
        <v>140</v>
      </c>
      <c r="E18" s="47">
        <f t="shared" si="5"/>
        <v>3500</v>
      </c>
      <c r="F18" s="47">
        <f t="shared" si="6"/>
        <v>42000</v>
      </c>
      <c r="G18" s="44">
        <f t="shared" si="7"/>
        <v>2.8</v>
      </c>
    </row>
    <row r="19" spans="1:7" ht="15.75">
      <c r="A19" s="62" t="s">
        <v>351</v>
      </c>
      <c r="B19" s="46">
        <v>5</v>
      </c>
      <c r="C19" s="47">
        <v>0.5</v>
      </c>
      <c r="D19" s="43">
        <f t="shared" si="4"/>
        <v>3.5</v>
      </c>
      <c r="E19" s="47">
        <f t="shared" si="5"/>
        <v>87.5</v>
      </c>
      <c r="F19" s="47">
        <f t="shared" si="6"/>
        <v>1050</v>
      </c>
      <c r="G19" s="44">
        <f t="shared" si="7"/>
        <v>0.07</v>
      </c>
    </row>
    <row r="20" spans="1:7" ht="15.75">
      <c r="A20" s="62" t="s">
        <v>352</v>
      </c>
      <c r="B20" s="46">
        <v>1</v>
      </c>
      <c r="C20" s="47">
        <v>40</v>
      </c>
      <c r="D20" s="43">
        <f t="shared" si="4"/>
        <v>280</v>
      </c>
      <c r="E20" s="47">
        <f t="shared" si="5"/>
        <v>7000</v>
      </c>
      <c r="F20" s="47">
        <f t="shared" si="6"/>
        <v>84000</v>
      </c>
      <c r="G20" s="44">
        <f t="shared" si="7"/>
        <v>5.6</v>
      </c>
    </row>
    <row r="21" spans="1:7" ht="15.75">
      <c r="A21" s="62" t="s">
        <v>353</v>
      </c>
      <c r="B21" s="46">
        <v>1</v>
      </c>
      <c r="C21" s="47">
        <v>77.5</v>
      </c>
      <c r="D21" s="43">
        <f t="shared" si="4"/>
        <v>542.5</v>
      </c>
      <c r="E21" s="47">
        <f t="shared" si="5"/>
        <v>13562.5</v>
      </c>
      <c r="F21" s="47">
        <f t="shared" si="6"/>
        <v>162750</v>
      </c>
      <c r="G21" s="44">
        <f t="shared" si="7"/>
        <v>10.85</v>
      </c>
    </row>
    <row r="22" spans="1:13" ht="15.75">
      <c r="A22" s="62" t="s">
        <v>354</v>
      </c>
      <c r="B22" s="47"/>
      <c r="C22" s="47">
        <v>2</v>
      </c>
      <c r="D22" s="43">
        <f t="shared" si="4"/>
        <v>14</v>
      </c>
      <c r="E22" s="47">
        <f t="shared" si="5"/>
        <v>350</v>
      </c>
      <c r="F22" s="47">
        <f t="shared" si="6"/>
        <v>4200</v>
      </c>
      <c r="G22" s="44">
        <f t="shared" si="7"/>
        <v>0.28</v>
      </c>
      <c r="L22" s="240"/>
      <c r="M22" s="240"/>
    </row>
    <row r="23" spans="1:12" ht="16.5" thickBot="1">
      <c r="A23" s="360" t="s">
        <v>72</v>
      </c>
      <c r="B23" s="361"/>
      <c r="C23" s="362"/>
      <c r="D23" s="99">
        <f>SUM(D4:D22)</f>
        <v>2899.8</v>
      </c>
      <c r="E23" s="99">
        <f>SUM(E4:E22)</f>
        <v>72495</v>
      </c>
      <c r="F23" s="99">
        <f>SUM(F4:F22)</f>
        <v>869940</v>
      </c>
      <c r="G23" s="100">
        <f>SUM(G4:G22)</f>
        <v>57.996</v>
      </c>
      <c r="I23" s="63"/>
      <c r="L23" s="238"/>
    </row>
    <row r="24" spans="9:12" ht="15.75" thickBot="1">
      <c r="I24" s="63"/>
      <c r="L24" s="238"/>
    </row>
    <row r="25" spans="1:9" ht="16.5" thickBot="1">
      <c r="A25" s="350" t="s">
        <v>103</v>
      </c>
      <c r="B25" s="351"/>
      <c r="C25" s="351"/>
      <c r="D25" s="351"/>
      <c r="E25" s="352"/>
      <c r="I25" s="63"/>
    </row>
    <row r="26" spans="1:9" ht="16.5" thickBot="1">
      <c r="A26" s="101" t="s">
        <v>104</v>
      </c>
      <c r="B26" s="102" t="s">
        <v>105</v>
      </c>
      <c r="C26" s="102" t="s">
        <v>106</v>
      </c>
      <c r="D26" s="102" t="s">
        <v>107</v>
      </c>
      <c r="E26" s="103" t="s">
        <v>108</v>
      </c>
      <c r="I26" s="63"/>
    </row>
    <row r="27" spans="1:5" ht="16.5" thickTop="1">
      <c r="A27" s="45" t="s">
        <v>336</v>
      </c>
      <c r="B27" s="52">
        <f aca="true" t="shared" si="8" ref="B27:B42">(C27/25)</f>
        <v>19.36</v>
      </c>
      <c r="C27" s="52">
        <f>484*1</f>
        <v>484</v>
      </c>
      <c r="D27" s="52">
        <f aca="true" t="shared" si="9" ref="D27:D42">(C27*12)</f>
        <v>5808</v>
      </c>
      <c r="E27" s="51">
        <f>+D27/15000</f>
        <v>0.3872</v>
      </c>
    </row>
    <row r="28" spans="1:5" ht="15.75">
      <c r="A28" s="45" t="s">
        <v>185</v>
      </c>
      <c r="B28" s="52">
        <f>(C28/25)</f>
        <v>19.36</v>
      </c>
      <c r="C28" s="52">
        <v>484</v>
      </c>
      <c r="D28" s="52">
        <f>(C28*12)</f>
        <v>5808</v>
      </c>
      <c r="E28" s="51">
        <f>+D28/15000</f>
        <v>0.3872</v>
      </c>
    </row>
    <row r="29" spans="1:5" ht="15.75">
      <c r="A29" s="49" t="s">
        <v>186</v>
      </c>
      <c r="B29" s="52">
        <f>(C29/25)</f>
        <v>19.36</v>
      </c>
      <c r="C29" s="50">
        <v>484</v>
      </c>
      <c r="D29" s="52">
        <f>(C29*12)</f>
        <v>5808</v>
      </c>
      <c r="E29" s="51">
        <f>+D29/15000</f>
        <v>0.3872</v>
      </c>
    </row>
    <row r="30" spans="1:5" ht="15.75">
      <c r="A30" s="45" t="s">
        <v>187</v>
      </c>
      <c r="B30" s="52">
        <f t="shared" si="8"/>
        <v>17.32</v>
      </c>
      <c r="C30" s="52">
        <v>433</v>
      </c>
      <c r="D30" s="52">
        <f aca="true" t="shared" si="10" ref="D30">(C30*12)</f>
        <v>5196</v>
      </c>
      <c r="E30" s="51">
        <f aca="true" t="shared" si="11" ref="E30:E42">+D30/15000</f>
        <v>0.3464</v>
      </c>
    </row>
    <row r="31" spans="1:5" ht="15.75">
      <c r="A31" s="45" t="s">
        <v>256</v>
      </c>
      <c r="B31" s="52">
        <f t="shared" si="8"/>
        <v>15.28</v>
      </c>
      <c r="C31" s="52">
        <v>382</v>
      </c>
      <c r="D31" s="52">
        <f aca="true" t="shared" si="12" ref="D31:D33">(C31*12)</f>
        <v>4584</v>
      </c>
      <c r="E31" s="51">
        <f t="shared" si="11"/>
        <v>0.3056</v>
      </c>
    </row>
    <row r="32" spans="1:5" ht="15.75">
      <c r="A32" s="45" t="s">
        <v>334</v>
      </c>
      <c r="B32" s="52">
        <f t="shared" si="8"/>
        <v>51.96</v>
      </c>
      <c r="C32" s="52">
        <f>433*3</f>
        <v>1299</v>
      </c>
      <c r="D32" s="52">
        <f t="shared" si="12"/>
        <v>15588</v>
      </c>
      <c r="E32" s="51">
        <f t="shared" si="11"/>
        <v>1.0392</v>
      </c>
    </row>
    <row r="33" spans="1:5" ht="15.75">
      <c r="A33" s="45" t="s">
        <v>335</v>
      </c>
      <c r="B33" s="52">
        <f t="shared" si="8"/>
        <v>45.84</v>
      </c>
      <c r="C33" s="52">
        <f>382*3</f>
        <v>1146</v>
      </c>
      <c r="D33" s="52">
        <f t="shared" si="12"/>
        <v>13752</v>
      </c>
      <c r="E33" s="51">
        <f t="shared" si="11"/>
        <v>0.9168</v>
      </c>
    </row>
    <row r="34" spans="1:5" ht="15.75">
      <c r="A34" s="45" t="s">
        <v>339</v>
      </c>
      <c r="B34" s="52">
        <f t="shared" si="8"/>
        <v>18</v>
      </c>
      <c r="C34" s="52">
        <v>450</v>
      </c>
      <c r="D34" s="52">
        <f aca="true" t="shared" si="13" ref="D34:D35">(C34*12)</f>
        <v>5400</v>
      </c>
      <c r="E34" s="51">
        <f aca="true" t="shared" si="14" ref="E34:E35">+D34/15000</f>
        <v>0.36</v>
      </c>
    </row>
    <row r="35" spans="1:5" ht="15.75">
      <c r="A35" s="45" t="s">
        <v>338</v>
      </c>
      <c r="B35" s="52">
        <f t="shared" si="8"/>
        <v>36</v>
      </c>
      <c r="C35" s="52">
        <f>450*2</f>
        <v>900</v>
      </c>
      <c r="D35" s="52">
        <f t="shared" si="13"/>
        <v>10800</v>
      </c>
      <c r="E35" s="51">
        <f t="shared" si="14"/>
        <v>0.72</v>
      </c>
    </row>
    <row r="36" spans="1:5" ht="15.75">
      <c r="A36" s="45" t="s">
        <v>340</v>
      </c>
      <c r="B36" s="52">
        <f t="shared" si="8"/>
        <v>27.84</v>
      </c>
      <c r="C36" s="52">
        <f>348*2</f>
        <v>696</v>
      </c>
      <c r="D36" s="52">
        <f aca="true" t="shared" si="15" ref="D36:D37">(C36*12)</f>
        <v>8352</v>
      </c>
      <c r="E36" s="51">
        <f aca="true" t="shared" si="16" ref="E36:E37">+D36/15000</f>
        <v>0.5568</v>
      </c>
    </row>
    <row r="37" spans="1:5" ht="15.75">
      <c r="A37" s="45" t="s">
        <v>341</v>
      </c>
      <c r="B37" s="52">
        <f t="shared" si="8"/>
        <v>13.92</v>
      </c>
      <c r="C37" s="52">
        <v>348</v>
      </c>
      <c r="D37" s="52">
        <f t="shared" si="15"/>
        <v>4176</v>
      </c>
      <c r="E37" s="51">
        <f t="shared" si="16"/>
        <v>0.2784</v>
      </c>
    </row>
    <row r="38" spans="1:5" ht="15.75">
      <c r="A38" s="45" t="s">
        <v>342</v>
      </c>
      <c r="B38" s="52">
        <f aca="true" t="shared" si="17" ref="B38">(C38/25)</f>
        <v>45.84</v>
      </c>
      <c r="C38" s="52">
        <f>382*3</f>
        <v>1146</v>
      </c>
      <c r="D38" s="52">
        <f aca="true" t="shared" si="18" ref="D38">(C38*12)</f>
        <v>13752</v>
      </c>
      <c r="E38" s="51">
        <f aca="true" t="shared" si="19" ref="E38">+D38/15000</f>
        <v>0.9168</v>
      </c>
    </row>
    <row r="39" spans="1:5" ht="15.75">
      <c r="A39" s="45" t="s">
        <v>261</v>
      </c>
      <c r="B39" s="197">
        <f t="shared" si="8"/>
        <v>284.24</v>
      </c>
      <c r="C39" s="197">
        <f>SUM(C27:C37)</f>
        <v>7106</v>
      </c>
      <c r="D39" s="197">
        <f t="shared" si="9"/>
        <v>85272</v>
      </c>
      <c r="E39" s="51">
        <f t="shared" si="11"/>
        <v>5.6848</v>
      </c>
    </row>
    <row r="40" spans="1:5" ht="15.75">
      <c r="A40" s="45" t="s">
        <v>235</v>
      </c>
      <c r="B40" s="197">
        <f t="shared" si="8"/>
        <v>709.92</v>
      </c>
      <c r="C40" s="197">
        <f>51*348</f>
        <v>17748</v>
      </c>
      <c r="D40" s="197">
        <f aca="true" t="shared" si="20" ref="D40:D41">(C40*12)</f>
        <v>212976</v>
      </c>
      <c r="E40" s="51">
        <f aca="true" t="shared" si="21" ref="E40:E41">+D40/15000</f>
        <v>14.1984</v>
      </c>
    </row>
    <row r="41" spans="1:5" ht="15.75">
      <c r="A41" s="45" t="s">
        <v>236</v>
      </c>
      <c r="B41" s="197">
        <f t="shared" si="8"/>
        <v>31.69276</v>
      </c>
      <c r="C41" s="197">
        <f>11.15%*SUM(C27:C37)</f>
        <v>792.319</v>
      </c>
      <c r="D41" s="197">
        <f t="shared" si="20"/>
        <v>9507.828</v>
      </c>
      <c r="E41" s="51">
        <f t="shared" si="21"/>
        <v>0.6338552</v>
      </c>
    </row>
    <row r="42" spans="1:5" ht="16.5" thickBot="1">
      <c r="A42" s="48" t="s">
        <v>110</v>
      </c>
      <c r="B42" s="53">
        <f t="shared" si="8"/>
        <v>60</v>
      </c>
      <c r="C42" s="53">
        <v>1500</v>
      </c>
      <c r="D42" s="53">
        <f t="shared" si="9"/>
        <v>18000</v>
      </c>
      <c r="E42" s="241">
        <f t="shared" si="11"/>
        <v>1.2</v>
      </c>
    </row>
    <row r="43" spans="1:5" ht="17.25" thickBot="1" thickTop="1">
      <c r="A43" s="189" t="s">
        <v>72</v>
      </c>
      <c r="B43" s="99">
        <f>SUM(B27:B42)</f>
        <v>1415.93276</v>
      </c>
      <c r="C43" s="99">
        <f>SUM(C27:C42)</f>
        <v>35398.319</v>
      </c>
      <c r="D43" s="99">
        <f>SUM(D27:D42)</f>
        <v>424779.828</v>
      </c>
      <c r="E43" s="100">
        <f>SUM(E27:E42)</f>
        <v>28.3186552</v>
      </c>
    </row>
    <row r="44" spans="1:10" ht="16.5" thickBot="1">
      <c r="A44" s="54"/>
      <c r="B44" s="55"/>
      <c r="C44" s="55"/>
      <c r="D44" s="55"/>
      <c r="E44" s="55"/>
      <c r="F44" s="56"/>
      <c r="G44" s="56"/>
      <c r="H44" s="56"/>
      <c r="I44" s="56"/>
      <c r="J44" s="56"/>
    </row>
    <row r="45" spans="1:5" ht="16.5" thickBot="1">
      <c r="A45" s="350" t="s">
        <v>111</v>
      </c>
      <c r="B45" s="351"/>
      <c r="C45" s="351"/>
      <c r="D45" s="351"/>
      <c r="E45" s="352"/>
    </row>
    <row r="46" spans="1:5" ht="16.5" thickBot="1">
      <c r="A46" s="104" t="s">
        <v>104</v>
      </c>
      <c r="B46" s="105" t="s">
        <v>105</v>
      </c>
      <c r="C46" s="105" t="s">
        <v>106</v>
      </c>
      <c r="D46" s="105" t="s">
        <v>107</v>
      </c>
      <c r="E46" s="106" t="s">
        <v>108</v>
      </c>
    </row>
    <row r="47" spans="1:9" ht="16.5" thickTop="1">
      <c r="A47" s="49" t="s">
        <v>109</v>
      </c>
      <c r="B47" s="50">
        <f>C47/25</f>
        <v>60</v>
      </c>
      <c r="C47" s="50">
        <v>1500</v>
      </c>
      <c r="D47" s="50">
        <f>C47*12</f>
        <v>18000</v>
      </c>
      <c r="E47" s="51">
        <f>+D47/15000</f>
        <v>1.2</v>
      </c>
      <c r="I47" s="63"/>
    </row>
    <row r="48" spans="1:5" ht="15.75">
      <c r="A48" s="45" t="s">
        <v>115</v>
      </c>
      <c r="B48" s="50">
        <f aca="true" t="shared" si="22" ref="B48:B55">C48/25</f>
        <v>20.04</v>
      </c>
      <c r="C48" s="52">
        <v>501</v>
      </c>
      <c r="D48" s="50">
        <f aca="true" t="shared" si="23" ref="D48:D56">C48*12</f>
        <v>6012</v>
      </c>
      <c r="E48" s="51">
        <f>+D48/15000</f>
        <v>0.4008</v>
      </c>
    </row>
    <row r="49" spans="1:5" ht="15.75">
      <c r="A49" s="45" t="s">
        <v>337</v>
      </c>
      <c r="B49" s="50">
        <f t="shared" si="22"/>
        <v>38.72</v>
      </c>
      <c r="C49" s="52">
        <f>484*2</f>
        <v>968</v>
      </c>
      <c r="D49" s="50">
        <f t="shared" si="23"/>
        <v>11616</v>
      </c>
      <c r="E49" s="51">
        <f>+D49/15000</f>
        <v>0.7744</v>
      </c>
    </row>
    <row r="50" spans="1:5" ht="15.75">
      <c r="A50" s="45" t="s">
        <v>116</v>
      </c>
      <c r="B50" s="50">
        <f t="shared" si="22"/>
        <v>41.76</v>
      </c>
      <c r="C50" s="52">
        <f>348*3</f>
        <v>1044</v>
      </c>
      <c r="D50" s="50">
        <f t="shared" si="23"/>
        <v>12528</v>
      </c>
      <c r="E50" s="51">
        <f>+D50/15000</f>
        <v>0.8352</v>
      </c>
    </row>
    <row r="51" spans="1:5" ht="15.75">
      <c r="A51" s="49" t="s">
        <v>112</v>
      </c>
      <c r="B51" s="50">
        <f t="shared" si="22"/>
        <v>48</v>
      </c>
      <c r="C51" s="50">
        <v>1200</v>
      </c>
      <c r="D51" s="50">
        <f t="shared" si="23"/>
        <v>14400</v>
      </c>
      <c r="E51" s="51">
        <f aca="true" t="shared" si="24" ref="E51:E56">+D51/15000</f>
        <v>0.96</v>
      </c>
    </row>
    <row r="52" spans="1:5" ht="15.75">
      <c r="A52" s="45" t="s">
        <v>113</v>
      </c>
      <c r="B52" s="50">
        <f t="shared" si="22"/>
        <v>52</v>
      </c>
      <c r="C52" s="52">
        <v>1300</v>
      </c>
      <c r="D52" s="50">
        <f t="shared" si="23"/>
        <v>15600</v>
      </c>
      <c r="E52" s="51">
        <f t="shared" si="24"/>
        <v>1.04</v>
      </c>
    </row>
    <row r="53" spans="1:5" ht="15.75">
      <c r="A53" s="45" t="s">
        <v>262</v>
      </c>
      <c r="B53" s="50">
        <f t="shared" si="22"/>
        <v>260.52</v>
      </c>
      <c r="C53" s="52">
        <f>SUM(C47:C52)</f>
        <v>6513</v>
      </c>
      <c r="D53" s="50">
        <f t="shared" si="23"/>
        <v>78156</v>
      </c>
      <c r="E53" s="51">
        <f aca="true" t="shared" si="25" ref="E53:E55">+D53/15000</f>
        <v>5.2104</v>
      </c>
    </row>
    <row r="54" spans="1:5" ht="15.75">
      <c r="A54" s="45" t="s">
        <v>263</v>
      </c>
      <c r="B54" s="50">
        <f t="shared" si="22"/>
        <v>83.52</v>
      </c>
      <c r="C54" s="52">
        <f>6*348</f>
        <v>2088</v>
      </c>
      <c r="D54" s="50">
        <f t="shared" si="23"/>
        <v>25056</v>
      </c>
      <c r="E54" s="51">
        <f t="shared" si="25"/>
        <v>1.6704</v>
      </c>
    </row>
    <row r="55" spans="1:5" ht="15.75">
      <c r="A55" s="45" t="s">
        <v>264</v>
      </c>
      <c r="B55" s="50">
        <f t="shared" si="22"/>
        <v>17.89798</v>
      </c>
      <c r="C55" s="52">
        <f>11.15%*(SUM(C47:C50))</f>
        <v>447.4495</v>
      </c>
      <c r="D55" s="50">
        <f t="shared" si="23"/>
        <v>5369.394</v>
      </c>
      <c r="E55" s="51">
        <f t="shared" si="25"/>
        <v>0.3579596</v>
      </c>
    </row>
    <row r="56" spans="1:5" ht="15.75">
      <c r="A56" s="45" t="s">
        <v>114</v>
      </c>
      <c r="B56" s="52">
        <v>2</v>
      </c>
      <c r="C56" s="52">
        <f>+B56*25</f>
        <v>50</v>
      </c>
      <c r="D56" s="50">
        <f t="shared" si="23"/>
        <v>600</v>
      </c>
      <c r="E56" s="51">
        <f t="shared" si="24"/>
        <v>0.04</v>
      </c>
    </row>
    <row r="57" spans="1:6" ht="16.5" thickBot="1">
      <c r="A57" s="189" t="s">
        <v>72</v>
      </c>
      <c r="B57" s="107">
        <f>SUM(B47:B56)</f>
        <v>624.4579799999999</v>
      </c>
      <c r="C57" s="107">
        <f>SUM(C47:C56)</f>
        <v>15611.4495</v>
      </c>
      <c r="D57" s="107">
        <f>C57*12</f>
        <v>187337.394</v>
      </c>
      <c r="E57" s="100">
        <f>SUM(E47:E56)</f>
        <v>12.489159599999999</v>
      </c>
      <c r="F57" s="2"/>
    </row>
    <row r="58" ht="15.75" thickBot="1"/>
    <row r="59" spans="1:8" ht="16.5" thickBot="1">
      <c r="A59" s="350" t="s">
        <v>117</v>
      </c>
      <c r="B59" s="351"/>
      <c r="C59" s="351"/>
      <c r="D59" s="351"/>
      <c r="E59" s="351"/>
      <c r="F59" s="351"/>
      <c r="G59" s="351"/>
      <c r="H59" s="352"/>
    </row>
    <row r="60" spans="1:8" ht="15.75" thickBot="1">
      <c r="A60" s="108" t="s">
        <v>118</v>
      </c>
      <c r="B60" s="109" t="s">
        <v>119</v>
      </c>
      <c r="C60" s="109" t="s">
        <v>120</v>
      </c>
      <c r="D60" s="109" t="s">
        <v>121</v>
      </c>
      <c r="E60" s="109" t="s">
        <v>122</v>
      </c>
      <c r="F60" s="109" t="s">
        <v>123</v>
      </c>
      <c r="G60" s="109" t="s">
        <v>124</v>
      </c>
      <c r="H60" s="110" t="s">
        <v>125</v>
      </c>
    </row>
    <row r="61" spans="1:8" ht="15.75" thickTop="1">
      <c r="A61" s="57" t="s">
        <v>126</v>
      </c>
      <c r="B61" s="13" t="s">
        <v>127</v>
      </c>
      <c r="C61" s="35">
        <v>70</v>
      </c>
      <c r="D61" s="64">
        <v>10</v>
      </c>
      <c r="E61" s="35">
        <f>(F61/25)</f>
        <v>28</v>
      </c>
      <c r="F61" s="35">
        <f aca="true" t="shared" si="26" ref="F61:F67">+C61*D61</f>
        <v>700</v>
      </c>
      <c r="G61" s="35">
        <f aca="true" t="shared" si="27" ref="G61:G79">(F61*12)</f>
        <v>8400</v>
      </c>
      <c r="H61" s="36">
        <f>+G61/15000</f>
        <v>0.56</v>
      </c>
    </row>
    <row r="62" spans="1:8" ht="15">
      <c r="A62" s="58" t="s">
        <v>128</v>
      </c>
      <c r="B62" s="26" t="s">
        <v>129</v>
      </c>
      <c r="C62" s="39">
        <v>24.5</v>
      </c>
      <c r="D62" s="65">
        <v>10</v>
      </c>
      <c r="E62" s="39">
        <f aca="true" t="shared" si="28" ref="E62:E70">(F62/25)</f>
        <v>9.8</v>
      </c>
      <c r="F62" s="35">
        <f t="shared" si="26"/>
        <v>245</v>
      </c>
      <c r="G62" s="39">
        <f t="shared" si="27"/>
        <v>2940</v>
      </c>
      <c r="H62" s="36">
        <f aca="true" t="shared" si="29" ref="H62:H78">+G62/15000</f>
        <v>0.196</v>
      </c>
    </row>
    <row r="63" spans="1:8" ht="15">
      <c r="A63" s="58" t="s">
        <v>130</v>
      </c>
      <c r="B63" s="26" t="s">
        <v>131</v>
      </c>
      <c r="C63" s="39">
        <v>60</v>
      </c>
      <c r="D63" s="65">
        <v>25</v>
      </c>
      <c r="E63" s="39">
        <f t="shared" si="28"/>
        <v>60</v>
      </c>
      <c r="F63" s="35">
        <f t="shared" si="26"/>
        <v>1500</v>
      </c>
      <c r="G63" s="39">
        <f t="shared" si="27"/>
        <v>18000</v>
      </c>
      <c r="H63" s="36">
        <f t="shared" si="29"/>
        <v>1.2</v>
      </c>
    </row>
    <row r="64" spans="1:10" ht="15">
      <c r="A64" s="58" t="s">
        <v>132</v>
      </c>
      <c r="B64" s="26" t="s">
        <v>133</v>
      </c>
      <c r="C64" s="39">
        <v>15</v>
      </c>
      <c r="D64" s="65">
        <v>13</v>
      </c>
      <c r="E64" s="39">
        <f t="shared" si="28"/>
        <v>7.8</v>
      </c>
      <c r="F64" s="35">
        <f t="shared" si="26"/>
        <v>195</v>
      </c>
      <c r="G64" s="39">
        <f t="shared" si="27"/>
        <v>2340</v>
      </c>
      <c r="H64" s="36">
        <f t="shared" si="29"/>
        <v>0.156</v>
      </c>
      <c r="J64" s="2"/>
    </row>
    <row r="65" spans="1:8" ht="15">
      <c r="A65" s="58" t="s">
        <v>134</v>
      </c>
      <c r="B65" s="26" t="s">
        <v>135</v>
      </c>
      <c r="C65" s="39">
        <v>1</v>
      </c>
      <c r="D65" s="65">
        <v>150</v>
      </c>
      <c r="E65" s="39">
        <f t="shared" si="28"/>
        <v>6</v>
      </c>
      <c r="F65" s="39">
        <f t="shared" si="26"/>
        <v>150</v>
      </c>
      <c r="G65" s="39">
        <f t="shared" si="27"/>
        <v>1800</v>
      </c>
      <c r="H65" s="36">
        <f t="shared" si="29"/>
        <v>0.12</v>
      </c>
    </row>
    <row r="66" spans="1:8" ht="15">
      <c r="A66" s="58" t="s">
        <v>370</v>
      </c>
      <c r="B66" s="26"/>
      <c r="C66" s="39"/>
      <c r="E66" s="39">
        <f t="shared" si="28"/>
        <v>108</v>
      </c>
      <c r="F66" s="65">
        <v>2700</v>
      </c>
      <c r="G66" s="39">
        <f aca="true" t="shared" si="30" ref="G66">(F66*12)</f>
        <v>32400</v>
      </c>
      <c r="H66" s="36">
        <f aca="true" t="shared" si="31" ref="H66">+G66/15000</f>
        <v>2.16</v>
      </c>
    </row>
    <row r="67" spans="1:8" ht="15">
      <c r="A67" s="58" t="s">
        <v>136</v>
      </c>
      <c r="B67" s="26" t="s">
        <v>129</v>
      </c>
      <c r="C67" s="39">
        <v>75</v>
      </c>
      <c r="D67" s="65">
        <v>6</v>
      </c>
      <c r="E67" s="39">
        <f t="shared" si="28"/>
        <v>18</v>
      </c>
      <c r="F67" s="39">
        <f t="shared" si="26"/>
        <v>450</v>
      </c>
      <c r="G67" s="39">
        <f t="shared" si="27"/>
        <v>5400</v>
      </c>
      <c r="H67" s="36">
        <f t="shared" si="29"/>
        <v>0.36</v>
      </c>
    </row>
    <row r="68" spans="1:8" ht="15">
      <c r="A68" s="143" t="s">
        <v>381</v>
      </c>
      <c r="B68" s="32" t="s">
        <v>379</v>
      </c>
      <c r="C68" s="144">
        <v>300</v>
      </c>
      <c r="D68" s="145"/>
      <c r="E68" s="144">
        <f t="shared" si="28"/>
        <v>1</v>
      </c>
      <c r="F68" s="39">
        <f aca="true" t="shared" si="32" ref="F68:F70">G68/12</f>
        <v>25</v>
      </c>
      <c r="G68" s="144">
        <f aca="true" t="shared" si="33" ref="G68:G70">C68</f>
        <v>300</v>
      </c>
      <c r="H68" s="36">
        <f t="shared" si="29"/>
        <v>0.02</v>
      </c>
    </row>
    <row r="69" spans="1:8" ht="15">
      <c r="A69" s="143" t="s">
        <v>382</v>
      </c>
      <c r="B69" s="32" t="s">
        <v>379</v>
      </c>
      <c r="C69" s="144">
        <v>1000</v>
      </c>
      <c r="D69" s="145"/>
      <c r="E69" s="144">
        <f t="shared" si="28"/>
        <v>3.333333333333333</v>
      </c>
      <c r="F69" s="39">
        <f>G69/12</f>
        <v>83.33333333333333</v>
      </c>
      <c r="G69" s="144">
        <f t="shared" si="33"/>
        <v>1000</v>
      </c>
      <c r="H69" s="36">
        <f t="shared" si="29"/>
        <v>0.06666666666666667</v>
      </c>
    </row>
    <row r="70" spans="1:8" ht="15">
      <c r="A70" s="143" t="s">
        <v>378</v>
      </c>
      <c r="B70" s="32" t="s">
        <v>379</v>
      </c>
      <c r="C70" s="144">
        <f>+(('Inv Lixiviacion'!E48+'Inv Ofi y desc'!E23+'Inv Flotacion'!E8)/1000)*2</f>
        <v>1624.06844</v>
      </c>
      <c r="D70" s="145"/>
      <c r="E70" s="144">
        <f t="shared" si="28"/>
        <v>5.413561466666667</v>
      </c>
      <c r="F70" s="39">
        <f t="shared" si="32"/>
        <v>135.33903666666666</v>
      </c>
      <c r="G70" s="144">
        <f t="shared" si="33"/>
        <v>1624.06844</v>
      </c>
      <c r="H70" s="36">
        <f t="shared" si="29"/>
        <v>0.10827122933333333</v>
      </c>
    </row>
    <row r="71" spans="1:8" ht="15">
      <c r="A71" s="143" t="s">
        <v>376</v>
      </c>
      <c r="B71" s="32" t="s">
        <v>379</v>
      </c>
      <c r="C71" s="144">
        <f>+(('Inv Lixiviacion'!E48+'Inv Ofi y desc'!E23+'Inv Flotacion'!E8)/1000)*2</f>
        <v>1624.06844</v>
      </c>
      <c r="D71" s="145"/>
      <c r="E71" s="144">
        <f>(F71/25)</f>
        <v>5.413561466666667</v>
      </c>
      <c r="F71" s="39">
        <f>G71/12</f>
        <v>135.33903666666666</v>
      </c>
      <c r="G71" s="144">
        <f>C71</f>
        <v>1624.06844</v>
      </c>
      <c r="H71" s="36">
        <f>+G71/15000</f>
        <v>0.10827122933333333</v>
      </c>
    </row>
    <row r="72" spans="1:8" ht="15">
      <c r="A72" s="143" t="s">
        <v>377</v>
      </c>
      <c r="B72" s="32" t="s">
        <v>379</v>
      </c>
      <c r="C72" s="144">
        <v>3200</v>
      </c>
      <c r="D72" s="145"/>
      <c r="E72" s="144">
        <f>(F72/25)</f>
        <v>10.666666666666668</v>
      </c>
      <c r="F72" s="39">
        <f aca="true" t="shared" si="34" ref="F72">G72/12</f>
        <v>266.6666666666667</v>
      </c>
      <c r="G72" s="144">
        <f>C72</f>
        <v>3200</v>
      </c>
      <c r="H72" s="36">
        <f>+G72/15000</f>
        <v>0.21333333333333335</v>
      </c>
    </row>
    <row r="73" spans="1:8" ht="15">
      <c r="A73" s="143" t="s">
        <v>371</v>
      </c>
      <c r="B73" s="32" t="s">
        <v>380</v>
      </c>
      <c r="C73" s="144">
        <v>2200</v>
      </c>
      <c r="D73" s="145"/>
      <c r="E73" s="39">
        <f>+F73/25</f>
        <v>2.4444444444444446</v>
      </c>
      <c r="F73" s="39">
        <f>+G73/12</f>
        <v>61.111111111111114</v>
      </c>
      <c r="G73" s="144">
        <f>+C73/3</f>
        <v>733.3333333333334</v>
      </c>
      <c r="H73" s="36">
        <f t="shared" si="29"/>
        <v>0.04888888888888889</v>
      </c>
    </row>
    <row r="74" spans="1:8" ht="15">
      <c r="A74" s="143" t="s">
        <v>201</v>
      </c>
      <c r="B74" s="32" t="s">
        <v>372</v>
      </c>
      <c r="C74" s="144">
        <v>20000</v>
      </c>
      <c r="D74" s="145"/>
      <c r="E74" s="39">
        <f>+F74/25</f>
        <v>6.666666666666666</v>
      </c>
      <c r="F74" s="39">
        <f>+G74/12</f>
        <v>166.66666666666666</v>
      </c>
      <c r="G74" s="144">
        <f>+C74/10</f>
        <v>2000</v>
      </c>
      <c r="H74" s="36">
        <f>+G74/15000</f>
        <v>0.13333333333333333</v>
      </c>
    </row>
    <row r="75" spans="1:8" ht="15">
      <c r="A75" s="143" t="s">
        <v>373</v>
      </c>
      <c r="B75" s="32" t="s">
        <v>372</v>
      </c>
      <c r="C75" s="144">
        <v>500</v>
      </c>
      <c r="D75" s="145"/>
      <c r="E75" s="39">
        <f aca="true" t="shared" si="35" ref="E75:E77">+F75/25</f>
        <v>0.16666666666666669</v>
      </c>
      <c r="F75" s="39">
        <f aca="true" t="shared" si="36" ref="F75:F77">+G75/12</f>
        <v>4.166666666666667</v>
      </c>
      <c r="G75" s="144">
        <f aca="true" t="shared" si="37" ref="G75:G76">+C75/10</f>
        <v>50</v>
      </c>
      <c r="H75" s="36">
        <f aca="true" t="shared" si="38" ref="H75:H77">+G75/15000</f>
        <v>0.0033333333333333335</v>
      </c>
    </row>
    <row r="76" spans="1:8" ht="15">
      <c r="A76" s="143" t="s">
        <v>374</v>
      </c>
      <c r="B76" s="32" t="s">
        <v>372</v>
      </c>
      <c r="C76" s="144">
        <v>4000</v>
      </c>
      <c r="D76" s="145"/>
      <c r="E76" s="39">
        <f t="shared" si="35"/>
        <v>1.3333333333333335</v>
      </c>
      <c r="F76" s="39">
        <f t="shared" si="36"/>
        <v>33.333333333333336</v>
      </c>
      <c r="G76" s="144">
        <f t="shared" si="37"/>
        <v>400</v>
      </c>
      <c r="H76" s="36">
        <f t="shared" si="38"/>
        <v>0.02666666666666667</v>
      </c>
    </row>
    <row r="77" spans="1:8" ht="15">
      <c r="A77" s="143" t="s">
        <v>375</v>
      </c>
      <c r="B77" s="32" t="s">
        <v>372</v>
      </c>
      <c r="C77" s="144">
        <v>500</v>
      </c>
      <c r="D77" s="145"/>
      <c r="E77" s="39">
        <f t="shared" si="35"/>
        <v>0.16666666666666669</v>
      </c>
      <c r="F77" s="39">
        <f t="shared" si="36"/>
        <v>4.166666666666667</v>
      </c>
      <c r="G77" s="144">
        <f aca="true" t="shared" si="39" ref="G77">+C77/10</f>
        <v>50</v>
      </c>
      <c r="H77" s="36">
        <f t="shared" si="38"/>
        <v>0.0033333333333333335</v>
      </c>
    </row>
    <row r="78" spans="1:8" ht="15.75" thickBot="1">
      <c r="A78" s="59" t="s">
        <v>137</v>
      </c>
      <c r="B78" s="60"/>
      <c r="C78" s="61"/>
      <c r="D78" s="61"/>
      <c r="E78" s="61">
        <v>100</v>
      </c>
      <c r="F78" s="61">
        <f>E78*25</f>
        <v>2500</v>
      </c>
      <c r="G78" s="61">
        <f t="shared" si="27"/>
        <v>30000</v>
      </c>
      <c r="H78" s="94">
        <f t="shared" si="29"/>
        <v>2</v>
      </c>
    </row>
    <row r="79" spans="1:9" ht="16.5" thickBot="1" thickTop="1">
      <c r="A79" s="353" t="s">
        <v>77</v>
      </c>
      <c r="B79" s="354"/>
      <c r="C79" s="354"/>
      <c r="D79" s="355"/>
      <c r="E79" s="111">
        <f>(F79/25)</f>
        <v>374.2049007111111</v>
      </c>
      <c r="F79" s="111">
        <f>SUM(F61:F78)</f>
        <v>9355.122517777778</v>
      </c>
      <c r="G79" s="111">
        <f t="shared" si="27"/>
        <v>112261.47021333333</v>
      </c>
      <c r="H79" s="111">
        <f>SUM(H61:H78)</f>
        <v>7.48409801422222</v>
      </c>
      <c r="I79" s="2"/>
    </row>
    <row r="81" ht="15.75" thickBot="1"/>
    <row r="82" spans="2:7" ht="16.5" thickBot="1">
      <c r="B82" s="171" t="s">
        <v>148</v>
      </c>
      <c r="C82" s="171" t="s">
        <v>149</v>
      </c>
      <c r="D82" s="171" t="s">
        <v>151</v>
      </c>
      <c r="E82" s="171" t="s">
        <v>18</v>
      </c>
      <c r="F82" s="171" t="s">
        <v>150</v>
      </c>
      <c r="G82" s="171" t="s">
        <v>72</v>
      </c>
    </row>
    <row r="83" spans="2:7" ht="15.75" thickTop="1">
      <c r="B83" s="79">
        <v>1</v>
      </c>
      <c r="C83" s="76">
        <f>E23</f>
        <v>72495</v>
      </c>
      <c r="D83" s="76">
        <f>F79</f>
        <v>9355.122517777778</v>
      </c>
      <c r="E83" s="76">
        <f>C43</f>
        <v>35398.319</v>
      </c>
      <c r="F83" s="76">
        <f>C57</f>
        <v>15611.4495</v>
      </c>
      <c r="G83" s="146">
        <f aca="true" t="shared" si="40" ref="G83:G95">SUM(C83:F83)</f>
        <v>132859.8910177778</v>
      </c>
    </row>
    <row r="84" spans="2:7" ht="15">
      <c r="B84" s="79">
        <v>2</v>
      </c>
      <c r="C84" s="76">
        <f aca="true" t="shared" si="41" ref="C84:C94">C83</f>
        <v>72495</v>
      </c>
      <c r="D84" s="76">
        <f aca="true" t="shared" si="42" ref="D84:D94">D83</f>
        <v>9355.122517777778</v>
      </c>
      <c r="E84" s="76">
        <f aca="true" t="shared" si="43" ref="E84:E94">E83</f>
        <v>35398.319</v>
      </c>
      <c r="F84" s="76">
        <f aca="true" t="shared" si="44" ref="F84:F94">F83</f>
        <v>15611.4495</v>
      </c>
      <c r="G84" s="76">
        <f t="shared" si="40"/>
        <v>132859.8910177778</v>
      </c>
    </row>
    <row r="85" spans="2:7" ht="15">
      <c r="B85" s="79">
        <v>3</v>
      </c>
      <c r="C85" s="76">
        <f t="shared" si="41"/>
        <v>72495</v>
      </c>
      <c r="D85" s="76">
        <f t="shared" si="42"/>
        <v>9355.122517777778</v>
      </c>
      <c r="E85" s="76">
        <f t="shared" si="43"/>
        <v>35398.319</v>
      </c>
      <c r="F85" s="76">
        <f t="shared" si="44"/>
        <v>15611.4495</v>
      </c>
      <c r="G85" s="76">
        <f t="shared" si="40"/>
        <v>132859.8910177778</v>
      </c>
    </row>
    <row r="86" spans="2:7" ht="15">
      <c r="B86" s="79">
        <v>4</v>
      </c>
      <c r="C86" s="76">
        <f t="shared" si="41"/>
        <v>72495</v>
      </c>
      <c r="D86" s="76">
        <f t="shared" si="42"/>
        <v>9355.122517777778</v>
      </c>
      <c r="E86" s="76">
        <f t="shared" si="43"/>
        <v>35398.319</v>
      </c>
      <c r="F86" s="76">
        <f t="shared" si="44"/>
        <v>15611.4495</v>
      </c>
      <c r="G86" s="76">
        <f t="shared" si="40"/>
        <v>132859.8910177778</v>
      </c>
    </row>
    <row r="87" spans="2:7" ht="15">
      <c r="B87" s="79">
        <v>5</v>
      </c>
      <c r="C87" s="76">
        <f t="shared" si="41"/>
        <v>72495</v>
      </c>
      <c r="D87" s="76">
        <f t="shared" si="42"/>
        <v>9355.122517777778</v>
      </c>
      <c r="E87" s="76">
        <f t="shared" si="43"/>
        <v>35398.319</v>
      </c>
      <c r="F87" s="76">
        <f t="shared" si="44"/>
        <v>15611.4495</v>
      </c>
      <c r="G87" s="76">
        <f t="shared" si="40"/>
        <v>132859.8910177778</v>
      </c>
    </row>
    <row r="88" spans="2:7" ht="15">
      <c r="B88" s="79">
        <v>6</v>
      </c>
      <c r="C88" s="76">
        <f t="shared" si="41"/>
        <v>72495</v>
      </c>
      <c r="D88" s="76">
        <f t="shared" si="42"/>
        <v>9355.122517777778</v>
      </c>
      <c r="E88" s="76">
        <f t="shared" si="43"/>
        <v>35398.319</v>
      </c>
      <c r="F88" s="76">
        <f t="shared" si="44"/>
        <v>15611.4495</v>
      </c>
      <c r="G88" s="76">
        <f t="shared" si="40"/>
        <v>132859.8910177778</v>
      </c>
    </row>
    <row r="89" spans="2:7" ht="15">
      <c r="B89" s="79">
        <v>7</v>
      </c>
      <c r="C89" s="76">
        <f t="shared" si="41"/>
        <v>72495</v>
      </c>
      <c r="D89" s="76">
        <f t="shared" si="42"/>
        <v>9355.122517777778</v>
      </c>
      <c r="E89" s="76">
        <f t="shared" si="43"/>
        <v>35398.319</v>
      </c>
      <c r="F89" s="76">
        <f t="shared" si="44"/>
        <v>15611.4495</v>
      </c>
      <c r="G89" s="76">
        <f t="shared" si="40"/>
        <v>132859.8910177778</v>
      </c>
    </row>
    <row r="90" spans="2:7" ht="15">
      <c r="B90" s="79">
        <v>8</v>
      </c>
      <c r="C90" s="76">
        <f t="shared" si="41"/>
        <v>72495</v>
      </c>
      <c r="D90" s="76">
        <f t="shared" si="42"/>
        <v>9355.122517777778</v>
      </c>
      <c r="E90" s="76">
        <f t="shared" si="43"/>
        <v>35398.319</v>
      </c>
      <c r="F90" s="76">
        <f t="shared" si="44"/>
        <v>15611.4495</v>
      </c>
      <c r="G90" s="76">
        <f t="shared" si="40"/>
        <v>132859.8910177778</v>
      </c>
    </row>
    <row r="91" spans="2:7" ht="15">
      <c r="B91" s="79">
        <v>9</v>
      </c>
      <c r="C91" s="76">
        <f t="shared" si="41"/>
        <v>72495</v>
      </c>
      <c r="D91" s="76">
        <f t="shared" si="42"/>
        <v>9355.122517777778</v>
      </c>
      <c r="E91" s="76">
        <f t="shared" si="43"/>
        <v>35398.319</v>
      </c>
      <c r="F91" s="76">
        <f t="shared" si="44"/>
        <v>15611.4495</v>
      </c>
      <c r="G91" s="76">
        <f t="shared" si="40"/>
        <v>132859.8910177778</v>
      </c>
    </row>
    <row r="92" spans="2:7" ht="15">
      <c r="B92" s="79">
        <v>10</v>
      </c>
      <c r="C92" s="76">
        <f t="shared" si="41"/>
        <v>72495</v>
      </c>
      <c r="D92" s="76">
        <f t="shared" si="42"/>
        <v>9355.122517777778</v>
      </c>
      <c r="E92" s="76">
        <f t="shared" si="43"/>
        <v>35398.319</v>
      </c>
      <c r="F92" s="76">
        <f t="shared" si="44"/>
        <v>15611.4495</v>
      </c>
      <c r="G92" s="76">
        <f t="shared" si="40"/>
        <v>132859.8910177778</v>
      </c>
    </row>
    <row r="93" spans="2:7" ht="15">
      <c r="B93" s="79">
        <v>11</v>
      </c>
      <c r="C93" s="76">
        <f t="shared" si="41"/>
        <v>72495</v>
      </c>
      <c r="D93" s="76">
        <f t="shared" si="42"/>
        <v>9355.122517777778</v>
      </c>
      <c r="E93" s="76">
        <f t="shared" si="43"/>
        <v>35398.319</v>
      </c>
      <c r="F93" s="76">
        <f t="shared" si="44"/>
        <v>15611.4495</v>
      </c>
      <c r="G93" s="76">
        <f t="shared" si="40"/>
        <v>132859.8910177778</v>
      </c>
    </row>
    <row r="94" spans="2:7" ht="15">
      <c r="B94" s="79">
        <v>12</v>
      </c>
      <c r="C94" s="76">
        <f t="shared" si="41"/>
        <v>72495</v>
      </c>
      <c r="D94" s="76">
        <f t="shared" si="42"/>
        <v>9355.122517777778</v>
      </c>
      <c r="E94" s="76">
        <f t="shared" si="43"/>
        <v>35398.319</v>
      </c>
      <c r="F94" s="76">
        <f t="shared" si="44"/>
        <v>15611.4495</v>
      </c>
      <c r="G94" s="76">
        <f t="shared" si="40"/>
        <v>132859.8910177778</v>
      </c>
    </row>
    <row r="95" spans="2:7" ht="15.75" thickBot="1">
      <c r="B95" s="176" t="s">
        <v>72</v>
      </c>
      <c r="C95" s="66">
        <f>SUM(C83:C94)</f>
        <v>869940</v>
      </c>
      <c r="D95" s="66">
        <f>SUM(D83:D94)</f>
        <v>112261.47021333336</v>
      </c>
      <c r="E95" s="66">
        <f>SUM(E83:E94)</f>
        <v>424779.82800000015</v>
      </c>
      <c r="F95" s="66">
        <f>SUM(F83:F94)</f>
        <v>187337.39399999997</v>
      </c>
      <c r="G95" s="66">
        <f t="shared" si="40"/>
        <v>1594318.6922133337</v>
      </c>
    </row>
  </sheetData>
  <mergeCells count="9">
    <mergeCell ref="J8:T8"/>
    <mergeCell ref="A59:H59"/>
    <mergeCell ref="A79:D79"/>
    <mergeCell ref="A1:G1"/>
    <mergeCell ref="A2:A3"/>
    <mergeCell ref="B2:B3"/>
    <mergeCell ref="A23:C23"/>
    <mergeCell ref="A25:E25"/>
    <mergeCell ref="A45:E4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workbookViewId="0" topLeftCell="A8">
      <selection activeCell="I37" sqref="I37"/>
    </sheetView>
  </sheetViews>
  <sheetFormatPr defaultColWidth="11.421875" defaultRowHeight="15"/>
  <cols>
    <col min="1" max="1" width="6.421875" style="0" bestFit="1" customWidth="1"/>
    <col min="2" max="2" width="27.00390625" style="0" customWidth="1"/>
    <col min="3" max="3" width="13.28125" style="0" bestFit="1" customWidth="1"/>
    <col min="4" max="4" width="6.00390625" style="0" bestFit="1" customWidth="1"/>
    <col min="5" max="5" width="14.140625" style="0" customWidth="1"/>
    <col min="6" max="6" width="6.140625" style="0" bestFit="1" customWidth="1"/>
    <col min="7" max="7" width="15.140625" style="0" bestFit="1" customWidth="1"/>
    <col min="8" max="8" width="13.00390625" style="0" customWidth="1"/>
    <col min="10" max="10" width="15.8515625" style="0" bestFit="1" customWidth="1"/>
    <col min="11" max="12" width="13.00390625" style="0" bestFit="1" customWidth="1"/>
  </cols>
  <sheetData>
    <row r="1" spans="1:8" ht="15">
      <c r="A1" s="92"/>
      <c r="B1" s="92"/>
      <c r="C1" s="92"/>
      <c r="D1" s="92"/>
      <c r="E1" s="92"/>
      <c r="F1" s="92"/>
      <c r="G1" s="92"/>
      <c r="H1" s="92"/>
    </row>
    <row r="2" spans="1:8" ht="15.75" thickBot="1">
      <c r="A2" s="92"/>
      <c r="B2" s="116"/>
      <c r="C2" s="92"/>
      <c r="D2" s="92"/>
      <c r="E2" s="92"/>
      <c r="F2" s="92"/>
      <c r="G2" s="92"/>
      <c r="H2" s="92"/>
    </row>
    <row r="3" spans="1:12" ht="30">
      <c r="A3" s="112" t="s">
        <v>71</v>
      </c>
      <c r="B3" s="112" t="s">
        <v>16</v>
      </c>
      <c r="C3" s="112" t="s">
        <v>330</v>
      </c>
      <c r="D3" s="112" t="s">
        <v>329</v>
      </c>
      <c r="E3" s="112" t="s">
        <v>327</v>
      </c>
      <c r="F3" s="112" t="s">
        <v>328</v>
      </c>
      <c r="G3" s="112" t="s">
        <v>87</v>
      </c>
      <c r="H3" s="113" t="s">
        <v>88</v>
      </c>
      <c r="J3" s="112" t="s">
        <v>213</v>
      </c>
      <c r="K3" s="112" t="s">
        <v>214</v>
      </c>
      <c r="L3" s="112" t="s">
        <v>215</v>
      </c>
    </row>
    <row r="4" spans="1:12" ht="15.75">
      <c r="A4" s="363" t="s">
        <v>59</v>
      </c>
      <c r="B4" s="364"/>
      <c r="C4" s="365"/>
      <c r="D4" s="37"/>
      <c r="E4" s="37"/>
      <c r="F4" s="37"/>
      <c r="G4" s="37"/>
      <c r="H4" s="37"/>
      <c r="J4" s="26" t="s">
        <v>208</v>
      </c>
      <c r="K4" s="76">
        <f>+C9+C10+C12+C14+C15+C23+C24+C25+C26+C27+C28+C30+C32+C33+C34+C44+C45+C46+C47</f>
        <v>141127.32</v>
      </c>
      <c r="L4" s="76">
        <f>+E9+E10+E12+E14+E15+E23+E24+E25+E26+E27+E28+E30+E32+E33+E34+E44+E45+E46+E47</f>
        <v>28225.464000000004</v>
      </c>
    </row>
    <row r="5" spans="1:12" ht="15">
      <c r="A5" s="93">
        <f>'Inv Mina'!A5</f>
        <v>1</v>
      </c>
      <c r="B5" s="26" t="s">
        <v>211</v>
      </c>
      <c r="C5" s="26">
        <f>'Inv Mina'!D5</f>
        <v>35000</v>
      </c>
      <c r="D5" s="89">
        <v>10</v>
      </c>
      <c r="E5" s="39">
        <f>+$C5/$D5</f>
        <v>3500</v>
      </c>
      <c r="F5" s="40">
        <v>10</v>
      </c>
      <c r="G5" s="39">
        <f>E5*F5</f>
        <v>35000</v>
      </c>
      <c r="H5" s="39">
        <f>C5-G5</f>
        <v>0</v>
      </c>
      <c r="J5" s="26" t="s">
        <v>207</v>
      </c>
      <c r="K5" s="76">
        <f>C5+C7+C8+C11+C16+C17+C18+C22+C29+C31+SUM(C35:C41)+SUM(C48:C54)+C56+C58</f>
        <v>611531.94</v>
      </c>
      <c r="L5" s="76">
        <f>E5+E7+E8+E11+E16+E17+E18+E22+E29+E31+SUM(E35:E41)+SUM(E48:E54)+E56+E58</f>
        <v>61153.194</v>
      </c>
    </row>
    <row r="6" spans="1:12" ht="15">
      <c r="A6" s="93">
        <v>1</v>
      </c>
      <c r="B6" s="6" t="s">
        <v>210</v>
      </c>
      <c r="C6" s="26">
        <f>SUM('Inv Mina'!E7:E10)</f>
        <v>18900</v>
      </c>
      <c r="D6" s="89">
        <v>20</v>
      </c>
      <c r="E6" s="39">
        <f>+$C6/$D6</f>
        <v>945</v>
      </c>
      <c r="F6" s="40">
        <v>10</v>
      </c>
      <c r="G6" s="39">
        <f>E6*F6</f>
        <v>9450</v>
      </c>
      <c r="H6" s="39">
        <f>C6-G6</f>
        <v>9450</v>
      </c>
      <c r="J6" s="26" t="s">
        <v>212</v>
      </c>
      <c r="K6" s="76">
        <f>C6+C19+C20+C21+C60+C61+C62+C42+C55+C59</f>
        <v>235300</v>
      </c>
      <c r="L6" s="76">
        <f>E6+E19+E20+E21+E60+E61+E62+E42+E55+E59</f>
        <v>11765</v>
      </c>
    </row>
    <row r="7" spans="1:12" ht="15">
      <c r="A7" s="93">
        <f>+'Inv Mina'!A11</f>
        <v>1</v>
      </c>
      <c r="B7" s="26" t="s">
        <v>359</v>
      </c>
      <c r="C7" s="26">
        <f>+'Inv Mina'!E11</f>
        <v>52000</v>
      </c>
      <c r="D7" s="93">
        <v>10</v>
      </c>
      <c r="E7" s="39">
        <f>+$C7/$D7</f>
        <v>5200</v>
      </c>
      <c r="F7" s="40">
        <v>10</v>
      </c>
      <c r="G7" s="39">
        <f>E7*F7</f>
        <v>52000</v>
      </c>
      <c r="H7" s="39">
        <f>C7-G7</f>
        <v>0</v>
      </c>
      <c r="I7" s="92"/>
      <c r="J7" s="92"/>
      <c r="K7" s="92"/>
      <c r="L7" s="150">
        <f>SUM(L4:L6)</f>
        <v>101143.65800000001</v>
      </c>
    </row>
    <row r="8" spans="1:12" ht="15">
      <c r="A8" s="93">
        <f>'Inv Mina'!A12</f>
        <v>3</v>
      </c>
      <c r="B8" s="26" t="s">
        <v>60</v>
      </c>
      <c r="C8" s="26">
        <f>'Inv Mina'!E12</f>
        <v>3600</v>
      </c>
      <c r="D8" s="89">
        <v>10</v>
      </c>
      <c r="E8" s="39">
        <f aca="true" t="shared" si="0" ref="E8:E62">+$C8/$D8</f>
        <v>360</v>
      </c>
      <c r="F8" s="40">
        <v>10</v>
      </c>
      <c r="G8" s="39">
        <f aca="true" t="shared" si="1" ref="G8:G59">E8*F8</f>
        <v>3600</v>
      </c>
      <c r="H8" s="39">
        <f aca="true" t="shared" si="2" ref="H8:H59">C8-G8</f>
        <v>0</v>
      </c>
      <c r="I8" s="92"/>
      <c r="J8" s="92"/>
      <c r="K8" s="195"/>
      <c r="L8" s="92"/>
    </row>
    <row r="9" spans="1:12" ht="15">
      <c r="A9" s="93">
        <f>'Inv Mina'!A13</f>
        <v>2</v>
      </c>
      <c r="B9" s="26" t="s">
        <v>54</v>
      </c>
      <c r="C9" s="26">
        <f>'Inv Mina'!E13</f>
        <v>900</v>
      </c>
      <c r="D9" s="89">
        <v>5</v>
      </c>
      <c r="E9" s="39">
        <f t="shared" si="0"/>
        <v>180</v>
      </c>
      <c r="F9" s="40">
        <v>5</v>
      </c>
      <c r="G9" s="39">
        <f t="shared" si="1"/>
        <v>900</v>
      </c>
      <c r="H9" s="39">
        <f t="shared" si="2"/>
        <v>0</v>
      </c>
      <c r="I9" s="92"/>
      <c r="J9" s="92"/>
      <c r="K9" s="92"/>
      <c r="L9" s="92"/>
    </row>
    <row r="10" spans="1:8" ht="15">
      <c r="A10" s="93">
        <f>'Inv Mina'!A14</f>
        <v>2</v>
      </c>
      <c r="B10" s="26" t="str">
        <f>'Inv Mina'!B14</f>
        <v>PULMON</v>
      </c>
      <c r="C10" s="26">
        <f>'Inv Mina'!E14</f>
        <v>9000</v>
      </c>
      <c r="D10" s="93">
        <v>5</v>
      </c>
      <c r="E10" s="39">
        <f t="shared" si="0"/>
        <v>1800</v>
      </c>
      <c r="F10" s="40">
        <v>5</v>
      </c>
      <c r="G10" s="39">
        <f aca="true" t="shared" si="3" ref="G10">E10*F10</f>
        <v>9000</v>
      </c>
      <c r="H10" s="39">
        <f t="shared" si="2"/>
        <v>0</v>
      </c>
    </row>
    <row r="11" spans="1:8" ht="15">
      <c r="A11" s="93">
        <f>'Inv Mina'!A15</f>
        <v>2</v>
      </c>
      <c r="B11" s="26" t="s">
        <v>52</v>
      </c>
      <c r="C11" s="26">
        <f>'Inv Mina'!E15</f>
        <v>182784</v>
      </c>
      <c r="D11" s="89">
        <v>10</v>
      </c>
      <c r="E11" s="39">
        <f t="shared" si="0"/>
        <v>18278.4</v>
      </c>
      <c r="F11" s="40">
        <v>10</v>
      </c>
      <c r="G11" s="39">
        <f t="shared" si="1"/>
        <v>182784</v>
      </c>
      <c r="H11" s="39">
        <f t="shared" si="2"/>
        <v>0</v>
      </c>
    </row>
    <row r="12" spans="1:8" ht="15">
      <c r="A12" s="93">
        <f>'Inv Mina'!A16</f>
        <v>1</v>
      </c>
      <c r="B12" s="26" t="s">
        <v>53</v>
      </c>
      <c r="C12" s="26">
        <f>'Inv Mina'!E16</f>
        <v>41990</v>
      </c>
      <c r="D12" s="89">
        <v>5</v>
      </c>
      <c r="E12" s="39">
        <f t="shared" si="0"/>
        <v>8398</v>
      </c>
      <c r="F12" s="40">
        <v>5</v>
      </c>
      <c r="G12" s="39">
        <f t="shared" si="1"/>
        <v>41990</v>
      </c>
      <c r="H12" s="39">
        <f t="shared" si="2"/>
        <v>0</v>
      </c>
    </row>
    <row r="13" spans="1:8" ht="18.75" customHeight="1">
      <c r="A13" s="363" t="s">
        <v>3</v>
      </c>
      <c r="B13" s="364"/>
      <c r="C13" s="365"/>
      <c r="D13" s="89"/>
      <c r="E13" s="39"/>
      <c r="F13" s="40"/>
      <c r="G13" s="39"/>
      <c r="H13" s="39"/>
    </row>
    <row r="14" spans="1:8" ht="15">
      <c r="A14" s="93">
        <f>'Inv Lixiviacion'!A4</f>
        <v>2</v>
      </c>
      <c r="B14" s="26" t="s">
        <v>1</v>
      </c>
      <c r="C14" s="26">
        <f>'Inv Lixiviacion'!E4</f>
        <v>3885.64</v>
      </c>
      <c r="D14" s="89">
        <v>5</v>
      </c>
      <c r="E14" s="39">
        <f t="shared" si="0"/>
        <v>777.1279999999999</v>
      </c>
      <c r="F14" s="40">
        <v>5</v>
      </c>
      <c r="G14" s="39">
        <f t="shared" si="1"/>
        <v>3885.6399999999994</v>
      </c>
      <c r="H14" s="39">
        <f t="shared" si="2"/>
        <v>0</v>
      </c>
    </row>
    <row r="15" spans="1:8" ht="15">
      <c r="A15" s="93">
        <f>'Inv Lixiviacion'!A5</f>
        <v>2</v>
      </c>
      <c r="B15" s="26" t="s">
        <v>0</v>
      </c>
      <c r="C15" s="26">
        <f>'Inv Lixiviacion'!E5</f>
        <v>6471.76</v>
      </c>
      <c r="D15" s="89">
        <v>5</v>
      </c>
      <c r="E15" s="39">
        <f t="shared" si="0"/>
        <v>1294.352</v>
      </c>
      <c r="F15" s="40">
        <v>5</v>
      </c>
      <c r="G15" s="39">
        <f t="shared" si="1"/>
        <v>6471.76</v>
      </c>
      <c r="H15" s="39">
        <f t="shared" si="2"/>
        <v>0</v>
      </c>
    </row>
    <row r="16" spans="1:8" ht="15">
      <c r="A16" s="93">
        <f>'Inv Lixiviacion'!A6</f>
        <v>1</v>
      </c>
      <c r="B16" s="26" t="s">
        <v>237</v>
      </c>
      <c r="C16" s="26">
        <f>'Inv Lixiviacion'!E6</f>
        <v>3500</v>
      </c>
      <c r="D16" s="93">
        <v>10</v>
      </c>
      <c r="E16" s="39">
        <f t="shared" si="0"/>
        <v>350</v>
      </c>
      <c r="F16" s="40">
        <v>10</v>
      </c>
      <c r="G16" s="39">
        <f t="shared" si="1"/>
        <v>3500</v>
      </c>
      <c r="H16" s="39">
        <f t="shared" si="2"/>
        <v>0</v>
      </c>
    </row>
    <row r="17" spans="1:8" ht="15">
      <c r="A17" s="93">
        <f>'Inv Lixiviacion'!A7</f>
        <v>2</v>
      </c>
      <c r="B17" s="26" t="s">
        <v>225</v>
      </c>
      <c r="C17" s="26">
        <f>'Inv Lixiviacion'!E7</f>
        <v>2400</v>
      </c>
      <c r="D17" s="93">
        <v>10</v>
      </c>
      <c r="E17" s="39">
        <f t="shared" si="0"/>
        <v>240</v>
      </c>
      <c r="F17" s="40">
        <v>10</v>
      </c>
      <c r="G17" s="39">
        <f t="shared" si="1"/>
        <v>2400</v>
      </c>
      <c r="H17" s="39">
        <f t="shared" si="2"/>
        <v>0</v>
      </c>
    </row>
    <row r="18" spans="1:8" ht="15">
      <c r="A18" s="93">
        <f>'Inv Lixiviacion'!A8</f>
        <v>2</v>
      </c>
      <c r="B18" s="26" t="s">
        <v>224</v>
      </c>
      <c r="C18" s="26">
        <f>'Inv Lixiviacion'!E8</f>
        <v>20000</v>
      </c>
      <c r="D18" s="93">
        <v>10</v>
      </c>
      <c r="E18" s="39">
        <f t="shared" si="0"/>
        <v>2000</v>
      </c>
      <c r="F18" s="40">
        <v>10</v>
      </c>
      <c r="G18" s="39">
        <f t="shared" si="1"/>
        <v>20000</v>
      </c>
      <c r="H18" s="39">
        <f t="shared" si="2"/>
        <v>0</v>
      </c>
    </row>
    <row r="19" spans="1:8" ht="15">
      <c r="A19" s="93">
        <f>+'Inv Lixiviacion'!A9</f>
        <v>1</v>
      </c>
      <c r="B19" s="26" t="s">
        <v>367</v>
      </c>
      <c r="C19" s="26">
        <f>+'Inv Lixiviacion'!E9</f>
        <v>25000</v>
      </c>
      <c r="D19" s="93">
        <v>20</v>
      </c>
      <c r="E19" s="39">
        <f t="shared" si="0"/>
        <v>1250</v>
      </c>
      <c r="F19" s="40">
        <v>10</v>
      </c>
      <c r="G19" s="39">
        <f aca="true" t="shared" si="4" ref="G19:G21">E19*F19</f>
        <v>12500</v>
      </c>
      <c r="H19" s="39">
        <f aca="true" t="shared" si="5" ref="H19:H21">C19-G19</f>
        <v>12500</v>
      </c>
    </row>
    <row r="20" spans="1:8" ht="15">
      <c r="A20" s="93">
        <f>+'Inv Lixiviacion'!A10</f>
        <v>2</v>
      </c>
      <c r="B20" s="26" t="s">
        <v>368</v>
      </c>
      <c r="C20" s="26">
        <f>+'Inv Lixiviacion'!E10</f>
        <v>12000</v>
      </c>
      <c r="D20" s="93">
        <v>20</v>
      </c>
      <c r="E20" s="39">
        <f t="shared" si="0"/>
        <v>600</v>
      </c>
      <c r="F20" s="40">
        <v>10</v>
      </c>
      <c r="G20" s="39">
        <f t="shared" si="4"/>
        <v>6000</v>
      </c>
      <c r="H20" s="39">
        <f t="shared" si="5"/>
        <v>6000</v>
      </c>
    </row>
    <row r="21" spans="1:8" ht="15">
      <c r="A21" s="93">
        <f>+'Inv Lixiviacion'!A11</f>
        <v>2</v>
      </c>
      <c r="B21" s="26" t="s">
        <v>369</v>
      </c>
      <c r="C21" s="26">
        <f>+'Inv Lixiviacion'!E11</f>
        <v>12000</v>
      </c>
      <c r="D21" s="93">
        <v>20</v>
      </c>
      <c r="E21" s="39">
        <f t="shared" si="0"/>
        <v>600</v>
      </c>
      <c r="F21" s="40">
        <v>10</v>
      </c>
      <c r="G21" s="39">
        <f t="shared" si="4"/>
        <v>6000</v>
      </c>
      <c r="H21" s="39">
        <f t="shared" si="5"/>
        <v>6000</v>
      </c>
    </row>
    <row r="22" spans="1:8" ht="15">
      <c r="A22" s="93">
        <f>'Inv Lixiviacion'!A12</f>
        <v>1</v>
      </c>
      <c r="B22" s="26" t="s">
        <v>19</v>
      </c>
      <c r="C22" s="26">
        <f>'Inv Lixiviacion'!E12</f>
        <v>75447.94</v>
      </c>
      <c r="D22" s="89">
        <v>10</v>
      </c>
      <c r="E22" s="39">
        <f t="shared" si="0"/>
        <v>7544.794</v>
      </c>
      <c r="F22" s="40">
        <v>10</v>
      </c>
      <c r="G22" s="39">
        <f t="shared" si="1"/>
        <v>75447.94</v>
      </c>
      <c r="H22" s="39">
        <f t="shared" si="2"/>
        <v>0</v>
      </c>
    </row>
    <row r="23" spans="1:8" ht="15">
      <c r="A23" s="93">
        <f>+'Inv Lixiviacion'!A13</f>
        <v>10</v>
      </c>
      <c r="B23" s="26" t="s">
        <v>383</v>
      </c>
      <c r="C23" s="26">
        <f>+'Inv Lixiviacion'!E13</f>
        <v>12000</v>
      </c>
      <c r="D23" s="93">
        <v>5</v>
      </c>
      <c r="E23" s="39">
        <f t="shared" si="0"/>
        <v>2400</v>
      </c>
      <c r="F23" s="40">
        <v>5</v>
      </c>
      <c r="G23" s="39">
        <f aca="true" t="shared" si="6" ref="G23:G28">E23*F23</f>
        <v>12000</v>
      </c>
      <c r="H23" s="39">
        <f aca="true" t="shared" si="7" ref="H23:H28">C23-G23</f>
        <v>0</v>
      </c>
    </row>
    <row r="24" spans="1:8" ht="15">
      <c r="A24" s="93">
        <f>+'Inv Lixiviacion'!A14</f>
        <v>10</v>
      </c>
      <c r="B24" s="26" t="s">
        <v>384</v>
      </c>
      <c r="C24" s="26">
        <f>+'Inv Lixiviacion'!E14</f>
        <v>11000</v>
      </c>
      <c r="D24" s="93">
        <v>5</v>
      </c>
      <c r="E24" s="39">
        <f t="shared" si="0"/>
        <v>2200</v>
      </c>
      <c r="F24" s="40">
        <v>5</v>
      </c>
      <c r="G24" s="39">
        <f t="shared" si="6"/>
        <v>11000</v>
      </c>
      <c r="H24" s="39">
        <f t="shared" si="7"/>
        <v>0</v>
      </c>
    </row>
    <row r="25" spans="1:8" ht="15">
      <c r="A25" s="93">
        <f>+'Inv Lixiviacion'!A15</f>
        <v>10</v>
      </c>
      <c r="B25" s="26" t="s">
        <v>385</v>
      </c>
      <c r="C25" s="26">
        <f>+'Inv Lixiviacion'!E15</f>
        <v>10000</v>
      </c>
      <c r="D25" s="93">
        <v>5</v>
      </c>
      <c r="E25" s="39">
        <f t="shared" si="0"/>
        <v>2000</v>
      </c>
      <c r="F25" s="40">
        <v>5</v>
      </c>
      <c r="G25" s="39">
        <f t="shared" si="6"/>
        <v>10000</v>
      </c>
      <c r="H25" s="39">
        <f t="shared" si="7"/>
        <v>0</v>
      </c>
    </row>
    <row r="26" spans="1:8" ht="15">
      <c r="A26" s="93">
        <f>+'Inv Lixiviacion'!A16</f>
        <v>10</v>
      </c>
      <c r="B26" s="26" t="s">
        <v>386</v>
      </c>
      <c r="C26" s="26">
        <f>+'Inv Lixiviacion'!E16</f>
        <v>9000</v>
      </c>
      <c r="D26" s="93">
        <v>5</v>
      </c>
      <c r="E26" s="39">
        <f t="shared" si="0"/>
        <v>1800</v>
      </c>
      <c r="F26" s="40">
        <v>5</v>
      </c>
      <c r="G26" s="39">
        <f t="shared" si="6"/>
        <v>9000</v>
      </c>
      <c r="H26" s="39">
        <f t="shared" si="7"/>
        <v>0</v>
      </c>
    </row>
    <row r="27" spans="1:8" ht="15">
      <c r="A27" s="93">
        <f>+'Inv Lixiviacion'!A17</f>
        <v>10</v>
      </c>
      <c r="B27" s="26" t="s">
        <v>387</v>
      </c>
      <c r="C27" s="26">
        <f>+'Inv Lixiviacion'!E17</f>
        <v>8000</v>
      </c>
      <c r="D27" s="93">
        <v>5</v>
      </c>
      <c r="E27" s="39">
        <f t="shared" si="0"/>
        <v>1600</v>
      </c>
      <c r="F27" s="40">
        <v>5</v>
      </c>
      <c r="G27" s="39">
        <f t="shared" si="6"/>
        <v>8000</v>
      </c>
      <c r="H27" s="39">
        <f t="shared" si="7"/>
        <v>0</v>
      </c>
    </row>
    <row r="28" spans="1:8" ht="15">
      <c r="A28" s="93">
        <f>+'Inv Lixiviacion'!A18</f>
        <v>60</v>
      </c>
      <c r="B28" s="26" t="s">
        <v>388</v>
      </c>
      <c r="C28" s="26">
        <f>+'Inv Lixiviacion'!E18</f>
        <v>18000</v>
      </c>
      <c r="D28" s="93">
        <v>5</v>
      </c>
      <c r="E28" s="39">
        <f t="shared" si="0"/>
        <v>3600</v>
      </c>
      <c r="F28" s="40">
        <v>5</v>
      </c>
      <c r="G28" s="39">
        <f t="shared" si="6"/>
        <v>18000</v>
      </c>
      <c r="H28" s="39">
        <f t="shared" si="7"/>
        <v>0</v>
      </c>
    </row>
    <row r="29" spans="1:8" ht="15">
      <c r="A29" s="93">
        <f>'Inv Lixiviacion'!A19</f>
        <v>1</v>
      </c>
      <c r="B29" s="26" t="s">
        <v>20</v>
      </c>
      <c r="C29" s="26">
        <f>'Inv Lixiviacion'!E19</f>
        <v>15000</v>
      </c>
      <c r="D29" s="89">
        <v>10</v>
      </c>
      <c r="E29" s="39">
        <f t="shared" si="0"/>
        <v>1500</v>
      </c>
      <c r="F29" s="40">
        <v>10</v>
      </c>
      <c r="G29" s="39">
        <f t="shared" si="1"/>
        <v>15000</v>
      </c>
      <c r="H29" s="39">
        <f t="shared" si="2"/>
        <v>0</v>
      </c>
    </row>
    <row r="30" spans="1:8" ht="15">
      <c r="A30" s="93">
        <f>'Inv Lixiviacion'!A20</f>
        <v>2</v>
      </c>
      <c r="B30" s="26" t="s">
        <v>22</v>
      </c>
      <c r="C30" s="26">
        <f>'Inv Lixiviacion'!E20</f>
        <v>1189.92</v>
      </c>
      <c r="D30" s="89">
        <v>5</v>
      </c>
      <c r="E30" s="39">
        <f t="shared" si="0"/>
        <v>237.984</v>
      </c>
      <c r="F30" s="40">
        <v>5</v>
      </c>
      <c r="G30" s="39">
        <f t="shared" si="1"/>
        <v>1189.92</v>
      </c>
      <c r="H30" s="39">
        <f t="shared" si="2"/>
        <v>0</v>
      </c>
    </row>
    <row r="31" spans="1:8" ht="15">
      <c r="A31" s="93">
        <f>'Inv Lixiviacion'!A21</f>
        <v>1</v>
      </c>
      <c r="B31" s="26" t="s">
        <v>24</v>
      </c>
      <c r="C31" s="26">
        <f>'Inv Lixiviacion'!E21</f>
        <v>18000</v>
      </c>
      <c r="D31" s="89">
        <v>10</v>
      </c>
      <c r="E31" s="39">
        <f t="shared" si="0"/>
        <v>1800</v>
      </c>
      <c r="F31" s="40">
        <v>10</v>
      </c>
      <c r="G31" s="39">
        <f t="shared" si="1"/>
        <v>18000</v>
      </c>
      <c r="H31" s="39">
        <f t="shared" si="2"/>
        <v>0</v>
      </c>
    </row>
    <row r="32" spans="1:8" ht="15">
      <c r="A32" s="93">
        <f>'Inv Lixiviacion'!A22</f>
        <v>2</v>
      </c>
      <c r="B32" s="26" t="s">
        <v>4</v>
      </c>
      <c r="C32" s="26">
        <f>'Inv Lixiviacion'!E22</f>
        <v>2600</v>
      </c>
      <c r="D32" s="89">
        <v>5</v>
      </c>
      <c r="E32" s="39">
        <f t="shared" si="0"/>
        <v>520</v>
      </c>
      <c r="F32" s="40">
        <v>5</v>
      </c>
      <c r="G32" s="39">
        <f t="shared" si="1"/>
        <v>2600</v>
      </c>
      <c r="H32" s="39">
        <f t="shared" si="2"/>
        <v>0</v>
      </c>
    </row>
    <row r="33" spans="1:8" ht="15">
      <c r="A33" s="93">
        <f>'Inv Lixiviacion'!A23</f>
        <v>1</v>
      </c>
      <c r="B33" s="26" t="s">
        <v>26</v>
      </c>
      <c r="C33" s="26">
        <f>'Inv Lixiviacion'!E23</f>
        <v>3800</v>
      </c>
      <c r="D33" s="89">
        <v>5</v>
      </c>
      <c r="E33" s="39">
        <f t="shared" si="0"/>
        <v>760</v>
      </c>
      <c r="F33" s="40">
        <v>5</v>
      </c>
      <c r="G33" s="39">
        <f t="shared" si="1"/>
        <v>3800</v>
      </c>
      <c r="H33" s="39">
        <f t="shared" si="2"/>
        <v>0</v>
      </c>
    </row>
    <row r="34" spans="1:8" ht="15">
      <c r="A34" s="93">
        <f>'Inv Lixiviacion'!A24</f>
        <v>1</v>
      </c>
      <c r="B34" s="26" t="s">
        <v>5</v>
      </c>
      <c r="C34" s="26">
        <f>'Inv Lixiviacion'!E24</f>
        <v>650</v>
      </c>
      <c r="D34" s="89">
        <v>5</v>
      </c>
      <c r="E34" s="39">
        <f t="shared" si="0"/>
        <v>130</v>
      </c>
      <c r="F34" s="40">
        <v>5</v>
      </c>
      <c r="G34" s="39">
        <f t="shared" si="1"/>
        <v>650</v>
      </c>
      <c r="H34" s="39">
        <f t="shared" si="2"/>
        <v>0</v>
      </c>
    </row>
    <row r="35" spans="1:8" ht="15">
      <c r="A35" s="93">
        <f>'Inv Lixiviacion'!A25</f>
        <v>4</v>
      </c>
      <c r="B35" s="26" t="s">
        <v>51</v>
      </c>
      <c r="C35" s="26">
        <f>'Inv Lixiviacion'!E25</f>
        <v>48000</v>
      </c>
      <c r="D35" s="89">
        <v>10</v>
      </c>
      <c r="E35" s="39">
        <f t="shared" si="0"/>
        <v>4800</v>
      </c>
      <c r="F35" s="40">
        <v>10</v>
      </c>
      <c r="G35" s="39">
        <f t="shared" si="1"/>
        <v>48000</v>
      </c>
      <c r="H35" s="39">
        <f t="shared" si="2"/>
        <v>0</v>
      </c>
    </row>
    <row r="36" spans="1:8" ht="15">
      <c r="A36" s="93">
        <f>'Inv Lixiviacion'!A27</f>
        <v>1</v>
      </c>
      <c r="B36" s="26" t="s">
        <v>193</v>
      </c>
      <c r="C36" s="26">
        <f>'Inv Lixiviacion'!E27</f>
        <v>9500</v>
      </c>
      <c r="D36" s="89">
        <v>10</v>
      </c>
      <c r="E36" s="39">
        <f>+$C36/$D36</f>
        <v>950</v>
      </c>
      <c r="F36" s="40">
        <v>10</v>
      </c>
      <c r="G36" s="39">
        <f>E36*F36</f>
        <v>9500</v>
      </c>
      <c r="H36" s="39">
        <f>C36-G36</f>
        <v>0</v>
      </c>
    </row>
    <row r="37" spans="1:8" ht="15">
      <c r="A37" s="93">
        <f>'Inv Lixiviacion'!A28</f>
        <v>2</v>
      </c>
      <c r="B37" s="26" t="s">
        <v>73</v>
      </c>
      <c r="C37" s="26">
        <f>'Inv Lixiviacion'!E28</f>
        <v>40000</v>
      </c>
      <c r="D37" s="89">
        <v>10</v>
      </c>
      <c r="E37" s="39">
        <f t="shared" si="0"/>
        <v>4000</v>
      </c>
      <c r="F37" s="40">
        <v>10</v>
      </c>
      <c r="G37" s="39">
        <f t="shared" si="1"/>
        <v>40000</v>
      </c>
      <c r="H37" s="39">
        <f t="shared" si="2"/>
        <v>0</v>
      </c>
    </row>
    <row r="38" spans="1:8" ht="15">
      <c r="A38" s="93">
        <f>'Inv Lixiviacion'!A29</f>
        <v>1</v>
      </c>
      <c r="B38" s="26" t="s">
        <v>326</v>
      </c>
      <c r="C38" s="26">
        <f>'Inv Lixiviacion'!E29</f>
        <v>20000</v>
      </c>
      <c r="D38" s="89">
        <v>10</v>
      </c>
      <c r="E38" s="39">
        <f t="shared" si="0"/>
        <v>2000</v>
      </c>
      <c r="F38" s="40">
        <v>10</v>
      </c>
      <c r="G38" s="39">
        <f t="shared" si="1"/>
        <v>20000</v>
      </c>
      <c r="H38" s="39">
        <f t="shared" si="2"/>
        <v>0</v>
      </c>
    </row>
    <row r="39" spans="1:8" ht="15">
      <c r="A39" s="93">
        <f>'Inv Lixiviacion'!A30</f>
        <v>1</v>
      </c>
      <c r="B39" s="26" t="s">
        <v>247</v>
      </c>
      <c r="C39" s="26">
        <f>'Inv Lixiviacion'!E30</f>
        <v>45000</v>
      </c>
      <c r="D39" s="89">
        <v>10</v>
      </c>
      <c r="E39" s="39">
        <f t="shared" si="0"/>
        <v>4500</v>
      </c>
      <c r="F39" s="40">
        <v>10</v>
      </c>
      <c r="G39" s="39">
        <f t="shared" si="1"/>
        <v>45000</v>
      </c>
      <c r="H39" s="39">
        <f t="shared" si="2"/>
        <v>0</v>
      </c>
    </row>
    <row r="40" spans="1:8" ht="15">
      <c r="A40" s="93">
        <f>'Inv Lixiviacion'!A37</f>
        <v>1</v>
      </c>
      <c r="B40" s="26" t="s">
        <v>248</v>
      </c>
      <c r="C40" s="26">
        <f>'Inv Lixiviacion'!E37</f>
        <v>12000</v>
      </c>
      <c r="D40" s="89">
        <v>10</v>
      </c>
      <c r="E40" s="39">
        <f t="shared" si="0"/>
        <v>1200</v>
      </c>
      <c r="F40" s="40">
        <v>10</v>
      </c>
      <c r="G40" s="39">
        <f t="shared" si="1"/>
        <v>12000</v>
      </c>
      <c r="H40" s="39">
        <f t="shared" si="2"/>
        <v>0</v>
      </c>
    </row>
    <row r="41" spans="1:8" ht="15">
      <c r="A41" s="93">
        <f>'Inv Lixiviacion'!A38</f>
        <v>1</v>
      </c>
      <c r="B41" s="26" t="s">
        <v>37</v>
      </c>
      <c r="C41" s="26">
        <f>'Inv Lixiviacion'!E38</f>
        <v>4000</v>
      </c>
      <c r="D41" s="89">
        <v>10</v>
      </c>
      <c r="E41" s="39">
        <f t="shared" si="0"/>
        <v>400</v>
      </c>
      <c r="F41" s="40">
        <v>10</v>
      </c>
      <c r="G41" s="39">
        <f t="shared" si="1"/>
        <v>4000</v>
      </c>
      <c r="H41" s="39">
        <f t="shared" si="2"/>
        <v>0</v>
      </c>
    </row>
    <row r="42" spans="1:8" ht="15">
      <c r="A42" s="93">
        <v>1</v>
      </c>
      <c r="B42" s="6" t="s">
        <v>6</v>
      </c>
      <c r="C42" s="26">
        <f>SUM('Inv Lixiviacion'!E40:E47)</f>
        <v>112900</v>
      </c>
      <c r="D42" s="93">
        <v>20</v>
      </c>
      <c r="E42" s="39">
        <f t="shared" si="0"/>
        <v>5645</v>
      </c>
      <c r="F42" s="40">
        <v>10</v>
      </c>
      <c r="G42" s="39">
        <f t="shared" si="1"/>
        <v>56450</v>
      </c>
      <c r="H42" s="39">
        <f t="shared" si="2"/>
        <v>56450</v>
      </c>
    </row>
    <row r="43" spans="1:8" ht="15.75">
      <c r="A43" s="363" t="s">
        <v>229</v>
      </c>
      <c r="B43" s="364"/>
      <c r="C43" s="365"/>
      <c r="D43" s="93"/>
      <c r="E43" s="39"/>
      <c r="F43" s="40"/>
      <c r="G43" s="39"/>
      <c r="H43" s="39"/>
    </row>
    <row r="44" spans="1:8" ht="15">
      <c r="A44" s="93">
        <f>'Inv Ofi y desc'!A8</f>
        <v>3</v>
      </c>
      <c r="B44" s="26" t="s">
        <v>78</v>
      </c>
      <c r="C44" s="26">
        <f>'Inv Ofi y desc'!E8</f>
        <v>1800</v>
      </c>
      <c r="D44" s="89">
        <v>5</v>
      </c>
      <c r="E44" s="39">
        <f>+$C44/$D44</f>
        <v>360</v>
      </c>
      <c r="F44" s="40">
        <v>5</v>
      </c>
      <c r="G44" s="39">
        <f>E44*F44</f>
        <v>1800</v>
      </c>
      <c r="H44" s="39">
        <f>C44-G44</f>
        <v>0</v>
      </c>
    </row>
    <row r="45" spans="1:8" ht="15">
      <c r="A45" s="93">
        <f>'Inv Ofi y desc'!A9</f>
        <v>2</v>
      </c>
      <c r="B45" s="26" t="s">
        <v>79</v>
      </c>
      <c r="C45" s="26">
        <f>'Inv Ofi y desc'!E9</f>
        <v>220</v>
      </c>
      <c r="D45" s="89">
        <v>5</v>
      </c>
      <c r="E45" s="39">
        <f>+$C45/$D45</f>
        <v>44</v>
      </c>
      <c r="F45" s="40">
        <v>5</v>
      </c>
      <c r="G45" s="39">
        <f>E45*F45</f>
        <v>220</v>
      </c>
      <c r="H45" s="39">
        <f>C45-G45</f>
        <v>0</v>
      </c>
    </row>
    <row r="46" spans="1:8" ht="15">
      <c r="A46" s="93">
        <f>'Inv Ofi y desc'!A10</f>
        <v>1</v>
      </c>
      <c r="B46" s="26" t="s">
        <v>169</v>
      </c>
      <c r="C46" s="26">
        <f>'Inv Ofi y desc'!E10</f>
        <v>500</v>
      </c>
      <c r="D46" s="89">
        <v>5</v>
      </c>
      <c r="E46" s="39">
        <f t="shared" si="0"/>
        <v>100</v>
      </c>
      <c r="F46" s="40">
        <v>5</v>
      </c>
      <c r="G46" s="39">
        <f t="shared" si="1"/>
        <v>500</v>
      </c>
      <c r="H46" s="39">
        <f t="shared" si="2"/>
        <v>0</v>
      </c>
    </row>
    <row r="47" spans="1:8" ht="15">
      <c r="A47" s="93">
        <f>'Inv Ofi y desc'!A11</f>
        <v>1</v>
      </c>
      <c r="B47" s="26" t="s">
        <v>81</v>
      </c>
      <c r="C47" s="26">
        <f>'Inv Ofi y desc'!E11</f>
        <v>120</v>
      </c>
      <c r="D47" s="89">
        <v>5</v>
      </c>
      <c r="E47" s="39">
        <f t="shared" si="0"/>
        <v>24</v>
      </c>
      <c r="F47" s="40">
        <v>5</v>
      </c>
      <c r="G47" s="39">
        <f t="shared" si="1"/>
        <v>120</v>
      </c>
      <c r="H47" s="39">
        <f t="shared" si="2"/>
        <v>0</v>
      </c>
    </row>
    <row r="48" spans="1:11" ht="15">
      <c r="A48" s="93">
        <f>'Inv Ofi y desc'!A14</f>
        <v>3</v>
      </c>
      <c r="B48" s="26" t="s">
        <v>83</v>
      </c>
      <c r="C48" s="26">
        <f>'Inv Ofi y desc'!E14</f>
        <v>510</v>
      </c>
      <c r="D48" s="89">
        <v>10</v>
      </c>
      <c r="E48" s="39">
        <f t="shared" si="0"/>
        <v>51</v>
      </c>
      <c r="F48" s="40">
        <v>10</v>
      </c>
      <c r="G48" s="39">
        <f t="shared" si="1"/>
        <v>510</v>
      </c>
      <c r="H48" s="39">
        <f t="shared" si="2"/>
        <v>0</v>
      </c>
      <c r="J48" s="31"/>
      <c r="K48" s="31"/>
    </row>
    <row r="49" spans="1:11" ht="15">
      <c r="A49" s="93">
        <f>'Inv Ofi y desc'!A15</f>
        <v>4</v>
      </c>
      <c r="B49" s="26" t="s">
        <v>238</v>
      </c>
      <c r="C49" s="26">
        <f>'Inv Ofi y desc'!E15</f>
        <v>1000</v>
      </c>
      <c r="D49" s="93">
        <v>10</v>
      </c>
      <c r="E49" s="39">
        <f t="shared" si="0"/>
        <v>100</v>
      </c>
      <c r="F49" s="40">
        <v>10</v>
      </c>
      <c r="G49" s="39">
        <f t="shared" si="1"/>
        <v>1000</v>
      </c>
      <c r="H49" s="39">
        <f t="shared" si="2"/>
        <v>0</v>
      </c>
      <c r="J49" s="31"/>
      <c r="K49" s="31"/>
    </row>
    <row r="50" spans="1:11" ht="15">
      <c r="A50" s="93">
        <f>'Inv Ofi y desc'!A16</f>
        <v>10</v>
      </c>
      <c r="B50" s="26" t="s">
        <v>84</v>
      </c>
      <c r="C50" s="26">
        <f>'Inv Ofi y desc'!E16</f>
        <v>450</v>
      </c>
      <c r="D50" s="89">
        <v>10</v>
      </c>
      <c r="E50" s="39">
        <f t="shared" si="0"/>
        <v>45</v>
      </c>
      <c r="F50" s="40">
        <v>10</v>
      </c>
      <c r="G50" s="39">
        <f t="shared" si="1"/>
        <v>450</v>
      </c>
      <c r="H50" s="39">
        <f t="shared" si="2"/>
        <v>0</v>
      </c>
      <c r="J50" s="31"/>
      <c r="K50" s="31"/>
    </row>
    <row r="51" spans="1:11" ht="15">
      <c r="A51" s="93">
        <f>'Inv Ofi y desc'!A17</f>
        <v>3</v>
      </c>
      <c r="B51" s="26" t="s">
        <v>85</v>
      </c>
      <c r="C51" s="26">
        <f>'Inv Ofi y desc'!E17</f>
        <v>540</v>
      </c>
      <c r="D51" s="89">
        <v>10</v>
      </c>
      <c r="E51" s="39">
        <f t="shared" si="0"/>
        <v>54</v>
      </c>
      <c r="F51" s="40">
        <v>10</v>
      </c>
      <c r="G51" s="39">
        <f t="shared" si="1"/>
        <v>540</v>
      </c>
      <c r="H51" s="39">
        <f t="shared" si="2"/>
        <v>0</v>
      </c>
      <c r="J51" s="196"/>
      <c r="K51" s="31"/>
    </row>
    <row r="52" spans="1:11" ht="15">
      <c r="A52" s="93">
        <v>1</v>
      </c>
      <c r="B52" s="26" t="s">
        <v>168</v>
      </c>
      <c r="C52" s="26">
        <f>'Inv Ofi y desc'!E18</f>
        <v>650</v>
      </c>
      <c r="D52" s="89">
        <v>10</v>
      </c>
      <c r="E52" s="39">
        <f t="shared" si="0"/>
        <v>65</v>
      </c>
      <c r="F52" s="40">
        <v>10</v>
      </c>
      <c r="G52" s="39">
        <f t="shared" si="1"/>
        <v>650</v>
      </c>
      <c r="H52" s="39">
        <f t="shared" si="2"/>
        <v>0</v>
      </c>
      <c r="J52" s="31"/>
      <c r="K52" s="31"/>
    </row>
    <row r="53" spans="1:11" ht="15">
      <c r="A53" s="93">
        <v>1</v>
      </c>
      <c r="B53" s="147" t="s">
        <v>194</v>
      </c>
      <c r="C53" s="26">
        <f>'Inv Ofi y desc'!E19</f>
        <v>750</v>
      </c>
      <c r="D53" s="93">
        <v>10</v>
      </c>
      <c r="E53" s="39">
        <f t="shared" si="0"/>
        <v>75</v>
      </c>
      <c r="F53" s="40">
        <v>10</v>
      </c>
      <c r="G53" s="39">
        <f t="shared" si="1"/>
        <v>750</v>
      </c>
      <c r="H53" s="39">
        <f t="shared" si="2"/>
        <v>0</v>
      </c>
      <c r="J53" s="31"/>
      <c r="K53" s="31"/>
    </row>
    <row r="54" spans="1:11" ht="15">
      <c r="A54" s="93">
        <v>2</v>
      </c>
      <c r="B54" s="147" t="s">
        <v>205</v>
      </c>
      <c r="C54" s="26">
        <f>'Inv Ofi y desc'!E20</f>
        <v>800</v>
      </c>
      <c r="D54" s="93">
        <v>10</v>
      </c>
      <c r="E54" s="39">
        <f t="shared" si="0"/>
        <v>80</v>
      </c>
      <c r="F54" s="40">
        <v>10</v>
      </c>
      <c r="G54" s="39">
        <f t="shared" si="1"/>
        <v>800</v>
      </c>
      <c r="H54" s="39">
        <f t="shared" si="2"/>
        <v>0</v>
      </c>
      <c r="J54" s="31"/>
      <c r="K54" s="31"/>
    </row>
    <row r="55" spans="1:11" ht="15">
      <c r="A55" s="93">
        <v>1</v>
      </c>
      <c r="B55" s="147" t="s">
        <v>241</v>
      </c>
      <c r="C55" s="26">
        <f>SUM('Inv Ofi y desc'!E3:E6)</f>
        <v>19500</v>
      </c>
      <c r="D55" s="93">
        <v>20</v>
      </c>
      <c r="E55" s="39">
        <f t="shared" si="0"/>
        <v>975</v>
      </c>
      <c r="F55" s="40">
        <v>10</v>
      </c>
      <c r="G55" s="39">
        <f t="shared" si="1"/>
        <v>9750</v>
      </c>
      <c r="H55" s="39">
        <f t="shared" si="2"/>
        <v>9750</v>
      </c>
      <c r="J55" s="31"/>
      <c r="K55" s="31"/>
    </row>
    <row r="56" spans="1:11" ht="15">
      <c r="A56" s="93">
        <f>'Inv Ofi y desc'!A22</f>
        <v>1</v>
      </c>
      <c r="B56" s="147" t="s">
        <v>206</v>
      </c>
      <c r="C56" s="26">
        <f>'Inv Ofi y desc'!E22</f>
        <v>200</v>
      </c>
      <c r="D56" s="93">
        <v>10</v>
      </c>
      <c r="E56" s="39">
        <f t="shared" si="0"/>
        <v>20</v>
      </c>
      <c r="F56" s="40">
        <v>10</v>
      </c>
      <c r="G56" s="39">
        <f t="shared" si="1"/>
        <v>200</v>
      </c>
      <c r="H56" s="39">
        <f t="shared" si="2"/>
        <v>0</v>
      </c>
      <c r="J56" s="31"/>
      <c r="K56" s="31"/>
    </row>
    <row r="57" spans="1:11" ht="18.75">
      <c r="A57" s="363" t="s">
        <v>65</v>
      </c>
      <c r="B57" s="364"/>
      <c r="C57" s="365"/>
      <c r="D57" s="88"/>
      <c r="E57" s="39"/>
      <c r="F57" s="40"/>
      <c r="G57" s="39"/>
      <c r="H57" s="39"/>
      <c r="J57" s="31"/>
      <c r="K57" s="31"/>
    </row>
    <row r="58" spans="1:10" ht="15">
      <c r="A58" s="93">
        <f>'Inv Flotacion'!A3</f>
        <v>3</v>
      </c>
      <c r="B58" s="26" t="s">
        <v>68</v>
      </c>
      <c r="C58" s="26">
        <f>'Inv Flotacion'!E3</f>
        <v>20400</v>
      </c>
      <c r="D58" s="89">
        <v>10</v>
      </c>
      <c r="E58" s="39">
        <f t="shared" si="0"/>
        <v>2040</v>
      </c>
      <c r="F58" s="40">
        <v>10</v>
      </c>
      <c r="G58" s="39">
        <f t="shared" si="1"/>
        <v>20400</v>
      </c>
      <c r="H58" s="39">
        <f t="shared" si="2"/>
        <v>0</v>
      </c>
      <c r="I58" s="56"/>
      <c r="J58" s="56"/>
    </row>
    <row r="59" spans="1:10" ht="15">
      <c r="A59" s="93">
        <v>1</v>
      </c>
      <c r="B59" s="26" t="s">
        <v>243</v>
      </c>
      <c r="C59" s="26">
        <f>'Inv Flotacion'!E4</f>
        <v>6000</v>
      </c>
      <c r="D59" s="93">
        <v>20</v>
      </c>
      <c r="E59" s="39">
        <f t="shared" si="0"/>
        <v>300</v>
      </c>
      <c r="F59" s="40">
        <v>10</v>
      </c>
      <c r="G59" s="39">
        <f t="shared" si="1"/>
        <v>3000</v>
      </c>
      <c r="H59" s="39">
        <f t="shared" si="2"/>
        <v>3000</v>
      </c>
      <c r="I59" s="56"/>
      <c r="J59" s="56"/>
    </row>
    <row r="60" spans="1:10" ht="15">
      <c r="A60" s="93">
        <f>'Inv Flotacion'!A5</f>
        <v>4</v>
      </c>
      <c r="B60" s="26" t="s">
        <v>331</v>
      </c>
      <c r="C60" s="26">
        <f>'Inv Flotacion'!D5</f>
        <v>5000</v>
      </c>
      <c r="D60" s="93">
        <v>20</v>
      </c>
      <c r="E60" s="39">
        <f t="shared" si="0"/>
        <v>250</v>
      </c>
      <c r="F60" s="40">
        <v>10</v>
      </c>
      <c r="G60" s="39">
        <f aca="true" t="shared" si="8" ref="G60:G62">E60*F60</f>
        <v>2500</v>
      </c>
      <c r="H60" s="39">
        <f aca="true" t="shared" si="9" ref="H60:H62">C60-G60</f>
        <v>2500</v>
      </c>
      <c r="I60" s="56"/>
      <c r="J60" s="56"/>
    </row>
    <row r="61" spans="1:10" ht="15">
      <c r="A61" s="93">
        <f>'Inv Flotacion'!A6</f>
        <v>2</v>
      </c>
      <c r="B61" s="26" t="s">
        <v>244</v>
      </c>
      <c r="C61" s="161">
        <f>'Inv Flotacion'!E6</f>
        <v>9000</v>
      </c>
      <c r="D61" s="93">
        <v>20</v>
      </c>
      <c r="E61" s="39">
        <f t="shared" si="0"/>
        <v>450</v>
      </c>
      <c r="F61" s="40">
        <v>10</v>
      </c>
      <c r="G61" s="39">
        <f t="shared" si="8"/>
        <v>4500</v>
      </c>
      <c r="H61" s="39">
        <f t="shared" si="9"/>
        <v>4500</v>
      </c>
      <c r="I61" s="56"/>
      <c r="J61" s="56"/>
    </row>
    <row r="62" spans="1:10" ht="15">
      <c r="A62" s="93">
        <f>'Inv Flotacion'!A7</f>
        <v>3</v>
      </c>
      <c r="B62" s="26" t="s">
        <v>70</v>
      </c>
      <c r="C62" s="161">
        <f>'Inv Flotacion'!E7</f>
        <v>15000</v>
      </c>
      <c r="D62" s="93">
        <v>20</v>
      </c>
      <c r="E62" s="39">
        <f t="shared" si="0"/>
        <v>750</v>
      </c>
      <c r="F62" s="40">
        <v>10</v>
      </c>
      <c r="G62" s="39">
        <f t="shared" si="8"/>
        <v>7500</v>
      </c>
      <c r="H62" s="39">
        <f t="shared" si="9"/>
        <v>7500</v>
      </c>
      <c r="I62" s="56"/>
      <c r="J62" s="56"/>
    </row>
    <row r="63" spans="1:10" ht="15">
      <c r="A63" s="92"/>
      <c r="B63" s="92"/>
      <c r="C63" s="92"/>
      <c r="D63" s="92"/>
      <c r="E63" s="195"/>
      <c r="F63" s="92"/>
      <c r="G63" s="114" t="s">
        <v>170</v>
      </c>
      <c r="H63" s="115">
        <f>SUM(H5:H62)</f>
        <v>117650</v>
      </c>
      <c r="I63" s="56"/>
      <c r="J63" s="56"/>
    </row>
    <row r="64" spans="1:10" ht="15">
      <c r="A64" s="92"/>
      <c r="B64" s="92"/>
      <c r="C64" s="92"/>
      <c r="D64" s="92"/>
      <c r="E64" s="92"/>
      <c r="F64" s="92"/>
      <c r="G64" s="92"/>
      <c r="H64" s="92"/>
      <c r="I64" s="56"/>
      <c r="J64" s="56"/>
    </row>
    <row r="65" spans="1:10" ht="15">
      <c r="A65" s="92"/>
      <c r="B65" s="92"/>
      <c r="C65" s="92"/>
      <c r="D65" s="92"/>
      <c r="E65" s="92"/>
      <c r="F65" s="92"/>
      <c r="G65" s="92"/>
      <c r="H65" s="92"/>
      <c r="I65" s="56"/>
      <c r="J65" s="56"/>
    </row>
    <row r="66" spans="1:10" ht="15">
      <c r="A66" s="92"/>
      <c r="B66" s="92"/>
      <c r="C66" s="92"/>
      <c r="D66" s="92"/>
      <c r="E66" s="92"/>
      <c r="F66" s="92"/>
      <c r="G66" s="92"/>
      <c r="H66" s="92"/>
      <c r="I66" s="56"/>
      <c r="J66" s="56"/>
    </row>
    <row r="67" spans="1:10" ht="15">
      <c r="A67" s="56"/>
      <c r="B67" s="56"/>
      <c r="C67" s="56"/>
      <c r="D67" s="56"/>
      <c r="E67" s="56"/>
      <c r="F67" s="56"/>
      <c r="G67" s="56"/>
      <c r="H67" s="56"/>
      <c r="I67" s="56"/>
      <c r="J67" s="56"/>
    </row>
    <row r="68" spans="1:10" ht="15">
      <c r="A68" s="56"/>
      <c r="B68" s="56"/>
      <c r="C68" s="56"/>
      <c r="D68" s="56"/>
      <c r="E68" s="56"/>
      <c r="F68" s="56"/>
      <c r="G68" s="56"/>
      <c r="H68" s="56"/>
      <c r="I68" s="56"/>
      <c r="J68" s="56"/>
    </row>
    <row r="69" spans="1:10" ht="15">
      <c r="A69" s="56"/>
      <c r="B69" s="56"/>
      <c r="C69" s="56"/>
      <c r="D69" s="56"/>
      <c r="E69" s="56"/>
      <c r="F69" s="56"/>
      <c r="G69" s="56"/>
      <c r="H69" s="56"/>
      <c r="I69" s="56"/>
      <c r="J69" s="56"/>
    </row>
    <row r="70" spans="1:10" ht="15">
      <c r="A70" s="56"/>
      <c r="B70" s="56"/>
      <c r="C70" s="56"/>
      <c r="D70" s="56"/>
      <c r="E70" s="56"/>
      <c r="F70" s="56"/>
      <c r="G70" s="56"/>
      <c r="H70" s="56"/>
      <c r="I70" s="56"/>
      <c r="J70" s="56"/>
    </row>
    <row r="71" spans="1:10" ht="15">
      <c r="A71" s="56"/>
      <c r="B71" s="56"/>
      <c r="C71" s="56"/>
      <c r="D71" s="56"/>
      <c r="E71" s="56"/>
      <c r="F71" s="56"/>
      <c r="G71" s="56"/>
      <c r="H71" s="56"/>
      <c r="I71" s="56"/>
      <c r="J71" s="56"/>
    </row>
    <row r="72" spans="1:10" ht="15">
      <c r="A72" s="56"/>
      <c r="B72" s="56"/>
      <c r="C72" s="56"/>
      <c r="D72" s="56"/>
      <c r="E72" s="56"/>
      <c r="F72" s="56"/>
      <c r="G72" s="56"/>
      <c r="H72" s="56"/>
      <c r="I72" s="56"/>
      <c r="J72" s="56"/>
    </row>
    <row r="73" spans="1:10" ht="15">
      <c r="A73" s="56"/>
      <c r="B73" s="56"/>
      <c r="C73" s="56"/>
      <c r="D73" s="56"/>
      <c r="E73" s="56"/>
      <c r="F73" s="56"/>
      <c r="G73" s="56"/>
      <c r="H73" s="56"/>
      <c r="I73" s="56"/>
      <c r="J73" s="56"/>
    </row>
    <row r="74" spans="1:10" ht="15">
      <c r="A74" s="56"/>
      <c r="B74" s="56"/>
      <c r="C74" s="56"/>
      <c r="D74" s="56"/>
      <c r="E74" s="56"/>
      <c r="F74" s="56"/>
      <c r="G74" s="56"/>
      <c r="H74" s="56"/>
      <c r="I74" s="56"/>
      <c r="J74" s="56"/>
    </row>
    <row r="75" spans="1:10" ht="15">
      <c r="A75" s="56"/>
      <c r="B75" s="56"/>
      <c r="C75" s="56"/>
      <c r="D75" s="56"/>
      <c r="E75" s="56"/>
      <c r="F75" s="56"/>
      <c r="G75" s="56"/>
      <c r="H75" s="56"/>
      <c r="I75" s="56"/>
      <c r="J75" s="56"/>
    </row>
    <row r="76" spans="1:10" ht="15">
      <c r="A76" s="56"/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15">
      <c r="A77" s="56"/>
      <c r="B77" s="56"/>
      <c r="C77" s="56"/>
      <c r="D77" s="56"/>
      <c r="E77" s="56"/>
      <c r="F77" s="56"/>
      <c r="G77" s="56"/>
      <c r="H77" s="56"/>
      <c r="I77" s="56"/>
      <c r="J77" s="56"/>
    </row>
    <row r="78" spans="1:10" ht="15">
      <c r="A78" s="56"/>
      <c r="B78" s="56"/>
      <c r="C78" s="56"/>
      <c r="D78" s="56"/>
      <c r="E78" s="56"/>
      <c r="F78" s="56"/>
      <c r="G78" s="56"/>
      <c r="H78" s="56"/>
      <c r="I78" s="56"/>
      <c r="J78" s="56"/>
    </row>
    <row r="79" spans="1:10" ht="15">
      <c r="A79" s="56"/>
      <c r="B79" s="56"/>
      <c r="C79" s="56"/>
      <c r="D79" s="56"/>
      <c r="E79" s="56"/>
      <c r="F79" s="56"/>
      <c r="G79" s="56"/>
      <c r="H79" s="56"/>
      <c r="I79" s="56"/>
      <c r="J79" s="56"/>
    </row>
    <row r="80" spans="1:10" ht="15">
      <c r="A80" s="56"/>
      <c r="B80" s="56"/>
      <c r="C80" s="56"/>
      <c r="D80" s="56"/>
      <c r="E80" s="56"/>
      <c r="F80" s="56"/>
      <c r="G80" s="56"/>
      <c r="H80" s="56"/>
      <c r="I80" s="56"/>
      <c r="J80" s="56"/>
    </row>
    <row r="81" spans="1:10" ht="15">
      <c r="A81" s="56"/>
      <c r="B81" s="56"/>
      <c r="C81" s="56"/>
      <c r="D81" s="56"/>
      <c r="E81" s="56"/>
      <c r="F81" s="56"/>
      <c r="G81" s="56"/>
      <c r="H81" s="56"/>
      <c r="I81" s="56"/>
      <c r="J81" s="56"/>
    </row>
    <row r="82" spans="1:10" ht="15">
      <c r="A82" s="56"/>
      <c r="B82" s="56"/>
      <c r="C82" s="56"/>
      <c r="D82" s="56"/>
      <c r="E82" s="56"/>
      <c r="F82" s="56"/>
      <c r="G82" s="56"/>
      <c r="H82" s="56"/>
      <c r="I82" s="56"/>
      <c r="J82" s="56"/>
    </row>
    <row r="83" spans="1:10" ht="15">
      <c r="A83" s="56"/>
      <c r="B83" s="56"/>
      <c r="C83" s="56"/>
      <c r="D83" s="56"/>
      <c r="E83" s="56"/>
      <c r="F83" s="56"/>
      <c r="G83" s="56"/>
      <c r="H83" s="56"/>
      <c r="I83" s="56"/>
      <c r="J83" s="56"/>
    </row>
    <row r="84" spans="1:10" ht="15">
      <c r="A84" s="56"/>
      <c r="B84" s="56"/>
      <c r="C84" s="56"/>
      <c r="D84" s="56"/>
      <c r="E84" s="56"/>
      <c r="F84" s="56"/>
      <c r="G84" s="56"/>
      <c r="H84" s="56"/>
      <c r="I84" s="56"/>
      <c r="J84" s="56"/>
    </row>
    <row r="85" spans="1:10" ht="15">
      <c r="A85" s="56"/>
      <c r="B85" s="56"/>
      <c r="C85" s="56"/>
      <c r="D85" s="56"/>
      <c r="E85" s="56"/>
      <c r="F85" s="56"/>
      <c r="G85" s="56"/>
      <c r="H85" s="56"/>
      <c r="I85" s="56"/>
      <c r="J85" s="56"/>
    </row>
    <row r="86" spans="1:10" ht="15">
      <c r="A86" s="56"/>
      <c r="B86" s="56"/>
      <c r="C86" s="56"/>
      <c r="D86" s="56"/>
      <c r="E86" s="56"/>
      <c r="F86" s="56"/>
      <c r="G86" s="56"/>
      <c r="H86" s="56"/>
      <c r="I86" s="56"/>
      <c r="J86" s="56"/>
    </row>
    <row r="87" spans="1:10" ht="15">
      <c r="A87" s="56"/>
      <c r="B87" s="56"/>
      <c r="C87" s="56"/>
      <c r="D87" s="56"/>
      <c r="E87" s="56"/>
      <c r="F87" s="56"/>
      <c r="G87" s="56"/>
      <c r="H87" s="56"/>
      <c r="I87" s="56"/>
      <c r="J87" s="56"/>
    </row>
    <row r="88" spans="1:10" ht="15">
      <c r="A88" s="56"/>
      <c r="B88" s="56"/>
      <c r="C88" s="56"/>
      <c r="D88" s="56"/>
      <c r="E88" s="56"/>
      <c r="F88" s="56"/>
      <c r="G88" s="56"/>
      <c r="H88" s="56"/>
      <c r="I88" s="56"/>
      <c r="J88" s="56"/>
    </row>
    <row r="89" spans="1:10" ht="15">
      <c r="A89" s="56"/>
      <c r="B89" s="56"/>
      <c r="C89" s="56"/>
      <c r="D89" s="56"/>
      <c r="E89" s="56"/>
      <c r="F89" s="56"/>
      <c r="G89" s="56"/>
      <c r="H89" s="56"/>
      <c r="I89" s="56"/>
      <c r="J89" s="56"/>
    </row>
    <row r="90" spans="1:10" ht="15">
      <c r="A90" s="56"/>
      <c r="B90" s="56"/>
      <c r="C90" s="56"/>
      <c r="D90" s="56"/>
      <c r="E90" s="56"/>
      <c r="F90" s="56"/>
      <c r="G90" s="56"/>
      <c r="H90" s="56"/>
      <c r="I90" s="56"/>
      <c r="J90" s="56"/>
    </row>
    <row r="91" spans="1:10" ht="15">
      <c r="A91" s="56"/>
      <c r="B91" s="56"/>
      <c r="C91" s="56"/>
      <c r="D91" s="56"/>
      <c r="E91" s="56"/>
      <c r="F91" s="56"/>
      <c r="G91" s="56"/>
      <c r="H91" s="56"/>
      <c r="I91" s="56"/>
      <c r="J91" s="56"/>
    </row>
    <row r="92" spans="1:10" ht="15">
      <c r="A92" s="56"/>
      <c r="B92" s="56"/>
      <c r="C92" s="56"/>
      <c r="D92" s="56"/>
      <c r="E92" s="56"/>
      <c r="F92" s="56"/>
      <c r="G92" s="56"/>
      <c r="H92" s="56"/>
      <c r="I92" s="56"/>
      <c r="J92" s="56"/>
    </row>
  </sheetData>
  <mergeCells count="4">
    <mergeCell ref="A43:C43"/>
    <mergeCell ref="A57:C57"/>
    <mergeCell ref="A13:C13"/>
    <mergeCell ref="A4:C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workbookViewId="0" topLeftCell="A1">
      <selection activeCell="F33" sqref="F33"/>
    </sheetView>
  </sheetViews>
  <sheetFormatPr defaultColWidth="11.421875" defaultRowHeight="15"/>
  <cols>
    <col min="1" max="1" width="13.421875" style="0" bestFit="1" customWidth="1"/>
    <col min="2" max="2" width="12.421875" style="0" bestFit="1" customWidth="1"/>
    <col min="3" max="3" width="14.00390625" style="0" bestFit="1" customWidth="1"/>
    <col min="5" max="5" width="18.28125" style="0" customWidth="1"/>
  </cols>
  <sheetData>
    <row r="1" ht="15">
      <c r="F1" t="s">
        <v>141</v>
      </c>
    </row>
    <row r="2" spans="1:8" ht="15">
      <c r="A2" s="67" t="s">
        <v>138</v>
      </c>
      <c r="B2" s="68" t="s">
        <v>139</v>
      </c>
      <c r="C2" s="68" t="s">
        <v>140</v>
      </c>
      <c r="F2" t="s">
        <v>142</v>
      </c>
      <c r="G2" t="s">
        <v>143</v>
      </c>
      <c r="H2" s="69"/>
    </row>
    <row r="3" spans="1:9" ht="15">
      <c r="A3" s="74">
        <v>40817</v>
      </c>
      <c r="B3" s="39">
        <v>1117.96</v>
      </c>
      <c r="C3" s="39">
        <v>17.81</v>
      </c>
      <c r="F3" s="2">
        <v>0</v>
      </c>
      <c r="G3" s="2">
        <v>0</v>
      </c>
      <c r="H3" s="69"/>
      <c r="I3" s="70"/>
    </row>
    <row r="4" spans="1:9" ht="15">
      <c r="A4" s="280" t="s">
        <v>409</v>
      </c>
      <c r="B4" s="39">
        <v>1095.41</v>
      </c>
      <c r="C4" s="39">
        <v>17.67</v>
      </c>
      <c r="F4" s="2">
        <f aca="true" t="shared" si="0" ref="F4:F29">(B4-B3)/B3</f>
        <v>-0.020170668002432963</v>
      </c>
      <c r="G4" s="2">
        <f aca="true" t="shared" si="1" ref="G4:G29">(C4-C3)/C3</f>
        <v>-0.007860752386299664</v>
      </c>
      <c r="H4" s="69"/>
      <c r="I4" s="70"/>
    </row>
    <row r="5" spans="1:9" ht="15">
      <c r="A5" s="74">
        <v>40819</v>
      </c>
      <c r="B5" s="39">
        <v>1113.34</v>
      </c>
      <c r="C5" s="39">
        <v>17.78</v>
      </c>
      <c r="F5" s="2">
        <f t="shared" si="0"/>
        <v>0.016368300453711244</v>
      </c>
      <c r="G5" s="2">
        <f t="shared" si="1"/>
        <v>0.006225240520656447</v>
      </c>
      <c r="H5" s="69"/>
      <c r="I5" s="70"/>
    </row>
    <row r="6" spans="1:9" ht="15">
      <c r="A6" s="74">
        <v>40820</v>
      </c>
      <c r="B6" s="39">
        <v>1148.69</v>
      </c>
      <c r="C6" s="39">
        <v>15.87</v>
      </c>
      <c r="F6" s="2">
        <f t="shared" si="0"/>
        <v>0.03175130687840205</v>
      </c>
      <c r="G6" s="2">
        <f t="shared" si="1"/>
        <v>-0.10742407199100122</v>
      </c>
      <c r="H6" s="69"/>
      <c r="I6" s="70"/>
    </row>
    <row r="7" spans="1:9" ht="15">
      <c r="A7" s="74">
        <v>40821</v>
      </c>
      <c r="B7" s="39">
        <v>1205.43</v>
      </c>
      <c r="C7" s="39">
        <v>17.11</v>
      </c>
      <c r="F7" s="2">
        <f t="shared" si="0"/>
        <v>0.049395398236251734</v>
      </c>
      <c r="G7" s="2">
        <f t="shared" si="1"/>
        <v>0.07813484562066794</v>
      </c>
      <c r="H7" s="69"/>
      <c r="I7" s="70"/>
    </row>
    <row r="8" spans="1:9" ht="15">
      <c r="A8" s="74">
        <v>40822</v>
      </c>
      <c r="B8" s="39">
        <v>1232.92</v>
      </c>
      <c r="C8" s="39">
        <v>18.1</v>
      </c>
      <c r="F8" s="2">
        <f t="shared" si="0"/>
        <v>0.022805140074496244</v>
      </c>
      <c r="G8" s="2">
        <f t="shared" si="1"/>
        <v>0.05786090005844547</v>
      </c>
      <c r="H8" s="69"/>
      <c r="I8" s="70"/>
    </row>
    <row r="9" spans="1:9" ht="15">
      <c r="A9" s="74">
        <v>40823</v>
      </c>
      <c r="B9" s="39">
        <v>1192.97</v>
      </c>
      <c r="C9" s="39">
        <v>18.41</v>
      </c>
      <c r="F9" s="2">
        <f t="shared" si="0"/>
        <v>-0.0324027511922915</v>
      </c>
      <c r="G9" s="2">
        <f t="shared" si="1"/>
        <v>0.01712707182320435</v>
      </c>
      <c r="H9" s="69"/>
      <c r="I9" s="70"/>
    </row>
    <row r="10" spans="1:9" ht="15">
      <c r="A10" s="74">
        <v>40824</v>
      </c>
      <c r="B10" s="39">
        <v>1215.81</v>
      </c>
      <c r="C10" s="39">
        <v>18.45</v>
      </c>
      <c r="F10" s="2">
        <f t="shared" si="0"/>
        <v>0.01914549401912866</v>
      </c>
      <c r="G10" s="2">
        <f t="shared" si="1"/>
        <v>0.0021727322107549783</v>
      </c>
      <c r="H10" s="69"/>
      <c r="I10" s="70"/>
    </row>
    <row r="11" spans="1:9" ht="15">
      <c r="A11" s="74">
        <v>40825</v>
      </c>
      <c r="B11" s="39">
        <v>1270.98</v>
      </c>
      <c r="C11" s="39">
        <v>17.963</v>
      </c>
      <c r="F11" s="2">
        <f t="shared" si="0"/>
        <v>0.04537715597009407</v>
      </c>
      <c r="G11" s="2">
        <f t="shared" si="1"/>
        <v>-0.026395663956639476</v>
      </c>
      <c r="H11" s="69"/>
      <c r="I11" s="70"/>
    </row>
    <row r="12" spans="1:9" ht="15">
      <c r="A12" s="74">
        <v>40826</v>
      </c>
      <c r="B12" s="39">
        <v>1342.02</v>
      </c>
      <c r="C12" s="39">
        <v>18.36</v>
      </c>
      <c r="F12" s="2">
        <f t="shared" si="0"/>
        <v>0.055893877165651674</v>
      </c>
      <c r="G12" s="2">
        <f t="shared" si="1"/>
        <v>0.02210098535879299</v>
      </c>
      <c r="H12" s="69"/>
      <c r="I12" s="70"/>
    </row>
    <row r="13" spans="1:9" ht="15">
      <c r="A13" s="74">
        <v>40827</v>
      </c>
      <c r="B13" s="39">
        <v>1369.89</v>
      </c>
      <c r="C13" s="71">
        <v>26.93</v>
      </c>
      <c r="F13" s="2">
        <f t="shared" si="0"/>
        <v>0.02076720168104806</v>
      </c>
      <c r="G13" s="2">
        <f t="shared" si="1"/>
        <v>0.46677559912854033</v>
      </c>
      <c r="H13" s="69"/>
      <c r="I13" s="70"/>
    </row>
    <row r="14" spans="1:9" ht="15">
      <c r="A14" s="74">
        <v>40828</v>
      </c>
      <c r="B14" s="39">
        <v>1390.55</v>
      </c>
      <c r="C14" s="71">
        <v>29.25</v>
      </c>
      <c r="F14" s="2">
        <f t="shared" si="0"/>
        <v>0.015081502894392872</v>
      </c>
      <c r="G14" s="2">
        <f t="shared" si="1"/>
        <v>0.08614927590048274</v>
      </c>
      <c r="H14" s="69"/>
      <c r="I14" s="70"/>
    </row>
    <row r="15" spans="1:9" ht="15">
      <c r="A15" s="74">
        <v>40848</v>
      </c>
      <c r="B15" s="39">
        <v>1356.4</v>
      </c>
      <c r="C15" s="71">
        <v>28.46</v>
      </c>
      <c r="F15" s="2">
        <f t="shared" si="0"/>
        <v>-0.024558627881054163</v>
      </c>
      <c r="G15" s="2">
        <f t="shared" si="1"/>
        <v>-0.02700854700854698</v>
      </c>
      <c r="H15" s="69"/>
      <c r="I15" s="70"/>
    </row>
    <row r="16" spans="1:9" ht="15">
      <c r="A16" s="74">
        <v>40849</v>
      </c>
      <c r="B16" s="39">
        <v>1372.73</v>
      </c>
      <c r="C16" s="72">
        <v>30.97</v>
      </c>
      <c r="F16" s="2">
        <f t="shared" si="0"/>
        <v>0.012039221468593281</v>
      </c>
      <c r="G16" s="2">
        <f t="shared" si="1"/>
        <v>0.08819395643007723</v>
      </c>
      <c r="H16" s="69"/>
      <c r="I16" s="70"/>
    </row>
    <row r="17" spans="1:9" ht="15">
      <c r="A17" s="74">
        <v>40850</v>
      </c>
      <c r="B17" s="39">
        <v>1424</v>
      </c>
      <c r="C17" s="72">
        <v>35.85</v>
      </c>
      <c r="F17" s="2">
        <f t="shared" si="0"/>
        <v>0.03734893241933955</v>
      </c>
      <c r="G17" s="2">
        <f t="shared" si="1"/>
        <v>0.15757184371972885</v>
      </c>
      <c r="H17" s="69"/>
      <c r="I17" s="70"/>
    </row>
    <row r="18" spans="1:9" ht="15">
      <c r="A18" s="74">
        <v>40851</v>
      </c>
      <c r="B18" s="39">
        <v>1479.76</v>
      </c>
      <c r="C18" s="72">
        <v>42.8</v>
      </c>
      <c r="F18" s="2">
        <f t="shared" si="0"/>
        <v>0.03915730337078651</v>
      </c>
      <c r="G18" s="2">
        <f t="shared" si="1"/>
        <v>0.1938633193863318</v>
      </c>
      <c r="H18" s="69"/>
      <c r="I18" s="70"/>
    </row>
    <row r="19" spans="1:9" ht="15">
      <c r="A19" s="74">
        <v>40852</v>
      </c>
      <c r="B19" s="39">
        <v>1512.6</v>
      </c>
      <c r="C19" s="72">
        <v>36.92</v>
      </c>
      <c r="F19" s="2">
        <f t="shared" si="0"/>
        <v>0.022192788019678812</v>
      </c>
      <c r="G19" s="2">
        <f t="shared" si="1"/>
        <v>-0.13738317757009336</v>
      </c>
      <c r="H19" s="69"/>
      <c r="I19" s="70"/>
    </row>
    <row r="20" spans="1:9" ht="15">
      <c r="A20" s="74">
        <v>40853</v>
      </c>
      <c r="B20" s="39">
        <v>1528.66</v>
      </c>
      <c r="C20" s="72">
        <v>35.77</v>
      </c>
      <c r="F20" s="2">
        <f t="shared" si="0"/>
        <v>0.010617479836044013</v>
      </c>
      <c r="G20" s="2">
        <f t="shared" si="1"/>
        <v>-0.03114842903575294</v>
      </c>
      <c r="H20" s="69"/>
      <c r="I20" s="70"/>
    </row>
    <row r="21" spans="1:9" ht="15">
      <c r="A21" s="74">
        <v>40854</v>
      </c>
      <c r="B21" s="39">
        <v>1572.21</v>
      </c>
      <c r="C21" s="71">
        <v>38.27</v>
      </c>
      <c r="F21" s="2">
        <f t="shared" si="0"/>
        <v>0.028489003440922082</v>
      </c>
      <c r="G21" s="2">
        <f t="shared" si="1"/>
        <v>0.0698909700866648</v>
      </c>
      <c r="H21" s="69"/>
      <c r="I21" s="70"/>
    </row>
    <row r="22" spans="1:9" ht="15">
      <c r="A22" s="74">
        <v>40855</v>
      </c>
      <c r="B22" s="39">
        <v>1757.21</v>
      </c>
      <c r="C22" s="71">
        <v>42.03</v>
      </c>
      <c r="F22" s="2">
        <f t="shared" si="0"/>
        <v>0.1176687592624395</v>
      </c>
      <c r="G22" s="2">
        <f t="shared" si="1"/>
        <v>0.0982492814214789</v>
      </c>
      <c r="H22" s="69"/>
      <c r="I22" s="70"/>
    </row>
    <row r="23" spans="1:9" ht="15">
      <c r="A23" s="74">
        <v>40856</v>
      </c>
      <c r="B23" s="39">
        <v>1770.95</v>
      </c>
      <c r="C23" s="71">
        <v>34.53</v>
      </c>
      <c r="F23" s="2">
        <f t="shared" si="0"/>
        <v>0.007819213412170435</v>
      </c>
      <c r="G23" s="2">
        <f t="shared" si="1"/>
        <v>-0.17844396859386152</v>
      </c>
      <c r="H23" s="69"/>
      <c r="I23" s="70"/>
    </row>
    <row r="24" spans="1:9" ht="15">
      <c r="A24" s="74">
        <v>40857</v>
      </c>
      <c r="B24" s="39">
        <v>1665.21</v>
      </c>
      <c r="C24" s="71">
        <v>33.67</v>
      </c>
      <c r="F24" s="2">
        <f t="shared" si="0"/>
        <v>-0.05970806629210311</v>
      </c>
      <c r="G24" s="2">
        <f t="shared" si="1"/>
        <v>-0.024905878945844177</v>
      </c>
      <c r="H24" s="69"/>
      <c r="I24" s="70"/>
    </row>
    <row r="25" spans="1:9" ht="15">
      <c r="A25" s="74">
        <v>40858</v>
      </c>
      <c r="B25" s="39">
        <v>1738.11</v>
      </c>
      <c r="C25" s="71">
        <v>32.36</v>
      </c>
      <c r="F25" s="2">
        <f t="shared" si="0"/>
        <v>0.04377826220116374</v>
      </c>
      <c r="G25" s="2">
        <f t="shared" si="1"/>
        <v>-0.03890703890703897</v>
      </c>
      <c r="H25" s="69"/>
      <c r="I25" s="70"/>
    </row>
    <row r="26" spans="1:9" ht="15">
      <c r="A26" s="74">
        <v>40859</v>
      </c>
      <c r="B26" s="39">
        <v>1641.84</v>
      </c>
      <c r="C26" s="76">
        <v>29.84</v>
      </c>
      <c r="F26" s="2">
        <f t="shared" si="0"/>
        <v>-0.05538774876158585</v>
      </c>
      <c r="G26" s="2">
        <f t="shared" si="1"/>
        <v>-0.07787391841779974</v>
      </c>
      <c r="H26" s="69"/>
      <c r="I26" s="70"/>
    </row>
    <row r="27" spans="1:9" ht="15">
      <c r="A27" s="74">
        <v>41244</v>
      </c>
      <c r="B27" s="39">
        <v>1652.21</v>
      </c>
      <c r="C27" s="76">
        <v>31.29</v>
      </c>
      <c r="F27" s="2">
        <f t="shared" si="0"/>
        <v>0.006316084393119987</v>
      </c>
      <c r="G27" s="2">
        <f t="shared" si="1"/>
        <v>0.04859249329758711</v>
      </c>
      <c r="H27" s="69"/>
      <c r="I27" s="70"/>
    </row>
    <row r="28" spans="1:9" ht="15">
      <c r="A28" s="74">
        <v>41245</v>
      </c>
      <c r="B28" s="39">
        <v>1742.14</v>
      </c>
      <c r="C28" s="76">
        <v>33.92</v>
      </c>
      <c r="F28" s="2">
        <f t="shared" si="0"/>
        <v>0.05443012692091203</v>
      </c>
      <c r="G28" s="2">
        <f t="shared" si="1"/>
        <v>0.0840524129114734</v>
      </c>
      <c r="H28" s="69"/>
      <c r="I28" s="70"/>
    </row>
    <row r="29" spans="1:9" ht="15">
      <c r="A29" s="74">
        <v>41246</v>
      </c>
      <c r="B29" s="39">
        <v>1664.74</v>
      </c>
      <c r="C29" s="76">
        <v>33.35</v>
      </c>
      <c r="F29" s="73">
        <f t="shared" si="0"/>
        <v>-0.044428117143283596</v>
      </c>
      <c r="G29" s="73">
        <f t="shared" si="1"/>
        <v>-0.016804245283018875</v>
      </c>
      <c r="H29" s="69"/>
      <c r="I29" s="70"/>
    </row>
    <row r="30" spans="1:9" ht="15">
      <c r="A30" s="75"/>
      <c r="B30" s="2"/>
      <c r="C30" s="2"/>
      <c r="H30" s="69"/>
      <c r="I30" s="70"/>
    </row>
    <row r="31" spans="1:9" ht="15">
      <c r="A31" s="75"/>
      <c r="B31" s="2"/>
      <c r="C31" s="2"/>
      <c r="H31" s="69"/>
      <c r="I31" s="70"/>
    </row>
    <row r="32" spans="1:9" ht="15">
      <c r="A32" s="75"/>
      <c r="B32" s="2"/>
      <c r="C32" s="2"/>
      <c r="H32" s="69"/>
      <c r="I32" s="70"/>
    </row>
    <row r="33" spans="1:9" ht="15">
      <c r="A33" s="75"/>
      <c r="B33" s="2"/>
      <c r="C33" s="2"/>
      <c r="E33" t="s">
        <v>144</v>
      </c>
      <c r="F33" s="263">
        <f>MEDIAN(F4:F29)</f>
        <v>0.01995634785008836</v>
      </c>
      <c r="G33" s="263">
        <f>MEDIAN(G4:G29)</f>
        <v>0.011676156171930397</v>
      </c>
      <c r="H33" s="69"/>
      <c r="I33" s="70"/>
    </row>
    <row r="34" spans="1:9" ht="15">
      <c r="A34" s="75"/>
      <c r="B34" s="2"/>
      <c r="C34" s="2"/>
      <c r="H34" s="69"/>
      <c r="I34" s="70"/>
    </row>
    <row r="35" spans="1:9" ht="15">
      <c r="A35" s="75"/>
      <c r="B35" s="2"/>
      <c r="C35" s="2"/>
      <c r="H35" s="69"/>
      <c r="I35" s="70"/>
    </row>
    <row r="36" spans="1:9" ht="15">
      <c r="A36" s="75"/>
      <c r="B36" s="2"/>
      <c r="C36" s="2"/>
      <c r="E36" s="75"/>
      <c r="F36" s="12" t="s">
        <v>142</v>
      </c>
      <c r="G36" s="12" t="s">
        <v>143</v>
      </c>
      <c r="H36" s="69"/>
      <c r="I36" s="70"/>
    </row>
    <row r="37" spans="1:9" ht="15">
      <c r="A37" s="75"/>
      <c r="B37" s="2"/>
      <c r="C37" s="2"/>
      <c r="E37" s="12" t="s">
        <v>145</v>
      </c>
      <c r="F37" s="77">
        <f>MEDIAN(B3:B29)</f>
        <v>1390.55</v>
      </c>
      <c r="G37" s="77">
        <f>MEDIAN(C3:C29)</f>
        <v>29.84</v>
      </c>
      <c r="H37" s="69"/>
      <c r="I37" s="70"/>
    </row>
    <row r="38" spans="1:9" ht="15">
      <c r="A38" s="75"/>
      <c r="B38" s="2"/>
      <c r="C38" s="2"/>
      <c r="H38" s="69"/>
      <c r="I38" s="70"/>
    </row>
    <row r="39" spans="1:9" ht="15">
      <c r="A39" s="75"/>
      <c r="B39" s="2"/>
      <c r="C39" s="2"/>
      <c r="H39" s="69"/>
      <c r="I39" s="70"/>
    </row>
    <row r="40" spans="1:9" ht="15">
      <c r="A40" s="75"/>
      <c r="B40" s="2"/>
      <c r="C40" s="2"/>
      <c r="H40" s="69"/>
      <c r="I40" s="70"/>
    </row>
    <row r="41" spans="1:9" ht="15">
      <c r="A41" s="75"/>
      <c r="B41" s="2"/>
      <c r="C41" s="2"/>
      <c r="H41" s="69"/>
      <c r="I41" s="70"/>
    </row>
    <row r="42" spans="1:9" ht="15">
      <c r="A42" s="75"/>
      <c r="B42" s="2"/>
      <c r="C42" s="2"/>
      <c r="H42" s="69"/>
      <c r="I42" s="70"/>
    </row>
    <row r="43" spans="1:9" ht="15">
      <c r="A43" s="75"/>
      <c r="B43" s="2"/>
      <c r="C43" s="2"/>
      <c r="H43" s="69"/>
      <c r="I43" s="70"/>
    </row>
    <row r="44" spans="1:9" ht="15">
      <c r="A44" s="75"/>
      <c r="B44" s="2"/>
      <c r="C44" s="2"/>
      <c r="H44" s="69"/>
      <c r="I44" s="70"/>
    </row>
    <row r="45" spans="1:9" ht="15">
      <c r="A45" s="75"/>
      <c r="B45" s="2"/>
      <c r="C45" s="2"/>
      <c r="H45" s="69"/>
      <c r="I45" s="70"/>
    </row>
    <row r="46" spans="1:3" ht="15">
      <c r="A46" s="75"/>
      <c r="B46" s="2"/>
      <c r="C46" s="2"/>
    </row>
    <row r="47" spans="1:3" ht="15">
      <c r="A47" s="75"/>
      <c r="B47" s="2"/>
      <c r="C47" s="2"/>
    </row>
    <row r="48" spans="1:3" ht="15">
      <c r="A48" s="75"/>
      <c r="B48" s="2"/>
      <c r="C48" s="2"/>
    </row>
    <row r="49" spans="1:3" ht="15">
      <c r="A49" s="75"/>
      <c r="B49" s="2"/>
      <c r="C49" s="2"/>
    </row>
    <row r="50" spans="1:3" ht="15">
      <c r="A50" s="75"/>
      <c r="B50" s="2"/>
      <c r="C50" s="2"/>
    </row>
    <row r="51" spans="1:3" ht="15">
      <c r="A51" s="75"/>
      <c r="B51" s="2"/>
      <c r="C51" s="2"/>
    </row>
    <row r="52" spans="1:3" ht="15">
      <c r="A52" s="75"/>
      <c r="B52" s="2"/>
      <c r="C52" s="2"/>
    </row>
    <row r="53" spans="1:3" ht="15">
      <c r="A53" s="75"/>
      <c r="B53" s="2"/>
      <c r="C53" s="2"/>
    </row>
    <row r="54" spans="1:3" ht="15">
      <c r="A54" s="75"/>
      <c r="B54" s="2"/>
      <c r="C54" s="2"/>
    </row>
    <row r="55" spans="1:3" ht="15">
      <c r="A55" s="75"/>
      <c r="B55" s="2"/>
      <c r="C55" s="2"/>
    </row>
    <row r="56" spans="1:3" ht="15">
      <c r="A56" s="75"/>
      <c r="B56" s="2"/>
      <c r="C56" s="2"/>
    </row>
    <row r="57" spans="1:3" ht="15">
      <c r="A57" s="75"/>
      <c r="B57" s="2"/>
      <c r="C57" s="2"/>
    </row>
    <row r="58" spans="1:3" ht="15">
      <c r="A58" s="75"/>
      <c r="B58" s="2"/>
      <c r="C58" s="2"/>
    </row>
    <row r="59" spans="1:3" ht="15">
      <c r="A59" s="75"/>
      <c r="B59" s="2"/>
      <c r="C59" s="2"/>
    </row>
    <row r="60" spans="1:3" ht="15">
      <c r="A60" s="75"/>
      <c r="B60" s="2"/>
      <c r="C60" s="2"/>
    </row>
    <row r="61" spans="1:3" ht="15">
      <c r="A61" s="75"/>
      <c r="B61" s="2"/>
      <c r="C61" s="2"/>
    </row>
    <row r="62" spans="1:3" ht="15">
      <c r="A62" s="75"/>
      <c r="B62" s="2"/>
      <c r="C62" s="2"/>
    </row>
    <row r="63" spans="1:3" ht="15">
      <c r="A63" s="75"/>
      <c r="B63" s="2"/>
      <c r="C63" s="2"/>
    </row>
    <row r="64" spans="1:3" ht="15">
      <c r="A64" s="75"/>
      <c r="B64" s="2"/>
      <c r="C64" s="2"/>
    </row>
    <row r="65" spans="1:3" ht="15">
      <c r="A65" s="75"/>
      <c r="B65" s="2"/>
      <c r="C65" s="2"/>
    </row>
    <row r="66" spans="1:3" ht="15">
      <c r="A66" s="75"/>
      <c r="B66" s="2"/>
      <c r="C66" s="2"/>
    </row>
    <row r="67" spans="1:3" ht="15">
      <c r="A67" s="75"/>
      <c r="B67" s="2"/>
      <c r="C67" s="2"/>
    </row>
    <row r="68" spans="1:3" ht="15">
      <c r="A68" s="75"/>
      <c r="B68" s="2"/>
      <c r="C68" s="2"/>
    </row>
    <row r="69" spans="1:3" ht="15">
      <c r="A69" s="75"/>
      <c r="B69" s="2"/>
      <c r="C69" s="2"/>
    </row>
    <row r="70" spans="1:3" ht="15">
      <c r="A70" s="75"/>
      <c r="B70" s="2"/>
      <c r="C70" s="2"/>
    </row>
    <row r="71" spans="1:3" ht="15">
      <c r="A71" s="75"/>
      <c r="B71" s="2"/>
      <c r="C71" s="2"/>
    </row>
    <row r="72" spans="1:3" ht="15">
      <c r="A72" s="75"/>
      <c r="B72" s="2"/>
      <c r="C72" s="2"/>
    </row>
    <row r="73" spans="1:3" ht="15">
      <c r="A73" s="75"/>
      <c r="B73" s="2"/>
      <c r="C73" s="2"/>
    </row>
    <row r="74" spans="1:3" ht="15">
      <c r="A74" s="75"/>
      <c r="B74" s="2"/>
      <c r="C74" s="2"/>
    </row>
    <row r="75" spans="1:3" ht="15">
      <c r="A75" s="75"/>
      <c r="B75" s="2"/>
      <c r="C75" s="2"/>
    </row>
    <row r="76" spans="1:3" ht="15">
      <c r="A76" s="75"/>
      <c r="B76" s="2"/>
      <c r="C76" s="2"/>
    </row>
    <row r="77" spans="1:3" ht="15">
      <c r="A77" s="75"/>
      <c r="B77" s="2"/>
      <c r="C77" s="2"/>
    </row>
    <row r="78" spans="1:3" ht="15">
      <c r="A78" s="75"/>
      <c r="B78" s="2"/>
      <c r="C78" s="2"/>
    </row>
    <row r="79" spans="1:3" ht="15">
      <c r="A79" s="75"/>
      <c r="B79" s="2"/>
      <c r="C79" s="2"/>
    </row>
    <row r="80" spans="1:3" ht="15">
      <c r="A80" s="75"/>
      <c r="B80" s="2"/>
      <c r="C80" s="2"/>
    </row>
    <row r="81" spans="1:3" ht="15">
      <c r="A81" s="75"/>
      <c r="B81" s="2"/>
      <c r="C81" s="2"/>
    </row>
    <row r="82" spans="1:3" ht="15">
      <c r="A82" s="75"/>
      <c r="B82" s="2"/>
      <c r="C82" s="2"/>
    </row>
    <row r="83" spans="1:3" ht="15">
      <c r="A83" s="75"/>
      <c r="B83" s="2"/>
      <c r="C83" s="2"/>
    </row>
    <row r="84" spans="1:3" ht="15">
      <c r="A84" s="75"/>
      <c r="B84" s="2"/>
      <c r="C84" s="2"/>
    </row>
    <row r="85" spans="1:3" ht="15">
      <c r="A85" s="75"/>
      <c r="B85" s="2"/>
      <c r="C85" s="2"/>
    </row>
    <row r="86" spans="1:3" ht="15">
      <c r="A86" s="75"/>
      <c r="B86" s="2"/>
      <c r="C86" s="2"/>
    </row>
    <row r="87" spans="1:3" ht="15">
      <c r="A87" s="75"/>
      <c r="B87" s="2"/>
      <c r="C87" s="2"/>
    </row>
    <row r="88" spans="1:3" ht="15">
      <c r="A88" s="75"/>
      <c r="B88" s="2"/>
      <c r="C88" s="2"/>
    </row>
    <row r="89" spans="1:3" ht="15">
      <c r="A89" s="75"/>
      <c r="B89" s="2"/>
      <c r="C89" s="2"/>
    </row>
    <row r="90" spans="1:3" ht="15">
      <c r="A90" s="75"/>
      <c r="B90" s="2"/>
      <c r="C90" s="2"/>
    </row>
    <row r="91" spans="1:3" ht="15">
      <c r="A91" s="75"/>
      <c r="B91" s="2"/>
      <c r="C91" s="2"/>
    </row>
    <row r="92" spans="1:3" ht="15">
      <c r="A92" s="75"/>
      <c r="B92" s="2"/>
      <c r="C92" s="2"/>
    </row>
    <row r="93" spans="1:3" ht="15">
      <c r="A93" s="75"/>
      <c r="B93" s="2"/>
      <c r="C93" s="2"/>
    </row>
    <row r="94" spans="1:3" ht="15">
      <c r="A94" s="75"/>
      <c r="B94" s="2"/>
      <c r="C94" s="2"/>
    </row>
    <row r="95" spans="1:3" ht="15">
      <c r="A95" s="75"/>
      <c r="B95" s="2"/>
      <c r="C95" s="2"/>
    </row>
    <row r="96" spans="1:3" ht="15">
      <c r="A96" s="75"/>
      <c r="B96" s="2"/>
      <c r="C96" s="2"/>
    </row>
    <row r="97" spans="1:3" ht="15">
      <c r="A97" s="75"/>
      <c r="B97" s="2"/>
      <c r="C97" s="2"/>
    </row>
    <row r="98" spans="1:3" ht="15">
      <c r="A98" s="75"/>
      <c r="B98" s="2"/>
      <c r="C98" s="2"/>
    </row>
    <row r="99" spans="1:3" ht="15">
      <c r="A99" s="75"/>
      <c r="B99" s="2"/>
      <c r="C99" s="2"/>
    </row>
    <row r="100" spans="1:3" ht="15">
      <c r="A100" s="75"/>
      <c r="B100" s="2"/>
      <c r="C100" s="2"/>
    </row>
    <row r="101" spans="1:3" ht="15">
      <c r="A101" s="75"/>
      <c r="B101" s="2"/>
      <c r="C101" s="2"/>
    </row>
    <row r="102" spans="1:3" ht="15">
      <c r="A102" s="75"/>
      <c r="B102" s="2"/>
      <c r="C102" s="2"/>
    </row>
    <row r="103" spans="1:3" ht="15">
      <c r="A103" s="75"/>
      <c r="B103" s="2"/>
      <c r="C103" s="2"/>
    </row>
    <row r="104" spans="1:3" ht="15">
      <c r="A104" s="75"/>
      <c r="B104" s="2"/>
      <c r="C104" s="2"/>
    </row>
    <row r="105" spans="1:3" ht="15">
      <c r="A105" s="75"/>
      <c r="B105" s="2"/>
      <c r="C105" s="2"/>
    </row>
    <row r="106" spans="1:3" ht="15">
      <c r="A106" s="75"/>
      <c r="B106" s="2"/>
      <c r="C106" s="2"/>
    </row>
    <row r="107" spans="1:3" ht="15">
      <c r="A107" s="75"/>
      <c r="B107" s="2"/>
      <c r="C107" s="2"/>
    </row>
    <row r="108" spans="1:3" ht="15">
      <c r="A108" s="75"/>
      <c r="B108" s="2"/>
      <c r="C108" s="2"/>
    </row>
    <row r="109" spans="1:3" ht="15">
      <c r="A109" s="75"/>
      <c r="B109" s="2"/>
      <c r="C109" s="2"/>
    </row>
    <row r="110" spans="1:3" ht="15">
      <c r="A110" s="75"/>
      <c r="B110" s="2"/>
      <c r="C110" s="2"/>
    </row>
    <row r="111" spans="1:3" ht="15">
      <c r="A111" s="75"/>
      <c r="B111" s="2"/>
      <c r="C111" s="2"/>
    </row>
    <row r="112" spans="1:3" ht="15">
      <c r="A112" s="75"/>
      <c r="B112" s="2"/>
      <c r="C112" s="2"/>
    </row>
    <row r="113" spans="1:3" ht="15">
      <c r="A113" s="75"/>
      <c r="B113" s="2"/>
      <c r="C113" s="2"/>
    </row>
    <row r="114" spans="1:3" ht="15">
      <c r="A114" s="75"/>
      <c r="B114" s="2"/>
      <c r="C114" s="2"/>
    </row>
    <row r="115" spans="1:3" ht="15">
      <c r="A115" s="75"/>
      <c r="B115" s="2"/>
      <c r="C115" s="2"/>
    </row>
    <row r="116" spans="1:3" ht="15">
      <c r="A116" s="75"/>
      <c r="B116" s="2"/>
      <c r="C116" s="2"/>
    </row>
    <row r="117" spans="1:3" ht="15">
      <c r="A117" s="75"/>
      <c r="B117" s="2"/>
      <c r="C117" s="2"/>
    </row>
    <row r="118" spans="1:3" ht="15">
      <c r="A118" s="75"/>
      <c r="B118" s="2"/>
      <c r="C118" s="2"/>
    </row>
    <row r="119" spans="1:3" ht="15">
      <c r="A119" s="75"/>
      <c r="B119" s="2"/>
      <c r="C119" s="2"/>
    </row>
    <row r="120" spans="1:3" ht="15">
      <c r="A120" s="75"/>
      <c r="B120" s="2"/>
      <c r="C120" s="2"/>
    </row>
    <row r="121" spans="1:3" ht="15">
      <c r="A121" s="75"/>
      <c r="B121" s="2"/>
      <c r="C121" s="2"/>
    </row>
    <row r="122" spans="1:3" ht="15">
      <c r="A122" s="75"/>
      <c r="B122" s="2"/>
      <c r="C122" s="2"/>
    </row>
    <row r="123" spans="1:3" ht="15">
      <c r="A123" s="75"/>
      <c r="B123" s="2"/>
      <c r="C123" s="2"/>
    </row>
    <row r="124" spans="1:3" ht="15">
      <c r="A124" s="75"/>
      <c r="B124" s="2"/>
      <c r="C124" s="2"/>
    </row>
    <row r="125" spans="1:3" ht="15">
      <c r="A125" s="75"/>
      <c r="B125" s="2"/>
      <c r="C125" s="2"/>
    </row>
    <row r="126" spans="1:3" ht="15">
      <c r="A126" s="75"/>
      <c r="B126" s="2"/>
      <c r="C126" s="2"/>
    </row>
    <row r="127" spans="1:3" ht="15">
      <c r="A127" s="75"/>
      <c r="B127" s="2"/>
      <c r="C127" s="2"/>
    </row>
    <row r="128" spans="1:3" ht="15">
      <c r="A128" s="75"/>
      <c r="B128" s="2"/>
      <c r="C128" s="2"/>
    </row>
    <row r="129" spans="1:3" ht="15">
      <c r="A129" s="75"/>
      <c r="B129" s="2"/>
      <c r="C129" s="2"/>
    </row>
    <row r="130" spans="1:3" ht="15">
      <c r="A130" s="75"/>
      <c r="B130" s="2"/>
      <c r="C130" s="2"/>
    </row>
    <row r="131" spans="1:3" ht="15">
      <c r="A131" s="75"/>
      <c r="B131" s="2"/>
      <c r="C131" s="2"/>
    </row>
    <row r="132" spans="1:3" ht="15">
      <c r="A132" s="75"/>
      <c r="B132" s="2"/>
      <c r="C132" s="2"/>
    </row>
    <row r="133" spans="1:3" ht="15">
      <c r="A133" s="75"/>
      <c r="B133" s="2"/>
      <c r="C133" s="2"/>
    </row>
    <row r="134" spans="1:3" ht="15">
      <c r="A134" s="75"/>
      <c r="B134" s="2"/>
      <c r="C134" s="2"/>
    </row>
    <row r="135" spans="1:3" ht="15">
      <c r="A135" s="75"/>
      <c r="B135" s="2"/>
      <c r="C135" s="2"/>
    </row>
    <row r="136" spans="1:3" ht="15">
      <c r="A136" s="75"/>
      <c r="B136" s="2"/>
      <c r="C136" s="2"/>
    </row>
    <row r="137" spans="1:3" ht="15">
      <c r="A137" s="75"/>
      <c r="B137" s="2"/>
      <c r="C137" s="2"/>
    </row>
    <row r="138" spans="1:3" ht="15">
      <c r="A138" s="75"/>
      <c r="B138" s="2"/>
      <c r="C138" s="2"/>
    </row>
    <row r="139" spans="1:3" ht="15">
      <c r="A139" s="75"/>
      <c r="B139" s="2"/>
      <c r="C139" s="2"/>
    </row>
    <row r="140" spans="1:3" ht="15">
      <c r="A140" s="75"/>
      <c r="B140" s="2"/>
      <c r="C140" s="2"/>
    </row>
    <row r="141" spans="1:3" ht="15">
      <c r="A141" s="75"/>
      <c r="B141" s="2"/>
      <c r="C141" s="2"/>
    </row>
    <row r="142" spans="1:3" ht="15">
      <c r="A142" s="75"/>
      <c r="B142" s="2"/>
      <c r="C142" s="2"/>
    </row>
    <row r="143" spans="1:3" ht="15">
      <c r="A143" s="75"/>
      <c r="B143" s="2"/>
      <c r="C143" s="2"/>
    </row>
    <row r="144" spans="1:3" ht="15">
      <c r="A144" s="75"/>
      <c r="B144" s="2"/>
      <c r="C144" s="2"/>
    </row>
    <row r="145" spans="1:3" ht="15">
      <c r="A145" s="75"/>
      <c r="B145" s="2"/>
      <c r="C145" s="2"/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workbookViewId="0" topLeftCell="A1">
      <selection activeCell="C8" sqref="C8"/>
    </sheetView>
  </sheetViews>
  <sheetFormatPr defaultColWidth="11.421875" defaultRowHeight="15"/>
  <cols>
    <col min="1" max="1" width="9.421875" style="0" customWidth="1"/>
    <col min="2" max="2" width="12.7109375" style="0" bestFit="1" customWidth="1"/>
    <col min="3" max="3" width="16.28125" style="0" bestFit="1" customWidth="1"/>
    <col min="4" max="4" width="17.421875" style="0" bestFit="1" customWidth="1"/>
    <col min="5" max="5" width="16.28125" style="0" bestFit="1" customWidth="1"/>
    <col min="6" max="6" width="14.7109375" style="0" bestFit="1" customWidth="1"/>
    <col min="7" max="7" width="18.57421875" style="0" bestFit="1" customWidth="1"/>
    <col min="8" max="8" width="23.140625" style="0" bestFit="1" customWidth="1"/>
    <col min="9" max="9" width="14.421875" style="0" bestFit="1" customWidth="1"/>
    <col min="10" max="11" width="13.28125" style="0" customWidth="1"/>
    <col min="12" max="12" width="14.28125" style="0" customWidth="1"/>
    <col min="13" max="13" width="15.00390625" style="0" customWidth="1"/>
    <col min="14" max="14" width="14.28125" style="0" customWidth="1"/>
    <col min="15" max="17" width="13.28125" style="0" customWidth="1"/>
    <col min="18" max="20" width="14.57421875" style="0" bestFit="1" customWidth="1"/>
    <col min="21" max="23" width="8.00390625" style="0" customWidth="1"/>
  </cols>
  <sheetData>
    <row r="1" spans="1:7" ht="15.75">
      <c r="A1" s="92"/>
      <c r="B1" s="178" t="s">
        <v>391</v>
      </c>
      <c r="D1" s="92"/>
      <c r="E1" s="174" t="s">
        <v>142</v>
      </c>
      <c r="F1" s="174" t="s">
        <v>143</v>
      </c>
      <c r="G1" s="141"/>
    </row>
    <row r="2" spans="1:6" ht="15.75">
      <c r="A2" s="178" t="s">
        <v>147</v>
      </c>
      <c r="B2" s="4">
        <v>15</v>
      </c>
      <c r="D2" s="174" t="s">
        <v>145</v>
      </c>
      <c r="E2" s="77">
        <f>('Cotiz hist'!F37/31.1*0.95)</f>
        <v>42.476607717041794</v>
      </c>
      <c r="F2" s="77">
        <f>('Cotiz hist'!G37/31.1*0.95)</f>
        <v>0.9115112540192926</v>
      </c>
    </row>
    <row r="3" spans="1:7" ht="15">
      <c r="A3" s="178" t="s">
        <v>152</v>
      </c>
      <c r="B3" s="4">
        <v>25</v>
      </c>
      <c r="G3" s="140"/>
    </row>
    <row r="5" spans="8:14" ht="18.75">
      <c r="H5" s="75"/>
      <c r="I5" s="2"/>
      <c r="J5" s="2"/>
      <c r="K5" s="2"/>
      <c r="L5" s="369" t="s">
        <v>183</v>
      </c>
      <c r="M5" s="369"/>
      <c r="N5" s="369"/>
    </row>
    <row r="6" spans="2:18" ht="15.75">
      <c r="B6" s="366" t="s">
        <v>398</v>
      </c>
      <c r="C6" s="367"/>
      <c r="D6" s="367"/>
      <c r="E6" s="368"/>
      <c r="H6" s="178" t="s">
        <v>153</v>
      </c>
      <c r="I6" s="118">
        <v>1</v>
      </c>
      <c r="J6" s="118">
        <v>2</v>
      </c>
      <c r="K6" s="118">
        <v>3</v>
      </c>
      <c r="L6" s="118">
        <v>4</v>
      </c>
      <c r="M6" s="118">
        <v>5</v>
      </c>
      <c r="N6" s="118">
        <v>6</v>
      </c>
      <c r="O6" s="118">
        <v>7</v>
      </c>
      <c r="P6" s="118">
        <v>8</v>
      </c>
      <c r="Q6" s="118">
        <v>9</v>
      </c>
      <c r="R6" s="118">
        <v>10</v>
      </c>
    </row>
    <row r="7" spans="2:18" ht="15">
      <c r="B7" s="117" t="s">
        <v>146</v>
      </c>
      <c r="C7" s="118" t="s">
        <v>142</v>
      </c>
      <c r="D7" s="118" t="s">
        <v>143</v>
      </c>
      <c r="E7" s="118" t="s">
        <v>72</v>
      </c>
      <c r="H7" s="118" t="s">
        <v>399</v>
      </c>
      <c r="I7" s="271">
        <f>'Flujo de Caja'!G1/3</f>
        <v>5000</v>
      </c>
      <c r="J7" s="271">
        <f>'Flujo de Caja'!G1</f>
        <v>15000</v>
      </c>
      <c r="K7" s="271">
        <f>J7+'Flujo de Caja'!$G$2</f>
        <v>16500</v>
      </c>
      <c r="L7" s="271">
        <f>K7+'Flujo de Caja'!$G$2</f>
        <v>18000</v>
      </c>
      <c r="M7" s="271">
        <f>L7+'Flujo de Caja'!$G$2</f>
        <v>19500</v>
      </c>
      <c r="N7" s="271">
        <f>M7+'Flujo de Caja'!$G$2</f>
        <v>21000</v>
      </c>
      <c r="O7" s="271">
        <f>N7+'Flujo de Caja'!$G$2</f>
        <v>22500</v>
      </c>
      <c r="P7" s="271">
        <f>O7+'Flujo de Caja'!$G$2</f>
        <v>24000</v>
      </c>
      <c r="Q7" s="271">
        <f>P7+'Flujo de Caja'!$G$2</f>
        <v>25500</v>
      </c>
      <c r="R7" s="271">
        <f>Q7+'Flujo de Caja'!$G$2</f>
        <v>27000</v>
      </c>
    </row>
    <row r="8" spans="2:18" ht="15">
      <c r="B8" s="38">
        <v>1</v>
      </c>
      <c r="C8" s="76">
        <f>('Flujo de Caja'!$G$1/12)*$B$2*$E$2</f>
        <v>796436.3946945337</v>
      </c>
      <c r="D8" s="76">
        <f>('Flujo de Caja'!$G$1/12)*$B$3*$F$2</f>
        <v>28484.72668810289</v>
      </c>
      <c r="E8" s="76">
        <f aca="true" t="shared" si="0" ref="E8:E19">C8+D8</f>
        <v>824921.1213826366</v>
      </c>
      <c r="H8" s="118" t="s">
        <v>405</v>
      </c>
      <c r="I8" s="76">
        <f>E2</f>
        <v>42.476607717041794</v>
      </c>
      <c r="J8" s="76">
        <f>I8*(1+'Flujo de Caja'!$J$2)</f>
        <v>43.32428567613483</v>
      </c>
      <c r="K8" s="76">
        <f>J8*(1+'Flujo de Caja'!$J$2)</f>
        <v>44.188880191444376</v>
      </c>
      <c r="L8" s="76">
        <f>K8*(1+'Flujo de Caja'!$J$2)</f>
        <v>45.07072885565072</v>
      </c>
      <c r="M8" s="76">
        <f>L8*(1+'Flujo de Caja'!$J$2)</f>
        <v>45.9701759985511</v>
      </c>
      <c r="N8" s="76">
        <f>M8*(1+'Flujo de Caja'!$J$2)</f>
        <v>46.887572821507966</v>
      </c>
      <c r="O8" s="76">
        <f>N8*(1+'Flujo de Caja'!$J$2)</f>
        <v>47.82327753458033</v>
      </c>
      <c r="P8" s="76">
        <f>O8*(1+'Flujo de Caja'!$J$2)</f>
        <v>48.77765549639173</v>
      </c>
      <c r="Q8" s="76">
        <f>P8*(1+'Flujo de Caja'!$J$2)</f>
        <v>49.751079356789496</v>
      </c>
      <c r="R8" s="76">
        <f>Q8*(1+'Flujo de Caja'!$J$2)</f>
        <v>50.74392920235094</v>
      </c>
    </row>
    <row r="9" spans="2:18" ht="15.75" thickBot="1">
      <c r="B9" s="38">
        <v>2</v>
      </c>
      <c r="C9" s="76">
        <f>('Flujo de Caja'!$G$1/12)*$B$2*$E$2</f>
        <v>796436.3946945337</v>
      </c>
      <c r="D9" s="76">
        <f>('Flujo de Caja'!$G$1/12)*$B$3*$F$2</f>
        <v>28484.72668810289</v>
      </c>
      <c r="E9" s="76">
        <f t="shared" si="0"/>
        <v>824921.1213826366</v>
      </c>
      <c r="H9" s="298" t="s">
        <v>406</v>
      </c>
      <c r="I9" s="296">
        <f>F2</f>
        <v>0.9115112540192926</v>
      </c>
      <c r="J9" s="296">
        <f>I9*(1+'Flujo de Caja'!$K$2)</f>
        <v>0.9221759356913183</v>
      </c>
      <c r="K9" s="296">
        <f>J9*(1+'Flujo de Caja'!$K$2)</f>
        <v>0.9329653941389068</v>
      </c>
      <c r="L9" s="296">
        <f>K9*(1+'Flujo de Caja'!$K$2)</f>
        <v>0.943881089250332</v>
      </c>
      <c r="M9" s="296">
        <f>L9*(1+'Flujo de Caja'!$K$2)</f>
        <v>0.9549244979945609</v>
      </c>
      <c r="N9" s="296">
        <f>M9*(1+'Flujo de Caja'!$K$2)</f>
        <v>0.9660971146210974</v>
      </c>
      <c r="O9" s="296">
        <f>N9*(1+'Flujo de Caja'!$K$2)</f>
        <v>0.9774004508621642</v>
      </c>
      <c r="P9" s="296">
        <f>O9*(1+'Flujo de Caja'!$K$2)</f>
        <v>0.9888360361372516</v>
      </c>
      <c r="Q9" s="296">
        <f>P9*(1+'Flujo de Caja'!$K$2)</f>
        <v>1.0004054177600574</v>
      </c>
      <c r="R9" s="296">
        <f>Q9*(1+'Flujo de Caja'!$K$2)</f>
        <v>1.0121101611478502</v>
      </c>
    </row>
    <row r="10" spans="2:18" ht="15">
      <c r="B10" s="38">
        <v>3</v>
      </c>
      <c r="C10" s="76">
        <f>('Flujo de Caja'!$G$1/12)*$B$2*$E$2</f>
        <v>796436.3946945337</v>
      </c>
      <c r="D10" s="76">
        <f>('Flujo de Caja'!$G$1/12)*$B$3*$F$2</f>
        <v>28484.72668810289</v>
      </c>
      <c r="E10" s="76">
        <f t="shared" si="0"/>
        <v>824921.1213826366</v>
      </c>
      <c r="H10" s="297" t="s">
        <v>410</v>
      </c>
      <c r="I10" s="295">
        <f>I7*$B$2*I8</f>
        <v>3185745.5787781347</v>
      </c>
      <c r="J10" s="295">
        <f aca="true" t="shared" si="1" ref="J10:R10">J7*$B$2*J8</f>
        <v>9747964.277130336</v>
      </c>
      <c r="K10" s="295">
        <f t="shared" si="1"/>
        <v>10936747.847382484</v>
      </c>
      <c r="L10" s="295">
        <f t="shared" si="1"/>
        <v>12169096.791025694</v>
      </c>
      <c r="M10" s="295">
        <f t="shared" si="1"/>
        <v>13446276.479576197</v>
      </c>
      <c r="N10" s="295">
        <f t="shared" si="1"/>
        <v>14769585.438775009</v>
      </c>
      <c r="O10" s="295">
        <f t="shared" si="1"/>
        <v>16140356.167920861</v>
      </c>
      <c r="P10" s="295">
        <f t="shared" si="1"/>
        <v>17559955.97870102</v>
      </c>
      <c r="Q10" s="295">
        <f t="shared" si="1"/>
        <v>19029787.853971984</v>
      </c>
      <c r="R10" s="295">
        <f t="shared" si="1"/>
        <v>20551291.32695213</v>
      </c>
    </row>
    <row r="11" spans="2:18" ht="15.75" thickBot="1">
      <c r="B11" s="38">
        <v>4</v>
      </c>
      <c r="C11" s="76">
        <f>('Flujo de Caja'!$G$1/12)*$B$2*$E$2</f>
        <v>796436.3946945337</v>
      </c>
      <c r="D11" s="76">
        <f>('Flujo de Caja'!$G$1/12)*$B$3*$F$2</f>
        <v>28484.72668810289</v>
      </c>
      <c r="E11" s="76">
        <f t="shared" si="0"/>
        <v>824921.1213826366</v>
      </c>
      <c r="H11" s="118" t="s">
        <v>411</v>
      </c>
      <c r="I11" s="294">
        <f>I7*$B$3*I9</f>
        <v>113938.90675241157</v>
      </c>
      <c r="J11" s="294">
        <f aca="true" t="shared" si="2" ref="J11:R11">J7*$B$3*J9</f>
        <v>345815.97588424437</v>
      </c>
      <c r="K11" s="294">
        <f t="shared" si="2"/>
        <v>384848.22508229903</v>
      </c>
      <c r="L11" s="294">
        <f t="shared" si="2"/>
        <v>424746.49016264937</v>
      </c>
      <c r="M11" s="294">
        <f t="shared" si="2"/>
        <v>465525.69277234847</v>
      </c>
      <c r="N11" s="294">
        <f t="shared" si="2"/>
        <v>507200.9851760761</v>
      </c>
      <c r="O11" s="294">
        <f t="shared" si="2"/>
        <v>549787.7536099674</v>
      </c>
      <c r="P11" s="294">
        <f t="shared" si="2"/>
        <v>593301.621682351</v>
      </c>
      <c r="Q11" s="294">
        <f t="shared" si="2"/>
        <v>637758.4538220366</v>
      </c>
      <c r="R11" s="294">
        <f t="shared" si="2"/>
        <v>683174.3587747989</v>
      </c>
    </row>
    <row r="12" spans="2:18" ht="15.75" thickTop="1">
      <c r="B12" s="38">
        <v>5</v>
      </c>
      <c r="C12" s="76">
        <f>('Flujo de Caja'!$G$1/12)*$B$2*$E$2</f>
        <v>796436.3946945337</v>
      </c>
      <c r="D12" s="76">
        <f>('Flujo de Caja'!$G$1/12)*$B$3*$F$2</f>
        <v>28484.72668810289</v>
      </c>
      <c r="E12" s="76">
        <f t="shared" si="0"/>
        <v>824921.1213826366</v>
      </c>
      <c r="H12" s="118" t="s">
        <v>412</v>
      </c>
      <c r="I12" s="293">
        <f>SUM(I10:I11)</f>
        <v>3299684.4855305464</v>
      </c>
      <c r="J12" s="293">
        <f aca="true" t="shared" si="3" ref="J12:R12">SUM(J10:J11)</f>
        <v>10093780.25301458</v>
      </c>
      <c r="K12" s="293">
        <f t="shared" si="3"/>
        <v>11321596.072464783</v>
      </c>
      <c r="L12" s="293">
        <f t="shared" si="3"/>
        <v>12593843.281188345</v>
      </c>
      <c r="M12" s="293">
        <f t="shared" si="3"/>
        <v>13911802.172348546</v>
      </c>
      <c r="N12" s="293">
        <f t="shared" si="3"/>
        <v>15276786.423951084</v>
      </c>
      <c r="O12" s="293">
        <f t="shared" si="3"/>
        <v>16690143.921530828</v>
      </c>
      <c r="P12" s="293">
        <f t="shared" si="3"/>
        <v>18153257.60038337</v>
      </c>
      <c r="Q12" s="293">
        <f t="shared" si="3"/>
        <v>19667546.30779402</v>
      </c>
      <c r="R12" s="293">
        <f t="shared" si="3"/>
        <v>21234465.68572693</v>
      </c>
    </row>
    <row r="13" spans="2:5" ht="15">
      <c r="B13" s="38">
        <v>6</v>
      </c>
      <c r="C13" s="76">
        <f>('Flujo de Caja'!$G$1/12)*$B$2*$E$2</f>
        <v>796436.3946945337</v>
      </c>
      <c r="D13" s="76">
        <f>('Flujo de Caja'!$G$1/12)*$B$3*$F$2</f>
        <v>28484.72668810289</v>
      </c>
      <c r="E13" s="76">
        <f t="shared" si="0"/>
        <v>824921.1213826366</v>
      </c>
    </row>
    <row r="14" spans="2:23" ht="15">
      <c r="B14" s="38">
        <v>7</v>
      </c>
      <c r="C14" s="76">
        <f>('Flujo de Caja'!$G$1/12)*$B$2*$E$2</f>
        <v>796436.3946945337</v>
      </c>
      <c r="D14" s="76">
        <f>('Flujo de Caja'!$G$1/12)*$B$3*$F$2</f>
        <v>28484.72668810289</v>
      </c>
      <c r="E14" s="76">
        <f t="shared" si="0"/>
        <v>824921.1213826366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</row>
    <row r="15" spans="2:23" ht="15.75">
      <c r="B15" s="38">
        <v>8</v>
      </c>
      <c r="C15" s="76">
        <f>('Flujo de Caja'!$G$1/12)*$B$2*$E$2</f>
        <v>796436.3946945337</v>
      </c>
      <c r="D15" s="76">
        <f>('Flujo de Caja'!$G$1/12)*$B$3*$F$2</f>
        <v>28484.72668810289</v>
      </c>
      <c r="E15" s="76">
        <f t="shared" si="0"/>
        <v>824921.1213826366</v>
      </c>
      <c r="M15" s="126"/>
      <c r="N15" s="126"/>
      <c r="O15" s="126"/>
      <c r="P15" s="126"/>
      <c r="Q15" s="370"/>
      <c r="R15" s="370"/>
      <c r="S15" s="370"/>
      <c r="T15" s="126"/>
      <c r="U15" s="126"/>
      <c r="V15" s="126"/>
      <c r="W15" s="126"/>
    </row>
    <row r="16" spans="2:23" ht="15.75">
      <c r="B16" s="38">
        <v>9</v>
      </c>
      <c r="C16" s="76">
        <f>('Flujo de Caja'!$G$1/12)*$B$2*$E$2</f>
        <v>796436.3946945337</v>
      </c>
      <c r="D16" s="76">
        <f>('Flujo de Caja'!$G$1/12)*$B$3*$F$2</f>
        <v>28484.72668810289</v>
      </c>
      <c r="E16" s="76">
        <f t="shared" si="0"/>
        <v>824921.1213826366</v>
      </c>
      <c r="H16" s="233"/>
      <c r="I16" s="195"/>
      <c r="J16" s="195"/>
      <c r="K16" s="195"/>
      <c r="L16" s="234" t="s">
        <v>218</v>
      </c>
      <c r="M16" s="92"/>
      <c r="N16" s="92"/>
      <c r="O16" s="92"/>
      <c r="P16" s="92"/>
      <c r="Q16" s="92"/>
      <c r="R16" s="92"/>
      <c r="S16" s="92"/>
      <c r="T16" s="92"/>
      <c r="U16" s="120"/>
      <c r="V16" s="120"/>
      <c r="W16" s="120"/>
    </row>
    <row r="17" spans="2:23" ht="15">
      <c r="B17" s="38">
        <v>10</v>
      </c>
      <c r="C17" s="76">
        <f>('Flujo de Caja'!$G$1/12)*$B$2*$E$2</f>
        <v>796436.3946945337</v>
      </c>
      <c r="D17" s="76">
        <f>('Flujo de Caja'!$G$1/12)*$B$3*$F$2</f>
        <v>28484.72668810289</v>
      </c>
      <c r="E17" s="76">
        <f t="shared" si="0"/>
        <v>824921.1213826366</v>
      </c>
      <c r="H17" s="178" t="s">
        <v>146</v>
      </c>
      <c r="I17" s="118">
        <v>1</v>
      </c>
      <c r="J17" s="118">
        <v>2</v>
      </c>
      <c r="K17" s="118">
        <v>3</v>
      </c>
      <c r="L17" s="118">
        <v>4</v>
      </c>
      <c r="M17" s="118">
        <v>5</v>
      </c>
      <c r="N17" s="118">
        <v>6</v>
      </c>
      <c r="O17" s="118">
        <v>7</v>
      </c>
      <c r="P17" s="118">
        <v>8</v>
      </c>
      <c r="Q17" s="118">
        <v>9</v>
      </c>
      <c r="R17" s="118">
        <v>10</v>
      </c>
      <c r="S17" s="118">
        <v>11</v>
      </c>
      <c r="T17" s="118">
        <v>12</v>
      </c>
      <c r="U17" s="127"/>
      <c r="V17" s="127"/>
      <c r="W17" s="127"/>
    </row>
    <row r="18" spans="2:23" ht="15">
      <c r="B18" s="38">
        <v>11</v>
      </c>
      <c r="C18" s="76">
        <f>('Flujo de Caja'!$G$1/12)*$B$2*$E$2</f>
        <v>796436.3946945337</v>
      </c>
      <c r="D18" s="76">
        <f>('Flujo de Caja'!$G$1/12)*$B$3*$F$2</f>
        <v>28484.72668810289</v>
      </c>
      <c r="E18" s="76">
        <f t="shared" si="0"/>
        <v>824921.1213826366</v>
      </c>
      <c r="H18" s="117" t="s">
        <v>188</v>
      </c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  <c r="O18" s="168">
        <v>0</v>
      </c>
      <c r="P18" s="168">
        <v>0</v>
      </c>
      <c r="Q18" s="169">
        <f>E16</f>
        <v>824921.1213826366</v>
      </c>
      <c r="R18" s="169">
        <f>Q18</f>
        <v>824921.1213826366</v>
      </c>
      <c r="S18" s="169">
        <f aca="true" t="shared" si="4" ref="S18:T18">R18</f>
        <v>824921.1213826366</v>
      </c>
      <c r="T18" s="181">
        <f t="shared" si="4"/>
        <v>824921.1213826366</v>
      </c>
      <c r="U18" s="127"/>
      <c r="V18" s="127"/>
      <c r="W18" s="127"/>
    </row>
    <row r="19" spans="2:23" ht="15.75" thickBot="1">
      <c r="B19" s="38">
        <v>12</v>
      </c>
      <c r="C19" s="76">
        <f>('Flujo de Caja'!$G$1/12)*$B$2*$E$2</f>
        <v>796436.3946945337</v>
      </c>
      <c r="D19" s="76">
        <f>('Flujo de Caja'!$G$1/12)*$B$3*$F$2</f>
        <v>28484.72668810289</v>
      </c>
      <c r="E19" s="76">
        <f t="shared" si="0"/>
        <v>824921.1213826366</v>
      </c>
      <c r="H19" s="117" t="s">
        <v>219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/>
      <c r="O19" s="187">
        <f>Costos!E23+Costos!C43+Costos!C57+Costos!F79</f>
        <v>132859.8910177778</v>
      </c>
      <c r="P19" s="187">
        <f>O19</f>
        <v>132859.8910177778</v>
      </c>
      <c r="Q19" s="187">
        <f aca="true" t="shared" si="5" ref="Q19:T19">P19</f>
        <v>132859.8910177778</v>
      </c>
      <c r="R19" s="187">
        <f t="shared" si="5"/>
        <v>132859.8910177778</v>
      </c>
      <c r="S19" s="187">
        <f t="shared" si="5"/>
        <v>132859.8910177778</v>
      </c>
      <c r="T19" s="188">
        <f t="shared" si="5"/>
        <v>132859.8910177778</v>
      </c>
      <c r="U19" s="121"/>
      <c r="V19" s="121"/>
      <c r="W19" s="121"/>
    </row>
    <row r="20" spans="2:20" ht="16.5" thickTop="1">
      <c r="B20" s="179" t="s">
        <v>72</v>
      </c>
      <c r="C20" s="119">
        <f aca="true" t="shared" si="6" ref="C20:D20">SUM(C8:C19)</f>
        <v>9557236.736334402</v>
      </c>
      <c r="D20" s="119">
        <f t="shared" si="6"/>
        <v>341816.7202572346</v>
      </c>
      <c r="E20" s="119">
        <f>SUM(E8:E19)</f>
        <v>9899053.456591642</v>
      </c>
      <c r="H20" s="117" t="s">
        <v>240</v>
      </c>
      <c r="I20" s="184">
        <f>I18-I19</f>
        <v>0</v>
      </c>
      <c r="J20" s="185">
        <f aca="true" t="shared" si="7" ref="J20:T20">J18-J19</f>
        <v>0</v>
      </c>
      <c r="K20" s="185">
        <f t="shared" si="7"/>
        <v>0</v>
      </c>
      <c r="L20" s="185">
        <f t="shared" si="7"/>
        <v>0</v>
      </c>
      <c r="M20" s="185">
        <f t="shared" si="7"/>
        <v>0</v>
      </c>
      <c r="N20" s="185">
        <f t="shared" si="7"/>
        <v>0</v>
      </c>
      <c r="O20" s="185">
        <f t="shared" si="7"/>
        <v>-132859.8910177778</v>
      </c>
      <c r="P20" s="185">
        <f t="shared" si="7"/>
        <v>-132859.8910177778</v>
      </c>
      <c r="Q20" s="185">
        <f t="shared" si="7"/>
        <v>692061.2303648589</v>
      </c>
      <c r="R20" s="185">
        <f t="shared" si="7"/>
        <v>692061.2303648589</v>
      </c>
      <c r="S20" s="185">
        <f t="shared" si="7"/>
        <v>692061.2303648589</v>
      </c>
      <c r="T20" s="186">
        <f t="shared" si="7"/>
        <v>692061.2303648589</v>
      </c>
    </row>
    <row r="21" spans="8:20" ht="15">
      <c r="H21" s="117" t="s">
        <v>239</v>
      </c>
      <c r="I21" s="182">
        <f>I20</f>
        <v>0</v>
      </c>
      <c r="J21" s="170">
        <f>I21+J20</f>
        <v>0</v>
      </c>
      <c r="K21" s="170">
        <f aca="true" t="shared" si="8" ref="K21:T21">J21+K20</f>
        <v>0</v>
      </c>
      <c r="L21" s="170">
        <f t="shared" si="8"/>
        <v>0</v>
      </c>
      <c r="M21" s="170">
        <f t="shared" si="8"/>
        <v>0</v>
      </c>
      <c r="N21" s="170">
        <f t="shared" si="8"/>
        <v>0</v>
      </c>
      <c r="O21" s="170">
        <f t="shared" si="8"/>
        <v>-132859.8910177778</v>
      </c>
      <c r="P21" s="170">
        <f t="shared" si="8"/>
        <v>-265719.7820355556</v>
      </c>
      <c r="Q21" s="170">
        <f t="shared" si="8"/>
        <v>426341.4483293033</v>
      </c>
      <c r="R21" s="170">
        <f t="shared" si="8"/>
        <v>1118402.678694162</v>
      </c>
      <c r="S21" s="170">
        <f t="shared" si="8"/>
        <v>1810463.909059021</v>
      </c>
      <c r="T21" s="183">
        <f t="shared" si="8"/>
        <v>2502525.13942388</v>
      </c>
    </row>
    <row r="23" spans="1:9" ht="15.75">
      <c r="A23" s="75"/>
      <c r="H23" s="190" t="s">
        <v>176</v>
      </c>
      <c r="I23" s="191">
        <f>-MIN(I21:T21)</f>
        <v>265719.7820355556</v>
      </c>
    </row>
    <row r="25" ht="15">
      <c r="L25" s="31"/>
    </row>
    <row r="26" ht="15">
      <c r="L26" s="31"/>
    </row>
    <row r="27" spans="8:12" ht="15">
      <c r="H27" s="307" t="s">
        <v>429</v>
      </c>
      <c r="I27" s="262">
        <f>Costos!D43+Costos!D57+Costos!G79</f>
        <v>724378.6922133333</v>
      </c>
      <c r="J27" s="329"/>
      <c r="L27" s="31"/>
    </row>
    <row r="28" spans="8:12" ht="15">
      <c r="H28" s="307" t="s">
        <v>430</v>
      </c>
      <c r="I28" s="262">
        <f>(E2*$B$2)+(F2*$B$3)</f>
        <v>659.9368971061092</v>
      </c>
      <c r="L28" s="31"/>
    </row>
    <row r="29" spans="1:12" ht="15">
      <c r="A29" s="31"/>
      <c r="B29" s="86"/>
      <c r="C29" s="86"/>
      <c r="D29" s="86"/>
      <c r="E29" s="86"/>
      <c r="F29" s="86"/>
      <c r="G29" s="86"/>
      <c r="H29" s="307" t="s">
        <v>431</v>
      </c>
      <c r="I29" s="262">
        <f>Costos!K3</f>
        <v>57.996</v>
      </c>
      <c r="J29" s="86"/>
      <c r="K29" s="86"/>
      <c r="L29" s="31"/>
    </row>
    <row r="30" spans="1:12" ht="18.75">
      <c r="A30" s="31"/>
      <c r="B30" s="86"/>
      <c r="C30" s="139"/>
      <c r="D30" s="86"/>
      <c r="E30" s="86"/>
      <c r="F30" s="86"/>
      <c r="G30" s="86"/>
      <c r="H30" s="318" t="s">
        <v>432</v>
      </c>
      <c r="I30" s="319">
        <f>I27/(I28-I29)</f>
        <v>1203.4050115150108</v>
      </c>
      <c r="J30" s="86"/>
      <c r="K30" s="86"/>
      <c r="L30" s="31"/>
    </row>
    <row r="31" spans="1:12" ht="15">
      <c r="A31" s="87"/>
      <c r="B31" s="83"/>
      <c r="C31" s="83"/>
      <c r="D31" s="83"/>
      <c r="E31" s="31"/>
      <c r="F31" s="31"/>
      <c r="G31" s="31"/>
      <c r="I31" s="31"/>
      <c r="J31" s="31"/>
      <c r="K31" s="31"/>
      <c r="L31" s="31"/>
    </row>
    <row r="32" spans="1:4" ht="15">
      <c r="A32" s="75"/>
      <c r="B32" s="2"/>
      <c r="C32" s="2"/>
      <c r="D32" s="2"/>
    </row>
    <row r="34" spans="1:14" ht="15">
      <c r="A34" s="75"/>
      <c r="B34" s="2"/>
      <c r="C34" s="2"/>
      <c r="D34" s="2"/>
      <c r="G34" s="92"/>
      <c r="H34" s="92"/>
      <c r="I34" s="92"/>
      <c r="J34" s="92"/>
      <c r="K34" s="92"/>
      <c r="L34" s="92"/>
      <c r="M34" s="92"/>
      <c r="N34" s="92"/>
    </row>
    <row r="35" spans="1:14" ht="15">
      <c r="A35" s="75"/>
      <c r="B35" s="2"/>
      <c r="C35" s="2"/>
      <c r="D35" s="2"/>
      <c r="G35" s="92"/>
      <c r="H35" s="309"/>
      <c r="I35" s="309"/>
      <c r="J35" s="309"/>
      <c r="K35" s="309"/>
      <c r="L35" s="309"/>
      <c r="M35" s="309"/>
      <c r="N35" s="309"/>
    </row>
    <row r="36" spans="1:15" ht="18.75">
      <c r="A36" s="75"/>
      <c r="B36" s="2"/>
      <c r="C36" s="2"/>
      <c r="D36" s="2"/>
      <c r="G36" s="92"/>
      <c r="H36" s="372"/>
      <c r="I36" s="372"/>
      <c r="J36" s="372"/>
      <c r="K36" s="372"/>
      <c r="L36" s="372"/>
      <c r="M36" s="372"/>
      <c r="N36" s="372"/>
      <c r="O36" s="309"/>
    </row>
    <row r="37" spans="1:15" ht="18.75">
      <c r="A37" s="75"/>
      <c r="B37" s="2"/>
      <c r="C37" s="2"/>
      <c r="D37" s="2"/>
      <c r="H37" s="372"/>
      <c r="I37" s="372"/>
      <c r="J37" s="372"/>
      <c r="K37" s="372"/>
      <c r="L37" s="372"/>
      <c r="M37" s="372"/>
      <c r="N37" s="276"/>
      <c r="O37" s="309"/>
    </row>
    <row r="38" spans="1:15" ht="15">
      <c r="A38" s="75"/>
      <c r="B38" s="2"/>
      <c r="C38" s="2"/>
      <c r="D38" s="2"/>
      <c r="H38" s="311"/>
      <c r="I38" s="276"/>
      <c r="J38" s="276"/>
      <c r="K38" s="276"/>
      <c r="L38" s="276"/>
      <c r="M38" s="276"/>
      <c r="N38" s="310"/>
      <c r="O38" s="309"/>
    </row>
    <row r="39" spans="1:15" ht="15">
      <c r="A39" s="75"/>
      <c r="B39" s="2"/>
      <c r="C39" s="2"/>
      <c r="D39" s="2"/>
      <c r="H39" s="276"/>
      <c r="I39" s="312"/>
      <c r="J39" s="312"/>
      <c r="K39" s="312"/>
      <c r="L39" s="312"/>
      <c r="M39" s="312"/>
      <c r="N39" s="315"/>
      <c r="O39" s="309"/>
    </row>
    <row r="40" spans="1:15" ht="15">
      <c r="A40" s="75"/>
      <c r="B40" s="2"/>
      <c r="C40" s="2"/>
      <c r="D40" s="2"/>
      <c r="H40" s="276"/>
      <c r="I40" s="313"/>
      <c r="J40" s="313"/>
      <c r="K40" s="313"/>
      <c r="L40" s="313"/>
      <c r="M40" s="313"/>
      <c r="N40" s="310"/>
      <c r="O40" s="309"/>
    </row>
    <row r="41" spans="1:15" ht="15">
      <c r="A41" s="75"/>
      <c r="B41" s="2"/>
      <c r="C41" s="2"/>
      <c r="D41" s="2"/>
      <c r="H41" s="276"/>
      <c r="I41" s="313"/>
      <c r="J41" s="313"/>
      <c r="K41" s="313"/>
      <c r="L41" s="313"/>
      <c r="M41" s="313"/>
      <c r="N41" s="310"/>
      <c r="O41" s="309"/>
    </row>
    <row r="42" spans="1:15" ht="15">
      <c r="A42" s="75"/>
      <c r="B42" s="2"/>
      <c r="C42" s="2"/>
      <c r="D42" s="2"/>
      <c r="H42" s="276"/>
      <c r="I42" s="312"/>
      <c r="J42" s="312"/>
      <c r="K42" s="312"/>
      <c r="L42" s="312"/>
      <c r="M42" s="312"/>
      <c r="N42" s="309"/>
      <c r="O42" s="309"/>
    </row>
    <row r="43" spans="1:15" ht="15">
      <c r="A43" s="75"/>
      <c r="B43" s="2"/>
      <c r="C43" s="2"/>
      <c r="D43" s="2"/>
      <c r="H43" s="276"/>
      <c r="I43" s="313"/>
      <c r="J43" s="313"/>
      <c r="K43" s="313"/>
      <c r="L43" s="313"/>
      <c r="M43" s="313"/>
      <c r="N43" s="276"/>
      <c r="O43" s="309"/>
    </row>
    <row r="44" spans="1:15" ht="15">
      <c r="A44" s="75"/>
      <c r="B44" s="2"/>
      <c r="C44" s="2"/>
      <c r="D44" s="2"/>
      <c r="H44" s="276"/>
      <c r="I44" s="314"/>
      <c r="J44" s="314"/>
      <c r="K44" s="314"/>
      <c r="L44" s="314"/>
      <c r="M44" s="314"/>
      <c r="N44" s="310"/>
      <c r="O44" s="309"/>
    </row>
    <row r="45" spans="1:15" ht="15">
      <c r="A45" s="75"/>
      <c r="B45" s="2"/>
      <c r="C45" s="2"/>
      <c r="D45" s="2"/>
      <c r="H45" s="309"/>
      <c r="I45" s="315"/>
      <c r="J45" s="315"/>
      <c r="K45" s="315"/>
      <c r="L45" s="315"/>
      <c r="M45" s="315"/>
      <c r="N45" s="315"/>
      <c r="O45" s="309"/>
    </row>
    <row r="46" spans="1:15" ht="15">
      <c r="A46" s="75"/>
      <c r="B46" s="2"/>
      <c r="C46" s="2"/>
      <c r="D46" s="2"/>
      <c r="G46" s="92"/>
      <c r="H46" s="309"/>
      <c r="I46" s="276"/>
      <c r="J46" s="276"/>
      <c r="K46" s="276"/>
      <c r="L46" s="276"/>
      <c r="M46" s="276"/>
      <c r="N46" s="310"/>
      <c r="O46" s="309"/>
    </row>
    <row r="47" spans="1:15" ht="15">
      <c r="A47" s="75"/>
      <c r="B47" s="2"/>
      <c r="C47" s="2"/>
      <c r="D47" s="2"/>
      <c r="G47" s="92"/>
      <c r="H47" s="309"/>
      <c r="I47" s="312"/>
      <c r="J47" s="312"/>
      <c r="K47" s="312"/>
      <c r="L47" s="312"/>
      <c r="M47" s="312"/>
      <c r="N47" s="310"/>
      <c r="O47" s="309"/>
    </row>
    <row r="48" spans="1:15" ht="15">
      <c r="A48" s="75"/>
      <c r="B48" s="2"/>
      <c r="C48" s="2"/>
      <c r="D48" s="2"/>
      <c r="G48" s="92"/>
      <c r="H48" s="309"/>
      <c r="I48" s="313"/>
      <c r="J48" s="313"/>
      <c r="K48" s="313"/>
      <c r="L48" s="313"/>
      <c r="M48" s="313"/>
      <c r="N48" s="309"/>
      <c r="O48" s="309"/>
    </row>
    <row r="49" spans="1:14" ht="15">
      <c r="A49" s="75"/>
      <c r="B49" s="2"/>
      <c r="C49" s="2"/>
      <c r="D49" s="2"/>
      <c r="G49" s="92"/>
      <c r="H49" s="309"/>
      <c r="I49" s="313"/>
      <c r="J49" s="313"/>
      <c r="K49" s="313"/>
      <c r="L49" s="313"/>
      <c r="M49" s="313"/>
      <c r="N49" s="309"/>
    </row>
    <row r="50" spans="1:14" ht="15">
      <c r="A50" s="75"/>
      <c r="B50" s="2"/>
      <c r="C50" s="2"/>
      <c r="D50" s="2"/>
      <c r="G50" s="92"/>
      <c r="H50" s="309"/>
      <c r="I50" s="312"/>
      <c r="J50" s="312"/>
      <c r="K50" s="312"/>
      <c r="L50" s="312"/>
      <c r="M50" s="312"/>
      <c r="N50" s="309"/>
    </row>
    <row r="51" spans="1:14" ht="15">
      <c r="A51" s="75"/>
      <c r="B51" s="2"/>
      <c r="C51" s="2"/>
      <c r="D51" s="2"/>
      <c r="G51" s="92"/>
      <c r="H51" s="309"/>
      <c r="I51" s="313"/>
      <c r="J51" s="313"/>
      <c r="K51" s="313"/>
      <c r="L51" s="313"/>
      <c r="M51" s="313"/>
      <c r="N51" s="309"/>
    </row>
    <row r="52" spans="1:14" ht="15">
      <c r="A52" s="75"/>
      <c r="B52" s="2"/>
      <c r="C52" s="2"/>
      <c r="D52" s="2"/>
      <c r="G52" s="92"/>
      <c r="H52" s="309"/>
      <c r="I52" s="314"/>
      <c r="J52" s="314"/>
      <c r="K52" s="314"/>
      <c r="L52" s="314"/>
      <c r="M52" s="314"/>
      <c r="N52" s="309"/>
    </row>
    <row r="53" spans="1:14" ht="15">
      <c r="A53" s="75"/>
      <c r="B53" s="2"/>
      <c r="C53" s="2"/>
      <c r="D53" s="2"/>
      <c r="G53" s="92"/>
      <c r="H53" s="91"/>
      <c r="I53" s="309"/>
      <c r="J53" s="309"/>
      <c r="K53" s="309"/>
      <c r="L53" s="309"/>
      <c r="M53" s="309"/>
      <c r="N53" s="309"/>
    </row>
    <row r="54" spans="1:14" ht="15">
      <c r="A54" s="75"/>
      <c r="B54" s="2"/>
      <c r="C54" s="2"/>
      <c r="D54" s="2"/>
      <c r="G54" s="92"/>
      <c r="H54" s="309"/>
      <c r="I54" s="309"/>
      <c r="J54" s="309"/>
      <c r="K54" s="309"/>
      <c r="L54" s="309"/>
      <c r="M54" s="309"/>
      <c r="N54" s="309"/>
    </row>
    <row r="55" spans="1:14" ht="15">
      <c r="A55" s="75"/>
      <c r="B55" s="2"/>
      <c r="C55" s="2"/>
      <c r="D55" s="2"/>
      <c r="G55" s="92"/>
      <c r="H55" s="309"/>
      <c r="I55" s="309"/>
      <c r="J55" s="309"/>
      <c r="K55" s="309"/>
      <c r="L55" s="309"/>
      <c r="M55" s="309"/>
      <c r="N55" s="309"/>
    </row>
    <row r="56" spans="1:14" ht="15">
      <c r="A56" s="75"/>
      <c r="B56" s="2"/>
      <c r="C56" s="2"/>
      <c r="D56" s="2"/>
      <c r="G56" s="92"/>
      <c r="H56" s="309"/>
      <c r="I56" s="309"/>
      <c r="J56" s="309"/>
      <c r="K56" s="309"/>
      <c r="L56" s="309"/>
      <c r="M56" s="309"/>
      <c r="N56" s="309"/>
    </row>
    <row r="57" spans="1:14" ht="15">
      <c r="A57" s="75"/>
      <c r="B57" s="2"/>
      <c r="C57" s="2"/>
      <c r="D57" s="2"/>
      <c r="G57" s="92"/>
      <c r="H57" s="309"/>
      <c r="I57" s="309"/>
      <c r="J57" s="309"/>
      <c r="K57" s="309"/>
      <c r="L57" s="309"/>
      <c r="M57" s="309"/>
      <c r="N57" s="309"/>
    </row>
    <row r="58" spans="1:14" ht="15.75">
      <c r="A58" s="75"/>
      <c r="B58" s="2"/>
      <c r="C58" s="2"/>
      <c r="D58" s="2"/>
      <c r="G58" s="92"/>
      <c r="H58" s="371"/>
      <c r="I58" s="371"/>
      <c r="J58" s="371"/>
      <c r="K58" s="371"/>
      <c r="L58" s="371"/>
      <c r="M58" s="371"/>
      <c r="N58" s="371"/>
    </row>
    <row r="59" spans="1:14" ht="15">
      <c r="A59" s="75"/>
      <c r="B59" s="2"/>
      <c r="C59" s="2"/>
      <c r="D59" s="2"/>
      <c r="G59" s="92"/>
      <c r="H59" s="311"/>
      <c r="I59" s="276"/>
      <c r="J59" s="276"/>
      <c r="K59" s="276"/>
      <c r="L59" s="276"/>
      <c r="M59" s="276"/>
      <c r="N59" s="276"/>
    </row>
    <row r="60" spans="1:14" ht="15">
      <c r="A60" s="75"/>
      <c r="B60" s="2"/>
      <c r="C60" s="2"/>
      <c r="D60" s="2"/>
      <c r="G60" s="92"/>
      <c r="H60" s="311"/>
      <c r="I60" s="310"/>
      <c r="J60" s="310"/>
      <c r="K60" s="310"/>
      <c r="L60" s="310"/>
      <c r="M60" s="310"/>
      <c r="N60" s="310"/>
    </row>
    <row r="61" spans="1:14" ht="15">
      <c r="A61" s="75"/>
      <c r="B61" s="2"/>
      <c r="C61" s="2"/>
      <c r="D61" s="2"/>
      <c r="G61" s="92"/>
      <c r="H61" s="311"/>
      <c r="I61" s="315"/>
      <c r="J61" s="315"/>
      <c r="K61" s="315"/>
      <c r="L61" s="315"/>
      <c r="M61" s="315"/>
      <c r="N61" s="315"/>
    </row>
    <row r="62" spans="1:14" ht="15">
      <c r="A62" s="75"/>
      <c r="B62" s="2"/>
      <c r="C62" s="2"/>
      <c r="D62" s="2"/>
      <c r="G62" s="92"/>
      <c r="H62" s="311"/>
      <c r="I62" s="310"/>
      <c r="J62" s="310"/>
      <c r="K62" s="310"/>
      <c r="L62" s="310"/>
      <c r="M62" s="310"/>
      <c r="N62" s="310"/>
    </row>
    <row r="63" spans="1:14" ht="15">
      <c r="A63" s="75"/>
      <c r="B63" s="2"/>
      <c r="C63" s="2"/>
      <c r="D63" s="2"/>
      <c r="G63" s="92"/>
      <c r="H63" s="311"/>
      <c r="I63" s="310"/>
      <c r="J63" s="310"/>
      <c r="K63" s="310"/>
      <c r="L63" s="310"/>
      <c r="M63" s="310"/>
      <c r="N63" s="310"/>
    </row>
    <row r="64" spans="1:14" ht="15">
      <c r="A64" s="75"/>
      <c r="B64" s="2"/>
      <c r="C64" s="2"/>
      <c r="D64" s="2"/>
      <c r="G64" s="92"/>
      <c r="H64" s="309"/>
      <c r="I64" s="309"/>
      <c r="J64" s="309"/>
      <c r="K64" s="309"/>
      <c r="L64" s="309"/>
      <c r="M64" s="309"/>
      <c r="N64" s="309"/>
    </row>
    <row r="65" spans="1:14" ht="15">
      <c r="A65" s="75"/>
      <c r="B65" s="2"/>
      <c r="C65" s="2"/>
      <c r="D65" s="2"/>
      <c r="G65" s="92"/>
      <c r="H65" s="309"/>
      <c r="I65" s="276"/>
      <c r="J65" s="276"/>
      <c r="K65" s="276"/>
      <c r="L65" s="276"/>
      <c r="M65" s="276"/>
      <c r="N65" s="276"/>
    </row>
    <row r="66" spans="1:14" ht="15">
      <c r="A66" s="75"/>
      <c r="B66" s="2"/>
      <c r="C66" s="2"/>
      <c r="D66" s="2"/>
      <c r="G66" s="92"/>
      <c r="H66" s="309"/>
      <c r="I66" s="310"/>
      <c r="J66" s="310"/>
      <c r="K66" s="310"/>
      <c r="L66" s="310"/>
      <c r="M66" s="310"/>
      <c r="N66" s="310"/>
    </row>
    <row r="67" spans="1:14" ht="15">
      <c r="A67" s="75"/>
      <c r="B67" s="2"/>
      <c r="C67" s="2"/>
      <c r="D67" s="2"/>
      <c r="H67" s="309"/>
      <c r="I67" s="315"/>
      <c r="J67" s="315"/>
      <c r="K67" s="315"/>
      <c r="L67" s="315"/>
      <c r="M67" s="315"/>
      <c r="N67" s="315"/>
    </row>
    <row r="68" spans="1:14" ht="15">
      <c r="A68" s="75"/>
      <c r="B68" s="2"/>
      <c r="C68" s="2"/>
      <c r="D68" s="2"/>
      <c r="H68" s="309"/>
      <c r="I68" s="310"/>
      <c r="J68" s="310"/>
      <c r="K68" s="310"/>
      <c r="L68" s="310"/>
      <c r="M68" s="310"/>
      <c r="N68" s="310"/>
    </row>
    <row r="69" spans="1:14" ht="15">
      <c r="A69" s="75"/>
      <c r="B69" s="2"/>
      <c r="C69" s="2"/>
      <c r="D69" s="2"/>
      <c r="H69" s="309"/>
      <c r="I69" s="310"/>
      <c r="J69" s="310"/>
      <c r="K69" s="310"/>
      <c r="L69" s="310"/>
      <c r="M69" s="310"/>
      <c r="N69" s="310"/>
    </row>
    <row r="70" spans="1:14" ht="15">
      <c r="A70" s="75"/>
      <c r="B70" s="2"/>
      <c r="C70" s="2"/>
      <c r="D70" s="2"/>
      <c r="H70" s="309"/>
      <c r="I70" s="309"/>
      <c r="J70" s="309"/>
      <c r="K70" s="309"/>
      <c r="L70" s="309"/>
      <c r="M70" s="309"/>
      <c r="N70" s="309"/>
    </row>
    <row r="71" spans="1:14" ht="15">
      <c r="A71" s="75"/>
      <c r="B71" s="2"/>
      <c r="C71" s="2"/>
      <c r="D71" s="2"/>
      <c r="H71" s="309"/>
      <c r="I71" s="309"/>
      <c r="J71" s="309"/>
      <c r="K71" s="309"/>
      <c r="L71" s="309"/>
      <c r="M71" s="309"/>
      <c r="N71" s="309"/>
    </row>
    <row r="72" spans="1:14" ht="15.75">
      <c r="A72" s="75"/>
      <c r="B72" s="2"/>
      <c r="C72" s="2"/>
      <c r="D72" s="2"/>
      <c r="H72" s="316"/>
      <c r="I72" s="317"/>
      <c r="J72" s="309"/>
      <c r="K72" s="309"/>
      <c r="L72" s="309"/>
      <c r="M72" s="309"/>
      <c r="N72" s="309"/>
    </row>
    <row r="73" spans="1:14" ht="15">
      <c r="A73" s="75"/>
      <c r="B73" s="2"/>
      <c r="C73" s="2"/>
      <c r="D73" s="2"/>
      <c r="H73" s="309"/>
      <c r="I73" s="309"/>
      <c r="J73" s="309"/>
      <c r="K73" s="309"/>
      <c r="L73" s="309"/>
      <c r="M73" s="309"/>
      <c r="N73" s="309"/>
    </row>
    <row r="74" spans="1:14" ht="15">
      <c r="A74" s="75"/>
      <c r="B74" s="2"/>
      <c r="C74" s="2"/>
      <c r="D74" s="2"/>
      <c r="H74" s="309"/>
      <c r="I74" s="309"/>
      <c r="J74" s="309"/>
      <c r="K74" s="309"/>
      <c r="L74" s="309"/>
      <c r="M74" s="309"/>
      <c r="N74" s="309"/>
    </row>
    <row r="75" spans="1:14" ht="15">
      <c r="A75" s="75"/>
      <c r="B75" s="2"/>
      <c r="C75" s="2"/>
      <c r="D75" s="2"/>
      <c r="H75" s="309"/>
      <c r="I75" s="309"/>
      <c r="J75" s="309"/>
      <c r="K75" s="309"/>
      <c r="L75" s="309"/>
      <c r="M75" s="309"/>
      <c r="N75" s="309"/>
    </row>
    <row r="76" spans="1:14" ht="15">
      <c r="A76" s="75"/>
      <c r="B76" s="2"/>
      <c r="C76" s="2"/>
      <c r="D76" s="2"/>
      <c r="H76" s="309"/>
      <c r="I76" s="309"/>
      <c r="J76" s="309"/>
      <c r="K76" s="309"/>
      <c r="L76" s="309"/>
      <c r="M76" s="309"/>
      <c r="N76" s="309"/>
    </row>
    <row r="77" spans="1:14" ht="15">
      <c r="A77" s="75"/>
      <c r="B77" s="2"/>
      <c r="C77" s="2"/>
      <c r="D77" s="2"/>
      <c r="H77" s="309"/>
      <c r="I77" s="309"/>
      <c r="J77" s="309"/>
      <c r="K77" s="309"/>
      <c r="L77" s="309"/>
      <c r="M77" s="309"/>
      <c r="N77" s="309"/>
    </row>
    <row r="78" spans="1:14" ht="15">
      <c r="A78" s="75"/>
      <c r="B78" s="2"/>
      <c r="C78" s="2"/>
      <c r="D78" s="2"/>
      <c r="H78" s="309"/>
      <c r="I78" s="309"/>
      <c r="J78" s="309"/>
      <c r="K78" s="309"/>
      <c r="L78" s="309"/>
      <c r="M78" s="309"/>
      <c r="N78" s="309"/>
    </row>
    <row r="79" spans="1:14" ht="15">
      <c r="A79" s="75"/>
      <c r="B79" s="2"/>
      <c r="C79" s="2"/>
      <c r="D79" s="2"/>
      <c r="H79" s="309"/>
      <c r="I79" s="309"/>
      <c r="J79" s="309"/>
      <c r="K79" s="309"/>
      <c r="L79" s="309"/>
      <c r="M79" s="309"/>
      <c r="N79" s="309"/>
    </row>
    <row r="80" spans="1:14" ht="15">
      <c r="A80" s="75"/>
      <c r="B80" s="2"/>
      <c r="C80" s="2"/>
      <c r="D80" s="2"/>
      <c r="H80" s="309"/>
      <c r="I80" s="309"/>
      <c r="J80" s="309"/>
      <c r="K80" s="309"/>
      <c r="L80" s="309"/>
      <c r="M80" s="309"/>
      <c r="N80" s="309"/>
    </row>
    <row r="81" spans="1:14" ht="15">
      <c r="A81" s="75"/>
      <c r="B81" s="2"/>
      <c r="C81" s="2"/>
      <c r="D81" s="2"/>
      <c r="H81" s="309"/>
      <c r="I81" s="309"/>
      <c r="J81" s="309"/>
      <c r="K81" s="309"/>
      <c r="L81" s="309"/>
      <c r="M81" s="309"/>
      <c r="N81" s="309"/>
    </row>
    <row r="82" spans="1:14" ht="15">
      <c r="A82" s="75"/>
      <c r="B82" s="2"/>
      <c r="C82" s="2"/>
      <c r="D82" s="2"/>
      <c r="H82" s="309"/>
      <c r="I82" s="309"/>
      <c r="J82" s="309"/>
      <c r="K82" s="309"/>
      <c r="L82" s="309"/>
      <c r="M82" s="309"/>
      <c r="N82" s="309"/>
    </row>
    <row r="83" spans="1:14" ht="15">
      <c r="A83" s="75"/>
      <c r="B83" s="2"/>
      <c r="C83" s="2"/>
      <c r="D83" s="2"/>
      <c r="H83" s="309"/>
      <c r="I83" s="309"/>
      <c r="J83" s="309"/>
      <c r="K83" s="309"/>
      <c r="L83" s="309"/>
      <c r="M83" s="309"/>
      <c r="N83" s="309"/>
    </row>
    <row r="84" spans="1:14" ht="15">
      <c r="A84" s="75"/>
      <c r="B84" s="2"/>
      <c r="C84" s="2"/>
      <c r="D84" s="2"/>
      <c r="H84" s="309"/>
      <c r="I84" s="309"/>
      <c r="J84" s="309"/>
      <c r="K84" s="309"/>
      <c r="L84" s="309"/>
      <c r="M84" s="309"/>
      <c r="N84" s="309"/>
    </row>
    <row r="85" spans="1:14" ht="15">
      <c r="A85" s="75"/>
      <c r="B85" s="2"/>
      <c r="C85" s="2"/>
      <c r="D85" s="2"/>
      <c r="H85" s="309"/>
      <c r="I85" s="309"/>
      <c r="J85" s="309"/>
      <c r="K85" s="309"/>
      <c r="L85" s="309"/>
      <c r="M85" s="309"/>
      <c r="N85" s="309"/>
    </row>
    <row r="86" spans="1:14" ht="15">
      <c r="A86" s="75"/>
      <c r="B86" s="2"/>
      <c r="C86" s="2"/>
      <c r="D86" s="2"/>
      <c r="H86" s="309"/>
      <c r="I86" s="309"/>
      <c r="J86" s="309"/>
      <c r="K86" s="309"/>
      <c r="L86" s="309"/>
      <c r="M86" s="309"/>
      <c r="N86" s="309"/>
    </row>
    <row r="87" spans="1:14" ht="15">
      <c r="A87" s="75"/>
      <c r="B87" s="2"/>
      <c r="C87" s="2"/>
      <c r="D87" s="2"/>
      <c r="H87" s="309"/>
      <c r="I87" s="309"/>
      <c r="J87" s="309"/>
      <c r="K87" s="309"/>
      <c r="L87" s="309"/>
      <c r="M87" s="309"/>
      <c r="N87" s="309"/>
    </row>
    <row r="88" spans="1:14" ht="15">
      <c r="A88" s="75"/>
      <c r="B88" s="2"/>
      <c r="C88" s="2"/>
      <c r="D88" s="2"/>
      <c r="H88" s="309"/>
      <c r="I88" s="309"/>
      <c r="J88" s="309"/>
      <c r="K88" s="309"/>
      <c r="L88" s="309"/>
      <c r="M88" s="309"/>
      <c r="N88" s="309"/>
    </row>
    <row r="89" spans="1:14" ht="15">
      <c r="A89" s="75"/>
      <c r="B89" s="2"/>
      <c r="C89" s="2"/>
      <c r="D89" s="2"/>
      <c r="H89" s="309"/>
      <c r="I89" s="309"/>
      <c r="J89" s="309"/>
      <c r="K89" s="309"/>
      <c r="L89" s="309"/>
      <c r="M89" s="309"/>
      <c r="N89" s="309"/>
    </row>
    <row r="90" spans="1:14" ht="15">
      <c r="A90" s="75"/>
      <c r="B90" s="2"/>
      <c r="C90" s="2"/>
      <c r="D90" s="2"/>
      <c r="H90" s="309"/>
      <c r="I90" s="309"/>
      <c r="J90" s="309"/>
      <c r="K90" s="309"/>
      <c r="L90" s="309"/>
      <c r="M90" s="309"/>
      <c r="N90" s="309"/>
    </row>
    <row r="91" spans="1:14" ht="15">
      <c r="A91" s="75"/>
      <c r="B91" s="2"/>
      <c r="C91" s="2"/>
      <c r="D91" s="2"/>
      <c r="H91" s="309"/>
      <c r="I91" s="309"/>
      <c r="J91" s="309"/>
      <c r="K91" s="309"/>
      <c r="L91" s="309"/>
      <c r="M91" s="309"/>
      <c r="N91" s="309"/>
    </row>
    <row r="92" spans="1:14" ht="15">
      <c r="A92" s="75"/>
      <c r="B92" s="2"/>
      <c r="C92" s="2"/>
      <c r="D92" s="2"/>
      <c r="H92" s="309"/>
      <c r="I92" s="309"/>
      <c r="J92" s="309"/>
      <c r="K92" s="309"/>
      <c r="L92" s="309"/>
      <c r="M92" s="309"/>
      <c r="N92" s="309"/>
    </row>
    <row r="93" spans="1:14" ht="15">
      <c r="A93" s="75"/>
      <c r="B93" s="2"/>
      <c r="C93" s="2"/>
      <c r="D93" s="2"/>
      <c r="H93" s="309"/>
      <c r="I93" s="309"/>
      <c r="J93" s="309"/>
      <c r="K93" s="309"/>
      <c r="L93" s="309"/>
      <c r="M93" s="309"/>
      <c r="N93" s="309"/>
    </row>
    <row r="94" spans="1:14" ht="15">
      <c r="A94" s="75"/>
      <c r="B94" s="2"/>
      <c r="C94" s="2"/>
      <c r="D94" s="2"/>
      <c r="H94" s="309"/>
      <c r="I94" s="309"/>
      <c r="J94" s="309"/>
      <c r="K94" s="309"/>
      <c r="L94" s="309"/>
      <c r="M94" s="309"/>
      <c r="N94" s="309"/>
    </row>
    <row r="95" spans="1:14" ht="15">
      <c r="A95" s="75"/>
      <c r="B95" s="2"/>
      <c r="C95" s="2"/>
      <c r="D95" s="2"/>
      <c r="H95" s="309"/>
      <c r="I95" s="309"/>
      <c r="J95" s="309"/>
      <c r="K95" s="309"/>
      <c r="L95" s="309"/>
      <c r="M95" s="309"/>
      <c r="N95" s="309"/>
    </row>
    <row r="96" spans="1:14" ht="15">
      <c r="A96" s="75"/>
      <c r="B96" s="2"/>
      <c r="C96" s="2"/>
      <c r="D96" s="2"/>
      <c r="H96" s="309"/>
      <c r="I96" s="309"/>
      <c r="J96" s="309"/>
      <c r="K96" s="309"/>
      <c r="L96" s="309"/>
      <c r="M96" s="309"/>
      <c r="N96" s="309"/>
    </row>
    <row r="97" spans="1:4" ht="15">
      <c r="A97" s="75"/>
      <c r="B97" s="2"/>
      <c r="C97" s="2"/>
      <c r="D97" s="2"/>
    </row>
    <row r="98" spans="1:4" ht="15">
      <c r="A98" s="75"/>
      <c r="B98" s="2"/>
      <c r="C98" s="2"/>
      <c r="D98" s="2"/>
    </row>
    <row r="99" spans="1:4" ht="15">
      <c r="A99" s="75"/>
      <c r="B99" s="2"/>
      <c r="C99" s="2"/>
      <c r="D99" s="2"/>
    </row>
    <row r="100" spans="1:4" ht="15">
      <c r="A100" s="75"/>
      <c r="B100" s="2"/>
      <c r="C100" s="2"/>
      <c r="D100" s="2"/>
    </row>
    <row r="101" spans="1:4" ht="15">
      <c r="A101" s="75"/>
      <c r="B101" s="2"/>
      <c r="C101" s="2"/>
      <c r="D101" s="2"/>
    </row>
    <row r="102" spans="1:4" ht="15">
      <c r="A102" s="75"/>
      <c r="B102" s="2"/>
      <c r="C102" s="2"/>
      <c r="D102" s="2"/>
    </row>
    <row r="103" spans="1:4" ht="15">
      <c r="A103" s="75"/>
      <c r="B103" s="2"/>
      <c r="C103" s="2"/>
      <c r="D103" s="2"/>
    </row>
    <row r="104" spans="1:4" ht="15">
      <c r="A104" s="75"/>
      <c r="B104" s="2"/>
      <c r="C104" s="2"/>
      <c r="D104" s="2"/>
    </row>
    <row r="105" spans="1:4" ht="15">
      <c r="A105" s="75"/>
      <c r="B105" s="2"/>
      <c r="C105" s="2"/>
      <c r="D105" s="2"/>
    </row>
    <row r="106" spans="1:4" ht="15">
      <c r="A106" s="75"/>
      <c r="B106" s="2"/>
      <c r="C106" s="2"/>
      <c r="D106" s="2"/>
    </row>
    <row r="107" spans="1:4" ht="15">
      <c r="A107" s="75"/>
      <c r="B107" s="2"/>
      <c r="C107" s="2"/>
      <c r="D107" s="2"/>
    </row>
    <row r="108" spans="1:4" ht="15">
      <c r="A108" s="75"/>
      <c r="B108" s="2"/>
      <c r="C108" s="2"/>
      <c r="D108" s="2"/>
    </row>
    <row r="109" spans="1:4" ht="15">
      <c r="A109" s="75"/>
      <c r="B109" s="2"/>
      <c r="C109" s="2"/>
      <c r="D109" s="2"/>
    </row>
    <row r="110" spans="1:4" ht="15">
      <c r="A110" s="75"/>
      <c r="B110" s="2"/>
      <c r="C110" s="2"/>
      <c r="D110" s="2"/>
    </row>
    <row r="111" spans="1:4" ht="15">
      <c r="A111" s="75"/>
      <c r="B111" s="2"/>
      <c r="C111" s="2"/>
      <c r="D111" s="2"/>
    </row>
    <row r="112" spans="1:4" ht="15">
      <c r="A112" s="75"/>
      <c r="B112" s="2"/>
      <c r="C112" s="2"/>
      <c r="D112" s="2"/>
    </row>
    <row r="113" spans="1:4" ht="15">
      <c r="A113" s="75"/>
      <c r="B113" s="2"/>
      <c r="C113" s="2"/>
      <c r="D113" s="2"/>
    </row>
    <row r="114" spans="1:4" ht="15">
      <c r="A114" s="75"/>
      <c r="B114" s="2"/>
      <c r="C114" s="2"/>
      <c r="D114" s="2"/>
    </row>
    <row r="115" spans="1:4" ht="15">
      <c r="A115" s="75"/>
      <c r="B115" s="2"/>
      <c r="C115" s="2"/>
      <c r="D115" s="2"/>
    </row>
    <row r="116" spans="1:4" ht="15">
      <c r="A116" s="75"/>
      <c r="B116" s="2"/>
      <c r="C116" s="2"/>
      <c r="D116" s="2"/>
    </row>
    <row r="117" spans="1:4" ht="15">
      <c r="A117" s="75"/>
      <c r="B117" s="2"/>
      <c r="C117" s="2"/>
      <c r="D117" s="2"/>
    </row>
    <row r="118" spans="1:4" ht="15">
      <c r="A118" s="75"/>
      <c r="B118" s="2"/>
      <c r="C118" s="2"/>
      <c r="D118" s="2"/>
    </row>
    <row r="119" spans="1:4" ht="15">
      <c r="A119" s="75"/>
      <c r="B119" s="2"/>
      <c r="C119" s="2"/>
      <c r="D119" s="2"/>
    </row>
    <row r="120" spans="1:4" ht="15">
      <c r="A120" s="75"/>
      <c r="B120" s="2"/>
      <c r="C120" s="2"/>
      <c r="D120" s="2"/>
    </row>
    <row r="121" spans="1:4" ht="15">
      <c r="A121" s="75"/>
      <c r="B121" s="2"/>
      <c r="C121" s="2"/>
      <c r="D121" s="2"/>
    </row>
  </sheetData>
  <mergeCells count="6">
    <mergeCell ref="B6:E6"/>
    <mergeCell ref="L5:N5"/>
    <mergeCell ref="Q15:S15"/>
    <mergeCell ref="H58:N58"/>
    <mergeCell ref="H36:N36"/>
    <mergeCell ref="H37:M3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</dc:creator>
  <cp:keywords/>
  <dc:description/>
  <cp:lastModifiedBy>USUARIO</cp:lastModifiedBy>
  <dcterms:created xsi:type="dcterms:W3CDTF">2011-06-30T17:05:41Z</dcterms:created>
  <dcterms:modified xsi:type="dcterms:W3CDTF">2012-04-24T19:54:38Z</dcterms:modified>
  <cp:category/>
  <cp:version/>
  <cp:contentType/>
  <cp:contentStatus/>
</cp:coreProperties>
</file>