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755" yWindow="-60" windowWidth="10545" windowHeight="7860" tabRatio="930" firstSheet="15" activeTab="16"/>
  </bookViews>
  <sheets>
    <sheet name="ACTIVOS INTANGIBLES" sheetId="1" r:id="rId1"/>
    <sheet name="SUMINISTROS" sheetId="2" r:id="rId2"/>
    <sheet name="SUELDOS" sheetId="3" r:id="rId3"/>
    <sheet name=" SERVICIOS B. Y  ALQUILER" sheetId="4" r:id="rId4"/>
    <sheet name="MANTENIMIENTO" sheetId="5" r:id="rId5"/>
    <sheet name="GASTOS DE PROMOCION" sheetId="43" r:id="rId6"/>
    <sheet name="GASTOS DE TRANSPORTE" sheetId="9" r:id="rId7"/>
    <sheet name="DEPRECIACION" sheetId="7" r:id="rId8"/>
    <sheet name="Financiamiento" sheetId="13" r:id="rId9"/>
    <sheet name="F.C. SIN crecimiento resumen" sheetId="32" r:id="rId10"/>
    <sheet name="F. Caja Optimista" sheetId="33" r:id="rId11"/>
    <sheet name="F.C. Optimista resumen" sheetId="34" r:id="rId12"/>
    <sheet name="F. Caja Pesimista" sheetId="36" r:id="rId13"/>
    <sheet name="F. Caja SIN crecimiento " sheetId="20" r:id="rId14"/>
    <sheet name="F. Caja Social" sheetId="41" r:id="rId15"/>
    <sheet name="F. C. Pesimista resumen" sheetId="38" r:id="rId16"/>
    <sheet name="F.C. social resumen" sheetId="42" r:id="rId17"/>
    <sheet name="Valor de desecho" sheetId="21" r:id="rId18"/>
    <sheet name="Capital de trabajo" sheetId="29" r:id="rId19"/>
    <sheet name="Payback" sheetId="30" r:id="rId20"/>
    <sheet name="Punto de Equilibrio" sheetId="40" r:id="rId21"/>
    <sheet name="xxx" sheetId="22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17" hidden="1">'Valor de desecho'!$B$3:$H$28</definedName>
    <definedName name="_xlnm.Print_Area" localSheetId="7">DEPRECIACION!$A$2:$E$26</definedName>
  </definedNames>
  <calcPr calcId="125725"/>
</workbook>
</file>

<file path=xl/calcChain.xml><?xml version="1.0" encoding="utf-8"?>
<calcChain xmlns="http://schemas.openxmlformats.org/spreadsheetml/2006/main">
  <c r="B29" i="1"/>
  <c r="B23"/>
  <c r="B28"/>
  <c r="B25"/>
  <c r="B24"/>
  <c r="D7" i="29" l="1"/>
  <c r="D11" i="41" l="1"/>
  <c r="C11"/>
  <c r="K18" i="42" l="1"/>
  <c r="H18"/>
  <c r="G18"/>
  <c r="E18"/>
  <c r="B18"/>
  <c r="F15"/>
  <c r="E15"/>
  <c r="D15"/>
  <c r="C15"/>
  <c r="L14"/>
  <c r="K14"/>
  <c r="J14"/>
  <c r="I14"/>
  <c r="H14"/>
  <c r="L12"/>
  <c r="K12"/>
  <c r="J12"/>
  <c r="I12"/>
  <c r="H12"/>
  <c r="F11"/>
  <c r="E11"/>
  <c r="D11"/>
  <c r="C11"/>
  <c r="C7"/>
  <c r="D7" s="1"/>
  <c r="E7" s="1"/>
  <c r="F7" s="1"/>
  <c r="G7" s="1"/>
  <c r="H7" s="1"/>
  <c r="I7" s="1"/>
  <c r="J7" s="1"/>
  <c r="K7" s="1"/>
  <c r="L7" s="1"/>
  <c r="L6"/>
  <c r="K6"/>
  <c r="K8" s="1"/>
  <c r="J6"/>
  <c r="I6"/>
  <c r="I8" s="1"/>
  <c r="H6"/>
  <c r="G6"/>
  <c r="G8" s="1"/>
  <c r="F6"/>
  <c r="E6"/>
  <c r="E8" s="1"/>
  <c r="D6"/>
  <c r="C6"/>
  <c r="C8" s="1"/>
  <c r="C4"/>
  <c r="D4" s="1"/>
  <c r="E4" s="1"/>
  <c r="F4" s="1"/>
  <c r="G4" s="1"/>
  <c r="H4" s="1"/>
  <c r="I4" s="1"/>
  <c r="J4" s="1"/>
  <c r="K4" s="1"/>
  <c r="L4" s="1"/>
  <c r="L3"/>
  <c r="K3"/>
  <c r="J3"/>
  <c r="I3"/>
  <c r="H3"/>
  <c r="G3"/>
  <c r="F3"/>
  <c r="E3"/>
  <c r="D3"/>
  <c r="C3"/>
  <c r="C5" s="1"/>
  <c r="K30" i="41"/>
  <c r="H30"/>
  <c r="G30"/>
  <c r="E30"/>
  <c r="B30"/>
  <c r="F27"/>
  <c r="E27"/>
  <c r="D27"/>
  <c r="C27"/>
  <c r="L26"/>
  <c r="K26"/>
  <c r="J26"/>
  <c r="I26"/>
  <c r="H26"/>
  <c r="L25"/>
  <c r="K25"/>
  <c r="J25"/>
  <c r="I25"/>
  <c r="H25"/>
  <c r="L24"/>
  <c r="K24"/>
  <c r="J24"/>
  <c r="I24"/>
  <c r="H24"/>
  <c r="G24"/>
  <c r="F24"/>
  <c r="E24"/>
  <c r="D24"/>
  <c r="C24"/>
  <c r="L22"/>
  <c r="K22"/>
  <c r="J22"/>
  <c r="I22"/>
  <c r="H22"/>
  <c r="L21"/>
  <c r="K21"/>
  <c r="J21"/>
  <c r="I21"/>
  <c r="H21"/>
  <c r="G21"/>
  <c r="F21"/>
  <c r="E21"/>
  <c r="D21"/>
  <c r="C21"/>
  <c r="F18"/>
  <c r="E18"/>
  <c r="D18"/>
  <c r="C18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3"/>
  <c r="K13"/>
  <c r="J13"/>
  <c r="I13"/>
  <c r="H13"/>
  <c r="G13"/>
  <c r="F13"/>
  <c r="E13"/>
  <c r="D13"/>
  <c r="C13"/>
  <c r="L12"/>
  <c r="K12"/>
  <c r="J12"/>
  <c r="I12"/>
  <c r="H12"/>
  <c r="G12"/>
  <c r="F12"/>
  <c r="E12"/>
  <c r="D12"/>
  <c r="C12"/>
  <c r="E11"/>
  <c r="F11" s="1"/>
  <c r="L10"/>
  <c r="K10"/>
  <c r="J10"/>
  <c r="I10"/>
  <c r="H10"/>
  <c r="G10"/>
  <c r="F10"/>
  <c r="E10"/>
  <c r="D10"/>
  <c r="C10"/>
  <c r="C7"/>
  <c r="D7" s="1"/>
  <c r="E7" s="1"/>
  <c r="F7" s="1"/>
  <c r="G7" s="1"/>
  <c r="H7" s="1"/>
  <c r="I7" s="1"/>
  <c r="J7" s="1"/>
  <c r="K7" s="1"/>
  <c r="L7" s="1"/>
  <c r="L6"/>
  <c r="L8" s="1"/>
  <c r="K6"/>
  <c r="K8" s="1"/>
  <c r="J6"/>
  <c r="J8" s="1"/>
  <c r="I6"/>
  <c r="I8" s="1"/>
  <c r="H6"/>
  <c r="H8" s="1"/>
  <c r="G6"/>
  <c r="G8" s="1"/>
  <c r="F6"/>
  <c r="F8" s="1"/>
  <c r="E6"/>
  <c r="E8" s="1"/>
  <c r="D6"/>
  <c r="D8" s="1"/>
  <c r="C6"/>
  <c r="C8" s="1"/>
  <c r="C4"/>
  <c r="D4" s="1"/>
  <c r="E4" s="1"/>
  <c r="F4" s="1"/>
  <c r="G4" s="1"/>
  <c r="H4" s="1"/>
  <c r="I4" s="1"/>
  <c r="J4" s="1"/>
  <c r="K4" s="1"/>
  <c r="L4" s="1"/>
  <c r="L3"/>
  <c r="K3"/>
  <c r="K5" s="1"/>
  <c r="K9" s="1"/>
  <c r="J3"/>
  <c r="I3"/>
  <c r="I5" s="1"/>
  <c r="I9" s="1"/>
  <c r="H3"/>
  <c r="G3"/>
  <c r="G5" s="1"/>
  <c r="G9" s="1"/>
  <c r="F3"/>
  <c r="E3"/>
  <c r="E5" s="1"/>
  <c r="E9" s="1"/>
  <c r="D3"/>
  <c r="C3"/>
  <c r="C5" s="1"/>
  <c r="C9" s="1"/>
  <c r="K8" i="40"/>
  <c r="J8"/>
  <c r="I8"/>
  <c r="H8"/>
  <c r="G8"/>
  <c r="E7"/>
  <c r="D7"/>
  <c r="C7"/>
  <c r="B7"/>
  <c r="K5"/>
  <c r="J5"/>
  <c r="I5"/>
  <c r="H5"/>
  <c r="G5"/>
  <c r="F5"/>
  <c r="E5"/>
  <c r="D5"/>
  <c r="C5"/>
  <c r="B5"/>
  <c r="K3"/>
  <c r="J3"/>
  <c r="I3"/>
  <c r="H3"/>
  <c r="G3"/>
  <c r="F3"/>
  <c r="E3"/>
  <c r="D3"/>
  <c r="C3"/>
  <c r="B3"/>
  <c r="L24" i="38"/>
  <c r="K24"/>
  <c r="J24"/>
  <c r="I24"/>
  <c r="H24"/>
  <c r="G24"/>
  <c r="F24"/>
  <c r="E24"/>
  <c r="D24"/>
  <c r="C24"/>
  <c r="B24"/>
  <c r="B23"/>
  <c r="F21"/>
  <c r="E21"/>
  <c r="D21"/>
  <c r="C21"/>
  <c r="L20"/>
  <c r="K20"/>
  <c r="J20"/>
  <c r="I20"/>
  <c r="H20"/>
  <c r="L12"/>
  <c r="K12"/>
  <c r="J12"/>
  <c r="I12"/>
  <c r="H12"/>
  <c r="F10"/>
  <c r="E10"/>
  <c r="D10"/>
  <c r="C10"/>
  <c r="D7"/>
  <c r="E7" s="1"/>
  <c r="F7" s="1"/>
  <c r="G7" s="1"/>
  <c r="H7" s="1"/>
  <c r="I7" s="1"/>
  <c r="J7" s="1"/>
  <c r="K7" s="1"/>
  <c r="L7" s="1"/>
  <c r="C7"/>
  <c r="F6"/>
  <c r="G6" s="1"/>
  <c r="E6"/>
  <c r="D6"/>
  <c r="D8" s="1"/>
  <c r="C6"/>
  <c r="C8" s="1"/>
  <c r="D4"/>
  <c r="E4" s="1"/>
  <c r="F4" s="1"/>
  <c r="G4" s="1"/>
  <c r="H4" s="1"/>
  <c r="I4" s="1"/>
  <c r="J4" s="1"/>
  <c r="K4" s="1"/>
  <c r="L4" s="1"/>
  <c r="C4"/>
  <c r="F3"/>
  <c r="G3" s="1"/>
  <c r="E3"/>
  <c r="D3"/>
  <c r="D5" s="1"/>
  <c r="D9" s="1"/>
  <c r="C3"/>
  <c r="C5" s="1"/>
  <c r="C9" s="1"/>
  <c r="L36" i="36"/>
  <c r="K36"/>
  <c r="J36"/>
  <c r="I36"/>
  <c r="H36"/>
  <c r="G36"/>
  <c r="F36"/>
  <c r="E36"/>
  <c r="D36"/>
  <c r="C36"/>
  <c r="B36"/>
  <c r="B35"/>
  <c r="F33"/>
  <c r="E33"/>
  <c r="D33"/>
  <c r="C33"/>
  <c r="L32"/>
  <c r="K32"/>
  <c r="J32"/>
  <c r="I32"/>
  <c r="H32"/>
  <c r="L31"/>
  <c r="K31"/>
  <c r="J31"/>
  <c r="I31"/>
  <c r="H31"/>
  <c r="L30"/>
  <c r="K30"/>
  <c r="J30"/>
  <c r="I30"/>
  <c r="H30"/>
  <c r="G30"/>
  <c r="F30"/>
  <c r="E30"/>
  <c r="D30"/>
  <c r="C30"/>
  <c r="L22"/>
  <c r="K22"/>
  <c r="J22"/>
  <c r="I22"/>
  <c r="H22"/>
  <c r="L21"/>
  <c r="K21"/>
  <c r="J21"/>
  <c r="I21"/>
  <c r="H21"/>
  <c r="G21"/>
  <c r="F21"/>
  <c r="E21"/>
  <c r="D21"/>
  <c r="C21"/>
  <c r="F18"/>
  <c r="E18"/>
  <c r="D18"/>
  <c r="C18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3"/>
  <c r="K13"/>
  <c r="J13"/>
  <c r="I13"/>
  <c r="H13"/>
  <c r="G13"/>
  <c r="F13"/>
  <c r="E13"/>
  <c r="D13"/>
  <c r="C13"/>
  <c r="L12"/>
  <c r="K12"/>
  <c r="J12"/>
  <c r="I12"/>
  <c r="H12"/>
  <c r="G12"/>
  <c r="F12"/>
  <c r="E12"/>
  <c r="D12"/>
  <c r="C12"/>
  <c r="D11"/>
  <c r="E11" s="1"/>
  <c r="F11" s="1"/>
  <c r="G11" s="1"/>
  <c r="H11" s="1"/>
  <c r="I11" s="1"/>
  <c r="J11" s="1"/>
  <c r="K11" s="1"/>
  <c r="L11" s="1"/>
  <c r="C11"/>
  <c r="L10"/>
  <c r="K10"/>
  <c r="J10"/>
  <c r="I10"/>
  <c r="H10"/>
  <c r="G10"/>
  <c r="F10"/>
  <c r="E10"/>
  <c r="D10"/>
  <c r="C10"/>
  <c r="C7"/>
  <c r="D7" s="1"/>
  <c r="E7" s="1"/>
  <c r="F7" s="1"/>
  <c r="G7" s="1"/>
  <c r="H7" s="1"/>
  <c r="I7" s="1"/>
  <c r="J7" s="1"/>
  <c r="K7" s="1"/>
  <c r="L7" s="1"/>
  <c r="E6"/>
  <c r="D6"/>
  <c r="C6"/>
  <c r="D4"/>
  <c r="E4" s="1"/>
  <c r="F4" s="1"/>
  <c r="G4" s="1"/>
  <c r="H4" s="1"/>
  <c r="I4" s="1"/>
  <c r="J4" s="1"/>
  <c r="K4" s="1"/>
  <c r="L4" s="1"/>
  <c r="C4"/>
  <c r="F3"/>
  <c r="G3" s="1"/>
  <c r="E3"/>
  <c r="D3"/>
  <c r="D5" s="1"/>
  <c r="C3"/>
  <c r="C5" s="1"/>
  <c r="L24" i="34"/>
  <c r="K24"/>
  <c r="J24"/>
  <c r="I24"/>
  <c r="H24"/>
  <c r="G24"/>
  <c r="F24"/>
  <c r="E24"/>
  <c r="D24"/>
  <c r="C24"/>
  <c r="B24"/>
  <c r="B23"/>
  <c r="F21"/>
  <c r="E21"/>
  <c r="D21"/>
  <c r="C21"/>
  <c r="L20"/>
  <c r="K20"/>
  <c r="J20"/>
  <c r="I20"/>
  <c r="H20"/>
  <c r="L12"/>
  <c r="K12"/>
  <c r="J12"/>
  <c r="I12"/>
  <c r="H12"/>
  <c r="C7"/>
  <c r="D7" s="1"/>
  <c r="E7" s="1"/>
  <c r="F7" s="1"/>
  <c r="G7" s="1"/>
  <c r="H7" s="1"/>
  <c r="I7" s="1"/>
  <c r="J7" s="1"/>
  <c r="K7" s="1"/>
  <c r="L7" s="1"/>
  <c r="L6"/>
  <c r="K6"/>
  <c r="J6"/>
  <c r="I6"/>
  <c r="H6"/>
  <c r="G6"/>
  <c r="F6"/>
  <c r="E6"/>
  <c r="D6"/>
  <c r="C6"/>
  <c r="C8" s="1"/>
  <c r="C4"/>
  <c r="D4" s="1"/>
  <c r="E4" s="1"/>
  <c r="F4" s="1"/>
  <c r="G4" s="1"/>
  <c r="H4" s="1"/>
  <c r="I4" s="1"/>
  <c r="J4" s="1"/>
  <c r="K4" s="1"/>
  <c r="L4" s="1"/>
  <c r="D3"/>
  <c r="E3" s="1"/>
  <c r="C3"/>
  <c r="C5" s="1"/>
  <c r="C9" s="1"/>
  <c r="L36" i="33"/>
  <c r="K36"/>
  <c r="J36"/>
  <c r="I36"/>
  <c r="H36"/>
  <c r="G36"/>
  <c r="F36"/>
  <c r="E36"/>
  <c r="D36"/>
  <c r="C36"/>
  <c r="B36"/>
  <c r="B35"/>
  <c r="F33"/>
  <c r="E33"/>
  <c r="D33"/>
  <c r="C33"/>
  <c r="L32"/>
  <c r="K32"/>
  <c r="J32"/>
  <c r="I32"/>
  <c r="H32"/>
  <c r="L31"/>
  <c r="K31"/>
  <c r="J31"/>
  <c r="I31"/>
  <c r="H31"/>
  <c r="L30"/>
  <c r="K30"/>
  <c r="J30"/>
  <c r="I30"/>
  <c r="H30"/>
  <c r="G30"/>
  <c r="F30"/>
  <c r="E30"/>
  <c r="D30"/>
  <c r="C30"/>
  <c r="L22"/>
  <c r="K22"/>
  <c r="J22"/>
  <c r="I22"/>
  <c r="H22"/>
  <c r="L21"/>
  <c r="K21"/>
  <c r="J21"/>
  <c r="I21"/>
  <c r="H21"/>
  <c r="G21"/>
  <c r="F21"/>
  <c r="E21"/>
  <c r="D21"/>
  <c r="C21"/>
  <c r="F18"/>
  <c r="E18"/>
  <c r="D18"/>
  <c r="C18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3"/>
  <c r="K13"/>
  <c r="J13"/>
  <c r="I13"/>
  <c r="H13"/>
  <c r="G13"/>
  <c r="F13"/>
  <c r="E13"/>
  <c r="D13"/>
  <c r="C13"/>
  <c r="L12"/>
  <c r="K12"/>
  <c r="J12"/>
  <c r="I12"/>
  <c r="H12"/>
  <c r="G12"/>
  <c r="F12"/>
  <c r="E12"/>
  <c r="D12"/>
  <c r="C12"/>
  <c r="D11"/>
  <c r="E11" s="1"/>
  <c r="F11" s="1"/>
  <c r="G11" s="1"/>
  <c r="H11" s="1"/>
  <c r="I11" s="1"/>
  <c r="J11" s="1"/>
  <c r="K11" s="1"/>
  <c r="L11" s="1"/>
  <c r="C11"/>
  <c r="L10"/>
  <c r="K10"/>
  <c r="J10"/>
  <c r="I10"/>
  <c r="H10"/>
  <c r="G10"/>
  <c r="F10"/>
  <c r="E10"/>
  <c r="D10"/>
  <c r="C10"/>
  <c r="C7"/>
  <c r="D7" s="1"/>
  <c r="E7" s="1"/>
  <c r="F7" s="1"/>
  <c r="G7" s="1"/>
  <c r="H7" s="1"/>
  <c r="I7" s="1"/>
  <c r="J7" s="1"/>
  <c r="K7" s="1"/>
  <c r="L7" s="1"/>
  <c r="L6"/>
  <c r="K6"/>
  <c r="J6"/>
  <c r="I6"/>
  <c r="H6"/>
  <c r="G6"/>
  <c r="F6"/>
  <c r="E6"/>
  <c r="D6"/>
  <c r="C6"/>
  <c r="C8" s="1"/>
  <c r="C4"/>
  <c r="D4" s="1"/>
  <c r="E4" s="1"/>
  <c r="F4" s="1"/>
  <c r="G4" s="1"/>
  <c r="H4" s="1"/>
  <c r="I4" s="1"/>
  <c r="J4" s="1"/>
  <c r="K4" s="1"/>
  <c r="L4" s="1"/>
  <c r="D3"/>
  <c r="E3" s="1"/>
  <c r="C3"/>
  <c r="C5" s="1"/>
  <c r="C9" s="1"/>
  <c r="B18" i="22"/>
  <c r="B17"/>
  <c r="B16"/>
  <c r="B4"/>
  <c r="E27" i="21"/>
  <c r="G27" s="1"/>
  <c r="H27" s="1"/>
  <c r="G26"/>
  <c r="H26" s="1"/>
  <c r="E26"/>
  <c r="E25"/>
  <c r="G25" s="1"/>
  <c r="H25" s="1"/>
  <c r="G24"/>
  <c r="H24" s="1"/>
  <c r="E24"/>
  <c r="E23"/>
  <c r="G23" s="1"/>
  <c r="H23" s="1"/>
  <c r="G22"/>
  <c r="H22" s="1"/>
  <c r="E22"/>
  <c r="E21"/>
  <c r="G21" s="1"/>
  <c r="H21" s="1"/>
  <c r="G20"/>
  <c r="H20" s="1"/>
  <c r="E20"/>
  <c r="E19"/>
  <c r="G19" s="1"/>
  <c r="H19" s="1"/>
  <c r="G18"/>
  <c r="H18" s="1"/>
  <c r="E18"/>
  <c r="E17"/>
  <c r="G17" s="1"/>
  <c r="H17" s="1"/>
  <c r="G16"/>
  <c r="H16" s="1"/>
  <c r="E16"/>
  <c r="E15"/>
  <c r="G15" s="1"/>
  <c r="H15" s="1"/>
  <c r="G14"/>
  <c r="H14" s="1"/>
  <c r="E14"/>
  <c r="E13"/>
  <c r="G13" s="1"/>
  <c r="H13" s="1"/>
  <c r="G12"/>
  <c r="H12" s="1"/>
  <c r="E12"/>
  <c r="E11"/>
  <c r="G11" s="1"/>
  <c r="H11" s="1"/>
  <c r="G10"/>
  <c r="H10" s="1"/>
  <c r="E10"/>
  <c r="E9"/>
  <c r="G9" s="1"/>
  <c r="H9" s="1"/>
  <c r="G8"/>
  <c r="H8" s="1"/>
  <c r="E8"/>
  <c r="E7"/>
  <c r="G7" s="1"/>
  <c r="H7" s="1"/>
  <c r="G6"/>
  <c r="H6" s="1"/>
  <c r="E6"/>
  <c r="E5"/>
  <c r="G5" s="1"/>
  <c r="H5" s="1"/>
  <c r="G4"/>
  <c r="H4" s="1"/>
  <c r="H28" s="1"/>
  <c r="E4"/>
  <c r="L24" i="32"/>
  <c r="K24"/>
  <c r="J24"/>
  <c r="I24"/>
  <c r="H24"/>
  <c r="G24"/>
  <c r="F24"/>
  <c r="E24"/>
  <c r="D24"/>
  <c r="C24"/>
  <c r="B24"/>
  <c r="B23"/>
  <c r="F21"/>
  <c r="E21"/>
  <c r="D21"/>
  <c r="C21"/>
  <c r="L20"/>
  <c r="K20"/>
  <c r="J20"/>
  <c r="I20"/>
  <c r="H20"/>
  <c r="L12"/>
  <c r="K12"/>
  <c r="J12"/>
  <c r="I12"/>
  <c r="H12"/>
  <c r="F11"/>
  <c r="E11"/>
  <c r="D11"/>
  <c r="C11"/>
  <c r="C7"/>
  <c r="D7" s="1"/>
  <c r="E7" s="1"/>
  <c r="F7" s="1"/>
  <c r="G7" s="1"/>
  <c r="H7" s="1"/>
  <c r="I7" s="1"/>
  <c r="J7" s="1"/>
  <c r="K7" s="1"/>
  <c r="L7" s="1"/>
  <c r="L6"/>
  <c r="K6"/>
  <c r="K8" s="1"/>
  <c r="J6"/>
  <c r="I6"/>
  <c r="I8" s="1"/>
  <c r="H6"/>
  <c r="G6"/>
  <c r="G8" s="1"/>
  <c r="F6"/>
  <c r="E6"/>
  <c r="E8" s="1"/>
  <c r="D6"/>
  <c r="C6"/>
  <c r="C8" s="1"/>
  <c r="C4"/>
  <c r="D4" s="1"/>
  <c r="E4" s="1"/>
  <c r="F4" s="1"/>
  <c r="G4" s="1"/>
  <c r="H4" s="1"/>
  <c r="I4" s="1"/>
  <c r="J4" s="1"/>
  <c r="K4" s="1"/>
  <c r="L4" s="1"/>
  <c r="L3"/>
  <c r="K3"/>
  <c r="J3"/>
  <c r="I3"/>
  <c r="H3"/>
  <c r="G3"/>
  <c r="F3"/>
  <c r="E3"/>
  <c r="D3"/>
  <c r="C3"/>
  <c r="C5" s="1"/>
  <c r="C9" s="1"/>
  <c r="L36" i="20"/>
  <c r="K36"/>
  <c r="J36"/>
  <c r="I36"/>
  <c r="H36"/>
  <c r="G36"/>
  <c r="F36"/>
  <c r="E36"/>
  <c r="D36"/>
  <c r="C36"/>
  <c r="B36"/>
  <c r="B35"/>
  <c r="F33"/>
  <c r="E33"/>
  <c r="D33"/>
  <c r="C33"/>
  <c r="L32"/>
  <c r="K32"/>
  <c r="J32"/>
  <c r="I32"/>
  <c r="H32"/>
  <c r="L31"/>
  <c r="K31"/>
  <c r="J31"/>
  <c r="I31"/>
  <c r="H31"/>
  <c r="L30"/>
  <c r="K30"/>
  <c r="J30"/>
  <c r="I30"/>
  <c r="H30"/>
  <c r="G30"/>
  <c r="F30"/>
  <c r="E30"/>
  <c r="D30"/>
  <c r="C30"/>
  <c r="L22"/>
  <c r="K22"/>
  <c r="J22"/>
  <c r="I22"/>
  <c r="H22"/>
  <c r="L21"/>
  <c r="K21"/>
  <c r="J21"/>
  <c r="I21"/>
  <c r="H21"/>
  <c r="G21"/>
  <c r="F21"/>
  <c r="E21"/>
  <c r="D21"/>
  <c r="C21"/>
  <c r="F18"/>
  <c r="E18"/>
  <c r="D18"/>
  <c r="C18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3"/>
  <c r="K13"/>
  <c r="J13"/>
  <c r="I13"/>
  <c r="H13"/>
  <c r="G13"/>
  <c r="F13"/>
  <c r="E13"/>
  <c r="D13"/>
  <c r="C13"/>
  <c r="L12"/>
  <c r="K12"/>
  <c r="J12"/>
  <c r="I12"/>
  <c r="H12"/>
  <c r="G12"/>
  <c r="F12"/>
  <c r="E12"/>
  <c r="D12"/>
  <c r="C12"/>
  <c r="D11"/>
  <c r="E11" s="1"/>
  <c r="F11" s="1"/>
  <c r="G11" s="1"/>
  <c r="H11" s="1"/>
  <c r="I11" s="1"/>
  <c r="J11" s="1"/>
  <c r="K11" s="1"/>
  <c r="L11" s="1"/>
  <c r="C11"/>
  <c r="L10"/>
  <c r="K10"/>
  <c r="J10"/>
  <c r="I10"/>
  <c r="H10"/>
  <c r="G10"/>
  <c r="F10"/>
  <c r="E10"/>
  <c r="D10"/>
  <c r="C10"/>
  <c r="C7"/>
  <c r="D7" s="1"/>
  <c r="E7" s="1"/>
  <c r="F7" s="1"/>
  <c r="G7" s="1"/>
  <c r="H7" s="1"/>
  <c r="I7" s="1"/>
  <c r="J7" s="1"/>
  <c r="K7" s="1"/>
  <c r="L7" s="1"/>
  <c r="L6"/>
  <c r="K6"/>
  <c r="K8" s="1"/>
  <c r="J6"/>
  <c r="I6"/>
  <c r="I8" s="1"/>
  <c r="H6"/>
  <c r="G6"/>
  <c r="G8" s="1"/>
  <c r="F6"/>
  <c r="E6"/>
  <c r="E8" s="1"/>
  <c r="D6"/>
  <c r="C6"/>
  <c r="C8" s="1"/>
  <c r="C4"/>
  <c r="D4" s="1"/>
  <c r="E4" s="1"/>
  <c r="F4" s="1"/>
  <c r="G4" s="1"/>
  <c r="H4" s="1"/>
  <c r="I4" s="1"/>
  <c r="J4" s="1"/>
  <c r="K4" s="1"/>
  <c r="L4" s="1"/>
  <c r="L3"/>
  <c r="K3"/>
  <c r="J3"/>
  <c r="I3"/>
  <c r="H3"/>
  <c r="G3"/>
  <c r="F3"/>
  <c r="E3"/>
  <c r="E5" s="1"/>
  <c r="E9" s="1"/>
  <c r="D3"/>
  <c r="C3"/>
  <c r="C5" s="1"/>
  <c r="C9" s="1"/>
  <c r="E27" i="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B5" i="9"/>
  <c r="B8" i="5"/>
  <c r="C23" i="4"/>
  <c r="B23"/>
  <c r="C22"/>
  <c r="C21"/>
  <c r="C20"/>
  <c r="C16"/>
  <c r="B16"/>
  <c r="C15"/>
  <c r="C14"/>
  <c r="C13"/>
  <c r="C12"/>
  <c r="C11"/>
  <c r="B11"/>
  <c r="C10"/>
  <c r="C9"/>
  <c r="C8"/>
  <c r="C7"/>
  <c r="B7"/>
  <c r="C6"/>
  <c r="C5"/>
  <c r="C4"/>
  <c r="C3"/>
  <c r="B3"/>
  <c r="D12" i="3"/>
  <c r="D11"/>
  <c r="D10"/>
  <c r="D9"/>
  <c r="D8"/>
  <c r="D7"/>
  <c r="D6"/>
  <c r="D5"/>
  <c r="B20" i="2"/>
  <c r="B11" i="1"/>
  <c r="B9"/>
  <c r="B18" s="1"/>
  <c r="E54" i="43"/>
  <c r="E53"/>
  <c r="E52"/>
  <c r="E55" s="1"/>
  <c r="E48"/>
  <c r="E47"/>
  <c r="E46"/>
  <c r="E45"/>
  <c r="E49" s="1"/>
  <c r="E56" s="1"/>
  <c r="E37"/>
  <c r="E36"/>
  <c r="E35"/>
  <c r="E31"/>
  <c r="E30"/>
  <c r="E29"/>
  <c r="E28"/>
  <c r="E27"/>
  <c r="E26"/>
  <c r="E18"/>
  <c r="E17"/>
  <c r="E16"/>
  <c r="E19" s="1"/>
  <c r="E12"/>
  <c r="E11"/>
  <c r="E10"/>
  <c r="E9"/>
  <c r="E8"/>
  <c r="E7"/>
  <c r="E6"/>
  <c r="C17" i="36" l="1"/>
  <c r="C17" i="20"/>
  <c r="C17" i="41"/>
  <c r="C17" i="33"/>
  <c r="B14" i="1"/>
  <c r="E13" i="43"/>
  <c r="E20" s="1"/>
  <c r="E32"/>
  <c r="E38"/>
  <c r="E39" s="1"/>
  <c r="C14" i="41"/>
  <c r="C14" i="36"/>
  <c r="D14" s="1"/>
  <c r="C14" i="33"/>
  <c r="D14" s="1"/>
  <c r="C14" i="20"/>
  <c r="D14" s="1"/>
  <c r="H14" i="41"/>
  <c r="H14" i="36"/>
  <c r="H14" i="33"/>
  <c r="H14" i="20"/>
  <c r="C10" i="34"/>
  <c r="C19" i="36"/>
  <c r="L27" i="38"/>
  <c r="L39" i="33"/>
  <c r="L27" i="32"/>
  <c r="L21" i="42"/>
  <c r="L33" i="41"/>
  <c r="L39" i="36"/>
  <c r="L27" i="34"/>
  <c r="L39" i="20"/>
  <c r="G11" i="41"/>
  <c r="C8" i="36"/>
  <c r="C9" s="1"/>
  <c r="C9" i="42"/>
  <c r="D8"/>
  <c r="F8"/>
  <c r="H8"/>
  <c r="J8"/>
  <c r="L8"/>
  <c r="E8" i="33"/>
  <c r="G8"/>
  <c r="I8"/>
  <c r="K8"/>
  <c r="E8" i="34"/>
  <c r="G8"/>
  <c r="I8"/>
  <c r="K8"/>
  <c r="G5" i="36"/>
  <c r="E8"/>
  <c r="D5" i="42"/>
  <c r="F5"/>
  <c r="F9" s="1"/>
  <c r="H5"/>
  <c r="J5"/>
  <c r="J9" s="1"/>
  <c r="L5"/>
  <c r="G5" i="20"/>
  <c r="G9" s="1"/>
  <c r="I5"/>
  <c r="I9" s="1"/>
  <c r="K5"/>
  <c r="K9" s="1"/>
  <c r="D8" i="33"/>
  <c r="F8"/>
  <c r="H8"/>
  <c r="J8"/>
  <c r="L8"/>
  <c r="D8" i="34"/>
  <c r="F8"/>
  <c r="H8"/>
  <c r="J8"/>
  <c r="L8"/>
  <c r="E5" i="36"/>
  <c r="E9" s="1"/>
  <c r="D8"/>
  <c r="D9" s="1"/>
  <c r="F6"/>
  <c r="G6" s="1"/>
  <c r="G8" s="1"/>
  <c r="E5" i="32"/>
  <c r="E9" s="1"/>
  <c r="G5"/>
  <c r="G9" s="1"/>
  <c r="I5"/>
  <c r="I9" s="1"/>
  <c r="K5"/>
  <c r="K9" s="1"/>
  <c r="D5" i="20"/>
  <c r="F5"/>
  <c r="H5"/>
  <c r="J5"/>
  <c r="L5"/>
  <c r="C7" i="29"/>
  <c r="B23" i="22"/>
  <c r="E23" s="1"/>
  <c r="D8" i="20"/>
  <c r="F8"/>
  <c r="H8"/>
  <c r="J8"/>
  <c r="L8"/>
  <c r="B6" i="40"/>
  <c r="C8" i="29"/>
  <c r="D8" s="1"/>
  <c r="C19" i="20"/>
  <c r="D5" i="32"/>
  <c r="F5"/>
  <c r="H5"/>
  <c r="J5"/>
  <c r="L5"/>
  <c r="D8"/>
  <c r="F8"/>
  <c r="H8"/>
  <c r="J8"/>
  <c r="L8"/>
  <c r="C10"/>
  <c r="E5" i="33"/>
  <c r="E9" s="1"/>
  <c r="F3"/>
  <c r="E5" i="34"/>
  <c r="E9" s="1"/>
  <c r="F3"/>
  <c r="D5" i="33"/>
  <c r="D9" s="1"/>
  <c r="D5" i="34"/>
  <c r="D9" s="1"/>
  <c r="G5" i="38"/>
  <c r="H3"/>
  <c r="G8"/>
  <c r="H6"/>
  <c r="C19" i="33"/>
  <c r="H3" i="36"/>
  <c r="F5"/>
  <c r="F8"/>
  <c r="E5" i="38"/>
  <c r="E8"/>
  <c r="F5"/>
  <c r="F8"/>
  <c r="C11"/>
  <c r="D5" i="41"/>
  <c r="D9" s="1"/>
  <c r="F5"/>
  <c r="F9" s="1"/>
  <c r="H5"/>
  <c r="H9" s="1"/>
  <c r="J5"/>
  <c r="J9" s="1"/>
  <c r="L5"/>
  <c r="L9" s="1"/>
  <c r="E5" i="42"/>
  <c r="E9" s="1"/>
  <c r="G5"/>
  <c r="G9" s="1"/>
  <c r="I5"/>
  <c r="I9" s="1"/>
  <c r="K5"/>
  <c r="K9" s="1"/>
  <c r="C10"/>
  <c r="B25" i="38" l="1"/>
  <c r="C20" i="36"/>
  <c r="B37" i="33"/>
  <c r="B25" i="32"/>
  <c r="C20" i="20"/>
  <c r="B19" i="42"/>
  <c r="B31" i="41"/>
  <c r="C20"/>
  <c r="B37" i="36"/>
  <c r="B25" i="34"/>
  <c r="C20" i="33"/>
  <c r="B37" i="20"/>
  <c r="D17" i="41"/>
  <c r="F17" s="1"/>
  <c r="H17" s="1"/>
  <c r="J17" s="1"/>
  <c r="L17" s="1"/>
  <c r="E17"/>
  <c r="G17" s="1"/>
  <c r="I17" s="1"/>
  <c r="K17" s="1"/>
  <c r="E17" i="36"/>
  <c r="G17" s="1"/>
  <c r="I17" s="1"/>
  <c r="K17" s="1"/>
  <c r="D17"/>
  <c r="F17" s="1"/>
  <c r="H17" s="1"/>
  <c r="J17" s="1"/>
  <c r="L17" s="1"/>
  <c r="D17" i="33"/>
  <c r="F17" s="1"/>
  <c r="H17" s="1"/>
  <c r="J17" s="1"/>
  <c r="L17" s="1"/>
  <c r="E17"/>
  <c r="G17" s="1"/>
  <c r="I17" s="1"/>
  <c r="K17" s="1"/>
  <c r="E17" i="20"/>
  <c r="G17" s="1"/>
  <c r="I17" s="1"/>
  <c r="K17" s="1"/>
  <c r="D17"/>
  <c r="F17" s="1"/>
  <c r="H17" s="1"/>
  <c r="J17" s="1"/>
  <c r="L17" s="1"/>
  <c r="E14" i="36"/>
  <c r="E14" i="20"/>
  <c r="E14" i="41"/>
  <c r="E14" i="33"/>
  <c r="K14"/>
  <c r="I14"/>
  <c r="L14"/>
  <c r="J14"/>
  <c r="H10" i="34"/>
  <c r="H19" i="33"/>
  <c r="K14" i="41"/>
  <c r="I14"/>
  <c r="L14"/>
  <c r="J14"/>
  <c r="F14" i="33"/>
  <c r="G14"/>
  <c r="E19"/>
  <c r="E10" i="34"/>
  <c r="G14" i="41"/>
  <c r="F14"/>
  <c r="D10" i="34"/>
  <c r="D19" i="33"/>
  <c r="D14" i="41"/>
  <c r="C19"/>
  <c r="K14" i="20"/>
  <c r="I14"/>
  <c r="L14"/>
  <c r="J14"/>
  <c r="H19"/>
  <c r="G6" i="40"/>
  <c r="G9" s="1"/>
  <c r="H10" i="32"/>
  <c r="K14" i="36"/>
  <c r="I14"/>
  <c r="L14"/>
  <c r="J14"/>
  <c r="H19"/>
  <c r="H11" i="38"/>
  <c r="F14" i="20"/>
  <c r="D6" i="40"/>
  <c r="E10" i="32"/>
  <c r="E19" i="20"/>
  <c r="G14" i="36"/>
  <c r="F14"/>
  <c r="E11" i="38"/>
  <c r="E19" i="36"/>
  <c r="D19" i="20"/>
  <c r="C6" i="40"/>
  <c r="D10" i="32"/>
  <c r="D19" i="36"/>
  <c r="D11" i="38"/>
  <c r="G10" i="42"/>
  <c r="G19" i="41"/>
  <c r="H11"/>
  <c r="F9" i="38"/>
  <c r="E9"/>
  <c r="H6" i="36"/>
  <c r="H8" s="1"/>
  <c r="L9" i="42"/>
  <c r="H9"/>
  <c r="D9"/>
  <c r="J9" i="32"/>
  <c r="F9"/>
  <c r="G9" i="36"/>
  <c r="D9" i="29"/>
  <c r="B20" i="42" s="1"/>
  <c r="I6" i="36"/>
  <c r="I6" i="38"/>
  <c r="H8"/>
  <c r="G3" i="34"/>
  <c r="F5"/>
  <c r="F9" s="1"/>
  <c r="G3" i="33"/>
  <c r="F5"/>
  <c r="F9" s="1"/>
  <c r="B32" i="41"/>
  <c r="B38" i="33"/>
  <c r="J9" i="20"/>
  <c r="F9"/>
  <c r="I3" i="36"/>
  <c r="H5"/>
  <c r="I3" i="38"/>
  <c r="H5"/>
  <c r="H9" s="1"/>
  <c r="H13" s="1"/>
  <c r="F9" i="36"/>
  <c r="G9" i="38"/>
  <c r="L9" i="32"/>
  <c r="H9"/>
  <c r="H13" s="1"/>
  <c r="D9"/>
  <c r="L9" i="20"/>
  <c r="H9"/>
  <c r="H23" s="1"/>
  <c r="D9"/>
  <c r="C31" i="33" l="1"/>
  <c r="C32" s="1"/>
  <c r="C22"/>
  <c r="C23" s="1"/>
  <c r="C24" s="1"/>
  <c r="C25" s="1"/>
  <c r="D20"/>
  <c r="C12" i="34"/>
  <c r="C31" i="20"/>
  <c r="C32" s="1"/>
  <c r="C22"/>
  <c r="D20"/>
  <c r="C12" i="42"/>
  <c r="C13" s="1"/>
  <c r="C25" i="41"/>
  <c r="C22"/>
  <c r="C23" s="1"/>
  <c r="D20"/>
  <c r="C12" i="38"/>
  <c r="C31" i="36"/>
  <c r="C32" s="1"/>
  <c r="C22"/>
  <c r="C23" s="1"/>
  <c r="C24" s="1"/>
  <c r="C25" s="1"/>
  <c r="C26" s="1"/>
  <c r="C27" s="1"/>
  <c r="D20"/>
  <c r="E10" i="42"/>
  <c r="E19" i="41"/>
  <c r="F19" i="36"/>
  <c r="F11" i="38"/>
  <c r="J19" i="36"/>
  <c r="J11" i="38"/>
  <c r="I11"/>
  <c r="I19" i="36"/>
  <c r="L19" i="20"/>
  <c r="K6" i="40"/>
  <c r="K9" s="1"/>
  <c r="L10" i="32"/>
  <c r="J6" i="40"/>
  <c r="J9" s="1"/>
  <c r="K10" i="32"/>
  <c r="K13" s="1"/>
  <c r="K14" s="1"/>
  <c r="K15" s="1"/>
  <c r="K19" i="20"/>
  <c r="K23" s="1"/>
  <c r="K24" s="1"/>
  <c r="K25" s="1"/>
  <c r="K26" s="1"/>
  <c r="K27" s="1"/>
  <c r="D10" i="42"/>
  <c r="D19" i="41"/>
  <c r="F10" i="34"/>
  <c r="F19" i="33"/>
  <c r="L10" i="34"/>
  <c r="L19" i="33"/>
  <c r="K19"/>
  <c r="K10" i="34"/>
  <c r="G11" i="38"/>
  <c r="G19" i="36"/>
  <c r="G14" i="20"/>
  <c r="F19"/>
  <c r="E6" i="40"/>
  <c r="F10" i="32"/>
  <c r="L19" i="36"/>
  <c r="L11" i="38"/>
  <c r="K11"/>
  <c r="K19" i="36"/>
  <c r="J19" i="20"/>
  <c r="I6" i="40"/>
  <c r="I9" s="1"/>
  <c r="J10" i="32"/>
  <c r="J13" s="1"/>
  <c r="J14" s="1"/>
  <c r="J15" s="1"/>
  <c r="J16" s="1"/>
  <c r="J17" s="1"/>
  <c r="H6" i="40"/>
  <c r="H9" s="1"/>
  <c r="I10" i="32"/>
  <c r="I13" s="1"/>
  <c r="I14" s="1"/>
  <c r="I15" s="1"/>
  <c r="I19" i="20"/>
  <c r="I23" s="1"/>
  <c r="I24" s="1"/>
  <c r="I25" s="1"/>
  <c r="I26" s="1"/>
  <c r="I27" s="1"/>
  <c r="I28" s="1"/>
  <c r="I29" s="1"/>
  <c r="I40" s="1"/>
  <c r="J4" i="30" s="1"/>
  <c r="J5" s="1"/>
  <c r="F19" i="41"/>
  <c r="F10" i="42"/>
  <c r="G19" i="33"/>
  <c r="G10" i="34"/>
  <c r="J10"/>
  <c r="J19" i="33"/>
  <c r="I19"/>
  <c r="I10" i="34"/>
  <c r="L13" i="32"/>
  <c r="J23" i="20"/>
  <c r="J24" s="1"/>
  <c r="J25" s="1"/>
  <c r="L23"/>
  <c r="B38"/>
  <c r="L38" s="1"/>
  <c r="B38" i="36"/>
  <c r="B40" s="1"/>
  <c r="H19" i="41"/>
  <c r="H23" s="1"/>
  <c r="H34" s="1"/>
  <c r="I11"/>
  <c r="H10" i="42"/>
  <c r="H13" s="1"/>
  <c r="H22" s="1"/>
  <c r="H9" i="36"/>
  <c r="H23" s="1"/>
  <c r="H24" s="1"/>
  <c r="H25" s="1"/>
  <c r="B26" i="32"/>
  <c r="B28" s="1"/>
  <c r="B26" i="34"/>
  <c r="L26" s="1"/>
  <c r="B26" i="38"/>
  <c r="B28" s="1"/>
  <c r="K16" i="32"/>
  <c r="K17" s="1"/>
  <c r="C26" i="33"/>
  <c r="C27" s="1"/>
  <c r="I16" i="32"/>
  <c r="I17" s="1"/>
  <c r="K28" i="20"/>
  <c r="K29" s="1"/>
  <c r="K40" s="1"/>
  <c r="L4" i="30" s="1"/>
  <c r="L5" s="1"/>
  <c r="B34" i="41"/>
  <c r="L32"/>
  <c r="C28" i="36"/>
  <c r="C29" s="1"/>
  <c r="C40" s="1"/>
  <c r="H24" i="20"/>
  <c r="H25" s="1"/>
  <c r="L14" i="32"/>
  <c r="L15" s="1"/>
  <c r="I5" i="38"/>
  <c r="J3"/>
  <c r="I5" i="36"/>
  <c r="J3"/>
  <c r="B40" i="20"/>
  <c r="L38" i="33"/>
  <c r="B40"/>
  <c r="L38" i="36"/>
  <c r="L24" i="20"/>
  <c r="L25" s="1"/>
  <c r="H14" i="32"/>
  <c r="H15" s="1"/>
  <c r="H14" i="38"/>
  <c r="H15" s="1"/>
  <c r="B28" i="34"/>
  <c r="B22" i="42"/>
  <c r="L20"/>
  <c r="G5" i="33"/>
  <c r="G9" s="1"/>
  <c r="H3"/>
  <c r="G5" i="34"/>
  <c r="G9" s="1"/>
  <c r="H3"/>
  <c r="I8" i="38"/>
  <c r="J6"/>
  <c r="I8" i="36"/>
  <c r="J6"/>
  <c r="D31" l="1"/>
  <c r="D32" s="1"/>
  <c r="D22"/>
  <c r="D23" s="1"/>
  <c r="D24" s="1"/>
  <c r="D25" s="1"/>
  <c r="D26" s="1"/>
  <c r="D27" s="1"/>
  <c r="D28" s="1"/>
  <c r="D29" s="1"/>
  <c r="D40" s="1"/>
  <c r="E20"/>
  <c r="D12" i="38"/>
  <c r="D12" i="42"/>
  <c r="D25" i="41"/>
  <c r="D22"/>
  <c r="E20"/>
  <c r="C14" i="42"/>
  <c r="C26" i="41"/>
  <c r="C34" s="1"/>
  <c r="D31" i="20"/>
  <c r="D32" s="1"/>
  <c r="D22"/>
  <c r="E20"/>
  <c r="D12" i="34"/>
  <c r="D31" i="33"/>
  <c r="D32" s="1"/>
  <c r="D22"/>
  <c r="D23" s="1"/>
  <c r="D24" s="1"/>
  <c r="D25" s="1"/>
  <c r="D26" s="1"/>
  <c r="D27" s="1"/>
  <c r="E20"/>
  <c r="D23" i="41"/>
  <c r="C20" i="38"/>
  <c r="C13"/>
  <c r="C14" s="1"/>
  <c r="C15" s="1"/>
  <c r="C16" s="1"/>
  <c r="C17" s="1"/>
  <c r="C12" i="32"/>
  <c r="B8" i="40"/>
  <c r="B9" s="1"/>
  <c r="C23" i="20"/>
  <c r="C24" s="1"/>
  <c r="C25" s="1"/>
  <c r="C26" s="1"/>
  <c r="C27" s="1"/>
  <c r="C20" i="34"/>
  <c r="C13"/>
  <c r="C14" s="1"/>
  <c r="C15" s="1"/>
  <c r="C16" s="1"/>
  <c r="C17" s="1"/>
  <c r="D13" i="42"/>
  <c r="C22"/>
  <c r="L26" i="38"/>
  <c r="L26" i="32"/>
  <c r="C13" i="13"/>
  <c r="F6" i="40"/>
  <c r="G10" i="32"/>
  <c r="G19" i="20"/>
  <c r="C10" i="30"/>
  <c r="I10" i="42"/>
  <c r="I13" s="1"/>
  <c r="I22" s="1"/>
  <c r="I19" i="41"/>
  <c r="I23" s="1"/>
  <c r="I34" s="1"/>
  <c r="J11"/>
  <c r="J26" i="20"/>
  <c r="J27" s="1"/>
  <c r="H16" i="38"/>
  <c r="H17" s="1"/>
  <c r="L16" i="32"/>
  <c r="L17" s="1"/>
  <c r="C28" i="20"/>
  <c r="C29" s="1"/>
  <c r="C40" s="1"/>
  <c r="K18" i="32"/>
  <c r="K19" s="1"/>
  <c r="K28" s="1"/>
  <c r="H26" i="36"/>
  <c r="H27" s="1"/>
  <c r="H16" i="32"/>
  <c r="H17" s="1"/>
  <c r="D28" i="33"/>
  <c r="D29" s="1"/>
  <c r="D40" s="1"/>
  <c r="E16" i="30" s="1"/>
  <c r="E17" s="1"/>
  <c r="C28" i="33"/>
  <c r="C29" s="1"/>
  <c r="C40" s="1"/>
  <c r="J18" i="32"/>
  <c r="J19" s="1"/>
  <c r="J28" s="1"/>
  <c r="K6" i="36"/>
  <c r="J8"/>
  <c r="C4" i="30"/>
  <c r="C5" s="1"/>
  <c r="C6" s="1"/>
  <c r="K3" i="36"/>
  <c r="J5"/>
  <c r="I18" i="32"/>
  <c r="I19" s="1"/>
  <c r="I28" s="1"/>
  <c r="K6" i="38"/>
  <c r="J8"/>
  <c r="I3" i="34"/>
  <c r="H5"/>
  <c r="H9" s="1"/>
  <c r="H13" s="1"/>
  <c r="I3" i="33"/>
  <c r="H5"/>
  <c r="H9" s="1"/>
  <c r="H23" s="1"/>
  <c r="L26" i="20"/>
  <c r="L27" s="1"/>
  <c r="C18" i="34"/>
  <c r="C19" s="1"/>
  <c r="C28" s="1"/>
  <c r="C16" i="30"/>
  <c r="C17" s="1"/>
  <c r="C18" s="1"/>
  <c r="B12" i="13"/>
  <c r="C11"/>
  <c r="B11" s="1"/>
  <c r="K3" i="38"/>
  <c r="J5"/>
  <c r="H26" i="20"/>
  <c r="H27" s="1"/>
  <c r="C18" i="38"/>
  <c r="C19" s="1"/>
  <c r="C28" s="1"/>
  <c r="I9" i="36"/>
  <c r="I23" s="1"/>
  <c r="I9" i="38"/>
  <c r="I13" s="1"/>
  <c r="D20" i="34" l="1"/>
  <c r="D13"/>
  <c r="D14" s="1"/>
  <c r="D15" s="1"/>
  <c r="D16" s="1"/>
  <c r="D17" s="1"/>
  <c r="D18" s="1"/>
  <c r="D19" s="1"/>
  <c r="D28" s="1"/>
  <c r="C8" i="40"/>
  <c r="C9" s="1"/>
  <c r="D12" i="32"/>
  <c r="D23" i="20"/>
  <c r="D24" s="1"/>
  <c r="D25" s="1"/>
  <c r="D26" s="1"/>
  <c r="D27" s="1"/>
  <c r="E12" i="42"/>
  <c r="E13" s="1"/>
  <c r="E25" i="41"/>
  <c r="E22"/>
  <c r="E23" s="1"/>
  <c r="F20"/>
  <c r="D14" i="42"/>
  <c r="D26" i="41"/>
  <c r="D20" i="38"/>
  <c r="D13"/>
  <c r="D14" s="1"/>
  <c r="D15" s="1"/>
  <c r="D16" s="1"/>
  <c r="D17" s="1"/>
  <c r="D18" s="1"/>
  <c r="D19" s="1"/>
  <c r="D22" i="42"/>
  <c r="C20" i="32"/>
  <c r="C13"/>
  <c r="C14" s="1"/>
  <c r="C15" s="1"/>
  <c r="C16" s="1"/>
  <c r="C17" s="1"/>
  <c r="C18" s="1"/>
  <c r="C19" s="1"/>
  <c r="C28" s="1"/>
  <c r="E31" i="33"/>
  <c r="E32" s="1"/>
  <c r="E22"/>
  <c r="E23" s="1"/>
  <c r="E24" s="1"/>
  <c r="E25" s="1"/>
  <c r="E26" s="1"/>
  <c r="E27" s="1"/>
  <c r="E28" s="1"/>
  <c r="E29" s="1"/>
  <c r="E40" s="1"/>
  <c r="F16" i="30" s="1"/>
  <c r="F17" s="1"/>
  <c r="F20" i="33"/>
  <c r="E12" i="34"/>
  <c r="E31" i="20"/>
  <c r="E32" s="1"/>
  <c r="E22"/>
  <c r="F20"/>
  <c r="E12" i="38"/>
  <c r="E31" i="36"/>
  <c r="E32" s="1"/>
  <c r="E22"/>
  <c r="E23" s="1"/>
  <c r="E24" s="1"/>
  <c r="E25" s="1"/>
  <c r="E26" s="1"/>
  <c r="E27" s="1"/>
  <c r="E28" s="1"/>
  <c r="E29" s="1"/>
  <c r="E40" s="1"/>
  <c r="F20"/>
  <c r="D34" i="41"/>
  <c r="D16" i="30"/>
  <c r="D17" s="1"/>
  <c r="D18" s="1"/>
  <c r="E18" s="1"/>
  <c r="D4"/>
  <c r="D5" s="1"/>
  <c r="D6" s="1"/>
  <c r="J19" i="41"/>
  <c r="J23" s="1"/>
  <c r="J34" s="1"/>
  <c r="K11"/>
  <c r="J10" i="42"/>
  <c r="J13" s="1"/>
  <c r="J22" s="1"/>
  <c r="J9" i="36"/>
  <c r="J23" s="1"/>
  <c r="J24" s="1"/>
  <c r="J25" s="1"/>
  <c r="H28" i="20"/>
  <c r="H29" s="1"/>
  <c r="H40" s="1"/>
  <c r="I4" i="30" s="1"/>
  <c r="I5" s="1"/>
  <c r="K5" i="38"/>
  <c r="L3"/>
  <c r="L5" s="1"/>
  <c r="D28" i="20"/>
  <c r="D29" s="1"/>
  <c r="D40" s="1"/>
  <c r="L28"/>
  <c r="L29" s="1"/>
  <c r="L40" s="1"/>
  <c r="M4" i="30" s="1"/>
  <c r="M5" s="1"/>
  <c r="H24" i="33"/>
  <c r="H25" s="1"/>
  <c r="K8" i="36"/>
  <c r="L6"/>
  <c r="L8" s="1"/>
  <c r="I14" i="38"/>
  <c r="I15" s="1"/>
  <c r="J9"/>
  <c r="J13" s="1"/>
  <c r="B13" i="13"/>
  <c r="I5" i="33"/>
  <c r="I9" s="1"/>
  <c r="I23" s="1"/>
  <c r="J3"/>
  <c r="I5" i="34"/>
  <c r="I9" s="1"/>
  <c r="I13" s="1"/>
  <c r="J3"/>
  <c r="K8" i="38"/>
  <c r="L6"/>
  <c r="L8" s="1"/>
  <c r="K5" i="36"/>
  <c r="L3"/>
  <c r="L5" s="1"/>
  <c r="L9" s="1"/>
  <c r="L23" s="1"/>
  <c r="I24"/>
  <c r="I25" s="1"/>
  <c r="H14" i="34"/>
  <c r="H15" s="1"/>
  <c r="H18" i="32"/>
  <c r="H19" s="1"/>
  <c r="H28" s="1"/>
  <c r="H28" i="36"/>
  <c r="H29" s="1"/>
  <c r="H40" s="1"/>
  <c r="L18" i="32"/>
  <c r="L19" s="1"/>
  <c r="L28" s="1"/>
  <c r="H18" i="38"/>
  <c r="H19" s="1"/>
  <c r="H28" s="1"/>
  <c r="J28" i="20"/>
  <c r="J29" s="1"/>
  <c r="J40" s="1"/>
  <c r="K4" i="30" s="1"/>
  <c r="K5" s="1"/>
  <c r="F31" i="36" l="1"/>
  <c r="F32" s="1"/>
  <c r="F22"/>
  <c r="F23" s="1"/>
  <c r="F24" s="1"/>
  <c r="F25" s="1"/>
  <c r="F26" s="1"/>
  <c r="F27" s="1"/>
  <c r="F28" s="1"/>
  <c r="F29" s="1"/>
  <c r="G20"/>
  <c r="F12" i="38"/>
  <c r="F31" i="20"/>
  <c r="F32" s="1"/>
  <c r="F22"/>
  <c r="G20"/>
  <c r="F12" i="34"/>
  <c r="F31" i="33"/>
  <c r="F32" s="1"/>
  <c r="F22"/>
  <c r="F23" s="1"/>
  <c r="F24" s="1"/>
  <c r="F25" s="1"/>
  <c r="F26" s="1"/>
  <c r="F27" s="1"/>
  <c r="F28" s="1"/>
  <c r="F29" s="1"/>
  <c r="F40" s="1"/>
  <c r="G20"/>
  <c r="F12" i="42"/>
  <c r="F13" s="1"/>
  <c r="F25" i="41"/>
  <c r="F22"/>
  <c r="F23" s="1"/>
  <c r="G20"/>
  <c r="E14" i="42"/>
  <c r="E26" i="41"/>
  <c r="F18" i="30"/>
  <c r="D28" i="38"/>
  <c r="E20"/>
  <c r="E13"/>
  <c r="E14" s="1"/>
  <c r="E15" s="1"/>
  <c r="E16" s="1"/>
  <c r="E17" s="1"/>
  <c r="E18" s="1"/>
  <c r="E19" s="1"/>
  <c r="E12" i="32"/>
  <c r="D8" i="40"/>
  <c r="D9" s="1"/>
  <c r="E23" i="20"/>
  <c r="E24" s="1"/>
  <c r="E25" s="1"/>
  <c r="E26" s="1"/>
  <c r="E27" s="1"/>
  <c r="E28" s="1"/>
  <c r="E29" s="1"/>
  <c r="E40" s="1"/>
  <c r="F4" i="30" s="1"/>
  <c r="F5" s="1"/>
  <c r="E20" i="34"/>
  <c r="E13"/>
  <c r="E14" s="1"/>
  <c r="E15" s="1"/>
  <c r="E16" s="1"/>
  <c r="E17" s="1"/>
  <c r="E18" s="1"/>
  <c r="E19" s="1"/>
  <c r="E28" s="1"/>
  <c r="D20" i="32"/>
  <c r="D13"/>
  <c r="D14" s="1"/>
  <c r="D15" s="1"/>
  <c r="D16" s="1"/>
  <c r="D17" s="1"/>
  <c r="D18" s="1"/>
  <c r="D19" s="1"/>
  <c r="D28" s="1"/>
  <c r="E34" i="41"/>
  <c r="E22" i="42"/>
  <c r="K10"/>
  <c r="K13" s="1"/>
  <c r="K22" s="1"/>
  <c r="K19" i="41"/>
  <c r="K23" s="1"/>
  <c r="K34" s="1"/>
  <c r="L11"/>
  <c r="K9" i="36"/>
  <c r="K23" s="1"/>
  <c r="K24" s="1"/>
  <c r="K25" s="1"/>
  <c r="I26"/>
  <c r="I27" s="1"/>
  <c r="E4" i="30"/>
  <c r="E5" s="1"/>
  <c r="E6" s="1"/>
  <c r="F6" s="1"/>
  <c r="G16"/>
  <c r="G17" s="1"/>
  <c r="G18" s="1"/>
  <c r="H16" i="34"/>
  <c r="H17" s="1"/>
  <c r="I16" i="38"/>
  <c r="I17" s="1"/>
  <c r="I14" i="34"/>
  <c r="I15" s="1"/>
  <c r="I24" i="33"/>
  <c r="I25" s="1"/>
  <c r="J26" i="36"/>
  <c r="J27" s="1"/>
  <c r="K9" i="38"/>
  <c r="K13" s="1"/>
  <c r="L24" i="36"/>
  <c r="L25" s="1"/>
  <c r="K3" i="34"/>
  <c r="J5"/>
  <c r="J9" s="1"/>
  <c r="J13" s="1"/>
  <c r="K3" i="33"/>
  <c r="J5"/>
  <c r="J9" s="1"/>
  <c r="J23" s="1"/>
  <c r="J14" i="38"/>
  <c r="J15" s="1"/>
  <c r="L9"/>
  <c r="L13" s="1"/>
  <c r="H26" i="33"/>
  <c r="H27" s="1"/>
  <c r="G12" i="42" l="1"/>
  <c r="G13" s="1"/>
  <c r="G25" i="41"/>
  <c r="G22"/>
  <c r="G23" s="1"/>
  <c r="F14" i="42"/>
  <c r="F26" i="41"/>
  <c r="G31" i="33"/>
  <c r="G32" s="1"/>
  <c r="G22"/>
  <c r="G23" s="1"/>
  <c r="G24" s="1"/>
  <c r="G25" s="1"/>
  <c r="G26" s="1"/>
  <c r="G27" s="1"/>
  <c r="G28" s="1"/>
  <c r="G29" s="1"/>
  <c r="G40" s="1"/>
  <c r="G12" i="34"/>
  <c r="G31" i="20"/>
  <c r="G32" s="1"/>
  <c r="G22"/>
  <c r="G12" i="38"/>
  <c r="G31" i="36"/>
  <c r="G32" s="1"/>
  <c r="G22"/>
  <c r="G23" s="1"/>
  <c r="G24" s="1"/>
  <c r="G25" s="1"/>
  <c r="G26" s="1"/>
  <c r="G27" s="1"/>
  <c r="G28" s="1"/>
  <c r="G29" s="1"/>
  <c r="G40" s="1"/>
  <c r="E28" i="38"/>
  <c r="E20" i="32"/>
  <c r="E13"/>
  <c r="E14" s="1"/>
  <c r="E15" s="1"/>
  <c r="E16" s="1"/>
  <c r="E17" s="1"/>
  <c r="E18" s="1"/>
  <c r="E19" s="1"/>
  <c r="E28" s="1"/>
  <c r="F20" i="34"/>
  <c r="F13"/>
  <c r="F14" s="1"/>
  <c r="F15" s="1"/>
  <c r="F16" s="1"/>
  <c r="F17" s="1"/>
  <c r="F18" s="1"/>
  <c r="F19" s="1"/>
  <c r="F28" s="1"/>
  <c r="E8" i="40"/>
  <c r="E9" s="1"/>
  <c r="F12" i="32"/>
  <c r="F23" i="20"/>
  <c r="F24" s="1"/>
  <c r="F25" s="1"/>
  <c r="F26" s="1"/>
  <c r="F27" s="1"/>
  <c r="F28" s="1"/>
  <c r="F29" s="1"/>
  <c r="F40" s="1"/>
  <c r="F20" i="38"/>
  <c r="F13"/>
  <c r="F14" s="1"/>
  <c r="F15" s="1"/>
  <c r="F16" s="1"/>
  <c r="F17" s="1"/>
  <c r="F18" s="1"/>
  <c r="F19" s="1"/>
  <c r="F34" i="41"/>
  <c r="F22" i="42"/>
  <c r="F40" i="36"/>
  <c r="L19" i="41"/>
  <c r="L23" s="1"/>
  <c r="L34" s="1"/>
  <c r="L10" i="42"/>
  <c r="L13" s="1"/>
  <c r="L22" s="1"/>
  <c r="J16" i="38"/>
  <c r="J17" s="1"/>
  <c r="H16" i="30"/>
  <c r="H17" s="1"/>
  <c r="H18" s="1"/>
  <c r="K26" i="36"/>
  <c r="K27" s="1"/>
  <c r="L26"/>
  <c r="L27" s="1"/>
  <c r="I28"/>
  <c r="I29" s="1"/>
  <c r="I40" s="1"/>
  <c r="H28" i="33"/>
  <c r="H29" s="1"/>
  <c r="H40" s="1"/>
  <c r="J24"/>
  <c r="J25" s="1"/>
  <c r="J14" i="34"/>
  <c r="J15" s="1"/>
  <c r="K14" i="38"/>
  <c r="K15" s="1"/>
  <c r="J28" i="36"/>
  <c r="J29" s="1"/>
  <c r="J40" s="1"/>
  <c r="I26" i="33"/>
  <c r="I27" s="1"/>
  <c r="I16" i="34"/>
  <c r="I17" s="1"/>
  <c r="I18" i="38"/>
  <c r="I19" s="1"/>
  <c r="I28" s="1"/>
  <c r="H18" i="34"/>
  <c r="H19" s="1"/>
  <c r="H28" s="1"/>
  <c r="L14" i="38"/>
  <c r="L15" s="1"/>
  <c r="K5" i="33"/>
  <c r="K9" s="1"/>
  <c r="K23" s="1"/>
  <c r="L3"/>
  <c r="L5" s="1"/>
  <c r="L9" s="1"/>
  <c r="L23" s="1"/>
  <c r="K5" i="34"/>
  <c r="K9" s="1"/>
  <c r="K13" s="1"/>
  <c r="L3"/>
  <c r="L5" s="1"/>
  <c r="L9" s="1"/>
  <c r="L13" s="1"/>
  <c r="G4" i="30" l="1"/>
  <c r="G5" s="1"/>
  <c r="G6" s="1"/>
  <c r="G12" i="32"/>
  <c r="F8" i="40"/>
  <c r="F9" s="1"/>
  <c r="G23" i="20"/>
  <c r="G24" s="1"/>
  <c r="G25" s="1"/>
  <c r="G26" s="1"/>
  <c r="G27" s="1"/>
  <c r="G28" s="1"/>
  <c r="G29" s="1"/>
  <c r="G40" s="1"/>
  <c r="H4" i="30" s="1"/>
  <c r="H5" s="1"/>
  <c r="G20" i="34"/>
  <c r="G13"/>
  <c r="G14" s="1"/>
  <c r="G15" s="1"/>
  <c r="G16" s="1"/>
  <c r="G17" s="1"/>
  <c r="G18" s="1"/>
  <c r="G19" s="1"/>
  <c r="G28" s="1"/>
  <c r="G14" i="42"/>
  <c r="G26" i="41"/>
  <c r="G34" s="1"/>
  <c r="F28" i="38"/>
  <c r="F20" i="32"/>
  <c r="F13"/>
  <c r="F14" s="1"/>
  <c r="F15" s="1"/>
  <c r="F16" s="1"/>
  <c r="F17" s="1"/>
  <c r="F18" s="1"/>
  <c r="F19" s="1"/>
  <c r="F28" s="1"/>
  <c r="G20" i="38"/>
  <c r="G13"/>
  <c r="G14" s="1"/>
  <c r="G15" s="1"/>
  <c r="G16" s="1"/>
  <c r="G17" s="1"/>
  <c r="G18" s="1"/>
  <c r="G19" s="1"/>
  <c r="G28" s="1"/>
  <c r="G22" i="42"/>
  <c r="B24" s="1"/>
  <c r="I18" i="34"/>
  <c r="I19" s="1"/>
  <c r="I28" s="1"/>
  <c r="J26" i="33"/>
  <c r="J27" s="1"/>
  <c r="L16" i="38"/>
  <c r="L17" s="1"/>
  <c r="I28" i="33"/>
  <c r="I29" s="1"/>
  <c r="I40" s="1"/>
  <c r="J16" i="30" s="1"/>
  <c r="J17" s="1"/>
  <c r="J16" i="34"/>
  <c r="J17" s="1"/>
  <c r="I16" i="30"/>
  <c r="I17" s="1"/>
  <c r="I18" s="1"/>
  <c r="K28" i="36"/>
  <c r="K29" s="1"/>
  <c r="K40" s="1"/>
  <c r="J18" i="38"/>
  <c r="J19" s="1"/>
  <c r="J28" s="1"/>
  <c r="L14" i="34"/>
  <c r="L15" s="1"/>
  <c r="L24" i="33"/>
  <c r="L25" s="1"/>
  <c r="K16" i="38"/>
  <c r="K17" s="1"/>
  <c r="L28" i="36"/>
  <c r="L29" s="1"/>
  <c r="L40" s="1"/>
  <c r="K14" i="34"/>
  <c r="K15" s="1"/>
  <c r="K24" i="33"/>
  <c r="K25" s="1"/>
  <c r="B37" i="41" l="1"/>
  <c r="B36"/>
  <c r="G20" i="32"/>
  <c r="G13"/>
  <c r="G14" s="1"/>
  <c r="G15" s="1"/>
  <c r="G16" s="1"/>
  <c r="G17" s="1"/>
  <c r="G18" s="1"/>
  <c r="G19" s="1"/>
  <c r="B43" i="20"/>
  <c r="B25" i="42"/>
  <c r="B42" i="20"/>
  <c r="H6" i="30"/>
  <c r="I6" s="1"/>
  <c r="J6" s="1"/>
  <c r="K6" s="1"/>
  <c r="L6" s="1"/>
  <c r="M6" s="1"/>
  <c r="B42" i="36"/>
  <c r="L16" i="34"/>
  <c r="L17" s="1"/>
  <c r="B43" i="36"/>
  <c r="K26" i="33"/>
  <c r="K27" s="1"/>
  <c r="L26"/>
  <c r="L27" s="1"/>
  <c r="K16" i="34"/>
  <c r="K17" s="1"/>
  <c r="K18" i="38"/>
  <c r="K19" s="1"/>
  <c r="K28" s="1"/>
  <c r="J18" i="34"/>
  <c r="J19" s="1"/>
  <c r="J28" s="1"/>
  <c r="J18" i="30"/>
  <c r="L18" i="38"/>
  <c r="L19" s="1"/>
  <c r="L28" s="1"/>
  <c r="J28" i="33"/>
  <c r="J29" s="1"/>
  <c r="J40" s="1"/>
  <c r="K16" i="30" s="1"/>
  <c r="K17" s="1"/>
  <c r="G28" i="32" l="1"/>
  <c r="B30" i="38"/>
  <c r="K18" i="30"/>
  <c r="K28" i="33"/>
  <c r="K29" s="1"/>
  <c r="K40" s="1"/>
  <c r="L16" i="30" s="1"/>
  <c r="L17" s="1"/>
  <c r="L28" i="33"/>
  <c r="L29" s="1"/>
  <c r="L40" s="1"/>
  <c r="L18" i="34"/>
  <c r="L19" s="1"/>
  <c r="L28" s="1"/>
  <c r="B30" s="1"/>
  <c r="K18"/>
  <c r="K19" s="1"/>
  <c r="K28" s="1"/>
  <c r="B31" i="38"/>
  <c r="B31" i="32" l="1"/>
  <c r="B30"/>
  <c r="B42" i="33"/>
  <c r="L18" i="30"/>
  <c r="M16"/>
  <c r="M17" s="1"/>
  <c r="B43" i="33"/>
  <c r="B31" i="34"/>
  <c r="M18" i="30" l="1"/>
</calcChain>
</file>

<file path=xl/sharedStrings.xml><?xml version="1.0" encoding="utf-8"?>
<sst xmlns="http://schemas.openxmlformats.org/spreadsheetml/2006/main" count="646" uniqueCount="305">
  <si>
    <t>GASTOS DE CONSTITUCION</t>
  </si>
  <si>
    <t>SUMINISTROS</t>
  </si>
  <si>
    <t>TOTAL</t>
  </si>
  <si>
    <t>Contador</t>
  </si>
  <si>
    <t>Encargado de perchas y limpieza</t>
  </si>
  <si>
    <t>Cajera</t>
  </si>
  <si>
    <t>Administrador de punto de venta</t>
  </si>
  <si>
    <t>ALQUILER</t>
  </si>
  <si>
    <t>Vehiculo</t>
  </si>
  <si>
    <t>Autoservicios refrigerantes</t>
  </si>
  <si>
    <t>Aire acondicionado</t>
  </si>
  <si>
    <t>Autoservicios neutros</t>
  </si>
  <si>
    <t>Carro sacapaquetes</t>
  </si>
  <si>
    <t>Pasillos de revision</t>
  </si>
  <si>
    <t>Mesa de trabajo</t>
  </si>
  <si>
    <t>Caja registradora</t>
  </si>
  <si>
    <t>Escritorio</t>
  </si>
  <si>
    <t>Silla de escritorio</t>
  </si>
  <si>
    <t>Computadora</t>
  </si>
  <si>
    <t>Sillas de espera</t>
  </si>
  <si>
    <t>Impresora multiuso</t>
  </si>
  <si>
    <t xml:space="preserve">Telefono </t>
  </si>
  <si>
    <t>Minicentral telefonica</t>
  </si>
  <si>
    <t>Camara fria para vegetales</t>
  </si>
  <si>
    <t>Archivador</t>
  </si>
  <si>
    <t>Extintor</t>
  </si>
  <si>
    <t>DEPRECIACIONES</t>
  </si>
  <si>
    <t>MANTENIMIENTO</t>
  </si>
  <si>
    <t>Canastillas</t>
  </si>
  <si>
    <t>Años</t>
  </si>
  <si>
    <t>TIR</t>
  </si>
  <si>
    <t>Anual</t>
  </si>
  <si>
    <t>Mensual</t>
  </si>
  <si>
    <t>(+/-) Capital de Trabajo</t>
  </si>
  <si>
    <t>(-) Inversion en activos intangibles</t>
  </si>
  <si>
    <t>(+) Valor de Desecho</t>
  </si>
  <si>
    <t>(=) Flujo de Caja</t>
  </si>
  <si>
    <t>(-) Intereses</t>
  </si>
  <si>
    <t>(-) Otros gastos operativos</t>
  </si>
  <si>
    <t>(-) Gastos de alquiler</t>
  </si>
  <si>
    <t>(-) Gastos de transporte</t>
  </si>
  <si>
    <t>(-) Gastos de mantenimiento</t>
  </si>
  <si>
    <t>(=) Total Costo de venta</t>
  </si>
  <si>
    <t>(-) Costo de venta Agroecologicos</t>
  </si>
  <si>
    <t>(-) Costo de venta Organicos</t>
  </si>
  <si>
    <t>(+)Ventas Organicos</t>
  </si>
  <si>
    <t>(+) Ventas Agroecologicos</t>
  </si>
  <si>
    <t>(=) Total ventas</t>
  </si>
  <si>
    <t>(+) Prestamo</t>
  </si>
  <si>
    <t>(-) Depreciacion de activos fijos</t>
  </si>
  <si>
    <t>(-) Amortizacion de activos intangibles</t>
  </si>
  <si>
    <t>(=) Total gastos no desembolsables</t>
  </si>
  <si>
    <t>(=) Total de egresos</t>
  </si>
  <si>
    <t>(+) Depreciacion  de activos fijos</t>
  </si>
  <si>
    <t>(+) Amortizacion de activos intangibles</t>
  </si>
  <si>
    <t>(-) Amortizacion de la deuda</t>
  </si>
  <si>
    <t>(=) Total de ajustes por gastos no desembolsables</t>
  </si>
  <si>
    <t>(-) Inversion inicial en activos fijos</t>
  </si>
  <si>
    <t>(-) Reemplazo</t>
  </si>
  <si>
    <t xml:space="preserve">(-) Gastos servicios basicos </t>
  </si>
  <si>
    <t>(-) Gastos sueldos y salarios</t>
  </si>
  <si>
    <t xml:space="preserve">Báscula de recibo </t>
  </si>
  <si>
    <t>cada dos años</t>
  </si>
  <si>
    <t>CALCULO DEL CAPITAL DE TRABAJO POR EL METODO DEL PERIODO DE DESFASE</t>
  </si>
  <si>
    <t>DATOS</t>
  </si>
  <si>
    <t>Ca.</t>
  </si>
  <si>
    <t>ICT</t>
  </si>
  <si>
    <t>nd.</t>
  </si>
  <si>
    <t>PRODUCTOS AGROECOLOGICOS</t>
  </si>
  <si>
    <t>PRODUCTOS ORGANICOS</t>
  </si>
  <si>
    <t>LUNES</t>
  </si>
  <si>
    <t>MARTES</t>
  </si>
  <si>
    <t>MIERCOLES</t>
  </si>
  <si>
    <t>JUEVES</t>
  </si>
  <si>
    <t>Se hace el pedido que llegara en 48 horas</t>
  </si>
  <si>
    <t>ESPERA</t>
  </si>
  <si>
    <t>llegada de productos</t>
  </si>
  <si>
    <t>Se coloca la mercaderia en percha</t>
  </si>
  <si>
    <t>se paga la mercaderia</t>
  </si>
  <si>
    <t>y se realizan las ventas</t>
  </si>
  <si>
    <t>proceso de pesado</t>
  </si>
  <si>
    <t>proceso de lavado</t>
  </si>
  <si>
    <t>se deja secar la mercaderia</t>
  </si>
  <si>
    <t>DIAS</t>
  </si>
  <si>
    <t>PRODUCTOS</t>
  </si>
  <si>
    <t>PERIODO DE COBRANZA</t>
  </si>
  <si>
    <t>ORGANICOS</t>
  </si>
  <si>
    <t>AGROECOLOGICOS</t>
  </si>
  <si>
    <t>DIAS PROMEDIO</t>
  </si>
  <si>
    <t>Aportes mensuales a la camara de comercio</t>
  </si>
  <si>
    <t xml:space="preserve">Tabla de Amortización Banco Nacional de Fomento </t>
  </si>
  <si>
    <t>Año</t>
  </si>
  <si>
    <t>Amortización</t>
  </si>
  <si>
    <t>Interés</t>
  </si>
  <si>
    <t>(=) Utilidad Antes de Impuestos</t>
  </si>
  <si>
    <t>(=) Utilidad en operación</t>
  </si>
  <si>
    <t>(-) Impuestos  (23% año 2012), (22% años restantes)</t>
  </si>
  <si>
    <t xml:space="preserve">(-) Gasto en sumistro </t>
  </si>
  <si>
    <t>(-) 15% Part. Trabajadores</t>
  </si>
  <si>
    <t>(=) Utilidad antes de reserva</t>
  </si>
  <si>
    <t>(-) 10% Reserva legal</t>
  </si>
  <si>
    <t>(=) Utilidad neta</t>
  </si>
  <si>
    <t>Encargado  de departamento de marketing y ventas</t>
  </si>
  <si>
    <t>Encargado de departamento de compras y logística</t>
  </si>
  <si>
    <t xml:space="preserve"> Administrador General</t>
  </si>
  <si>
    <t>CAPITAL DE TRABAJO</t>
  </si>
  <si>
    <t>Ciclo de caja</t>
  </si>
  <si>
    <t>dias</t>
  </si>
  <si>
    <t>Valores anuales por categoria</t>
  </si>
  <si>
    <t>Total anual</t>
  </si>
  <si>
    <t>Capital de trabajo inicial</t>
  </si>
  <si>
    <t>Costo de mercaderia</t>
  </si>
  <si>
    <t>Gastos operacionales</t>
  </si>
  <si>
    <t>(-) Gastos en promocion</t>
  </si>
  <si>
    <t>Gondolas</t>
  </si>
  <si>
    <t>Resmas de hojas</t>
  </si>
  <si>
    <t>Rollo de papel para caja registradora</t>
  </si>
  <si>
    <t>Grapadora</t>
  </si>
  <si>
    <t>Perforadora</t>
  </si>
  <si>
    <t>Sacagrapas</t>
  </si>
  <si>
    <t>Folios</t>
  </si>
  <si>
    <t>Paquete de carpetas (10)</t>
  </si>
  <si>
    <t>Cuadernos</t>
  </si>
  <si>
    <t>Sobres manila paquete de 50</t>
  </si>
  <si>
    <t xml:space="preserve"> Caja de clips</t>
  </si>
  <si>
    <t>Caja de grapas</t>
  </si>
  <si>
    <t>Tijeras</t>
  </si>
  <si>
    <t>Dispensador de cinta</t>
  </si>
  <si>
    <t>Detector de billetes falsos</t>
  </si>
  <si>
    <t>Total Agua</t>
  </si>
  <si>
    <t>Total Internet</t>
  </si>
  <si>
    <t>Mantenimiento de autoservicios refrigerantes</t>
  </si>
  <si>
    <t>Combustible</t>
  </si>
  <si>
    <t>Mantenimiento vehiculo</t>
  </si>
  <si>
    <t xml:space="preserve"> Elaboración de la minuta de constitución y notarizarla </t>
  </si>
  <si>
    <t xml:space="preserve"> Deposito capital de la compañía </t>
  </si>
  <si>
    <t xml:space="preserve"> Publicación de la resolución (Diario mayor circulación) </t>
  </si>
  <si>
    <t xml:space="preserve"> Escritura en Registro Mercantil </t>
  </si>
  <si>
    <t xml:space="preserve"> Inscripción de los nombramientos en el registro mercantil </t>
  </si>
  <si>
    <t xml:space="preserve"> Permiso de cuerpo de bomberos </t>
  </si>
  <si>
    <t xml:space="preserve"> Patente municipal </t>
  </si>
  <si>
    <t xml:space="preserve"> Tasa de habilitación </t>
  </si>
  <si>
    <t xml:space="preserve"> Inscripción en la cámara de comercio </t>
  </si>
  <si>
    <t xml:space="preserve"> Impuesto al  hospital universitario </t>
  </si>
  <si>
    <t xml:space="preserve"> Impuesto a la junta de beneficencia </t>
  </si>
  <si>
    <t xml:space="preserve"> Honorarios abogado </t>
  </si>
  <si>
    <t>Total</t>
  </si>
  <si>
    <t>Porcentaje</t>
  </si>
  <si>
    <t>Capital propio</t>
  </si>
  <si>
    <t>Préstamo Bancario</t>
  </si>
  <si>
    <t>VALOR DE DESECHO</t>
  </si>
  <si>
    <t>SUELDOS Y SALARIOS</t>
  </si>
  <si>
    <t>Gastos operativos</t>
  </si>
  <si>
    <t xml:space="preserve"> Total Gastos no desembolsables</t>
  </si>
  <si>
    <t>Total de ajustes por gastos no desembolsables</t>
  </si>
  <si>
    <t xml:space="preserve"> -   </t>
  </si>
  <si>
    <t>(-) Total de gastos operativos</t>
  </si>
  <si>
    <t xml:space="preserve"> (-) Total gastos no desembolsables</t>
  </si>
  <si>
    <t>(+) Total de ajustes por gastos no desembolsables</t>
  </si>
  <si>
    <t>(-) Total gastos no desembolsables</t>
  </si>
  <si>
    <t>Flujo de Efectivo</t>
  </si>
  <si>
    <t>Flujo de Efectivo Descontado</t>
  </si>
  <si>
    <t>PayBack</t>
  </si>
  <si>
    <t xml:space="preserve">TMAR </t>
  </si>
  <si>
    <t>Inversion inicial</t>
  </si>
  <si>
    <t>8 años Recuperacion de Capital</t>
  </si>
  <si>
    <t xml:space="preserve">FLUJO NORMAL </t>
  </si>
  <si>
    <t>FLUJO OPTIMISTA</t>
  </si>
  <si>
    <t>Margen de contribución</t>
  </si>
  <si>
    <t>(-) Costo de venta</t>
  </si>
  <si>
    <t>(=) Margen de contribución</t>
  </si>
  <si>
    <t>(-) Gastos operativos</t>
  </si>
  <si>
    <t xml:space="preserve">(=) Utilidad </t>
  </si>
  <si>
    <t>VAN (0,921%)</t>
  </si>
  <si>
    <t>PERIODO 1: Año 1-2</t>
  </si>
  <si>
    <t>PUBLICIDAD</t>
  </si>
  <si>
    <t>Nombre del medio</t>
  </si>
  <si>
    <t xml:space="preserve">Costo mensual </t>
  </si>
  <si>
    <t>Cantidad</t>
  </si>
  <si>
    <t>Total Anual</t>
  </si>
  <si>
    <t>Revista Hogar</t>
  </si>
  <si>
    <t>Ecuavisa</t>
  </si>
  <si>
    <t>Paquete mensual programa "Hacia un nuevo estilo de vida"</t>
  </si>
  <si>
    <t>Radio Fuego</t>
  </si>
  <si>
    <t>Menciones de 30" programa "Que Pasa.. Con Mariela Viteri"</t>
  </si>
  <si>
    <t>Diario El Universo</t>
  </si>
  <si>
    <t>Google Adwords</t>
  </si>
  <si>
    <t>Banners con anuncios que redirigen a la redes sociales</t>
  </si>
  <si>
    <t>Redes sociales</t>
  </si>
  <si>
    <t>Twitter y Facebook</t>
  </si>
  <si>
    <t>*Gasto por creatividad de publicidad</t>
  </si>
  <si>
    <t>MERCHANDISING</t>
  </si>
  <si>
    <t>Recurso</t>
  </si>
  <si>
    <t>Detalle</t>
  </si>
  <si>
    <t>Costo Unitario</t>
  </si>
  <si>
    <t>Colgantes para techos</t>
  </si>
  <si>
    <t>Afiches para paredes</t>
  </si>
  <si>
    <t>Shows de cocina en vivo</t>
  </si>
  <si>
    <t>Shows de cocina en vivo trimestrales para degustaciones</t>
  </si>
  <si>
    <t>PERIODO 2: Año 3-5</t>
  </si>
  <si>
    <t>PERIODO 3: Año 6-10</t>
  </si>
  <si>
    <t>Menciones de 30" programa "A Mil.. Con Erika Segale"</t>
  </si>
  <si>
    <t>Supuestos</t>
  </si>
  <si>
    <t>Entran competidores en el anio 4, las ventas totales disminuyen en 5%</t>
  </si>
  <si>
    <t>factores climaticos afectan la produccion, el costo de ventas es 15% mas alto durante los primeros tres anios. Costos se normalizan a partir del anio 4 disminuyen 5%</t>
  </si>
  <si>
    <t>Debido a la disminucion en ventas,los servicios basicos disminuyen 10% en el anio 4.</t>
  </si>
  <si>
    <t>Supuestos:</t>
  </si>
  <si>
    <t>El desarrollo tecnologico aumenta la productividad de alimentos organicos lo que reduce los costos en un 20% a partir del cuarto anio.</t>
  </si>
  <si>
    <t xml:space="preserve">Las personas empiezan a preocuparse por su salud y deciden consumir alimentos organicos y agroecologicos con mas frecuencia, </t>
  </si>
  <si>
    <t>lo que aumenta la cantidad demandada y por lo tanto las ventas totales en 1% anual a partir del anio 3.</t>
  </si>
  <si>
    <t>Debido al incremento en las ventas, los gastos por servicios basicos y gastos de sueldos y salarios aumentan 20% y 1% anual respectivamente</t>
  </si>
  <si>
    <t>a partir del anio 3.</t>
  </si>
  <si>
    <t>Valor Anual</t>
  </si>
  <si>
    <t xml:space="preserve">Pago de permiso de Agrocalidad </t>
  </si>
  <si>
    <t xml:space="preserve"> Total Gastos de Constitución </t>
  </si>
  <si>
    <t>Total anual en tasas</t>
  </si>
  <si>
    <t>Cargo</t>
  </si>
  <si>
    <t>Unitario</t>
  </si>
  <si>
    <t>Matriz</t>
  </si>
  <si>
    <t>Sucursal 1</t>
  </si>
  <si>
    <t>Sucursal 2</t>
  </si>
  <si>
    <t>Valor (USD)</t>
  </si>
  <si>
    <t>FLUJO DE CAJA SIN CRECIMIENTO</t>
  </si>
  <si>
    <t>TMAR</t>
  </si>
  <si>
    <t>VAN</t>
  </si>
  <si>
    <t>Flujo de caja sin crecimiento</t>
  </si>
  <si>
    <t>Flujo de caja optimista</t>
  </si>
  <si>
    <t>Flujo de caja pesimista</t>
  </si>
  <si>
    <t>Flujo de caja social</t>
  </si>
  <si>
    <t>Flujo de Efectivo Descontado Acumulado</t>
  </si>
  <si>
    <t>(+) Ventas</t>
  </si>
  <si>
    <t>4 años Recuperacion de Capital</t>
  </si>
  <si>
    <t>(+)Ventas Orgánicos</t>
  </si>
  <si>
    <t>(+) Ventas Agroecológicos</t>
  </si>
  <si>
    <t>(-) Costo de venta  Agroecológicos</t>
  </si>
  <si>
    <t>(-) Costo de venta Orgánicos</t>
  </si>
  <si>
    <t>(-) Amortización de la deuda</t>
  </si>
  <si>
    <t>(+) Préstamo</t>
  </si>
  <si>
    <t>(-) Inversión inicial en activos fijos</t>
  </si>
  <si>
    <t>(-) Inversión en activos intangibles</t>
  </si>
  <si>
    <t>(-) Costo de venta Agroecológicos</t>
  </si>
  <si>
    <t>(+)Ventas  Orgánicos</t>
  </si>
  <si>
    <t>(-) Costo de venta  Orgánicos</t>
  </si>
  <si>
    <t>(-) Gastos en promoción</t>
  </si>
  <si>
    <t>(+) Depreciación  de activos fijos</t>
  </si>
  <si>
    <t>(+) Amortización de activos intangibles</t>
  </si>
  <si>
    <t>(+) Ventas  Agroecológicos</t>
  </si>
  <si>
    <t>(+) VentasAgroecológicos</t>
  </si>
  <si>
    <t>Equipos</t>
  </si>
  <si>
    <t>Valor de compra</t>
  </si>
  <si>
    <t>Vida contable</t>
  </si>
  <si>
    <t>Depreciación anual</t>
  </si>
  <si>
    <t>Años depreciándose</t>
  </si>
  <si>
    <t>Depreciación acumulada</t>
  </si>
  <si>
    <t>Valor en libros</t>
  </si>
  <si>
    <t>Balanza electrónica</t>
  </si>
  <si>
    <t>Cámara de seguridad</t>
  </si>
  <si>
    <t>Batería UPS</t>
  </si>
  <si>
    <t>SERVICIOS BÁSICOS</t>
  </si>
  <si>
    <t>Total Energía Eléctrica</t>
  </si>
  <si>
    <t>Total Teléfono</t>
  </si>
  <si>
    <t>Remuneración Anual</t>
  </si>
  <si>
    <t>Número de puestos</t>
  </si>
  <si>
    <t>Descripción de suministro</t>
  </si>
  <si>
    <t>Paquete de  4 bolígrafos</t>
  </si>
  <si>
    <t>Tóner</t>
  </si>
  <si>
    <t>Cinta para máquina registradora</t>
  </si>
  <si>
    <t>Mantenimiento báscula de recibo</t>
  </si>
  <si>
    <t>Mantenimiento de locales</t>
  </si>
  <si>
    <t>Mantenimiento cámara de frío</t>
  </si>
  <si>
    <t>Mantenimiento y reparación de eq. de computación</t>
  </si>
  <si>
    <t>Detalle de anuncio / mención / paquete</t>
  </si>
  <si>
    <t>* Elaboración y diseño de cuñas y comerciales.</t>
  </si>
  <si>
    <t>Total Publicidad Período 3</t>
  </si>
  <si>
    <t>Total Merchandising Período 3</t>
  </si>
  <si>
    <t xml:space="preserve">Colgantes de cartulina couché de 120 gramos, formato A6 </t>
  </si>
  <si>
    <t xml:space="preserve">Afiches de cartulina couché de 120 gramos, formato A3 </t>
  </si>
  <si>
    <t>TOTAL PROMOCIÓN PERÍODO 3</t>
  </si>
  <si>
    <t>TOTAL PROMOCIÓN PERÍODO 2</t>
  </si>
  <si>
    <t>Total Merchandising Período 2</t>
  </si>
  <si>
    <t>Total Publicidad Período 2</t>
  </si>
  <si>
    <t xml:space="preserve">Anuncios 10x12  cms en la sección "Guía comercial Nacional" </t>
  </si>
  <si>
    <t>TOTAL PROMOCIÓN PERÍODO 1</t>
  </si>
  <si>
    <t>Total Merchandising Período 1</t>
  </si>
  <si>
    <t>Total Publicidad Período 1</t>
  </si>
  <si>
    <t>Aviso octavo de página en suplemento dominical "La revista"</t>
  </si>
  <si>
    <t>TRANSPORTACIÓN</t>
  </si>
  <si>
    <t>Pago de permiso de Agrocalidad (bianual)</t>
  </si>
  <si>
    <t>Total otros gastos operativos</t>
  </si>
  <si>
    <t>OTROS GASTOS OPERATIVOS</t>
  </si>
  <si>
    <t xml:space="preserve"> Impuesto a la Junta de Beneficencia </t>
  </si>
  <si>
    <t>Aportes mensuales a la Cámara de Comercio</t>
  </si>
  <si>
    <t xml:space="preserve"> Impuesto al  Hospital Universitario </t>
  </si>
  <si>
    <t>Activo</t>
  </si>
  <si>
    <t>Costo USD</t>
  </si>
  <si>
    <t>Vida útil</t>
  </si>
  <si>
    <t>Depreciación mensual</t>
  </si>
  <si>
    <t>Vehículo</t>
  </si>
  <si>
    <t>Pasillos de revisión</t>
  </si>
  <si>
    <t>Góndolas</t>
  </si>
  <si>
    <t xml:space="preserve">Teléfono </t>
  </si>
  <si>
    <t>Minicentral telefónica</t>
  </si>
  <si>
    <t>Camara fría para vegetales</t>
  </si>
  <si>
    <t xml:space="preserve">Flujo Normal </t>
  </si>
  <si>
    <t>v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</si>
</sst>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0.0"/>
    <numFmt numFmtId="168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79B"/>
        <bgColor indexed="64"/>
      </patternFill>
    </fill>
    <fill>
      <patternFill patternType="solid">
        <fgColor rgb="FF4CD4C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AFD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>
      <alignment horizont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horizontal="center" wrapText="1"/>
    </xf>
    <xf numFmtId="0" fontId="2" fillId="4" borderId="0" xfId="0" applyFont="1" applyFill="1"/>
    <xf numFmtId="0" fontId="0" fillId="4" borderId="0" xfId="0" applyFill="1"/>
    <xf numFmtId="0" fontId="0" fillId="0" borderId="4" xfId="0" applyBorder="1"/>
    <xf numFmtId="165" fontId="0" fillId="0" borderId="6" xfId="0" applyNumberFormat="1" applyBorder="1"/>
    <xf numFmtId="0" fontId="0" fillId="0" borderId="19" xfId="0" applyBorder="1"/>
    <xf numFmtId="0" fontId="0" fillId="0" borderId="20" xfId="0" applyBorder="1"/>
    <xf numFmtId="0" fontId="0" fillId="0" borderId="5" xfId="0" applyBorder="1"/>
    <xf numFmtId="0" fontId="0" fillId="0" borderId="6" xfId="0" applyBorder="1"/>
    <xf numFmtId="0" fontId="0" fillId="0" borderId="3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1" xfId="0" applyBorder="1"/>
    <xf numFmtId="0" fontId="2" fillId="0" borderId="12" xfId="0" applyFont="1" applyBorder="1"/>
    <xf numFmtId="0" fontId="2" fillId="0" borderId="12" xfId="0" applyFont="1" applyFill="1" applyBorder="1" applyAlignment="1">
      <alignment wrapText="1"/>
    </xf>
    <xf numFmtId="0" fontId="2" fillId="0" borderId="11" xfId="0" applyFont="1" applyBorder="1"/>
    <xf numFmtId="0" fontId="2" fillId="0" borderId="10" xfId="0" applyFont="1" applyBorder="1"/>
    <xf numFmtId="0" fontId="2" fillId="0" borderId="11" xfId="0" applyFont="1" applyFill="1" applyBorder="1" applyAlignment="1">
      <alignment wrapText="1"/>
    </xf>
    <xf numFmtId="167" fontId="0" fillId="0" borderId="0" xfId="0" applyNumberFormat="1"/>
    <xf numFmtId="0" fontId="2" fillId="0" borderId="10" xfId="0" applyFont="1" applyFill="1" applyBorder="1"/>
    <xf numFmtId="0" fontId="2" fillId="0" borderId="11" xfId="0" applyFont="1" applyFill="1" applyBorder="1"/>
    <xf numFmtId="0" fontId="5" fillId="0" borderId="1" xfId="0" applyFont="1" applyFill="1" applyBorder="1" applyAlignment="1">
      <alignment wrapText="1"/>
    </xf>
    <xf numFmtId="10" fontId="0" fillId="7" borderId="0" xfId="0" applyNumberFormat="1" applyFill="1"/>
    <xf numFmtId="9" fontId="0" fillId="0" borderId="0" xfId="0" applyNumberFormat="1" applyFill="1"/>
    <xf numFmtId="0" fontId="6" fillId="0" borderId="1" xfId="0" applyFont="1" applyBorder="1" applyAlignment="1">
      <alignment horizontal="center" wrapText="1"/>
    </xf>
    <xf numFmtId="0" fontId="2" fillId="0" borderId="0" xfId="0" applyFont="1" applyFill="1" applyBorder="1" applyAlignment="1"/>
    <xf numFmtId="0" fontId="0" fillId="0" borderId="0" xfId="0" applyBorder="1" applyAlignment="1">
      <alignment horizontal="center" wrapText="1"/>
    </xf>
    <xf numFmtId="0" fontId="6" fillId="0" borderId="0" xfId="0" applyFont="1"/>
    <xf numFmtId="165" fontId="6" fillId="0" borderId="1" xfId="1" applyFont="1" applyFill="1" applyBorder="1"/>
    <xf numFmtId="0" fontId="6" fillId="0" borderId="1" xfId="0" applyFont="1" applyBorder="1"/>
    <xf numFmtId="165" fontId="6" fillId="0" borderId="1" xfId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 shrinkToFit="1"/>
    </xf>
    <xf numFmtId="0" fontId="6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7" fillId="0" borderId="1" xfId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0" fillId="0" borderId="5" xfId="1" applyFont="1" applyBorder="1" applyAlignment="1">
      <alignment horizontal="center"/>
    </xf>
    <xf numFmtId="165" fontId="9" fillId="0" borderId="1" xfId="1" applyFont="1" applyBorder="1" applyAlignment="1">
      <alignment horizontal="center"/>
    </xf>
    <xf numFmtId="165" fontId="10" fillId="0" borderId="1" xfId="1" applyFont="1" applyBorder="1" applyAlignment="1">
      <alignment horizontal="center"/>
    </xf>
    <xf numFmtId="10" fontId="10" fillId="0" borderId="1" xfId="3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11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center" wrapText="1" shrinkToFit="1"/>
    </xf>
    <xf numFmtId="165" fontId="6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165" fontId="6" fillId="0" borderId="1" xfId="1" applyFont="1" applyFill="1" applyBorder="1" applyAlignment="1">
      <alignment horizontal="right"/>
    </xf>
    <xf numFmtId="0" fontId="7" fillId="0" borderId="0" xfId="0" applyFont="1"/>
    <xf numFmtId="0" fontId="7" fillId="11" borderId="1" xfId="0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/>
    <xf numFmtId="166" fontId="10" fillId="0" borderId="1" xfId="2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65" fontId="10" fillId="0" borderId="1" xfId="1" applyNumberFormat="1" applyFont="1" applyBorder="1" applyAlignment="1">
      <alignment horizontal="center" wrapText="1"/>
    </xf>
    <xf numFmtId="166" fontId="11" fillId="19" borderId="1" xfId="2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0" fillId="0" borderId="1" xfId="1" applyFont="1" applyBorder="1"/>
    <xf numFmtId="0" fontId="10" fillId="0" borderId="1" xfId="0" applyFont="1" applyFill="1" applyBorder="1" applyAlignment="1">
      <alignment horizontal="center" wrapText="1"/>
    </xf>
    <xf numFmtId="165" fontId="10" fillId="0" borderId="1" xfId="1" applyFont="1" applyFill="1" applyBorder="1"/>
    <xf numFmtId="0" fontId="11" fillId="18" borderId="1" xfId="0" applyFont="1" applyFill="1" applyBorder="1" applyAlignment="1">
      <alignment horizontal="center"/>
    </xf>
    <xf numFmtId="166" fontId="11" fillId="18" borderId="1" xfId="2" applyFont="1" applyFill="1" applyBorder="1"/>
    <xf numFmtId="0" fontId="8" fillId="10" borderId="1" xfId="0" applyFont="1" applyFill="1" applyBorder="1" applyAlignment="1">
      <alignment horizontal="center"/>
    </xf>
    <xf numFmtId="166" fontId="11" fillId="10" borderId="1" xfId="2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wrapText="1"/>
    </xf>
    <xf numFmtId="166" fontId="11" fillId="10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 shrinkToFit="1"/>
    </xf>
    <xf numFmtId="0" fontId="7" fillId="4" borderId="1" xfId="0" applyFont="1" applyFill="1" applyBorder="1" applyAlignment="1">
      <alignment horizontal="center"/>
    </xf>
    <xf numFmtId="165" fontId="6" fillId="0" borderId="1" xfId="1" applyFont="1" applyBorder="1" applyAlignment="1">
      <alignment horizontal="center"/>
    </xf>
    <xf numFmtId="165" fontId="7" fillId="4" borderId="1" xfId="1" applyFont="1" applyFill="1" applyBorder="1" applyAlignment="1">
      <alignment horizontal="center"/>
    </xf>
    <xf numFmtId="168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13" fillId="0" borderId="0" xfId="0" applyFont="1"/>
    <xf numFmtId="0" fontId="11" fillId="0" borderId="1" xfId="0" applyFont="1" applyBorder="1" applyAlignment="1">
      <alignment horizontal="center" shrinkToFit="1"/>
    </xf>
    <xf numFmtId="168" fontId="11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shrinkToFit="1"/>
    </xf>
    <xf numFmtId="168" fontId="10" fillId="0" borderId="1" xfId="1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shrinkToFit="1"/>
    </xf>
    <xf numFmtId="166" fontId="11" fillId="4" borderId="1" xfId="2" applyFont="1" applyFill="1" applyBorder="1" applyAlignment="1">
      <alignment horizontal="center" vertical="center"/>
    </xf>
    <xf numFmtId="168" fontId="10" fillId="0" borderId="1" xfId="1" applyNumberFormat="1" applyFont="1" applyBorder="1" applyAlignment="1">
      <alignment horizontal="center"/>
    </xf>
    <xf numFmtId="166" fontId="11" fillId="4" borderId="1" xfId="2" applyFont="1" applyFill="1" applyBorder="1" applyAlignment="1">
      <alignment horizontal="center"/>
    </xf>
    <xf numFmtId="0" fontId="15" fillId="0" borderId="0" xfId="0" applyFont="1"/>
    <xf numFmtId="0" fontId="6" fillId="0" borderId="0" xfId="0" applyFont="1" applyBorder="1"/>
    <xf numFmtId="0" fontId="10" fillId="0" borderId="0" xfId="0" applyFont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4" fontId="6" fillId="0" borderId="1" xfId="5" applyFont="1" applyBorder="1" applyAlignment="1">
      <alignment vertical="center"/>
    </xf>
    <xf numFmtId="164" fontId="6" fillId="0" borderId="1" xfId="0" applyNumberFormat="1" applyFont="1" applyBorder="1"/>
    <xf numFmtId="0" fontId="16" fillId="0" borderId="0" xfId="0" applyFont="1" applyBorder="1"/>
    <xf numFmtId="164" fontId="7" fillId="4" borderId="1" xfId="0" applyNumberFormat="1" applyFont="1" applyFill="1" applyBorder="1"/>
    <xf numFmtId="164" fontId="6" fillId="0" borderId="1" xfId="5" applyFont="1" applyBorder="1" applyAlignment="1">
      <alignment horizontal="center"/>
    </xf>
    <xf numFmtId="0" fontId="7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164" fontId="7" fillId="14" borderId="1" xfId="0" applyNumberFormat="1" applyFont="1" applyFill="1" applyBorder="1"/>
    <xf numFmtId="0" fontId="7" fillId="14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164" fontId="6" fillId="0" borderId="1" xfId="5" applyFont="1" applyBorder="1"/>
    <xf numFmtId="164" fontId="7" fillId="15" borderId="1" xfId="0" applyNumberFormat="1" applyFont="1" applyFill="1" applyBorder="1"/>
    <xf numFmtId="0" fontId="7" fillId="1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166" fontId="11" fillId="6" borderId="1" xfId="2" applyFont="1" applyFill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0" fontId="11" fillId="9" borderId="1" xfId="0" applyFont="1" applyFill="1" applyBorder="1" applyAlignment="1">
      <alignment horizontal="center" wrapText="1"/>
    </xf>
    <xf numFmtId="166" fontId="11" fillId="9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8" fontId="6" fillId="0" borderId="1" xfId="1" applyNumberFormat="1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 wrapText="1"/>
    </xf>
    <xf numFmtId="166" fontId="7" fillId="20" borderId="1" xfId="2" applyFont="1" applyFill="1" applyBorder="1" applyAlignment="1">
      <alignment horizontal="center"/>
    </xf>
    <xf numFmtId="166" fontId="9" fillId="0" borderId="1" xfId="2" applyFont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165" fontId="6" fillId="0" borderId="0" xfId="0" applyNumberFormat="1" applyFont="1"/>
    <xf numFmtId="165" fontId="7" fillId="0" borderId="1" xfId="1" applyFont="1" applyBorder="1"/>
    <xf numFmtId="10" fontId="7" fillId="0" borderId="1" xfId="0" applyNumberFormat="1" applyFont="1" applyBorder="1"/>
    <xf numFmtId="0" fontId="7" fillId="10" borderId="1" xfId="0" applyFont="1" applyFill="1" applyBorder="1" applyAlignment="1">
      <alignment horizontal="center"/>
    </xf>
    <xf numFmtId="165" fontId="7" fillId="0" borderId="1" xfId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shrinkToFit="1"/>
    </xf>
    <xf numFmtId="165" fontId="7" fillId="11" borderId="1" xfId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/>
    </xf>
    <xf numFmtId="10" fontId="7" fillId="0" borderId="1" xfId="1" applyNumberFormat="1" applyFont="1" applyBorder="1" applyAlignment="1">
      <alignment horizontal="right"/>
    </xf>
    <xf numFmtId="10" fontId="6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right"/>
    </xf>
    <xf numFmtId="165" fontId="7" fillId="0" borderId="1" xfId="1" applyFont="1" applyBorder="1" applyAlignment="1">
      <alignment horizontal="right"/>
    </xf>
    <xf numFmtId="0" fontId="7" fillId="19" borderId="1" xfId="0" applyFont="1" applyFill="1" applyBorder="1" applyAlignment="1">
      <alignment horizontal="center" wrapText="1" shrinkToFit="1"/>
    </xf>
    <xf numFmtId="165" fontId="7" fillId="19" borderId="1" xfId="1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6" fillId="0" borderId="0" xfId="0" applyFont="1" applyFill="1"/>
    <xf numFmtId="0" fontId="11" fillId="0" borderId="0" xfId="0" applyFont="1"/>
    <xf numFmtId="0" fontId="7" fillId="17" borderId="1" xfId="0" applyFont="1" applyFill="1" applyBorder="1" applyAlignment="1">
      <alignment horizontal="center" wrapText="1" shrinkToFit="1"/>
    </xf>
    <xf numFmtId="0" fontId="7" fillId="17" borderId="1" xfId="0" applyFont="1" applyFill="1" applyBorder="1" applyAlignment="1">
      <alignment horizontal="center"/>
    </xf>
    <xf numFmtId="165" fontId="7" fillId="17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6" fontId="3" fillId="12" borderId="1" xfId="2" applyFont="1" applyFill="1" applyBorder="1" applyAlignment="1">
      <alignment horizontal="center" wrapText="1"/>
    </xf>
    <xf numFmtId="165" fontId="4" fillId="0" borderId="1" xfId="1" applyNumberFormat="1" applyFont="1" applyBorder="1" applyAlignment="1">
      <alignment horizontal="center" wrapText="1"/>
    </xf>
    <xf numFmtId="168" fontId="4" fillId="0" borderId="1" xfId="1" applyNumberFormat="1" applyFont="1" applyBorder="1" applyAlignment="1">
      <alignment horizontal="center" wrapText="1"/>
    </xf>
    <xf numFmtId="165" fontId="10" fillId="0" borderId="1" xfId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Font="1" applyBorder="1" applyAlignment="1">
      <alignment horizontal="center" vertical="center" wrapText="1"/>
    </xf>
    <xf numFmtId="165" fontId="11" fillId="0" borderId="1" xfId="1" applyFont="1" applyBorder="1" applyAlignment="1">
      <alignment horizontal="center" wrapText="1"/>
    </xf>
    <xf numFmtId="0" fontId="7" fillId="13" borderId="1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 wrapText="1"/>
    </xf>
    <xf numFmtId="165" fontId="19" fillId="0" borderId="1" xfId="1" applyFont="1" applyFill="1" applyBorder="1"/>
    <xf numFmtId="0" fontId="20" fillId="13" borderId="1" xfId="0" applyFont="1" applyFill="1" applyBorder="1" applyAlignment="1">
      <alignment horizontal="center" wrapText="1"/>
    </xf>
    <xf numFmtId="0" fontId="20" fillId="13" borderId="1" xfId="0" applyFont="1" applyFill="1" applyBorder="1" applyAlignment="1">
      <alignment horizontal="center"/>
    </xf>
    <xf numFmtId="43" fontId="6" fillId="0" borderId="0" xfId="0" applyNumberFormat="1" applyFont="1"/>
    <xf numFmtId="0" fontId="6" fillId="0" borderId="1" xfId="0" applyFont="1" applyFill="1" applyBorder="1" applyAlignment="1">
      <alignment wrapText="1" shrinkToFit="1"/>
    </xf>
    <xf numFmtId="165" fontId="7" fillId="0" borderId="1" xfId="1" applyFont="1" applyFill="1" applyBorder="1" applyAlignment="1"/>
    <xf numFmtId="165" fontId="6" fillId="0" borderId="1" xfId="1" applyFont="1" applyFill="1" applyBorder="1" applyAlignment="1"/>
    <xf numFmtId="0" fontId="7" fillId="0" borderId="1" xfId="0" applyFont="1" applyFill="1" applyBorder="1" applyAlignment="1">
      <alignment wrapText="1" shrinkToFit="1"/>
    </xf>
    <xf numFmtId="0" fontId="7" fillId="7" borderId="1" xfId="0" applyFont="1" applyFill="1" applyBorder="1" applyAlignment="1">
      <alignment horizontal="center" wrapText="1" shrinkToFit="1"/>
    </xf>
    <xf numFmtId="0" fontId="7" fillId="7" borderId="1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6" fillId="22" borderId="0" xfId="0" applyFont="1" applyFill="1"/>
    <xf numFmtId="10" fontId="6" fillId="22" borderId="0" xfId="0" applyNumberFormat="1" applyFont="1" applyFill="1"/>
    <xf numFmtId="0" fontId="4" fillId="22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8" fontId="4" fillId="0" borderId="0" xfId="1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6" fontId="3" fillId="0" borderId="0" xfId="2" applyFont="1" applyFill="1" applyBorder="1" applyAlignment="1">
      <alignment horizontal="center" wrapText="1"/>
    </xf>
    <xf numFmtId="0" fontId="10" fillId="22" borderId="0" xfId="0" applyFont="1" applyFill="1" applyAlignment="1">
      <alignment horizontal="center"/>
    </xf>
    <xf numFmtId="0" fontId="6" fillId="22" borderId="0" xfId="0" applyFont="1" applyFill="1" applyBorder="1"/>
    <xf numFmtId="0" fontId="16" fillId="22" borderId="0" xfId="0" applyFont="1" applyFill="1" applyBorder="1"/>
    <xf numFmtId="0" fontId="4" fillId="0" borderId="0" xfId="0" applyFont="1" applyFill="1" applyBorder="1"/>
    <xf numFmtId="166" fontId="11" fillId="20" borderId="1" xfId="0" applyNumberFormat="1" applyFont="1" applyFill="1" applyBorder="1" applyAlignment="1">
      <alignment horizontal="center"/>
    </xf>
    <xf numFmtId="165" fontId="11" fillId="2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11" fillId="10" borderId="1" xfId="1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19" borderId="16" xfId="0" applyFont="1" applyFill="1" applyBorder="1" applyAlignment="1">
      <alignment horizontal="center"/>
    </xf>
    <xf numFmtId="0" fontId="11" fillId="19" borderId="1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4" fillId="9" borderId="1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164" fontId="7" fillId="14" borderId="1" xfId="5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164" fontId="7" fillId="15" borderId="1" xfId="5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64" fontId="7" fillId="4" borderId="1" xfId="5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wrapText="1"/>
    </xf>
    <xf numFmtId="0" fontId="17" fillId="12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/>
    </xf>
    <xf numFmtId="168" fontId="20" fillId="16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</cellXfs>
  <cellStyles count="6">
    <cellStyle name="Millares" xfId="1" builtinId="3"/>
    <cellStyle name="Millares 2" xfId="4"/>
    <cellStyle name="Moneda" xfId="2" builtinId="4"/>
    <cellStyle name="Moneda 2" xfId="5"/>
    <cellStyle name="Normal" xfId="0" builtinId="0"/>
    <cellStyle name="Porcentual" xfId="3" builtinId="5"/>
  </cellStyles>
  <dxfs count="0"/>
  <tableStyles count="0" defaultTableStyle="TableStyleMedium9" defaultPivotStyle="PivotStyleLight16"/>
  <colors>
    <mruColors>
      <color rgb="FFFF3333"/>
      <color rgb="FF43FF43"/>
      <color rgb="FFFFAFD7"/>
      <color rgb="FFFF0066"/>
      <color rgb="FF00FFFF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ECIOS%20FINALES%20PRODUCTOS%20MODIFICADO%20(ventas%20realista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PRECIOS%20FINALES%20PRODUCTOS%20MODIFICADO%20(ventas%20realista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estudio%20tecnico%20modific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ty/Desktop/estudio%20tecnico%20modific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ty/Documents/PROYECTO%20APLICADO/CAPITULO%20V-Estudio%20tecnico/estudio%20tecnico%20modific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TALIZAS ORGANICAS"/>
      <sheetName val="GRANOS Y CEREALES ORGANICOS"/>
      <sheetName val="HORTALIZAS AGROECOLOGICOS"/>
      <sheetName val="FRUTAS AGROECOLOGICAS"/>
      <sheetName val="GRANOS AGROECOLOGICOS"/>
      <sheetName val="ESTIMACION DE DEM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6">
          <cell r="C36">
            <v>492253.07618856896</v>
          </cell>
        </row>
        <row r="53">
          <cell r="C53">
            <v>410210.89682380756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RTALIZAS ORGANICAS"/>
      <sheetName val="GRANOS Y CEREALES ORGANICOS"/>
      <sheetName val="HORTALIZAS AGROECOLOGICOS"/>
      <sheetName val="FRUTAS AGROECOLOGICAS"/>
      <sheetName val="GRANOS AGROECOLOGICOS"/>
      <sheetName val="ESTIMACION DE DEMAND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3">
          <cell r="C43">
            <v>975594.84014122677</v>
          </cell>
        </row>
        <row r="60">
          <cell r="C60">
            <v>812995.70011768886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cnico"/>
      <sheetName val="remuneracion anual "/>
      <sheetName val="localizacion"/>
      <sheetName val="Hoja2"/>
    </sheetNames>
    <sheetDataSet>
      <sheetData sheetId="0" refreshError="1">
        <row r="29">
          <cell r="E29">
            <v>83341</v>
          </cell>
        </row>
        <row r="63">
          <cell r="J63">
            <v>89664.063999999998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cnico"/>
      <sheetName val="remuneracion anual "/>
      <sheetName val="localizacion"/>
      <sheetName val="bienes considerados como gastos"/>
    </sheetNames>
    <sheetDataSet>
      <sheetData sheetId="0">
        <row r="43">
          <cell r="C43">
            <v>0</v>
          </cell>
          <cell r="D43">
            <v>0</v>
          </cell>
          <cell r="E43">
            <v>11760</v>
          </cell>
          <cell r="F43">
            <v>0</v>
          </cell>
          <cell r="G43">
            <v>22560</v>
          </cell>
          <cell r="H43">
            <v>11760</v>
          </cell>
          <cell r="I43">
            <v>0</v>
          </cell>
          <cell r="J43">
            <v>0</v>
          </cell>
          <cell r="K43">
            <v>11760</v>
          </cell>
          <cell r="L43">
            <v>0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cnico"/>
      <sheetName val="remuneracion anual "/>
      <sheetName val="localizacion"/>
    </sheetNames>
    <sheetDataSet>
      <sheetData sheetId="0">
        <row r="63">
          <cell r="J63">
            <v>89664.063999999998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31" sqref="A31"/>
    </sheetView>
  </sheetViews>
  <sheetFormatPr baseColWidth="10" defaultRowHeight="15"/>
  <cols>
    <col min="1" max="1" width="56" customWidth="1"/>
    <col min="2" max="2" width="25.28515625" customWidth="1"/>
    <col min="3" max="3" width="16" bestFit="1" customWidth="1"/>
    <col min="4" max="4" width="16.5703125" customWidth="1"/>
    <col min="7" max="7" width="25.140625" customWidth="1"/>
  </cols>
  <sheetData>
    <row r="1" spans="1:8" ht="15.95" customHeight="1">
      <c r="A1" s="197" t="s">
        <v>0</v>
      </c>
      <c r="B1" s="197"/>
      <c r="C1" s="40"/>
      <c r="D1" s="40"/>
      <c r="G1" s="6"/>
      <c r="H1" s="6"/>
    </row>
    <row r="2" spans="1:8" ht="15.95" customHeight="1">
      <c r="A2" s="71" t="s">
        <v>134</v>
      </c>
      <c r="B2" s="72">
        <v>100</v>
      </c>
      <c r="C2" s="41"/>
      <c r="F2" s="5"/>
      <c r="G2" s="5"/>
    </row>
    <row r="3" spans="1:8" ht="15.95" customHeight="1">
      <c r="A3" s="71" t="s">
        <v>135</v>
      </c>
      <c r="B3" s="72">
        <v>800</v>
      </c>
      <c r="C3" s="41"/>
      <c r="F3" s="5"/>
      <c r="G3" s="5"/>
    </row>
    <row r="4" spans="1:8" ht="15.95" customHeight="1">
      <c r="A4" s="71" t="s">
        <v>136</v>
      </c>
      <c r="B4" s="72">
        <v>400</v>
      </c>
      <c r="C4" s="41"/>
      <c r="F4" s="5"/>
      <c r="G4" s="5"/>
    </row>
    <row r="5" spans="1:8" ht="15.95" customHeight="1">
      <c r="A5" s="71" t="s">
        <v>137</v>
      </c>
      <c r="B5" s="72">
        <v>30</v>
      </c>
      <c r="C5" s="41"/>
      <c r="F5" s="5"/>
      <c r="G5" s="5"/>
    </row>
    <row r="6" spans="1:8" ht="15.95" customHeight="1">
      <c r="A6" s="71" t="s">
        <v>138</v>
      </c>
      <c r="B6" s="72">
        <v>10</v>
      </c>
      <c r="C6" s="41"/>
      <c r="F6" s="5"/>
      <c r="G6" s="5"/>
    </row>
    <row r="7" spans="1:8" ht="15.95" customHeight="1">
      <c r="A7" s="71" t="s">
        <v>139</v>
      </c>
      <c r="B7" s="72">
        <v>30</v>
      </c>
      <c r="C7" s="41"/>
      <c r="D7" s="10"/>
    </row>
    <row r="8" spans="1:8" ht="15.95" customHeight="1">
      <c r="A8" s="71" t="s">
        <v>140</v>
      </c>
      <c r="B8" s="72">
        <v>26</v>
      </c>
      <c r="C8" s="41"/>
    </row>
    <row r="9" spans="1:8" ht="15.95" customHeight="1">
      <c r="A9" s="71" t="s">
        <v>141</v>
      </c>
      <c r="B9" s="72">
        <f>30+60+120</f>
        <v>210</v>
      </c>
      <c r="C9" s="41"/>
    </row>
    <row r="10" spans="1:8" ht="15.95" customHeight="1">
      <c r="A10" s="71" t="s">
        <v>142</v>
      </c>
      <c r="B10" s="72">
        <v>150</v>
      </c>
      <c r="C10" s="41"/>
    </row>
    <row r="11" spans="1:8" ht="15.95" customHeight="1">
      <c r="A11" s="71" t="s">
        <v>143</v>
      </c>
      <c r="B11" s="72">
        <f>(2/1000)*800</f>
        <v>1.6</v>
      </c>
      <c r="C11" s="41"/>
    </row>
    <row r="12" spans="1:8" ht="15.95" customHeight="1">
      <c r="A12" s="71" t="s">
        <v>144</v>
      </c>
      <c r="B12" s="72">
        <v>100</v>
      </c>
      <c r="C12" s="41"/>
    </row>
    <row r="13" spans="1:8" ht="15.95" customHeight="1">
      <c r="A13" s="71" t="s">
        <v>145</v>
      </c>
      <c r="B13" s="72">
        <v>800</v>
      </c>
      <c r="C13" s="41"/>
    </row>
    <row r="14" spans="1:8" ht="15.95" customHeight="1">
      <c r="A14" s="87" t="s">
        <v>214</v>
      </c>
      <c r="B14" s="88">
        <f>SUM(B2:B13)</f>
        <v>2657.6</v>
      </c>
      <c r="C14" s="41"/>
    </row>
    <row r="15" spans="1:8" ht="15.95" customHeight="1">
      <c r="C15" s="5"/>
    </row>
    <row r="16" spans="1:8" ht="15.95" customHeight="1">
      <c r="A16" s="73" t="s">
        <v>213</v>
      </c>
      <c r="B16" s="74">
        <v>100</v>
      </c>
      <c r="C16" s="46" t="s">
        <v>62</v>
      </c>
    </row>
    <row r="17" spans="1:3" ht="15.95" customHeight="1">
      <c r="A17" s="76" t="s">
        <v>89</v>
      </c>
      <c r="B17" s="74">
        <v>15</v>
      </c>
      <c r="C17" s="39" t="s">
        <v>32</v>
      </c>
    </row>
    <row r="18" spans="1:3" ht="15.95" customHeight="1">
      <c r="A18" s="89" t="s">
        <v>215</v>
      </c>
      <c r="B18" s="90">
        <f>(B8*12)+B9+B11+B12+(12*B17)</f>
        <v>803.6</v>
      </c>
      <c r="C18" s="77"/>
    </row>
    <row r="22" spans="1:3" ht="15.75">
      <c r="A22" s="198" t="s">
        <v>289</v>
      </c>
      <c r="B22" s="198"/>
    </row>
    <row r="23" spans="1:3">
      <c r="A23" s="71" t="s">
        <v>140</v>
      </c>
      <c r="B23" s="71">
        <f>26*12</f>
        <v>312</v>
      </c>
    </row>
    <row r="24" spans="1:3">
      <c r="A24" s="71" t="s">
        <v>141</v>
      </c>
      <c r="B24" s="71">
        <f>30+60+120</f>
        <v>210</v>
      </c>
    </row>
    <row r="25" spans="1:3">
      <c r="A25" s="71" t="s">
        <v>292</v>
      </c>
      <c r="B25" s="71">
        <f>(2/1000)*800</f>
        <v>1.6</v>
      </c>
    </row>
    <row r="26" spans="1:3">
      <c r="A26" s="71" t="s">
        <v>290</v>
      </c>
      <c r="B26" s="71">
        <v>100</v>
      </c>
    </row>
    <row r="27" spans="1:3" ht="15.75">
      <c r="A27" s="75" t="s">
        <v>287</v>
      </c>
      <c r="B27" s="59">
        <v>100</v>
      </c>
    </row>
    <row r="28" spans="1:3" ht="15.75">
      <c r="A28" s="77" t="s">
        <v>291</v>
      </c>
      <c r="B28" s="59">
        <f>15*12</f>
        <v>180</v>
      </c>
    </row>
    <row r="29" spans="1:3" ht="15.75">
      <c r="A29" s="194" t="s">
        <v>288</v>
      </c>
      <c r="B29" s="193">
        <f>SUM(B23:B28)</f>
        <v>903.6</v>
      </c>
    </row>
  </sheetData>
  <mergeCells count="2">
    <mergeCell ref="A1:B1"/>
    <mergeCell ref="A22:B2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topLeftCell="A10" zoomScale="90" zoomScaleNormal="90" zoomScaleSheetLayoutView="100" workbookViewId="0">
      <selection activeCell="B29" sqref="B29"/>
    </sheetView>
  </sheetViews>
  <sheetFormatPr baseColWidth="10" defaultRowHeight="14.25"/>
  <cols>
    <col min="1" max="1" width="48.85546875" style="42" customWidth="1"/>
    <col min="2" max="12" width="17.7109375" style="42" customWidth="1"/>
    <col min="13" max="16384" width="11.42578125" style="42"/>
  </cols>
  <sheetData>
    <row r="1" spans="1:12" ht="15.95" customHeight="1">
      <c r="A1" s="69" t="s">
        <v>225</v>
      </c>
      <c r="C1" s="136"/>
    </row>
    <row r="2" spans="1:12" ht="15.95" customHeight="1">
      <c r="A2" s="91" t="s">
        <v>29</v>
      </c>
      <c r="B2" s="92">
        <v>0</v>
      </c>
      <c r="C2" s="92">
        <v>1</v>
      </c>
      <c r="D2" s="92">
        <v>2</v>
      </c>
      <c r="E2" s="92">
        <v>3</v>
      </c>
      <c r="F2" s="92">
        <v>4</v>
      </c>
      <c r="G2" s="92">
        <v>5</v>
      </c>
      <c r="H2" s="92">
        <v>6</v>
      </c>
      <c r="I2" s="92">
        <v>7</v>
      </c>
      <c r="J2" s="92">
        <v>8</v>
      </c>
      <c r="K2" s="92">
        <v>9</v>
      </c>
      <c r="L2" s="92">
        <v>10</v>
      </c>
    </row>
    <row r="3" spans="1:12" ht="15.95" customHeight="1">
      <c r="A3" s="65" t="s">
        <v>232</v>
      </c>
      <c r="B3" s="66"/>
      <c r="C3" s="66">
        <f>'[1]ESTIMACION DE DEMANDA'!$C$36</f>
        <v>492253.07618856896</v>
      </c>
      <c r="D3" s="66">
        <f>'[1]ESTIMACION DE DEMANDA'!$C$36</f>
        <v>492253.07618856896</v>
      </c>
      <c r="E3" s="66">
        <f>'[1]ESTIMACION DE DEMANDA'!$C$36</f>
        <v>492253.07618856896</v>
      </c>
      <c r="F3" s="66">
        <f>'[1]ESTIMACION DE DEMANDA'!$C$36</f>
        <v>492253.07618856896</v>
      </c>
      <c r="G3" s="66">
        <f>'[1]ESTIMACION DE DEMANDA'!$C$36</f>
        <v>492253.07618856896</v>
      </c>
      <c r="H3" s="66">
        <f>'[1]ESTIMACION DE DEMANDA'!$C$36</f>
        <v>492253.07618856896</v>
      </c>
      <c r="I3" s="66">
        <f>'[1]ESTIMACION DE DEMANDA'!$C$36</f>
        <v>492253.07618856896</v>
      </c>
      <c r="J3" s="66">
        <f>'[1]ESTIMACION DE DEMANDA'!$C$36</f>
        <v>492253.07618856896</v>
      </c>
      <c r="K3" s="66">
        <f>'[1]ESTIMACION DE DEMANDA'!$C$36</f>
        <v>492253.07618856896</v>
      </c>
      <c r="L3" s="66">
        <f>'[1]ESTIMACION DE DEMANDA'!$C$36</f>
        <v>492253.07618856896</v>
      </c>
    </row>
    <row r="4" spans="1:12" ht="15.95" customHeight="1">
      <c r="A4" s="65" t="s">
        <v>233</v>
      </c>
      <c r="B4" s="66"/>
      <c r="C4" s="66">
        <f>'[2]ESTIMACION DE DEMANDA'!$C$43</f>
        <v>975594.84014122677</v>
      </c>
      <c r="D4" s="66">
        <f>C4</f>
        <v>975594.84014122677</v>
      </c>
      <c r="E4" s="66">
        <f t="shared" ref="E4:L4" si="0">D4</f>
        <v>975594.84014122677</v>
      </c>
      <c r="F4" s="66">
        <f t="shared" si="0"/>
        <v>975594.84014122677</v>
      </c>
      <c r="G4" s="66">
        <f t="shared" si="0"/>
        <v>975594.84014122677</v>
      </c>
      <c r="H4" s="66">
        <f t="shared" si="0"/>
        <v>975594.84014122677</v>
      </c>
      <c r="I4" s="66">
        <f t="shared" si="0"/>
        <v>975594.84014122677</v>
      </c>
      <c r="J4" s="66">
        <f t="shared" si="0"/>
        <v>975594.84014122677</v>
      </c>
      <c r="K4" s="66">
        <f t="shared" si="0"/>
        <v>975594.84014122677</v>
      </c>
      <c r="L4" s="66">
        <f t="shared" si="0"/>
        <v>975594.84014122677</v>
      </c>
    </row>
    <row r="5" spans="1:12" ht="15.95" customHeight="1">
      <c r="A5" s="47" t="s">
        <v>47</v>
      </c>
      <c r="B5" s="66"/>
      <c r="C5" s="54">
        <f>SUM(C3:C4)</f>
        <v>1467847.9163297957</v>
      </c>
      <c r="D5" s="54">
        <f t="shared" ref="D5:L5" si="1">SUM(D3:D4)</f>
        <v>1467847.9163297957</v>
      </c>
      <c r="E5" s="54">
        <f t="shared" si="1"/>
        <v>1467847.9163297957</v>
      </c>
      <c r="F5" s="54">
        <f t="shared" si="1"/>
        <v>1467847.9163297957</v>
      </c>
      <c r="G5" s="54">
        <f t="shared" si="1"/>
        <v>1467847.9163297957</v>
      </c>
      <c r="H5" s="54">
        <f t="shared" si="1"/>
        <v>1467847.9163297957</v>
      </c>
      <c r="I5" s="54">
        <f t="shared" si="1"/>
        <v>1467847.9163297957</v>
      </c>
      <c r="J5" s="54">
        <f t="shared" si="1"/>
        <v>1467847.9163297957</v>
      </c>
      <c r="K5" s="54">
        <f t="shared" si="1"/>
        <v>1467847.9163297957</v>
      </c>
      <c r="L5" s="54">
        <f t="shared" si="1"/>
        <v>1467847.9163297957</v>
      </c>
    </row>
    <row r="6" spans="1:12" ht="15.95" customHeight="1">
      <c r="A6" s="65" t="s">
        <v>235</v>
      </c>
      <c r="B6" s="66"/>
      <c r="C6" s="66">
        <f>-'[1]ESTIMACION DE DEMANDA'!$C$53</f>
        <v>-410210.89682380756</v>
      </c>
      <c r="D6" s="66">
        <f>-'[1]ESTIMACION DE DEMANDA'!$C$53</f>
        <v>-410210.89682380756</v>
      </c>
      <c r="E6" s="66">
        <f>-'[1]ESTIMACION DE DEMANDA'!$C$53</f>
        <v>-410210.89682380756</v>
      </c>
      <c r="F6" s="66">
        <f>-'[1]ESTIMACION DE DEMANDA'!$C$53</f>
        <v>-410210.89682380756</v>
      </c>
      <c r="G6" s="66">
        <f>-'[1]ESTIMACION DE DEMANDA'!$C$53</f>
        <v>-410210.89682380756</v>
      </c>
      <c r="H6" s="66">
        <f>-'[1]ESTIMACION DE DEMANDA'!$C$53</f>
        <v>-410210.89682380756</v>
      </c>
      <c r="I6" s="66">
        <f>-'[1]ESTIMACION DE DEMANDA'!$C$53</f>
        <v>-410210.89682380756</v>
      </c>
      <c r="J6" s="66">
        <f>-'[1]ESTIMACION DE DEMANDA'!$C$53</f>
        <v>-410210.89682380756</v>
      </c>
      <c r="K6" s="66">
        <f>-'[1]ESTIMACION DE DEMANDA'!$C$53</f>
        <v>-410210.89682380756</v>
      </c>
      <c r="L6" s="66">
        <f>-'[1]ESTIMACION DE DEMANDA'!$C$53</f>
        <v>-410210.89682380756</v>
      </c>
    </row>
    <row r="7" spans="1:12" ht="15.95" customHeight="1">
      <c r="A7" s="65" t="s">
        <v>234</v>
      </c>
      <c r="B7" s="66"/>
      <c r="C7" s="66">
        <f>-'[2]ESTIMACION DE DEMANDA'!$C$60</f>
        <v>-812995.70011768886</v>
      </c>
      <c r="D7" s="66">
        <f>C7</f>
        <v>-812995.70011768886</v>
      </c>
      <c r="E7" s="66">
        <f t="shared" ref="E7:L7" si="2">D7</f>
        <v>-812995.70011768886</v>
      </c>
      <c r="F7" s="66">
        <f t="shared" si="2"/>
        <v>-812995.70011768886</v>
      </c>
      <c r="G7" s="66">
        <f t="shared" si="2"/>
        <v>-812995.70011768886</v>
      </c>
      <c r="H7" s="66">
        <f t="shared" si="2"/>
        <v>-812995.70011768886</v>
      </c>
      <c r="I7" s="66">
        <f t="shared" si="2"/>
        <v>-812995.70011768886</v>
      </c>
      <c r="J7" s="66">
        <f t="shared" si="2"/>
        <v>-812995.70011768886</v>
      </c>
      <c r="K7" s="66">
        <f t="shared" si="2"/>
        <v>-812995.70011768886</v>
      </c>
      <c r="L7" s="66">
        <f t="shared" si="2"/>
        <v>-812995.70011768886</v>
      </c>
    </row>
    <row r="8" spans="1:12" ht="15.95" customHeight="1">
      <c r="A8" s="47" t="s">
        <v>42</v>
      </c>
      <c r="B8" s="66"/>
      <c r="C8" s="54">
        <f>SUM(C6:C7)</f>
        <v>-1223206.5969414965</v>
      </c>
      <c r="D8" s="54">
        <f t="shared" ref="D8:L8" si="3">SUM(D6:D7)</f>
        <v>-1223206.5969414965</v>
      </c>
      <c r="E8" s="54">
        <f t="shared" si="3"/>
        <v>-1223206.5969414965</v>
      </c>
      <c r="F8" s="54">
        <f t="shared" si="3"/>
        <v>-1223206.5969414965</v>
      </c>
      <c r="G8" s="54">
        <f t="shared" si="3"/>
        <v>-1223206.5969414965</v>
      </c>
      <c r="H8" s="54">
        <f t="shared" si="3"/>
        <v>-1223206.5969414965</v>
      </c>
      <c r="I8" s="54">
        <f t="shared" si="3"/>
        <v>-1223206.5969414965</v>
      </c>
      <c r="J8" s="54">
        <f t="shared" si="3"/>
        <v>-1223206.5969414965</v>
      </c>
      <c r="K8" s="54">
        <f t="shared" si="3"/>
        <v>-1223206.5969414965</v>
      </c>
      <c r="L8" s="54">
        <f t="shared" si="3"/>
        <v>-1223206.5969414965</v>
      </c>
    </row>
    <row r="9" spans="1:12" ht="15.95" customHeight="1">
      <c r="A9" s="47" t="s">
        <v>168</v>
      </c>
      <c r="B9" s="66"/>
      <c r="C9" s="54">
        <f>C5+C8</f>
        <v>244641.31938829925</v>
      </c>
      <c r="D9" s="54">
        <f t="shared" ref="D9:L9" si="4">D5+D8</f>
        <v>244641.31938829925</v>
      </c>
      <c r="E9" s="54">
        <f t="shared" si="4"/>
        <v>244641.31938829925</v>
      </c>
      <c r="F9" s="54">
        <f t="shared" si="4"/>
        <v>244641.31938829925</v>
      </c>
      <c r="G9" s="54">
        <f t="shared" si="4"/>
        <v>244641.31938829925</v>
      </c>
      <c r="H9" s="54">
        <f t="shared" si="4"/>
        <v>244641.31938829925</v>
      </c>
      <c r="I9" s="54">
        <f t="shared" si="4"/>
        <v>244641.31938829925</v>
      </c>
      <c r="J9" s="54">
        <f t="shared" si="4"/>
        <v>244641.31938829925</v>
      </c>
      <c r="K9" s="54">
        <f t="shared" si="4"/>
        <v>244641.31938829925</v>
      </c>
      <c r="L9" s="54">
        <f t="shared" si="4"/>
        <v>244641.31938829925</v>
      </c>
    </row>
    <row r="10" spans="1:12" ht="15.95" customHeight="1">
      <c r="A10" s="65" t="s">
        <v>152</v>
      </c>
      <c r="B10" s="66"/>
      <c r="C10" s="66">
        <f>SUM('F. Caja SIN crecimiento '!C10:C17)</f>
        <v>-229695.40400000001</v>
      </c>
      <c r="D10" s="66">
        <f>SUM('F. Caja SIN crecimiento '!D10:D17)</f>
        <v>-235321.11280000003</v>
      </c>
      <c r="E10" s="66">
        <f>SUM('F. Caja SIN crecimiento '!E10:E17)</f>
        <v>-212381.11280000003</v>
      </c>
      <c r="F10" s="66">
        <f>SUM('F. Caja SIN crecimiento '!F10:F17)</f>
        <v>-212281.11280000003</v>
      </c>
      <c r="G10" s="66">
        <f>SUM('F. Caja SIN crecimiento '!G10:G17)</f>
        <v>-212381.11280000003</v>
      </c>
      <c r="H10" s="66">
        <f>SUM('F. Caja SIN crecimiento '!H10:H17)</f>
        <v>-198361.11280000003</v>
      </c>
      <c r="I10" s="66">
        <f>SUM('F. Caja SIN crecimiento '!I10:I17)</f>
        <v>-198461.11280000003</v>
      </c>
      <c r="J10" s="66">
        <f>SUM('F. Caja SIN crecimiento '!J10:J17)</f>
        <v>-198361.11280000003</v>
      </c>
      <c r="K10" s="66">
        <f>SUM('F. Caja SIN crecimiento '!K10:K17)</f>
        <v>-198461.11280000003</v>
      </c>
      <c r="L10" s="66">
        <f>SUM('F. Caja SIN crecimiento '!L10:L17)</f>
        <v>-198361.11280000003</v>
      </c>
    </row>
    <row r="11" spans="1:12" ht="15.95" customHeight="1">
      <c r="A11" s="65" t="s">
        <v>37</v>
      </c>
      <c r="B11" s="66"/>
      <c r="C11" s="66">
        <f>-Financiamiento!D3</f>
        <v>-4836.92</v>
      </c>
      <c r="D11" s="66">
        <f>-Financiamiento!D4</f>
        <v>-3648.69</v>
      </c>
      <c r="E11" s="66">
        <f>-Financiamiento!D5</f>
        <v>-2327</v>
      </c>
      <c r="F11" s="66">
        <f>-Financiamiento!D6</f>
        <v>-856.88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</row>
    <row r="12" spans="1:12" ht="15.95" customHeight="1">
      <c r="A12" s="65" t="s">
        <v>153</v>
      </c>
      <c r="B12" s="66"/>
      <c r="C12" s="66">
        <f>'F. Caja SIN crecimiento '!C22</f>
        <v>-13865.62</v>
      </c>
      <c r="D12" s="66">
        <f>'F. Caja SIN crecimiento '!D22</f>
        <v>-13865.62</v>
      </c>
      <c r="E12" s="66">
        <f>'F. Caja SIN crecimiento '!E22</f>
        <v>-13865.62</v>
      </c>
      <c r="F12" s="66">
        <f>'F. Caja SIN crecimiento '!F22</f>
        <v>-13865.62</v>
      </c>
      <c r="G12" s="66">
        <f>'F. Caja SIN crecimiento '!G22</f>
        <v>-13865.62</v>
      </c>
      <c r="H12" s="66">
        <f>'F. Caja SIN crecimiento '!H22</f>
        <v>-13334.1</v>
      </c>
      <c r="I12" s="66">
        <f>'F. Caja SIN crecimiento '!I22</f>
        <v>-13334.1</v>
      </c>
      <c r="J12" s="66">
        <f>'F. Caja SIN crecimiento '!J22</f>
        <v>-13334.1</v>
      </c>
      <c r="K12" s="66">
        <f>'F. Caja SIN crecimiento '!K22</f>
        <v>-13334.1</v>
      </c>
      <c r="L12" s="66">
        <f>'F. Caja SIN crecimiento '!L22</f>
        <v>-13334.1</v>
      </c>
    </row>
    <row r="13" spans="1:12" ht="15.95" customHeight="1">
      <c r="A13" s="47" t="s">
        <v>95</v>
      </c>
      <c r="B13" s="66"/>
      <c r="C13" s="54">
        <f>C9+C10+C11+C12</f>
        <v>-3756.6246117007613</v>
      </c>
      <c r="D13" s="54">
        <f t="shared" ref="D13:L13" si="5">D9+D10+D11+D12</f>
        <v>-8194.1034117007839</v>
      </c>
      <c r="E13" s="54">
        <f t="shared" si="5"/>
        <v>16067.586588299217</v>
      </c>
      <c r="F13" s="54">
        <f t="shared" si="5"/>
        <v>17637.706588299217</v>
      </c>
      <c r="G13" s="54">
        <f t="shared" si="5"/>
        <v>18394.586588299215</v>
      </c>
      <c r="H13" s="54">
        <f t="shared" si="5"/>
        <v>32946.106588299219</v>
      </c>
      <c r="I13" s="54">
        <f t="shared" si="5"/>
        <v>32846.106588299219</v>
      </c>
      <c r="J13" s="54">
        <f t="shared" si="5"/>
        <v>32946.106588299219</v>
      </c>
      <c r="K13" s="54">
        <f t="shared" si="5"/>
        <v>32846.106588299219</v>
      </c>
      <c r="L13" s="54">
        <f t="shared" si="5"/>
        <v>32946.106588299219</v>
      </c>
    </row>
    <row r="14" spans="1:12" ht="15.95" customHeight="1">
      <c r="A14" s="47" t="s">
        <v>98</v>
      </c>
      <c r="B14" s="66"/>
      <c r="C14" s="54">
        <f>-IF(C13&gt;0, 0.15*C13,0)</f>
        <v>0</v>
      </c>
      <c r="D14" s="54">
        <f t="shared" ref="D14:L14" si="6">-IF(D13&gt;0, 0.15*D13,0)</f>
        <v>0</v>
      </c>
      <c r="E14" s="54">
        <f t="shared" si="6"/>
        <v>-2410.1379882448823</v>
      </c>
      <c r="F14" s="54">
        <f t="shared" si="6"/>
        <v>-2645.6559882448823</v>
      </c>
      <c r="G14" s="54">
        <f t="shared" si="6"/>
        <v>-2759.187988244882</v>
      </c>
      <c r="H14" s="54">
        <f t="shared" si="6"/>
        <v>-4941.915988244883</v>
      </c>
      <c r="I14" s="54">
        <f t="shared" si="6"/>
        <v>-4926.915988244883</v>
      </c>
      <c r="J14" s="54">
        <f t="shared" si="6"/>
        <v>-4941.915988244883</v>
      </c>
      <c r="K14" s="54">
        <f t="shared" si="6"/>
        <v>-4926.915988244883</v>
      </c>
      <c r="L14" s="54">
        <f t="shared" si="6"/>
        <v>-4941.915988244883</v>
      </c>
    </row>
    <row r="15" spans="1:12" ht="15.95" customHeight="1">
      <c r="A15" s="47" t="s">
        <v>94</v>
      </c>
      <c r="B15" s="66"/>
      <c r="C15" s="68">
        <f>C13+C14</f>
        <v>-3756.6246117007613</v>
      </c>
      <c r="D15" s="68">
        <f>D13+D14</f>
        <v>-8194.1034117007839</v>
      </c>
      <c r="E15" s="68">
        <f>E13+E14</f>
        <v>13657.448600054335</v>
      </c>
      <c r="F15" s="68">
        <f t="shared" ref="F15:L15" si="7">F13+F14</f>
        <v>14992.050600054336</v>
      </c>
      <c r="G15" s="68">
        <f t="shared" si="7"/>
        <v>15635.398600054334</v>
      </c>
      <c r="H15" s="68">
        <f t="shared" si="7"/>
        <v>28004.190600054335</v>
      </c>
      <c r="I15" s="68">
        <f t="shared" si="7"/>
        <v>27919.190600054335</v>
      </c>
      <c r="J15" s="68">
        <f t="shared" si="7"/>
        <v>28004.190600054335</v>
      </c>
      <c r="K15" s="68">
        <f t="shared" si="7"/>
        <v>27919.190600054335</v>
      </c>
      <c r="L15" s="68">
        <f t="shared" si="7"/>
        <v>28004.190600054335</v>
      </c>
    </row>
    <row r="16" spans="1:12" ht="15.95" customHeight="1">
      <c r="A16" s="142" t="s">
        <v>96</v>
      </c>
      <c r="B16" s="66"/>
      <c r="C16" s="66">
        <f>-(IF(C15&gt;0,C15*0.23,0))</f>
        <v>0</v>
      </c>
      <c r="D16" s="66">
        <f>-(IF(D15&gt;0,D15*0.22,0))</f>
        <v>0</v>
      </c>
      <c r="E16" s="66">
        <f>-(IF(E15&gt;0,E15*0.22,0))</f>
        <v>-3004.6386920119535</v>
      </c>
      <c r="F16" s="66">
        <f t="shared" ref="F16:L16" si="8">-(IF(F15&gt;0,F15*0.22,0))</f>
        <v>-3298.2511320119538</v>
      </c>
      <c r="G16" s="66">
        <f t="shared" si="8"/>
        <v>-3439.7876920119534</v>
      </c>
      <c r="H16" s="66">
        <f t="shared" si="8"/>
        <v>-6160.9219320119537</v>
      </c>
      <c r="I16" s="66">
        <f t="shared" si="8"/>
        <v>-6142.2219320119539</v>
      </c>
      <c r="J16" s="66">
        <f t="shared" si="8"/>
        <v>-6160.9219320119537</v>
      </c>
      <c r="K16" s="66">
        <f t="shared" si="8"/>
        <v>-6142.2219320119539</v>
      </c>
      <c r="L16" s="66">
        <f t="shared" si="8"/>
        <v>-6160.9219320119537</v>
      </c>
    </row>
    <row r="17" spans="1:12" ht="15.95" customHeight="1">
      <c r="A17" s="47" t="s">
        <v>99</v>
      </c>
      <c r="B17" s="66"/>
      <c r="C17" s="66">
        <f>C15+C16</f>
        <v>-3756.6246117007613</v>
      </c>
      <c r="D17" s="66">
        <f>D15+D16</f>
        <v>-8194.1034117007839</v>
      </c>
      <c r="E17" s="66">
        <f>E15+E16</f>
        <v>10652.809908042382</v>
      </c>
      <c r="F17" s="66">
        <f t="shared" ref="F17:L17" si="9">F15+F16</f>
        <v>11693.799468042382</v>
      </c>
      <c r="G17" s="66">
        <f t="shared" si="9"/>
        <v>12195.610908042381</v>
      </c>
      <c r="H17" s="66">
        <f t="shared" si="9"/>
        <v>21843.268668042379</v>
      </c>
      <c r="I17" s="66">
        <f t="shared" si="9"/>
        <v>21776.96866804238</v>
      </c>
      <c r="J17" s="66">
        <f t="shared" si="9"/>
        <v>21843.268668042379</v>
      </c>
      <c r="K17" s="66">
        <f t="shared" si="9"/>
        <v>21776.96866804238</v>
      </c>
      <c r="L17" s="66">
        <f t="shared" si="9"/>
        <v>21843.268668042379</v>
      </c>
    </row>
    <row r="18" spans="1:12" ht="15.95" customHeight="1">
      <c r="A18" s="65" t="s">
        <v>100</v>
      </c>
      <c r="B18" s="66"/>
      <c r="C18" s="66">
        <f>-IF(C17&gt;0,0.1*C17,0)</f>
        <v>0</v>
      </c>
      <c r="D18" s="66">
        <f t="shared" ref="D18:L18" si="10">-IF(D17&gt;0,0.1*D17,0)</f>
        <v>0</v>
      </c>
      <c r="E18" s="66">
        <f t="shared" si="10"/>
        <v>-1065.2809908042382</v>
      </c>
      <c r="F18" s="66">
        <f t="shared" si="10"/>
        <v>-1169.3799468042382</v>
      </c>
      <c r="G18" s="66">
        <f t="shared" si="10"/>
        <v>-1219.5610908042381</v>
      </c>
      <c r="H18" s="66">
        <f t="shared" si="10"/>
        <v>-2184.3268668042379</v>
      </c>
      <c r="I18" s="66">
        <f t="shared" si="10"/>
        <v>-2177.6968668042382</v>
      </c>
      <c r="J18" s="66">
        <f t="shared" si="10"/>
        <v>-2184.3268668042379</v>
      </c>
      <c r="K18" s="66">
        <f t="shared" si="10"/>
        <v>-2177.6968668042382</v>
      </c>
      <c r="L18" s="66">
        <f t="shared" si="10"/>
        <v>-2184.3268668042379</v>
      </c>
    </row>
    <row r="19" spans="1:12" ht="15.95" customHeight="1">
      <c r="A19" s="47" t="s">
        <v>101</v>
      </c>
      <c r="B19" s="54"/>
      <c r="C19" s="54">
        <f>C17+C18</f>
        <v>-3756.6246117007613</v>
      </c>
      <c r="D19" s="54">
        <f t="shared" ref="D19:L19" si="11">D17+D18</f>
        <v>-8194.1034117007839</v>
      </c>
      <c r="E19" s="54">
        <f>E17+E18</f>
        <v>9587.5289172381435</v>
      </c>
      <c r="F19" s="54">
        <f t="shared" si="11"/>
        <v>10524.419521238144</v>
      </c>
      <c r="G19" s="54">
        <f t="shared" si="11"/>
        <v>10976.049817238143</v>
      </c>
      <c r="H19" s="54">
        <f t="shared" si="11"/>
        <v>19658.941801238143</v>
      </c>
      <c r="I19" s="54">
        <f t="shared" si="11"/>
        <v>19599.271801238141</v>
      </c>
      <c r="J19" s="54">
        <f t="shared" si="11"/>
        <v>19658.941801238143</v>
      </c>
      <c r="K19" s="54">
        <f t="shared" si="11"/>
        <v>19599.271801238141</v>
      </c>
      <c r="L19" s="54">
        <f t="shared" si="11"/>
        <v>19658.941801238143</v>
      </c>
    </row>
    <row r="20" spans="1:12" ht="15.95" customHeight="1">
      <c r="A20" s="65" t="s">
        <v>154</v>
      </c>
      <c r="B20" s="66"/>
      <c r="C20" s="54">
        <f>-C12</f>
        <v>13865.62</v>
      </c>
      <c r="D20" s="54">
        <f t="shared" ref="D20:L20" si="12">-D12</f>
        <v>13865.62</v>
      </c>
      <c r="E20" s="54">
        <f t="shared" si="12"/>
        <v>13865.62</v>
      </c>
      <c r="F20" s="54">
        <f t="shared" si="12"/>
        <v>13865.62</v>
      </c>
      <c r="G20" s="54">
        <f t="shared" si="12"/>
        <v>13865.62</v>
      </c>
      <c r="H20" s="54">
        <f t="shared" si="12"/>
        <v>13334.1</v>
      </c>
      <c r="I20" s="54">
        <f t="shared" si="12"/>
        <v>13334.1</v>
      </c>
      <c r="J20" s="54">
        <f t="shared" si="12"/>
        <v>13334.1</v>
      </c>
      <c r="K20" s="54">
        <f t="shared" si="12"/>
        <v>13334.1</v>
      </c>
      <c r="L20" s="54">
        <f t="shared" si="12"/>
        <v>13334.1</v>
      </c>
    </row>
    <row r="21" spans="1:12" ht="15.95" customHeight="1">
      <c r="A21" s="65" t="s">
        <v>236</v>
      </c>
      <c r="B21" s="66"/>
      <c r="C21" s="66">
        <f>-Financiamiento!C3</f>
        <v>-10580.45</v>
      </c>
      <c r="D21" s="66">
        <f>-Financiamiento!C4</f>
        <v>-11768.69</v>
      </c>
      <c r="E21" s="66">
        <f>-Financiamiento!C5</f>
        <v>-13090.37</v>
      </c>
      <c r="F21" s="66">
        <f>-Financiamiento!C6</f>
        <v>-14560.49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</row>
    <row r="22" spans="1:12" ht="15.95" customHeight="1">
      <c r="A22" s="65" t="s">
        <v>237</v>
      </c>
      <c r="B22" s="66">
        <v>50000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5.95" customHeight="1">
      <c r="A23" s="65" t="s">
        <v>238</v>
      </c>
      <c r="B23" s="66">
        <f>-[3]tecnico!$E$29</f>
        <v>-83341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5.95" customHeight="1">
      <c r="A24" s="65" t="s">
        <v>58</v>
      </c>
      <c r="B24" s="66">
        <f>0</f>
        <v>0</v>
      </c>
      <c r="C24" s="66">
        <f>-[4]tecnico!$C$43</f>
        <v>0</v>
      </c>
      <c r="D24" s="66">
        <f>-[4]tecnico!$D$43</f>
        <v>0</v>
      </c>
      <c r="E24" s="66">
        <f>-[4]tecnico!$E$43</f>
        <v>-11760</v>
      </c>
      <c r="F24" s="66">
        <f>-[4]tecnico!$F$43</f>
        <v>0</v>
      </c>
      <c r="G24" s="66">
        <f>-[4]tecnico!$G$43</f>
        <v>-22560</v>
      </c>
      <c r="H24" s="66">
        <f>-[4]tecnico!$H$43</f>
        <v>-11760</v>
      </c>
      <c r="I24" s="66">
        <f>-[4]tecnico!$I$43</f>
        <v>0</v>
      </c>
      <c r="J24" s="66">
        <f>-[4]tecnico!$J$43</f>
        <v>0</v>
      </c>
      <c r="K24" s="66">
        <f>-[4]tecnico!$K$43</f>
        <v>-11760</v>
      </c>
      <c r="L24" s="66">
        <f>-[4]tecnico!$L$43</f>
        <v>0</v>
      </c>
    </row>
    <row r="25" spans="1:12" ht="15.95" customHeight="1">
      <c r="A25" s="65" t="s">
        <v>239</v>
      </c>
      <c r="B25" s="66">
        <f>-'ACTIVOS INTANGIBLES'!B14</f>
        <v>-2657.6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5.95" customHeight="1">
      <c r="A26" s="65" t="s">
        <v>33</v>
      </c>
      <c r="B26" s="66">
        <f>'Capital de trabajo'!D9</f>
        <v>-19902.767136184884</v>
      </c>
      <c r="C26" s="66"/>
      <c r="D26" s="66"/>
      <c r="E26" s="66"/>
      <c r="F26" s="66"/>
      <c r="G26" s="66"/>
      <c r="H26" s="66"/>
      <c r="I26" s="66"/>
      <c r="J26" s="66"/>
      <c r="K26" s="66"/>
      <c r="L26" s="66">
        <f>-B26</f>
        <v>19902.767136184884</v>
      </c>
    </row>
    <row r="27" spans="1:12" ht="15.95" customHeight="1">
      <c r="A27" s="65" t="s">
        <v>35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>
        <f>'Valor de desecho'!H28</f>
        <v>7840.0000000000009</v>
      </c>
    </row>
    <row r="28" spans="1:12" ht="15.95" customHeight="1">
      <c r="A28" s="91" t="s">
        <v>36</v>
      </c>
      <c r="B28" s="94">
        <f t="shared" ref="B28:L28" si="13">B19+SUM(B20:B27)</f>
        <v>-55901.367136184883</v>
      </c>
      <c r="C28" s="94">
        <f t="shared" si="13"/>
        <v>-471.45461170076123</v>
      </c>
      <c r="D28" s="94">
        <f t="shared" si="13"/>
        <v>-6097.1734117007836</v>
      </c>
      <c r="E28" s="94">
        <f t="shared" si="13"/>
        <v>-1397.2210827618565</v>
      </c>
      <c r="F28" s="94">
        <f t="shared" si="13"/>
        <v>9829.5495212381447</v>
      </c>
      <c r="G28" s="94">
        <f t="shared" si="13"/>
        <v>2281.6698172381439</v>
      </c>
      <c r="H28" s="94">
        <f t="shared" si="13"/>
        <v>21233.041801238141</v>
      </c>
      <c r="I28" s="94">
        <f t="shared" si="13"/>
        <v>32933.371801238143</v>
      </c>
      <c r="J28" s="94">
        <f t="shared" si="13"/>
        <v>32993.041801238141</v>
      </c>
      <c r="K28" s="94">
        <f t="shared" si="13"/>
        <v>21173.371801238143</v>
      </c>
      <c r="L28" s="94">
        <f t="shared" si="13"/>
        <v>60735.808937423026</v>
      </c>
    </row>
    <row r="29" spans="1:12" ht="15.95" customHeight="1">
      <c r="A29" s="144" t="s">
        <v>223</v>
      </c>
      <c r="B29" s="145">
        <v>6.3500000000000001E-2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1:12" ht="15.95" customHeight="1">
      <c r="A30" s="144" t="s">
        <v>224</v>
      </c>
      <c r="B30" s="137">
        <f>NPV(B29, C28:L28)+B28</f>
        <v>47684.67900494473</v>
      </c>
      <c r="C30" s="181"/>
      <c r="D30" s="180"/>
      <c r="E30" s="180"/>
      <c r="F30" s="180"/>
      <c r="G30" s="180"/>
      <c r="H30" s="180"/>
      <c r="I30" s="180"/>
      <c r="J30" s="180"/>
      <c r="K30" s="180"/>
      <c r="L30" s="180"/>
    </row>
    <row r="31" spans="1:12" ht="15.95" customHeight="1">
      <c r="A31" s="144" t="s">
        <v>30</v>
      </c>
      <c r="B31" s="138">
        <f>IRR(B28:L28)</f>
        <v>0.14569197061418607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3" spans="4:4">
      <c r="D33" s="136"/>
    </row>
  </sheetData>
  <pageMargins left="0.7" right="0.7" top="0.75" bottom="0.75" header="0.3" footer="0.3"/>
  <pageSetup paperSize="9" orientation="portrait" horizontalDpi="0" verticalDpi="0" r:id="rId1"/>
  <ignoredErrors>
    <ignoredError sqref="C16 C18 D16:F18 G16:K18 L16:L1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topLeftCell="A19" zoomScale="90" zoomScaleNormal="90" zoomScaleSheetLayoutView="80" workbookViewId="0">
      <selection activeCell="A34" sqref="A34"/>
    </sheetView>
  </sheetViews>
  <sheetFormatPr baseColWidth="10" defaultRowHeight="14.25"/>
  <cols>
    <col min="1" max="1" width="57" style="42" customWidth="1"/>
    <col min="2" max="12" width="17.7109375" style="42" customWidth="1"/>
    <col min="13" max="16384" width="11.42578125" style="42"/>
  </cols>
  <sheetData>
    <row r="1" spans="1:12" ht="15">
      <c r="A1" s="69" t="s">
        <v>226</v>
      </c>
      <c r="C1" s="136"/>
    </row>
    <row r="2" spans="1:12" ht="15.95" customHeight="1">
      <c r="A2" s="64" t="s">
        <v>29</v>
      </c>
      <c r="B2" s="70">
        <v>0</v>
      </c>
      <c r="C2" s="70">
        <v>1</v>
      </c>
      <c r="D2" s="70">
        <v>2</v>
      </c>
      <c r="E2" s="70">
        <v>3</v>
      </c>
      <c r="F2" s="70">
        <v>4</v>
      </c>
      <c r="G2" s="70">
        <v>5</v>
      </c>
      <c r="H2" s="70">
        <v>6</v>
      </c>
      <c r="I2" s="70">
        <v>7</v>
      </c>
      <c r="J2" s="70">
        <v>8</v>
      </c>
      <c r="K2" s="70">
        <v>9</v>
      </c>
      <c r="L2" s="70">
        <v>10</v>
      </c>
    </row>
    <row r="3" spans="1:12" ht="15.95" customHeight="1">
      <c r="A3" s="65" t="s">
        <v>241</v>
      </c>
      <c r="B3" s="66"/>
      <c r="C3" s="66">
        <f>'[1]ESTIMACION DE DEMANDA'!$C$36</f>
        <v>492253.07618856896</v>
      </c>
      <c r="D3" s="66">
        <f>'[1]ESTIMACION DE DEMANDA'!$C$36</f>
        <v>492253.07618856896</v>
      </c>
      <c r="E3" s="66">
        <f>(D3)*(1.01)</f>
        <v>497175.60695045465</v>
      </c>
      <c r="F3" s="66">
        <f t="shared" ref="F3:L3" si="0">(E3)*(1.01)</f>
        <v>502147.36301995919</v>
      </c>
      <c r="G3" s="66">
        <f t="shared" si="0"/>
        <v>507168.8366501588</v>
      </c>
      <c r="H3" s="66">
        <f t="shared" si="0"/>
        <v>512240.52501666039</v>
      </c>
      <c r="I3" s="66">
        <f t="shared" si="0"/>
        <v>517362.930266827</v>
      </c>
      <c r="J3" s="66">
        <f t="shared" si="0"/>
        <v>522536.55956949526</v>
      </c>
      <c r="K3" s="66">
        <f t="shared" si="0"/>
        <v>527761.92516519025</v>
      </c>
      <c r="L3" s="66">
        <f t="shared" si="0"/>
        <v>533039.54441684217</v>
      </c>
    </row>
    <row r="4" spans="1:12" ht="15.95" customHeight="1">
      <c r="A4" s="65" t="s">
        <v>233</v>
      </c>
      <c r="B4" s="66"/>
      <c r="C4" s="66">
        <f>'[2]ESTIMACION DE DEMANDA'!$C$43</f>
        <v>975594.84014122677</v>
      </c>
      <c r="D4" s="66">
        <f>C4</f>
        <v>975594.84014122677</v>
      </c>
      <c r="E4" s="66">
        <f>(D4)*(1.01)</f>
        <v>985350.788542639</v>
      </c>
      <c r="F4" s="66">
        <f t="shared" ref="F4:L4" si="1">(E4)*(1.01)</f>
        <v>995204.2964280654</v>
      </c>
      <c r="G4" s="66">
        <f t="shared" si="1"/>
        <v>1005156.3393923461</v>
      </c>
      <c r="H4" s="66">
        <f t="shared" si="1"/>
        <v>1015207.9027862696</v>
      </c>
      <c r="I4" s="66">
        <f t="shared" si="1"/>
        <v>1025359.9818141323</v>
      </c>
      <c r="J4" s="66">
        <f t="shared" si="1"/>
        <v>1035613.5816322736</v>
      </c>
      <c r="K4" s="66">
        <f t="shared" si="1"/>
        <v>1045969.7174485964</v>
      </c>
      <c r="L4" s="66">
        <f t="shared" si="1"/>
        <v>1056429.4146230824</v>
      </c>
    </row>
    <row r="5" spans="1:12" ht="15.95" customHeight="1">
      <c r="A5" s="47" t="s">
        <v>47</v>
      </c>
      <c r="B5" s="66"/>
      <c r="C5" s="54">
        <f>SUM(C3:C4)</f>
        <v>1467847.9163297957</v>
      </c>
      <c r="D5" s="54">
        <f t="shared" ref="D5:L5" si="2">SUM(D3:D4)</f>
        <v>1467847.9163297957</v>
      </c>
      <c r="E5" s="54">
        <f t="shared" si="2"/>
        <v>1482526.3954930936</v>
      </c>
      <c r="F5" s="54">
        <f t="shared" si="2"/>
        <v>1497351.6594480246</v>
      </c>
      <c r="G5" s="54">
        <f t="shared" si="2"/>
        <v>1512325.1760425048</v>
      </c>
      <c r="H5" s="54">
        <f t="shared" si="2"/>
        <v>1527448.4278029299</v>
      </c>
      <c r="I5" s="54">
        <f t="shared" si="2"/>
        <v>1542722.9120809594</v>
      </c>
      <c r="J5" s="54">
        <f t="shared" si="2"/>
        <v>1558150.141201769</v>
      </c>
      <c r="K5" s="54">
        <f t="shared" si="2"/>
        <v>1573731.6426137867</v>
      </c>
      <c r="L5" s="54">
        <f t="shared" si="2"/>
        <v>1589468.9590399247</v>
      </c>
    </row>
    <row r="6" spans="1:12" ht="15.95" customHeight="1">
      <c r="A6" s="65" t="s">
        <v>242</v>
      </c>
      <c r="B6" s="66"/>
      <c r="C6" s="66">
        <f>-'[1]ESTIMACION DE DEMANDA'!$C$53</f>
        <v>-410210.89682380756</v>
      </c>
      <c r="D6" s="66">
        <f>-'[1]ESTIMACION DE DEMANDA'!$C$53</f>
        <v>-410210.89682380756</v>
      </c>
      <c r="E6" s="66">
        <f>-'[1]ESTIMACION DE DEMANDA'!$C$53</f>
        <v>-410210.89682380756</v>
      </c>
      <c r="F6" s="66">
        <f>-('[1]ESTIMACION DE DEMANDA'!$C$53)*(0.8)</f>
        <v>-328168.71745904605</v>
      </c>
      <c r="G6" s="66">
        <f>-('[1]ESTIMACION DE DEMANDA'!$C$53)*(0.8)</f>
        <v>-328168.71745904605</v>
      </c>
      <c r="H6" s="66">
        <f>-('[1]ESTIMACION DE DEMANDA'!$C$53)*(0.8)</f>
        <v>-328168.71745904605</v>
      </c>
      <c r="I6" s="66">
        <f>-('[1]ESTIMACION DE DEMANDA'!$C$53)*(0.8)</f>
        <v>-328168.71745904605</v>
      </c>
      <c r="J6" s="66">
        <f>-('[1]ESTIMACION DE DEMANDA'!$C$53)*(0.8)</f>
        <v>-328168.71745904605</v>
      </c>
      <c r="K6" s="66">
        <f>-('[1]ESTIMACION DE DEMANDA'!$C$53)*(0.8)</f>
        <v>-328168.71745904605</v>
      </c>
      <c r="L6" s="66">
        <f>-('[1]ESTIMACION DE DEMANDA'!$C$53)*(0.8)</f>
        <v>-328168.71745904605</v>
      </c>
    </row>
    <row r="7" spans="1:12" ht="15.95" customHeight="1">
      <c r="A7" s="142" t="s">
        <v>240</v>
      </c>
      <c r="B7" s="66"/>
      <c r="C7" s="66">
        <f>-'[2]ESTIMACION DE DEMANDA'!$C$60</f>
        <v>-812995.70011768886</v>
      </c>
      <c r="D7" s="66">
        <f>C7</f>
        <v>-812995.70011768886</v>
      </c>
      <c r="E7" s="66">
        <f t="shared" ref="E7:L7" si="3">D7</f>
        <v>-812995.70011768886</v>
      </c>
      <c r="F7" s="66">
        <f t="shared" si="3"/>
        <v>-812995.70011768886</v>
      </c>
      <c r="G7" s="66">
        <f t="shared" si="3"/>
        <v>-812995.70011768886</v>
      </c>
      <c r="H7" s="66">
        <f t="shared" si="3"/>
        <v>-812995.70011768886</v>
      </c>
      <c r="I7" s="66">
        <f t="shared" si="3"/>
        <v>-812995.70011768886</v>
      </c>
      <c r="J7" s="66">
        <f t="shared" si="3"/>
        <v>-812995.70011768886</v>
      </c>
      <c r="K7" s="66">
        <f t="shared" si="3"/>
        <v>-812995.70011768886</v>
      </c>
      <c r="L7" s="66">
        <f t="shared" si="3"/>
        <v>-812995.70011768886</v>
      </c>
    </row>
    <row r="8" spans="1:12" ht="15.95" customHeight="1">
      <c r="A8" s="47" t="s">
        <v>42</v>
      </c>
      <c r="B8" s="66"/>
      <c r="C8" s="54">
        <f>SUM(C6:C7)</f>
        <v>-1223206.5969414965</v>
      </c>
      <c r="D8" s="54">
        <f t="shared" ref="D8:L8" si="4">SUM(D6:D7)</f>
        <v>-1223206.5969414965</v>
      </c>
      <c r="E8" s="54">
        <f t="shared" si="4"/>
        <v>-1223206.5969414965</v>
      </c>
      <c r="F8" s="54">
        <f t="shared" si="4"/>
        <v>-1141164.4175767349</v>
      </c>
      <c r="G8" s="54">
        <f t="shared" si="4"/>
        <v>-1141164.4175767349</v>
      </c>
      <c r="H8" s="54">
        <f t="shared" si="4"/>
        <v>-1141164.4175767349</v>
      </c>
      <c r="I8" s="54">
        <f t="shared" si="4"/>
        <v>-1141164.4175767349</v>
      </c>
      <c r="J8" s="54">
        <f t="shared" si="4"/>
        <v>-1141164.4175767349</v>
      </c>
      <c r="K8" s="54">
        <f t="shared" si="4"/>
        <v>-1141164.4175767349</v>
      </c>
      <c r="L8" s="54">
        <f t="shared" si="4"/>
        <v>-1141164.4175767349</v>
      </c>
    </row>
    <row r="9" spans="1:12" ht="15.95" customHeight="1">
      <c r="A9" s="47" t="s">
        <v>168</v>
      </c>
      <c r="B9" s="66"/>
      <c r="C9" s="54">
        <f>C5+C8</f>
        <v>244641.31938829925</v>
      </c>
      <c r="D9" s="54">
        <f t="shared" ref="D9:L9" si="5">D5+D8</f>
        <v>244641.31938829925</v>
      </c>
      <c r="E9" s="54">
        <f t="shared" si="5"/>
        <v>259319.79855159717</v>
      </c>
      <c r="F9" s="54">
        <f t="shared" si="5"/>
        <v>356187.24187128968</v>
      </c>
      <c r="G9" s="54">
        <f t="shared" si="5"/>
        <v>371160.75846576993</v>
      </c>
      <c r="H9" s="54">
        <f t="shared" si="5"/>
        <v>386284.01022619498</v>
      </c>
      <c r="I9" s="54">
        <f t="shared" si="5"/>
        <v>401558.49450422451</v>
      </c>
      <c r="J9" s="54">
        <f t="shared" si="5"/>
        <v>416985.72362503409</v>
      </c>
      <c r="K9" s="54">
        <f t="shared" si="5"/>
        <v>432567.22503705183</v>
      </c>
      <c r="L9" s="54">
        <f t="shared" si="5"/>
        <v>448304.54146318976</v>
      </c>
    </row>
    <row r="10" spans="1:12" ht="15.95" customHeight="1">
      <c r="A10" s="67" t="s">
        <v>59</v>
      </c>
      <c r="B10" s="66"/>
      <c r="C10" s="66">
        <f>-' SERVICIOS B. Y  ALQUILER'!C16</f>
        <v>-7500</v>
      </c>
      <c r="D10" s="66">
        <f>C10</f>
        <v>-7500</v>
      </c>
      <c r="E10" s="66">
        <f>D10*(1.02)</f>
        <v>-7650</v>
      </c>
      <c r="F10" s="66">
        <f t="shared" ref="F10:L10" si="6">E10*(1.02)</f>
        <v>-7803</v>
      </c>
      <c r="G10" s="66">
        <f t="shared" si="6"/>
        <v>-7959.06</v>
      </c>
      <c r="H10" s="66">
        <f t="shared" si="6"/>
        <v>-8118.2412000000004</v>
      </c>
      <c r="I10" s="66">
        <f t="shared" si="6"/>
        <v>-8280.6060240000006</v>
      </c>
      <c r="J10" s="66">
        <f t="shared" si="6"/>
        <v>-8446.2181444800008</v>
      </c>
      <c r="K10" s="66">
        <f t="shared" si="6"/>
        <v>-8615.1425073696009</v>
      </c>
      <c r="L10" s="66">
        <f t="shared" si="6"/>
        <v>-8787.4453575169937</v>
      </c>
    </row>
    <row r="11" spans="1:12" ht="15.95" customHeight="1">
      <c r="A11" s="67" t="s">
        <v>60</v>
      </c>
      <c r="B11" s="66"/>
      <c r="C11" s="66">
        <f>-[3]tecnico!$J$63</f>
        <v>-89664.063999999998</v>
      </c>
      <c r="D11" s="66">
        <f>-SUELDOS!D12</f>
        <v>-95389.772800000006</v>
      </c>
      <c r="E11" s="66">
        <f>D11*(1.01)</f>
        <v>-96343.670528000002</v>
      </c>
      <c r="F11" s="66">
        <f t="shared" ref="F11:L11" si="7">E11*(1.01)</f>
        <v>-97307.10723328001</v>
      </c>
      <c r="G11" s="66">
        <f t="shared" si="7"/>
        <v>-98280.178305612804</v>
      </c>
      <c r="H11" s="66">
        <f t="shared" si="7"/>
        <v>-99262.980088668934</v>
      </c>
      <c r="I11" s="66">
        <f t="shared" si="7"/>
        <v>-100255.60988955562</v>
      </c>
      <c r="J11" s="66">
        <f t="shared" si="7"/>
        <v>-101258.16598845118</v>
      </c>
      <c r="K11" s="66">
        <f t="shared" si="7"/>
        <v>-102270.74764833569</v>
      </c>
      <c r="L11" s="66">
        <f t="shared" si="7"/>
        <v>-103293.45512481904</v>
      </c>
    </row>
    <row r="12" spans="1:12" ht="15.95" customHeight="1">
      <c r="A12" s="65" t="s">
        <v>97</v>
      </c>
      <c r="B12" s="66"/>
      <c r="C12" s="66">
        <f>-SUMINISTROS!B20</f>
        <v>-2140.8000000000002</v>
      </c>
      <c r="D12" s="66">
        <f>C12</f>
        <v>-2140.8000000000002</v>
      </c>
      <c r="E12" s="66">
        <f t="shared" ref="E12:L13" si="8">D12</f>
        <v>-2140.8000000000002</v>
      </c>
      <c r="F12" s="66">
        <f t="shared" si="8"/>
        <v>-2140.8000000000002</v>
      </c>
      <c r="G12" s="66">
        <f t="shared" si="8"/>
        <v>-2140.8000000000002</v>
      </c>
      <c r="H12" s="66">
        <f t="shared" si="8"/>
        <v>-2140.8000000000002</v>
      </c>
      <c r="I12" s="66">
        <f t="shared" si="8"/>
        <v>-2140.8000000000002</v>
      </c>
      <c r="J12" s="66">
        <f t="shared" si="8"/>
        <v>-2140.8000000000002</v>
      </c>
      <c r="K12" s="66">
        <f t="shared" si="8"/>
        <v>-2140.8000000000002</v>
      </c>
      <c r="L12" s="66">
        <f t="shared" si="8"/>
        <v>-2140.8000000000002</v>
      </c>
    </row>
    <row r="13" spans="1:12" ht="15.95" customHeight="1">
      <c r="A13" s="65" t="s">
        <v>41</v>
      </c>
      <c r="B13" s="66"/>
      <c r="C13" s="66">
        <f>-MANTENIMIENTO!B8</f>
        <v>-3102.9400000000005</v>
      </c>
      <c r="D13" s="66">
        <f>C13</f>
        <v>-3102.9400000000005</v>
      </c>
      <c r="E13" s="66">
        <f t="shared" si="8"/>
        <v>-3102.9400000000005</v>
      </c>
      <c r="F13" s="66">
        <f t="shared" si="8"/>
        <v>-3102.9400000000005</v>
      </c>
      <c r="G13" s="66">
        <f t="shared" si="8"/>
        <v>-3102.9400000000005</v>
      </c>
      <c r="H13" s="66">
        <f t="shared" si="8"/>
        <v>-3102.9400000000005</v>
      </c>
      <c r="I13" s="66">
        <f t="shared" si="8"/>
        <v>-3102.9400000000005</v>
      </c>
      <c r="J13" s="66">
        <f t="shared" si="8"/>
        <v>-3102.9400000000005</v>
      </c>
      <c r="K13" s="66">
        <f t="shared" si="8"/>
        <v>-3102.9400000000005</v>
      </c>
      <c r="L13" s="66">
        <f t="shared" si="8"/>
        <v>-3102.9400000000005</v>
      </c>
    </row>
    <row r="14" spans="1:12" ht="15.95" customHeight="1">
      <c r="A14" s="65" t="s">
        <v>243</v>
      </c>
      <c r="B14" s="66"/>
      <c r="C14" s="66">
        <f>-'GASTOS DE PROMOCION'!E20</f>
        <v>-80360</v>
      </c>
      <c r="D14" s="66">
        <f>C14</f>
        <v>-80360</v>
      </c>
      <c r="E14" s="66">
        <f>-'GASTOS DE PROMOCION'!E39</f>
        <v>-57320</v>
      </c>
      <c r="F14" s="66">
        <f>E14</f>
        <v>-57320</v>
      </c>
      <c r="G14" s="66">
        <f>E14</f>
        <v>-57320</v>
      </c>
      <c r="H14" s="66">
        <f>-'GASTOS DE PROMOCION'!E56</f>
        <v>-43400</v>
      </c>
      <c r="I14" s="66">
        <f>H14</f>
        <v>-43400</v>
      </c>
      <c r="J14" s="66">
        <f>H14</f>
        <v>-43400</v>
      </c>
      <c r="K14" s="66">
        <f>H14</f>
        <v>-43400</v>
      </c>
      <c r="L14" s="66">
        <f>H14</f>
        <v>-43400</v>
      </c>
    </row>
    <row r="15" spans="1:12" ht="15.95" customHeight="1">
      <c r="A15" s="65" t="s">
        <v>40</v>
      </c>
      <c r="B15" s="66"/>
      <c r="C15" s="66">
        <f>-'GASTOS DE TRANSPORTE'!B5</f>
        <v>-424</v>
      </c>
      <c r="D15" s="66">
        <f>C15</f>
        <v>-424</v>
      </c>
      <c r="E15" s="66">
        <f t="shared" ref="E15:L16" si="9">D15</f>
        <v>-424</v>
      </c>
      <c r="F15" s="66">
        <f t="shared" si="9"/>
        <v>-424</v>
      </c>
      <c r="G15" s="66">
        <f t="shared" si="9"/>
        <v>-424</v>
      </c>
      <c r="H15" s="66">
        <f t="shared" si="9"/>
        <v>-424</v>
      </c>
      <c r="I15" s="66">
        <f t="shared" si="9"/>
        <v>-424</v>
      </c>
      <c r="J15" s="66">
        <f t="shared" si="9"/>
        <v>-424</v>
      </c>
      <c r="K15" s="66">
        <f t="shared" si="9"/>
        <v>-424</v>
      </c>
      <c r="L15" s="66">
        <f t="shared" si="9"/>
        <v>-424</v>
      </c>
    </row>
    <row r="16" spans="1:12" ht="15.95" customHeight="1">
      <c r="A16" s="65" t="s">
        <v>39</v>
      </c>
      <c r="B16" s="66"/>
      <c r="C16" s="66">
        <f>-' SERVICIOS B. Y  ALQUILER'!C23</f>
        <v>-45600</v>
      </c>
      <c r="D16" s="66">
        <f>C16</f>
        <v>-45600</v>
      </c>
      <c r="E16" s="66">
        <f t="shared" si="9"/>
        <v>-45600</v>
      </c>
      <c r="F16" s="66">
        <f t="shared" si="9"/>
        <v>-45600</v>
      </c>
      <c r="G16" s="66">
        <f t="shared" si="9"/>
        <v>-45600</v>
      </c>
      <c r="H16" s="66">
        <f t="shared" si="9"/>
        <v>-45600</v>
      </c>
      <c r="I16" s="66">
        <f t="shared" si="9"/>
        <v>-45600</v>
      </c>
      <c r="J16" s="66">
        <f t="shared" si="9"/>
        <v>-45600</v>
      </c>
      <c r="K16" s="66">
        <f t="shared" si="9"/>
        <v>-45600</v>
      </c>
      <c r="L16" s="66">
        <f t="shared" si="9"/>
        <v>-45600</v>
      </c>
    </row>
    <row r="17" spans="1:12" ht="15.95" customHeight="1">
      <c r="A17" s="65" t="s">
        <v>38</v>
      </c>
      <c r="B17" s="66"/>
      <c r="C17" s="66">
        <f>-('ACTIVOS INTANGIBLES'!B18+100)</f>
        <v>-903.6</v>
      </c>
      <c r="D17" s="66">
        <f>C17+100</f>
        <v>-803.6</v>
      </c>
      <c r="E17" s="66">
        <f t="shared" ref="E17:L17" si="10">C17</f>
        <v>-903.6</v>
      </c>
      <c r="F17" s="66">
        <f t="shared" si="10"/>
        <v>-803.6</v>
      </c>
      <c r="G17" s="66">
        <f t="shared" si="10"/>
        <v>-903.6</v>
      </c>
      <c r="H17" s="66">
        <f t="shared" si="10"/>
        <v>-803.6</v>
      </c>
      <c r="I17" s="66">
        <f t="shared" si="10"/>
        <v>-903.6</v>
      </c>
      <c r="J17" s="66">
        <f t="shared" si="10"/>
        <v>-803.6</v>
      </c>
      <c r="K17" s="66">
        <f t="shared" si="10"/>
        <v>-903.6</v>
      </c>
      <c r="L17" s="66">
        <f t="shared" si="10"/>
        <v>-803.6</v>
      </c>
    </row>
    <row r="18" spans="1:12" ht="15.95" customHeight="1">
      <c r="A18" s="65" t="s">
        <v>37</v>
      </c>
      <c r="B18" s="66"/>
      <c r="C18" s="66">
        <f>-Financiamiento!D3</f>
        <v>-4836.92</v>
      </c>
      <c r="D18" s="66">
        <f>-Financiamiento!D4</f>
        <v>-3648.69</v>
      </c>
      <c r="E18" s="66">
        <f>-Financiamiento!D5</f>
        <v>-2327</v>
      </c>
      <c r="F18" s="66">
        <f>-Financiamiento!D6</f>
        <v>-856.88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</row>
    <row r="19" spans="1:12" ht="15.95" customHeight="1">
      <c r="A19" s="47" t="s">
        <v>52</v>
      </c>
      <c r="B19" s="66"/>
      <c r="C19" s="54">
        <f>SUM(C10:C18)</f>
        <v>-234532.32400000002</v>
      </c>
      <c r="D19" s="54">
        <f>SUM(D10:D18)</f>
        <v>-238969.80280000003</v>
      </c>
      <c r="E19" s="54">
        <f>SUM(E10:E18)</f>
        <v>-215812.01052800001</v>
      </c>
      <c r="F19" s="54">
        <f t="shared" ref="F19:L19" si="11">SUM(F10:F18)</f>
        <v>-215358.32723328003</v>
      </c>
      <c r="G19" s="54">
        <f t="shared" si="11"/>
        <v>-215730.57830561281</v>
      </c>
      <c r="H19" s="54">
        <f t="shared" si="11"/>
        <v>-202852.56128866895</v>
      </c>
      <c r="I19" s="54">
        <f t="shared" si="11"/>
        <v>-204107.55591355564</v>
      </c>
      <c r="J19" s="54">
        <f t="shared" si="11"/>
        <v>-205175.72413293118</v>
      </c>
      <c r="K19" s="54">
        <f t="shared" si="11"/>
        <v>-206457.2301557053</v>
      </c>
      <c r="L19" s="54">
        <f t="shared" si="11"/>
        <v>-207552.24048233606</v>
      </c>
    </row>
    <row r="20" spans="1:12" ht="15.95" customHeight="1">
      <c r="A20" s="65" t="s">
        <v>50</v>
      </c>
      <c r="B20" s="66"/>
      <c r="C20" s="66">
        <f>-'ACTIVOS INTANGIBLES'!B14/5</f>
        <v>-531.52</v>
      </c>
      <c r="D20" s="66">
        <f>C20</f>
        <v>-531.52</v>
      </c>
      <c r="E20" s="66">
        <f t="shared" ref="E20:L21" si="12">D20</f>
        <v>-531.52</v>
      </c>
      <c r="F20" s="66">
        <f t="shared" si="12"/>
        <v>-531.52</v>
      </c>
      <c r="G20" s="66">
        <f t="shared" si="12"/>
        <v>-531.52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</row>
    <row r="21" spans="1:12" ht="15.95" customHeight="1">
      <c r="A21" s="65" t="s">
        <v>49</v>
      </c>
      <c r="B21" s="66"/>
      <c r="C21" s="66">
        <f>-DEPRECIACION!E27</f>
        <v>-13334.1</v>
      </c>
      <c r="D21" s="66">
        <f>C21</f>
        <v>-13334.1</v>
      </c>
      <c r="E21" s="66">
        <f t="shared" si="12"/>
        <v>-13334.1</v>
      </c>
      <c r="F21" s="66">
        <f t="shared" si="12"/>
        <v>-13334.1</v>
      </c>
      <c r="G21" s="66">
        <f t="shared" si="12"/>
        <v>-13334.1</v>
      </c>
      <c r="H21" s="66">
        <f t="shared" si="12"/>
        <v>-13334.1</v>
      </c>
      <c r="I21" s="66">
        <f t="shared" si="12"/>
        <v>-13334.1</v>
      </c>
      <c r="J21" s="66">
        <f t="shared" si="12"/>
        <v>-13334.1</v>
      </c>
      <c r="K21" s="66">
        <f t="shared" si="12"/>
        <v>-13334.1</v>
      </c>
      <c r="L21" s="66">
        <f t="shared" si="12"/>
        <v>-13334.1</v>
      </c>
    </row>
    <row r="22" spans="1:12" ht="15.95" customHeight="1">
      <c r="A22" s="47" t="s">
        <v>51</v>
      </c>
      <c r="B22" s="66"/>
      <c r="C22" s="54">
        <f>SUM(C20:C21)</f>
        <v>-13865.62</v>
      </c>
      <c r="D22" s="54">
        <f>SUM(D20:D21)</f>
        <v>-13865.62</v>
      </c>
      <c r="E22" s="54">
        <f t="shared" ref="E22:L22" si="13">SUM(E20:E21)</f>
        <v>-13865.62</v>
      </c>
      <c r="F22" s="54">
        <f t="shared" si="13"/>
        <v>-13865.62</v>
      </c>
      <c r="G22" s="54">
        <f t="shared" si="13"/>
        <v>-13865.62</v>
      </c>
      <c r="H22" s="54">
        <f t="shared" si="13"/>
        <v>-13334.1</v>
      </c>
      <c r="I22" s="54">
        <f t="shared" si="13"/>
        <v>-13334.1</v>
      </c>
      <c r="J22" s="54">
        <f t="shared" si="13"/>
        <v>-13334.1</v>
      </c>
      <c r="K22" s="54">
        <f t="shared" si="13"/>
        <v>-13334.1</v>
      </c>
      <c r="L22" s="54">
        <f t="shared" si="13"/>
        <v>-13334.1</v>
      </c>
    </row>
    <row r="23" spans="1:12" ht="15.95" customHeight="1">
      <c r="A23" s="47" t="s">
        <v>95</v>
      </c>
      <c r="B23" s="66"/>
      <c r="C23" s="54">
        <f t="shared" ref="C23:L23" si="14">C9+C19+C22</f>
        <v>-3756.624611700774</v>
      </c>
      <c r="D23" s="54">
        <f t="shared" si="14"/>
        <v>-8194.1034117007857</v>
      </c>
      <c r="E23" s="54">
        <f t="shared" si="14"/>
        <v>29642.168023597151</v>
      </c>
      <c r="F23" s="54">
        <f t="shared" si="14"/>
        <v>126963.29463800965</v>
      </c>
      <c r="G23" s="54">
        <f t="shared" si="14"/>
        <v>141564.56016015713</v>
      </c>
      <c r="H23" s="54">
        <f t="shared" si="14"/>
        <v>170097.34893752603</v>
      </c>
      <c r="I23" s="54">
        <f t="shared" si="14"/>
        <v>184116.83859066886</v>
      </c>
      <c r="J23" s="54">
        <f t="shared" si="14"/>
        <v>198475.89949210291</v>
      </c>
      <c r="K23" s="54">
        <f t="shared" si="14"/>
        <v>212775.89488134652</v>
      </c>
      <c r="L23" s="54">
        <f t="shared" si="14"/>
        <v>227418.2009808537</v>
      </c>
    </row>
    <row r="24" spans="1:12" ht="15.95" customHeight="1">
      <c r="A24" s="47" t="s">
        <v>98</v>
      </c>
      <c r="B24" s="66"/>
      <c r="C24" s="54">
        <f>-IF(C23&gt;0, 0.15*C23,0)</f>
        <v>0</v>
      </c>
      <c r="D24" s="54">
        <f t="shared" ref="D24:L24" si="15">-IF(D23&gt;0, 0.15*D23,0)</f>
        <v>0</v>
      </c>
      <c r="E24" s="54">
        <f t="shared" si="15"/>
        <v>-4446.3252035395726</v>
      </c>
      <c r="F24" s="54">
        <f t="shared" si="15"/>
        <v>-19044.494195701449</v>
      </c>
      <c r="G24" s="54">
        <f t="shared" si="15"/>
        <v>-21234.684024023569</v>
      </c>
      <c r="H24" s="54">
        <f t="shared" si="15"/>
        <v>-25514.602340628902</v>
      </c>
      <c r="I24" s="54">
        <f t="shared" si="15"/>
        <v>-27617.525788600327</v>
      </c>
      <c r="J24" s="54">
        <f t="shared" si="15"/>
        <v>-29771.384923815436</v>
      </c>
      <c r="K24" s="54">
        <f t="shared" si="15"/>
        <v>-31916.384232201977</v>
      </c>
      <c r="L24" s="54">
        <f t="shared" si="15"/>
        <v>-34112.730147128052</v>
      </c>
    </row>
    <row r="25" spans="1:12" ht="15.95" customHeight="1">
      <c r="A25" s="47" t="s">
        <v>94</v>
      </c>
      <c r="B25" s="66"/>
      <c r="C25" s="68">
        <f>C23+C24</f>
        <v>-3756.624611700774</v>
      </c>
      <c r="D25" s="68">
        <f>D23+D24</f>
        <v>-8194.1034117007857</v>
      </c>
      <c r="E25" s="68">
        <f>E23+E24</f>
        <v>25195.84282005758</v>
      </c>
      <c r="F25" s="68">
        <f t="shared" ref="F25:L25" si="16">F23+F24</f>
        <v>107918.8004423082</v>
      </c>
      <c r="G25" s="68">
        <f t="shared" si="16"/>
        <v>120329.87613613356</v>
      </c>
      <c r="H25" s="68">
        <f t="shared" si="16"/>
        <v>144582.74659689714</v>
      </c>
      <c r="I25" s="68">
        <f t="shared" si="16"/>
        <v>156499.31280206854</v>
      </c>
      <c r="J25" s="68">
        <f t="shared" si="16"/>
        <v>168704.51456828747</v>
      </c>
      <c r="K25" s="68">
        <f t="shared" si="16"/>
        <v>180859.51064914453</v>
      </c>
      <c r="L25" s="68">
        <f t="shared" si="16"/>
        <v>193305.47083372565</v>
      </c>
    </row>
    <row r="26" spans="1:12" ht="15.95" customHeight="1">
      <c r="A26" s="65" t="s">
        <v>96</v>
      </c>
      <c r="B26" s="66"/>
      <c r="C26" s="66">
        <f>-(IF(C25&gt;0,C25*0.23,0))</f>
        <v>0</v>
      </c>
      <c r="D26" s="66">
        <f>-(IF(D25&gt;0,D25*0.22,0))</f>
        <v>0</v>
      </c>
      <c r="E26" s="66">
        <f>-(IF(E25&gt;0,E25*0.22,0))</f>
        <v>-5543.0854204126672</v>
      </c>
      <c r="F26" s="66">
        <f t="shared" ref="F26:L26" si="17">-(IF(F25&gt;0,F25*0.22,0))</f>
        <v>-23742.136097307804</v>
      </c>
      <c r="G26" s="66">
        <f t="shared" si="17"/>
        <v>-26472.572749949384</v>
      </c>
      <c r="H26" s="66">
        <f t="shared" si="17"/>
        <v>-31808.204251317369</v>
      </c>
      <c r="I26" s="66">
        <f t="shared" si="17"/>
        <v>-34429.84881645508</v>
      </c>
      <c r="J26" s="66">
        <f t="shared" si="17"/>
        <v>-37114.993205023246</v>
      </c>
      <c r="K26" s="66">
        <f t="shared" si="17"/>
        <v>-39789.092342811797</v>
      </c>
      <c r="L26" s="66">
        <f t="shared" si="17"/>
        <v>-42527.203583419643</v>
      </c>
    </row>
    <row r="27" spans="1:12" ht="15.95" customHeight="1">
      <c r="A27" s="47" t="s">
        <v>99</v>
      </c>
      <c r="B27" s="66"/>
      <c r="C27" s="66">
        <f>C25+C26</f>
        <v>-3756.624611700774</v>
      </c>
      <c r="D27" s="66">
        <f>D25+D26</f>
        <v>-8194.1034117007857</v>
      </c>
      <c r="E27" s="66">
        <f>E25+E26</f>
        <v>19652.757399644914</v>
      </c>
      <c r="F27" s="66">
        <f t="shared" ref="F27:L27" si="18">F25+F26</f>
        <v>84176.664345000405</v>
      </c>
      <c r="G27" s="66">
        <f t="shared" si="18"/>
        <v>93857.303386184183</v>
      </c>
      <c r="H27" s="66">
        <f t="shared" si="18"/>
        <v>112774.54234557977</v>
      </c>
      <c r="I27" s="66">
        <f t="shared" si="18"/>
        <v>122069.46398561346</v>
      </c>
      <c r="J27" s="66">
        <f t="shared" si="18"/>
        <v>131589.52136326424</v>
      </c>
      <c r="K27" s="66">
        <f t="shared" si="18"/>
        <v>141070.41830633272</v>
      </c>
      <c r="L27" s="66">
        <f t="shared" si="18"/>
        <v>150778.267250306</v>
      </c>
    </row>
    <row r="28" spans="1:12" ht="15.95" customHeight="1">
      <c r="A28" s="65" t="s">
        <v>100</v>
      </c>
      <c r="B28" s="66"/>
      <c r="C28" s="66">
        <f>-IF(C27&gt;0,0.1*C27,0)</f>
        <v>0</v>
      </c>
      <c r="D28" s="66">
        <f t="shared" ref="D28:L28" si="19">-IF(D27&gt;0,0.1*D27,0)</f>
        <v>0</v>
      </c>
      <c r="E28" s="66">
        <f t="shared" si="19"/>
        <v>-1965.2757399644915</v>
      </c>
      <c r="F28" s="66">
        <f t="shared" si="19"/>
        <v>-8417.6664345000409</v>
      </c>
      <c r="G28" s="66">
        <f t="shared" si="19"/>
        <v>-9385.7303386184194</v>
      </c>
      <c r="H28" s="66">
        <f t="shared" si="19"/>
        <v>-11277.454234557978</v>
      </c>
      <c r="I28" s="66">
        <f t="shared" si="19"/>
        <v>-12206.946398561347</v>
      </c>
      <c r="J28" s="66">
        <f t="shared" si="19"/>
        <v>-13158.952136326425</v>
      </c>
      <c r="K28" s="66">
        <f t="shared" si="19"/>
        <v>-14107.041830633272</v>
      </c>
      <c r="L28" s="66">
        <f t="shared" si="19"/>
        <v>-15077.826725030602</v>
      </c>
    </row>
    <row r="29" spans="1:12" ht="15.95" customHeight="1">
      <c r="A29" s="47" t="s">
        <v>101</v>
      </c>
      <c r="B29" s="54"/>
      <c r="C29" s="54">
        <f>C27+C28</f>
        <v>-3756.624611700774</v>
      </c>
      <c r="D29" s="54">
        <f t="shared" ref="D29:L29" si="20">D27+D28</f>
        <v>-8194.1034117007857</v>
      </c>
      <c r="E29" s="54">
        <f>E27+E28</f>
        <v>17687.481659680423</v>
      </c>
      <c r="F29" s="54">
        <f t="shared" si="20"/>
        <v>75758.997910500359</v>
      </c>
      <c r="G29" s="54">
        <f t="shared" si="20"/>
        <v>84471.573047565762</v>
      </c>
      <c r="H29" s="54">
        <f t="shared" si="20"/>
        <v>101497.08811102179</v>
      </c>
      <c r="I29" s="54">
        <f t="shared" si="20"/>
        <v>109862.51758705211</v>
      </c>
      <c r="J29" s="54">
        <f t="shared" si="20"/>
        <v>118430.56922693782</v>
      </c>
      <c r="K29" s="54">
        <f t="shared" si="20"/>
        <v>126963.37647569945</v>
      </c>
      <c r="L29" s="54">
        <f t="shared" si="20"/>
        <v>135700.44052527539</v>
      </c>
    </row>
    <row r="30" spans="1:12" ht="15.95" customHeight="1">
      <c r="A30" s="65" t="s">
        <v>244</v>
      </c>
      <c r="B30" s="66"/>
      <c r="C30" s="66">
        <f>-C21</f>
        <v>13334.1</v>
      </c>
      <c r="D30" s="66">
        <f>-D21</f>
        <v>13334.1</v>
      </c>
      <c r="E30" s="66">
        <f t="shared" ref="E30:L30" si="21">-E21</f>
        <v>13334.1</v>
      </c>
      <c r="F30" s="66">
        <f t="shared" si="21"/>
        <v>13334.1</v>
      </c>
      <c r="G30" s="66">
        <f t="shared" si="21"/>
        <v>13334.1</v>
      </c>
      <c r="H30" s="66">
        <f t="shared" si="21"/>
        <v>13334.1</v>
      </c>
      <c r="I30" s="66">
        <f t="shared" si="21"/>
        <v>13334.1</v>
      </c>
      <c r="J30" s="66">
        <f t="shared" si="21"/>
        <v>13334.1</v>
      </c>
      <c r="K30" s="66">
        <f t="shared" si="21"/>
        <v>13334.1</v>
      </c>
      <c r="L30" s="66">
        <f t="shared" si="21"/>
        <v>13334.1</v>
      </c>
    </row>
    <row r="31" spans="1:12" ht="15.95" customHeight="1">
      <c r="A31" s="65" t="s">
        <v>245</v>
      </c>
      <c r="B31" s="66"/>
      <c r="C31" s="66">
        <f>-C20</f>
        <v>531.52</v>
      </c>
      <c r="D31" s="66">
        <f>-D20</f>
        <v>531.52</v>
      </c>
      <c r="E31" s="66">
        <f>-E20</f>
        <v>531.52</v>
      </c>
      <c r="F31" s="66">
        <f>-F20</f>
        <v>531.52</v>
      </c>
      <c r="G31" s="66">
        <f>-G20</f>
        <v>531.52</v>
      </c>
      <c r="H31" s="66">
        <f>H20</f>
        <v>0</v>
      </c>
      <c r="I31" s="66">
        <f>I20</f>
        <v>0</v>
      </c>
      <c r="J31" s="66">
        <f>J20</f>
        <v>0</v>
      </c>
      <c r="K31" s="66">
        <f>K20</f>
        <v>0</v>
      </c>
      <c r="L31" s="66">
        <f>L20</f>
        <v>0</v>
      </c>
    </row>
    <row r="32" spans="1:12" ht="15.95" customHeight="1">
      <c r="A32" s="47" t="s">
        <v>56</v>
      </c>
      <c r="B32" s="66"/>
      <c r="C32" s="54">
        <f>SUM(C30:C31)</f>
        <v>13865.62</v>
      </c>
      <c r="D32" s="54">
        <f>SUM(D30:D31)</f>
        <v>13865.62</v>
      </c>
      <c r="E32" s="54">
        <f t="shared" ref="E32:L32" si="22">SUM(E30:E31)</f>
        <v>13865.62</v>
      </c>
      <c r="F32" s="54">
        <f t="shared" si="22"/>
        <v>13865.62</v>
      </c>
      <c r="G32" s="54">
        <f t="shared" si="22"/>
        <v>13865.62</v>
      </c>
      <c r="H32" s="54">
        <f t="shared" si="22"/>
        <v>13334.1</v>
      </c>
      <c r="I32" s="54">
        <f t="shared" si="22"/>
        <v>13334.1</v>
      </c>
      <c r="J32" s="54">
        <f t="shared" si="22"/>
        <v>13334.1</v>
      </c>
      <c r="K32" s="54">
        <f t="shared" si="22"/>
        <v>13334.1</v>
      </c>
      <c r="L32" s="54">
        <f t="shared" si="22"/>
        <v>13334.1</v>
      </c>
    </row>
    <row r="33" spans="1:12" ht="15.95" customHeight="1">
      <c r="A33" s="65" t="s">
        <v>236</v>
      </c>
      <c r="B33" s="66"/>
      <c r="C33" s="66">
        <f>-Financiamiento!C3</f>
        <v>-10580.45</v>
      </c>
      <c r="D33" s="66">
        <f>-Financiamiento!C4</f>
        <v>-11768.69</v>
      </c>
      <c r="E33" s="66">
        <f>-Financiamiento!C5</f>
        <v>-13090.37</v>
      </c>
      <c r="F33" s="66">
        <f>-Financiamiento!C6</f>
        <v>-14560.49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</row>
    <row r="34" spans="1:12" ht="15.95" customHeight="1">
      <c r="A34" s="65" t="s">
        <v>237</v>
      </c>
      <c r="B34" s="66">
        <v>50000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5.95" customHeight="1">
      <c r="A35" s="65" t="s">
        <v>57</v>
      </c>
      <c r="B35" s="66">
        <f>-[3]tecnico!$E$29</f>
        <v>-83341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5.95" customHeight="1">
      <c r="A36" s="65" t="s">
        <v>58</v>
      </c>
      <c r="B36" s="66">
        <f>0</f>
        <v>0</v>
      </c>
      <c r="C36" s="66">
        <f>-[4]tecnico!$C$43</f>
        <v>0</v>
      </c>
      <c r="D36" s="66">
        <f>-[4]tecnico!$D$43</f>
        <v>0</v>
      </c>
      <c r="E36" s="66">
        <f>-[4]tecnico!$E$43</f>
        <v>-11760</v>
      </c>
      <c r="F36" s="66">
        <f>-[4]tecnico!$F$43</f>
        <v>0</v>
      </c>
      <c r="G36" s="66">
        <f>-[4]tecnico!$G$43</f>
        <v>-22560</v>
      </c>
      <c r="H36" s="66">
        <f>-[4]tecnico!$H$43</f>
        <v>-11760</v>
      </c>
      <c r="I36" s="66">
        <f>-[4]tecnico!$I$43</f>
        <v>0</v>
      </c>
      <c r="J36" s="66">
        <f>-[4]tecnico!$J$43</f>
        <v>0</v>
      </c>
      <c r="K36" s="66">
        <f>-[4]tecnico!$K$43</f>
        <v>-11760</v>
      </c>
      <c r="L36" s="66">
        <f>-[4]tecnico!$L$43</f>
        <v>0</v>
      </c>
    </row>
    <row r="37" spans="1:12" ht="15.95" customHeight="1">
      <c r="A37" s="65" t="s">
        <v>239</v>
      </c>
      <c r="B37" s="66">
        <f>-'ACTIVOS INTANGIBLES'!B14</f>
        <v>-2657.6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5.95" customHeight="1">
      <c r="A38" s="65" t="s">
        <v>33</v>
      </c>
      <c r="B38" s="66">
        <f>'Capital de trabajo'!D9</f>
        <v>-19902.767136184884</v>
      </c>
      <c r="C38" s="66"/>
      <c r="D38" s="66"/>
      <c r="E38" s="66"/>
      <c r="F38" s="66"/>
      <c r="G38" s="66"/>
      <c r="H38" s="66"/>
      <c r="I38" s="66"/>
      <c r="J38" s="66"/>
      <c r="K38" s="66"/>
      <c r="L38" s="66">
        <f>-B38</f>
        <v>19902.767136184884</v>
      </c>
    </row>
    <row r="39" spans="1:12" ht="15.95" customHeight="1">
      <c r="A39" s="65" t="s">
        <v>35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>
        <f>'Valor de desecho'!H28</f>
        <v>7840.0000000000009</v>
      </c>
    </row>
    <row r="40" spans="1:12" ht="15.95" customHeight="1">
      <c r="A40" s="64" t="s">
        <v>36</v>
      </c>
      <c r="B40" s="143">
        <f>B29+SUM(B32:B39)</f>
        <v>-55901.367136184883</v>
      </c>
      <c r="C40" s="143">
        <f t="shared" ref="C40:L40" si="23">C29+SUM(C32:C39)</f>
        <v>-471.45461170077397</v>
      </c>
      <c r="D40" s="143">
        <f t="shared" si="23"/>
        <v>-6097.1734117007854</v>
      </c>
      <c r="E40" s="143">
        <f t="shared" si="23"/>
        <v>6702.731659680423</v>
      </c>
      <c r="F40" s="143">
        <f t="shared" si="23"/>
        <v>75064.127910500363</v>
      </c>
      <c r="G40" s="143">
        <f t="shared" si="23"/>
        <v>75777.193047565757</v>
      </c>
      <c r="H40" s="143">
        <f t="shared" si="23"/>
        <v>103071.18811102179</v>
      </c>
      <c r="I40" s="143">
        <f t="shared" si="23"/>
        <v>123196.61758705211</v>
      </c>
      <c r="J40" s="143">
        <f t="shared" si="23"/>
        <v>131764.66922693781</v>
      </c>
      <c r="K40" s="143">
        <f t="shared" si="23"/>
        <v>128537.47647569946</v>
      </c>
      <c r="L40" s="143">
        <f t="shared" si="23"/>
        <v>176777.30766146028</v>
      </c>
    </row>
    <row r="41" spans="1:12" ht="15.95" customHeight="1">
      <c r="A41" s="70" t="s">
        <v>223</v>
      </c>
      <c r="B41" s="138">
        <v>6.3500000000000001E-2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</row>
    <row r="42" spans="1:12" ht="15.95" customHeight="1">
      <c r="A42" s="70" t="s">
        <v>224</v>
      </c>
      <c r="B42" s="137">
        <f>NPV(B41, C40:L40)+B40</f>
        <v>459404.07525386778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</row>
    <row r="43" spans="1:12" ht="15.95" customHeight="1">
      <c r="A43" s="70" t="s">
        <v>30</v>
      </c>
      <c r="B43" s="138">
        <f>IRR(B40:L40)</f>
        <v>0.48048255731875256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</row>
    <row r="45" spans="1:12">
      <c r="D45" s="136"/>
    </row>
    <row r="46" spans="1:12" ht="15">
      <c r="A46" s="69" t="s">
        <v>206</v>
      </c>
    </row>
    <row r="47" spans="1:12">
      <c r="A47" s="42" t="s">
        <v>207</v>
      </c>
    </row>
    <row r="48" spans="1:12">
      <c r="A48" s="42" t="s">
        <v>208</v>
      </c>
    </row>
    <row r="49" spans="1:1">
      <c r="A49" s="42" t="s">
        <v>209</v>
      </c>
    </row>
    <row r="50" spans="1:1">
      <c r="A50" s="42" t="s">
        <v>210</v>
      </c>
    </row>
    <row r="51" spans="1:1">
      <c r="A51" s="42" t="s">
        <v>211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zoomScaleSheetLayoutView="80" workbookViewId="0">
      <selection activeCell="B14" sqref="B14"/>
    </sheetView>
  </sheetViews>
  <sheetFormatPr baseColWidth="10" defaultRowHeight="14.25"/>
  <cols>
    <col min="1" max="1" width="60.42578125" style="42" customWidth="1"/>
    <col min="2" max="12" width="17.7109375" style="42" customWidth="1"/>
    <col min="13" max="16384" width="11.42578125" style="42"/>
  </cols>
  <sheetData>
    <row r="1" spans="1:12" ht="15.95" customHeight="1">
      <c r="A1" s="69" t="s">
        <v>226</v>
      </c>
      <c r="C1" s="136"/>
    </row>
    <row r="2" spans="1:12" ht="15.95" customHeight="1">
      <c r="A2" s="64" t="s">
        <v>29</v>
      </c>
      <c r="B2" s="70">
        <v>0</v>
      </c>
      <c r="C2" s="70">
        <v>1</v>
      </c>
      <c r="D2" s="70">
        <v>2</v>
      </c>
      <c r="E2" s="70">
        <v>3</v>
      </c>
      <c r="F2" s="70">
        <v>4</v>
      </c>
      <c r="G2" s="70">
        <v>5</v>
      </c>
      <c r="H2" s="70">
        <v>6</v>
      </c>
      <c r="I2" s="70">
        <v>7</v>
      </c>
      <c r="J2" s="70">
        <v>8</v>
      </c>
      <c r="K2" s="70">
        <v>9</v>
      </c>
      <c r="L2" s="70">
        <v>10</v>
      </c>
    </row>
    <row r="3" spans="1:12" ht="15.95" customHeight="1">
      <c r="A3" s="65" t="s">
        <v>232</v>
      </c>
      <c r="B3" s="66"/>
      <c r="C3" s="66">
        <f>'[1]ESTIMACION DE DEMANDA'!$C$36</f>
        <v>492253.07618856896</v>
      </c>
      <c r="D3" s="66">
        <f>'[1]ESTIMACION DE DEMANDA'!$C$36</f>
        <v>492253.07618856896</v>
      </c>
      <c r="E3" s="66">
        <f>(D3)*(1.01)</f>
        <v>497175.60695045465</v>
      </c>
      <c r="F3" s="66">
        <f t="shared" ref="F3:L4" si="0">(E3)*(1.01)</f>
        <v>502147.36301995919</v>
      </c>
      <c r="G3" s="66">
        <f t="shared" si="0"/>
        <v>507168.8366501588</v>
      </c>
      <c r="H3" s="66">
        <f t="shared" si="0"/>
        <v>512240.52501666039</v>
      </c>
      <c r="I3" s="66">
        <f t="shared" si="0"/>
        <v>517362.930266827</v>
      </c>
      <c r="J3" s="66">
        <f t="shared" si="0"/>
        <v>522536.55956949526</v>
      </c>
      <c r="K3" s="66">
        <f t="shared" si="0"/>
        <v>527761.92516519025</v>
      </c>
      <c r="L3" s="66">
        <f t="shared" si="0"/>
        <v>533039.54441684217</v>
      </c>
    </row>
    <row r="4" spans="1:12" ht="15.95" customHeight="1">
      <c r="A4" s="65" t="s">
        <v>246</v>
      </c>
      <c r="B4" s="66"/>
      <c r="C4" s="66">
        <f>'[2]ESTIMACION DE DEMANDA'!$C$43</f>
        <v>975594.84014122677</v>
      </c>
      <c r="D4" s="66">
        <f>C4</f>
        <v>975594.84014122677</v>
      </c>
      <c r="E4" s="66">
        <f>(D4)*(1.01)</f>
        <v>985350.788542639</v>
      </c>
      <c r="F4" s="66">
        <f t="shared" si="0"/>
        <v>995204.2964280654</v>
      </c>
      <c r="G4" s="66">
        <f t="shared" si="0"/>
        <v>1005156.3393923461</v>
      </c>
      <c r="H4" s="66">
        <f t="shared" si="0"/>
        <v>1015207.9027862696</v>
      </c>
      <c r="I4" s="66">
        <f t="shared" si="0"/>
        <v>1025359.9818141323</v>
      </c>
      <c r="J4" s="66">
        <f t="shared" si="0"/>
        <v>1035613.5816322736</v>
      </c>
      <c r="K4" s="66">
        <f t="shared" si="0"/>
        <v>1045969.7174485964</v>
      </c>
      <c r="L4" s="66">
        <f t="shared" si="0"/>
        <v>1056429.4146230824</v>
      </c>
    </row>
    <row r="5" spans="1:12" ht="15.95" customHeight="1">
      <c r="A5" s="47" t="s">
        <v>47</v>
      </c>
      <c r="B5" s="66"/>
      <c r="C5" s="54">
        <f>SUM(C3:C4)</f>
        <v>1467847.9163297957</v>
      </c>
      <c r="D5" s="54">
        <f t="shared" ref="D5:L5" si="1">SUM(D3:D4)</f>
        <v>1467847.9163297957</v>
      </c>
      <c r="E5" s="54">
        <f t="shared" si="1"/>
        <v>1482526.3954930936</v>
      </c>
      <c r="F5" s="54">
        <f t="shared" si="1"/>
        <v>1497351.6594480246</v>
      </c>
      <c r="G5" s="54">
        <f t="shared" si="1"/>
        <v>1512325.1760425048</v>
      </c>
      <c r="H5" s="54">
        <f t="shared" si="1"/>
        <v>1527448.4278029299</v>
      </c>
      <c r="I5" s="54">
        <f t="shared" si="1"/>
        <v>1542722.9120809594</v>
      </c>
      <c r="J5" s="54">
        <f t="shared" si="1"/>
        <v>1558150.141201769</v>
      </c>
      <c r="K5" s="54">
        <f t="shared" si="1"/>
        <v>1573731.6426137867</v>
      </c>
      <c r="L5" s="54">
        <f t="shared" si="1"/>
        <v>1589468.9590399247</v>
      </c>
    </row>
    <row r="6" spans="1:12" ht="15.95" customHeight="1">
      <c r="A6" s="65" t="s">
        <v>235</v>
      </c>
      <c r="B6" s="66"/>
      <c r="C6" s="66">
        <f>-'[1]ESTIMACION DE DEMANDA'!$C$53</f>
        <v>-410210.89682380756</v>
      </c>
      <c r="D6" s="66">
        <f>-'[1]ESTIMACION DE DEMANDA'!$C$53</f>
        <v>-410210.89682380756</v>
      </c>
      <c r="E6" s="66">
        <f>-'[1]ESTIMACION DE DEMANDA'!$C$53</f>
        <v>-410210.89682380756</v>
      </c>
      <c r="F6" s="66">
        <f>-('[1]ESTIMACION DE DEMANDA'!$C$53)*(0.8)</f>
        <v>-328168.71745904605</v>
      </c>
      <c r="G6" s="66">
        <f>-('[1]ESTIMACION DE DEMANDA'!$C$53)*(0.8)</f>
        <v>-328168.71745904605</v>
      </c>
      <c r="H6" s="66">
        <f>-('[1]ESTIMACION DE DEMANDA'!$C$53)*(0.8)</f>
        <v>-328168.71745904605</v>
      </c>
      <c r="I6" s="66">
        <f>-('[1]ESTIMACION DE DEMANDA'!$C$53)*(0.8)</f>
        <v>-328168.71745904605</v>
      </c>
      <c r="J6" s="66">
        <f>-('[1]ESTIMACION DE DEMANDA'!$C$53)*(0.8)</f>
        <v>-328168.71745904605</v>
      </c>
      <c r="K6" s="66">
        <f>-('[1]ESTIMACION DE DEMANDA'!$C$53)*(0.8)</f>
        <v>-328168.71745904605</v>
      </c>
      <c r="L6" s="66">
        <f>-('[1]ESTIMACION DE DEMANDA'!$C$53)*(0.8)</f>
        <v>-328168.71745904605</v>
      </c>
    </row>
    <row r="7" spans="1:12" ht="15.95" customHeight="1">
      <c r="A7" s="65" t="s">
        <v>234</v>
      </c>
      <c r="B7" s="66"/>
      <c r="C7" s="66">
        <f>-'[2]ESTIMACION DE DEMANDA'!$C$60</f>
        <v>-812995.70011768886</v>
      </c>
      <c r="D7" s="66">
        <f>C7</f>
        <v>-812995.70011768886</v>
      </c>
      <c r="E7" s="66">
        <f t="shared" ref="E7:L7" si="2">D7</f>
        <v>-812995.70011768886</v>
      </c>
      <c r="F7" s="66">
        <f t="shared" si="2"/>
        <v>-812995.70011768886</v>
      </c>
      <c r="G7" s="66">
        <f t="shared" si="2"/>
        <v>-812995.70011768886</v>
      </c>
      <c r="H7" s="66">
        <f t="shared" si="2"/>
        <v>-812995.70011768886</v>
      </c>
      <c r="I7" s="66">
        <f t="shared" si="2"/>
        <v>-812995.70011768886</v>
      </c>
      <c r="J7" s="66">
        <f t="shared" si="2"/>
        <v>-812995.70011768886</v>
      </c>
      <c r="K7" s="66">
        <f t="shared" si="2"/>
        <v>-812995.70011768886</v>
      </c>
      <c r="L7" s="66">
        <f t="shared" si="2"/>
        <v>-812995.70011768886</v>
      </c>
    </row>
    <row r="8" spans="1:12" ht="15.95" customHeight="1">
      <c r="A8" s="47" t="s">
        <v>42</v>
      </c>
      <c r="B8" s="66"/>
      <c r="C8" s="54">
        <f>SUM(C6:C7)</f>
        <v>-1223206.5969414965</v>
      </c>
      <c r="D8" s="54">
        <f t="shared" ref="D8:L8" si="3">SUM(D6:D7)</f>
        <v>-1223206.5969414965</v>
      </c>
      <c r="E8" s="54">
        <f t="shared" si="3"/>
        <v>-1223206.5969414965</v>
      </c>
      <c r="F8" s="54">
        <f t="shared" si="3"/>
        <v>-1141164.4175767349</v>
      </c>
      <c r="G8" s="54">
        <f t="shared" si="3"/>
        <v>-1141164.4175767349</v>
      </c>
      <c r="H8" s="54">
        <f t="shared" si="3"/>
        <v>-1141164.4175767349</v>
      </c>
      <c r="I8" s="54">
        <f t="shared" si="3"/>
        <v>-1141164.4175767349</v>
      </c>
      <c r="J8" s="54">
        <f t="shared" si="3"/>
        <v>-1141164.4175767349</v>
      </c>
      <c r="K8" s="54">
        <f t="shared" si="3"/>
        <v>-1141164.4175767349</v>
      </c>
      <c r="L8" s="54">
        <f t="shared" si="3"/>
        <v>-1141164.4175767349</v>
      </c>
    </row>
    <row r="9" spans="1:12" ht="15.95" customHeight="1">
      <c r="A9" s="47" t="s">
        <v>168</v>
      </c>
      <c r="B9" s="66"/>
      <c r="C9" s="54">
        <f>C5+C8</f>
        <v>244641.31938829925</v>
      </c>
      <c r="D9" s="54">
        <f t="shared" ref="D9:L9" si="4">D5+D8</f>
        <v>244641.31938829925</v>
      </c>
      <c r="E9" s="54">
        <f t="shared" si="4"/>
        <v>259319.79855159717</v>
      </c>
      <c r="F9" s="54">
        <f t="shared" si="4"/>
        <v>356187.24187128968</v>
      </c>
      <c r="G9" s="54">
        <f t="shared" si="4"/>
        <v>371160.75846576993</v>
      </c>
      <c r="H9" s="54">
        <f t="shared" si="4"/>
        <v>386284.01022619498</v>
      </c>
      <c r="I9" s="54">
        <f t="shared" si="4"/>
        <v>401558.49450422451</v>
      </c>
      <c r="J9" s="54">
        <f t="shared" si="4"/>
        <v>416985.72362503409</v>
      </c>
      <c r="K9" s="54">
        <f t="shared" si="4"/>
        <v>432567.22503705183</v>
      </c>
      <c r="L9" s="54">
        <f t="shared" si="4"/>
        <v>448304.54146318976</v>
      </c>
    </row>
    <row r="10" spans="1:12" ht="15.95" customHeight="1">
      <c r="A10" s="65" t="s">
        <v>156</v>
      </c>
      <c r="B10" s="66"/>
      <c r="C10" s="66">
        <f>SUM('F. Caja Optimista'!C10:C17)</f>
        <v>-229695.40400000001</v>
      </c>
      <c r="D10" s="66">
        <f>SUM('F. Caja Optimista'!D10:D17)</f>
        <v>-235321.11280000003</v>
      </c>
      <c r="E10" s="66">
        <f>SUM('F. Caja Optimista'!E10:E17)</f>
        <v>-213485.01052800001</v>
      </c>
      <c r="F10" s="66">
        <f>SUM('F. Caja Optimista'!F10:F17)</f>
        <v>-214501.44723328002</v>
      </c>
      <c r="G10" s="66">
        <f>SUM('F. Caja Optimista'!G10:G17)</f>
        <v>-215730.57830561281</v>
      </c>
      <c r="H10" s="66">
        <f>SUM('F. Caja Optimista'!H10:H17)</f>
        <v>-202852.56128866895</v>
      </c>
      <c r="I10" s="66">
        <f>SUM('F. Caja Optimista'!I10:I17)</f>
        <v>-204107.55591355564</v>
      </c>
      <c r="J10" s="66">
        <f>SUM('F. Caja Optimista'!J10:J17)</f>
        <v>-205175.72413293118</v>
      </c>
      <c r="K10" s="66">
        <f>SUM('F. Caja Optimista'!K10:K17)</f>
        <v>-206457.2301557053</v>
      </c>
      <c r="L10" s="66">
        <f>SUM('F. Caja Optimista'!L10:L17)</f>
        <v>-207552.24048233606</v>
      </c>
    </row>
    <row r="11" spans="1:12" ht="15.95" customHeight="1">
      <c r="A11" s="65" t="s">
        <v>37</v>
      </c>
      <c r="B11" s="66"/>
      <c r="C11" s="66">
        <v>-4836.92</v>
      </c>
      <c r="D11" s="66">
        <v>-3648.69</v>
      </c>
      <c r="E11" s="66">
        <v>-2327</v>
      </c>
      <c r="F11" s="66">
        <v>-856.88</v>
      </c>
      <c r="G11" s="66" t="s">
        <v>155</v>
      </c>
      <c r="H11" s="66" t="s">
        <v>155</v>
      </c>
      <c r="I11" s="66" t="s">
        <v>155</v>
      </c>
      <c r="J11" s="66" t="s">
        <v>155</v>
      </c>
      <c r="K11" s="66" t="s">
        <v>155</v>
      </c>
      <c r="L11" s="66" t="s">
        <v>155</v>
      </c>
    </row>
    <row r="12" spans="1:12" ht="15.95" customHeight="1">
      <c r="A12" s="65" t="s">
        <v>157</v>
      </c>
      <c r="B12" s="66"/>
      <c r="C12" s="66">
        <f>SUM('F. Caja Optimista'!C20:C21)</f>
        <v>-13865.62</v>
      </c>
      <c r="D12" s="66">
        <f>SUM('F. Caja Optimista'!D20:D21)</f>
        <v>-13865.62</v>
      </c>
      <c r="E12" s="66">
        <f>SUM('F. Caja Optimista'!E20:E21)</f>
        <v>-13865.62</v>
      </c>
      <c r="F12" s="66">
        <f>SUM('F. Caja Optimista'!F20:F21)</f>
        <v>-13865.62</v>
      </c>
      <c r="G12" s="66">
        <f>SUM('F. Caja Optimista'!G20:G21)</f>
        <v>-13865.62</v>
      </c>
      <c r="H12" s="66">
        <f>SUM('F. Caja Optimista'!H20:H21)</f>
        <v>-13334.1</v>
      </c>
      <c r="I12" s="66">
        <f>SUM('F. Caja Optimista'!I20:I21)</f>
        <v>-13334.1</v>
      </c>
      <c r="J12" s="66">
        <f>SUM('F. Caja Optimista'!J20:J21)</f>
        <v>-13334.1</v>
      </c>
      <c r="K12" s="66">
        <f>SUM('F. Caja Optimista'!K20:K21)</f>
        <v>-13334.1</v>
      </c>
      <c r="L12" s="66">
        <f>SUM('F. Caja Optimista'!L20:L21)</f>
        <v>-13334.1</v>
      </c>
    </row>
    <row r="13" spans="1:12" ht="15.95" customHeight="1">
      <c r="A13" s="47" t="s">
        <v>95</v>
      </c>
      <c r="B13" s="66"/>
      <c r="C13" s="54">
        <f>SUM(C9:C12)</f>
        <v>-3756.6246117007613</v>
      </c>
      <c r="D13" s="54">
        <f t="shared" ref="D13:L13" si="5">SUM(D9:D12)</f>
        <v>-8194.1034117007839</v>
      </c>
      <c r="E13" s="54">
        <f t="shared" si="5"/>
        <v>29642.168023597151</v>
      </c>
      <c r="F13" s="54">
        <f t="shared" si="5"/>
        <v>126963.29463800965</v>
      </c>
      <c r="G13" s="54">
        <f t="shared" si="5"/>
        <v>141564.56016015713</v>
      </c>
      <c r="H13" s="54">
        <f t="shared" si="5"/>
        <v>170097.34893752603</v>
      </c>
      <c r="I13" s="54">
        <f t="shared" si="5"/>
        <v>184116.83859066886</v>
      </c>
      <c r="J13" s="54">
        <f t="shared" si="5"/>
        <v>198475.89949210291</v>
      </c>
      <c r="K13" s="54">
        <f t="shared" si="5"/>
        <v>212775.89488134652</v>
      </c>
      <c r="L13" s="54">
        <f t="shared" si="5"/>
        <v>227418.2009808537</v>
      </c>
    </row>
    <row r="14" spans="1:12" ht="15.95" customHeight="1">
      <c r="A14" s="65" t="s">
        <v>98</v>
      </c>
      <c r="B14" s="66"/>
      <c r="C14" s="66">
        <f>-IF(C13&gt;0, 0.15*C13,0)</f>
        <v>0</v>
      </c>
      <c r="D14" s="66">
        <f t="shared" ref="D14:L14" si="6">-IF(D13&gt;0, 0.15*D13,0)</f>
        <v>0</v>
      </c>
      <c r="E14" s="66">
        <f t="shared" si="6"/>
        <v>-4446.3252035395726</v>
      </c>
      <c r="F14" s="66">
        <f t="shared" si="6"/>
        <v>-19044.494195701449</v>
      </c>
      <c r="G14" s="66">
        <f t="shared" si="6"/>
        <v>-21234.684024023569</v>
      </c>
      <c r="H14" s="66">
        <f t="shared" si="6"/>
        <v>-25514.602340628902</v>
      </c>
      <c r="I14" s="66">
        <f t="shared" si="6"/>
        <v>-27617.525788600327</v>
      </c>
      <c r="J14" s="66">
        <f t="shared" si="6"/>
        <v>-29771.384923815436</v>
      </c>
      <c r="K14" s="66">
        <f t="shared" si="6"/>
        <v>-31916.384232201977</v>
      </c>
      <c r="L14" s="66">
        <f t="shared" si="6"/>
        <v>-34112.730147128052</v>
      </c>
    </row>
    <row r="15" spans="1:12" ht="15.95" customHeight="1">
      <c r="A15" s="47" t="s">
        <v>94</v>
      </c>
      <c r="B15" s="66"/>
      <c r="C15" s="68">
        <f>C13+C14</f>
        <v>-3756.6246117007613</v>
      </c>
      <c r="D15" s="68">
        <f>D13+D14</f>
        <v>-8194.1034117007839</v>
      </c>
      <c r="E15" s="68">
        <f>E13+E14</f>
        <v>25195.84282005758</v>
      </c>
      <c r="F15" s="68">
        <f t="shared" ref="F15:L15" si="7">F13+F14</f>
        <v>107918.8004423082</v>
      </c>
      <c r="G15" s="68">
        <f t="shared" si="7"/>
        <v>120329.87613613356</v>
      </c>
      <c r="H15" s="68">
        <f t="shared" si="7"/>
        <v>144582.74659689714</v>
      </c>
      <c r="I15" s="68">
        <f t="shared" si="7"/>
        <v>156499.31280206854</v>
      </c>
      <c r="J15" s="68">
        <f t="shared" si="7"/>
        <v>168704.51456828747</v>
      </c>
      <c r="K15" s="68">
        <f t="shared" si="7"/>
        <v>180859.51064914453</v>
      </c>
      <c r="L15" s="68">
        <f t="shared" si="7"/>
        <v>193305.47083372565</v>
      </c>
    </row>
    <row r="16" spans="1:12" ht="15.95" customHeight="1">
      <c r="A16" s="142" t="s">
        <v>96</v>
      </c>
      <c r="B16" s="66"/>
      <c r="C16" s="66">
        <f>-(IF(C15&gt;0,C15*0.23,0))</f>
        <v>0</v>
      </c>
      <c r="D16" s="66">
        <f>-(IF(D15&gt;0,D15*0.22,0))</f>
        <v>0</v>
      </c>
      <c r="E16" s="66">
        <f>-(IF(E15&gt;0,E15*0.22,0))</f>
        <v>-5543.0854204126672</v>
      </c>
      <c r="F16" s="66">
        <f t="shared" ref="F16:L16" si="8">-(IF(F15&gt;0,F15*0.22,0))</f>
        <v>-23742.136097307804</v>
      </c>
      <c r="G16" s="66">
        <f t="shared" si="8"/>
        <v>-26472.572749949384</v>
      </c>
      <c r="H16" s="66">
        <f t="shared" si="8"/>
        <v>-31808.204251317369</v>
      </c>
      <c r="I16" s="66">
        <f t="shared" si="8"/>
        <v>-34429.84881645508</v>
      </c>
      <c r="J16" s="66">
        <f t="shared" si="8"/>
        <v>-37114.993205023246</v>
      </c>
      <c r="K16" s="66">
        <f t="shared" si="8"/>
        <v>-39789.092342811797</v>
      </c>
      <c r="L16" s="66">
        <f t="shared" si="8"/>
        <v>-42527.203583419643</v>
      </c>
    </row>
    <row r="17" spans="1:12" ht="15.95" customHeight="1">
      <c r="A17" s="65" t="s">
        <v>99</v>
      </c>
      <c r="B17" s="66"/>
      <c r="C17" s="66">
        <f>C15+C16</f>
        <v>-3756.6246117007613</v>
      </c>
      <c r="D17" s="66">
        <f>D15+D16</f>
        <v>-8194.1034117007839</v>
      </c>
      <c r="E17" s="66">
        <f>E15+E16</f>
        <v>19652.757399644914</v>
      </c>
      <c r="F17" s="66">
        <f t="shared" ref="F17:L17" si="9">F15+F16</f>
        <v>84176.664345000405</v>
      </c>
      <c r="G17" s="66">
        <f t="shared" si="9"/>
        <v>93857.303386184183</v>
      </c>
      <c r="H17" s="66">
        <f t="shared" si="9"/>
        <v>112774.54234557977</v>
      </c>
      <c r="I17" s="66">
        <f t="shared" si="9"/>
        <v>122069.46398561346</v>
      </c>
      <c r="J17" s="66">
        <f t="shared" si="9"/>
        <v>131589.52136326424</v>
      </c>
      <c r="K17" s="66">
        <f t="shared" si="9"/>
        <v>141070.41830633272</v>
      </c>
      <c r="L17" s="66">
        <f t="shared" si="9"/>
        <v>150778.267250306</v>
      </c>
    </row>
    <row r="18" spans="1:12" ht="15.95" customHeight="1">
      <c r="A18" s="65" t="s">
        <v>100</v>
      </c>
      <c r="B18" s="66"/>
      <c r="C18" s="66">
        <f>-IF(C17&gt;0,0.1*C17,0)</f>
        <v>0</v>
      </c>
      <c r="D18" s="66">
        <f t="shared" ref="D18:L18" si="10">-IF(D17&gt;0,0.1*D17,0)</f>
        <v>0</v>
      </c>
      <c r="E18" s="66">
        <f t="shared" si="10"/>
        <v>-1965.2757399644915</v>
      </c>
      <c r="F18" s="66">
        <f t="shared" si="10"/>
        <v>-8417.6664345000409</v>
      </c>
      <c r="G18" s="66">
        <f t="shared" si="10"/>
        <v>-9385.7303386184194</v>
      </c>
      <c r="H18" s="66">
        <f t="shared" si="10"/>
        <v>-11277.454234557978</v>
      </c>
      <c r="I18" s="66">
        <f t="shared" si="10"/>
        <v>-12206.946398561347</v>
      </c>
      <c r="J18" s="66">
        <f t="shared" si="10"/>
        <v>-13158.952136326425</v>
      </c>
      <c r="K18" s="66">
        <f t="shared" si="10"/>
        <v>-14107.041830633272</v>
      </c>
      <c r="L18" s="66">
        <f t="shared" si="10"/>
        <v>-15077.826725030602</v>
      </c>
    </row>
    <row r="19" spans="1:12" ht="15.95" customHeight="1">
      <c r="A19" s="47" t="s">
        <v>101</v>
      </c>
      <c r="B19" s="54"/>
      <c r="C19" s="54">
        <f>C17+C18</f>
        <v>-3756.6246117007613</v>
      </c>
      <c r="D19" s="54">
        <f t="shared" ref="D19:L19" si="11">D17+D18</f>
        <v>-8194.1034117007839</v>
      </c>
      <c r="E19" s="54">
        <f>E17+E18</f>
        <v>17687.481659680423</v>
      </c>
      <c r="F19" s="54">
        <f t="shared" si="11"/>
        <v>75758.997910500359</v>
      </c>
      <c r="G19" s="54">
        <f t="shared" si="11"/>
        <v>84471.573047565762</v>
      </c>
      <c r="H19" s="54">
        <f t="shared" si="11"/>
        <v>101497.08811102179</v>
      </c>
      <c r="I19" s="54">
        <f t="shared" si="11"/>
        <v>109862.51758705211</v>
      </c>
      <c r="J19" s="54">
        <f t="shared" si="11"/>
        <v>118430.56922693782</v>
      </c>
      <c r="K19" s="54">
        <f t="shared" si="11"/>
        <v>126963.37647569945</v>
      </c>
      <c r="L19" s="54">
        <f t="shared" si="11"/>
        <v>135700.44052527539</v>
      </c>
    </row>
    <row r="20" spans="1:12" ht="15.95" customHeight="1">
      <c r="A20" s="65" t="s">
        <v>158</v>
      </c>
      <c r="B20" s="66"/>
      <c r="C20" s="66">
        <f>(-C12)</f>
        <v>13865.62</v>
      </c>
      <c r="D20" s="66">
        <f t="shared" ref="D20:L20" si="12">(-D12)</f>
        <v>13865.62</v>
      </c>
      <c r="E20" s="66">
        <f t="shared" si="12"/>
        <v>13865.62</v>
      </c>
      <c r="F20" s="66">
        <f t="shared" si="12"/>
        <v>13865.62</v>
      </c>
      <c r="G20" s="66">
        <f t="shared" si="12"/>
        <v>13865.62</v>
      </c>
      <c r="H20" s="66">
        <f t="shared" si="12"/>
        <v>13334.1</v>
      </c>
      <c r="I20" s="66">
        <f t="shared" si="12"/>
        <v>13334.1</v>
      </c>
      <c r="J20" s="66">
        <f t="shared" si="12"/>
        <v>13334.1</v>
      </c>
      <c r="K20" s="66">
        <f t="shared" si="12"/>
        <v>13334.1</v>
      </c>
      <c r="L20" s="66">
        <f t="shared" si="12"/>
        <v>13334.1</v>
      </c>
    </row>
    <row r="21" spans="1:12" ht="15.95" customHeight="1">
      <c r="A21" s="65" t="s">
        <v>236</v>
      </c>
      <c r="B21" s="66"/>
      <c r="C21" s="66">
        <f>-Financiamiento!C3</f>
        <v>-10580.45</v>
      </c>
      <c r="D21" s="66">
        <f>-Financiamiento!C4</f>
        <v>-11768.69</v>
      </c>
      <c r="E21" s="66">
        <f>-Financiamiento!C5</f>
        <v>-13090.37</v>
      </c>
      <c r="F21" s="66">
        <f>-Financiamiento!C6</f>
        <v>-14560.49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</row>
    <row r="22" spans="1:12" ht="15.95" customHeight="1">
      <c r="A22" s="65" t="s">
        <v>237</v>
      </c>
      <c r="B22" s="66">
        <v>50000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5.95" customHeight="1">
      <c r="A23" s="65" t="s">
        <v>238</v>
      </c>
      <c r="B23" s="66">
        <f>-[3]tecnico!$E$29</f>
        <v>-83341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5.95" customHeight="1">
      <c r="A24" s="65" t="s">
        <v>58</v>
      </c>
      <c r="B24" s="66">
        <f>0</f>
        <v>0</v>
      </c>
      <c r="C24" s="66">
        <f>-[4]tecnico!$C$43</f>
        <v>0</v>
      </c>
      <c r="D24" s="66">
        <f>-[4]tecnico!$D$43</f>
        <v>0</v>
      </c>
      <c r="E24" s="66">
        <f>-[4]tecnico!$E$43</f>
        <v>-11760</v>
      </c>
      <c r="F24" s="66">
        <f>-[4]tecnico!$F$43</f>
        <v>0</v>
      </c>
      <c r="G24" s="66">
        <f>-[4]tecnico!$G$43</f>
        <v>-22560</v>
      </c>
      <c r="H24" s="66">
        <f>-[4]tecnico!$H$43</f>
        <v>-11760</v>
      </c>
      <c r="I24" s="66">
        <f>-[4]tecnico!$I$43</f>
        <v>0</v>
      </c>
      <c r="J24" s="66">
        <f>-[4]tecnico!$J$43</f>
        <v>0</v>
      </c>
      <c r="K24" s="66">
        <f>-[4]tecnico!$K$43</f>
        <v>-11760</v>
      </c>
      <c r="L24" s="66">
        <f>-[4]tecnico!$L$43</f>
        <v>0</v>
      </c>
    </row>
    <row r="25" spans="1:12" ht="15.95" customHeight="1">
      <c r="A25" s="65" t="s">
        <v>239</v>
      </c>
      <c r="B25" s="66">
        <f>-'ACTIVOS INTANGIBLES'!B14</f>
        <v>-2657.6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5.95" customHeight="1">
      <c r="A26" s="65" t="s">
        <v>33</v>
      </c>
      <c r="B26" s="66">
        <f>'Capital de trabajo'!D9</f>
        <v>-19902.767136184884</v>
      </c>
      <c r="C26" s="66"/>
      <c r="D26" s="66"/>
      <c r="E26" s="66"/>
      <c r="F26" s="66"/>
      <c r="G26" s="66"/>
      <c r="H26" s="66"/>
      <c r="I26" s="66"/>
      <c r="J26" s="66"/>
      <c r="K26" s="66"/>
      <c r="L26" s="66">
        <f>-B26</f>
        <v>19902.767136184884</v>
      </c>
    </row>
    <row r="27" spans="1:12" ht="15.95" customHeight="1">
      <c r="A27" s="65" t="s">
        <v>35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>
        <f>'Valor de desecho'!H28</f>
        <v>7840.0000000000009</v>
      </c>
    </row>
    <row r="28" spans="1:12" ht="15.95" customHeight="1">
      <c r="A28" s="64" t="s">
        <v>36</v>
      </c>
      <c r="B28" s="143">
        <f t="shared" ref="B28:L28" si="13">B19+SUM(B20:B27)</f>
        <v>-55901.367136184883</v>
      </c>
      <c r="C28" s="143">
        <f t="shared" si="13"/>
        <v>-471.45461170076123</v>
      </c>
      <c r="D28" s="143">
        <f t="shared" si="13"/>
        <v>-6097.1734117007836</v>
      </c>
      <c r="E28" s="143">
        <f t="shared" si="13"/>
        <v>6702.731659680423</v>
      </c>
      <c r="F28" s="143">
        <f t="shared" si="13"/>
        <v>75064.127910500363</v>
      </c>
      <c r="G28" s="143">
        <f t="shared" si="13"/>
        <v>75777.193047565757</v>
      </c>
      <c r="H28" s="143">
        <f t="shared" si="13"/>
        <v>103071.18811102179</v>
      </c>
      <c r="I28" s="143">
        <f t="shared" si="13"/>
        <v>123196.61758705211</v>
      </c>
      <c r="J28" s="143">
        <f t="shared" si="13"/>
        <v>131764.66922693781</v>
      </c>
      <c r="K28" s="143">
        <f t="shared" si="13"/>
        <v>128537.47647569946</v>
      </c>
      <c r="L28" s="143">
        <f t="shared" si="13"/>
        <v>176777.30766146028</v>
      </c>
    </row>
    <row r="29" spans="1:12" ht="15.95" customHeight="1">
      <c r="A29" s="70" t="s">
        <v>223</v>
      </c>
      <c r="B29" s="147">
        <v>6.3500000000000001E-2</v>
      </c>
    </row>
    <row r="30" spans="1:12" ht="15.95" customHeight="1">
      <c r="A30" s="70" t="s">
        <v>224</v>
      </c>
      <c r="B30" s="148">
        <f>NPV(B29, C28:L28)+B28</f>
        <v>459404.07525386778</v>
      </c>
    </row>
    <row r="31" spans="1:12" ht="15.95" customHeight="1">
      <c r="A31" s="70" t="s">
        <v>30</v>
      </c>
      <c r="B31" s="147">
        <f>IRR(B28:L28)</f>
        <v>0.48048255731875256</v>
      </c>
    </row>
    <row r="33" spans="4:4">
      <c r="D33" s="136"/>
    </row>
  </sheetData>
  <pageMargins left="0.7" right="0.7" top="0.75" bottom="0.75" header="0.3" footer="0.3"/>
  <pageSetup paperSize="9" orientation="portrait" horizontalDpi="0" verticalDpi="0" r:id="rId1"/>
  <ignoredErrors>
    <ignoredError sqref="C16:L1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L49"/>
  <sheetViews>
    <sheetView topLeftCell="A11" zoomScale="80" zoomScaleNormal="80" workbookViewId="0">
      <selection activeCell="A29" sqref="A29"/>
    </sheetView>
  </sheetViews>
  <sheetFormatPr baseColWidth="10" defaultRowHeight="14.25"/>
  <cols>
    <col min="1" max="1" width="57.85546875" style="42" customWidth="1"/>
    <col min="2" max="2" width="18.7109375" style="42" customWidth="1"/>
    <col min="3" max="12" width="17.7109375" style="42" customWidth="1"/>
    <col min="13" max="16384" width="11.42578125" style="42"/>
  </cols>
  <sheetData>
    <row r="1" spans="1:12" ht="15">
      <c r="A1" s="69" t="s">
        <v>227</v>
      </c>
      <c r="C1" s="136"/>
    </row>
    <row r="2" spans="1:12" ht="15.95" customHeight="1">
      <c r="A2" s="149" t="s">
        <v>29</v>
      </c>
      <c r="B2" s="151">
        <v>0</v>
      </c>
      <c r="C2" s="151">
        <v>1</v>
      </c>
      <c r="D2" s="151">
        <v>2</v>
      </c>
      <c r="E2" s="151">
        <v>3</v>
      </c>
      <c r="F2" s="151">
        <v>4</v>
      </c>
      <c r="G2" s="151">
        <v>5</v>
      </c>
      <c r="H2" s="151">
        <v>6</v>
      </c>
      <c r="I2" s="151">
        <v>7</v>
      </c>
      <c r="J2" s="151">
        <v>8</v>
      </c>
      <c r="K2" s="151">
        <v>9</v>
      </c>
      <c r="L2" s="151">
        <v>10</v>
      </c>
    </row>
    <row r="3" spans="1:12" ht="15.95" customHeight="1">
      <c r="A3" s="65" t="s">
        <v>45</v>
      </c>
      <c r="B3" s="66"/>
      <c r="C3" s="66">
        <f>'[1]ESTIMACION DE DEMANDA'!$C$36</f>
        <v>492253.07618856896</v>
      </c>
      <c r="D3" s="66">
        <f>'[1]ESTIMACION DE DEMANDA'!$C$36</f>
        <v>492253.07618856896</v>
      </c>
      <c r="E3" s="66">
        <f>'[1]ESTIMACION DE DEMANDA'!$C$36</f>
        <v>492253.07618856896</v>
      </c>
      <c r="F3" s="66">
        <f>E3*0.95</f>
        <v>467640.42237914051</v>
      </c>
      <c r="G3" s="66">
        <f t="shared" ref="G3:L4" si="0">F3</f>
        <v>467640.42237914051</v>
      </c>
      <c r="H3" s="66">
        <f t="shared" si="0"/>
        <v>467640.42237914051</v>
      </c>
      <c r="I3" s="66">
        <f t="shared" si="0"/>
        <v>467640.42237914051</v>
      </c>
      <c r="J3" s="66">
        <f t="shared" si="0"/>
        <v>467640.42237914051</v>
      </c>
      <c r="K3" s="66">
        <f t="shared" si="0"/>
        <v>467640.42237914051</v>
      </c>
      <c r="L3" s="66">
        <f t="shared" si="0"/>
        <v>467640.42237914051</v>
      </c>
    </row>
    <row r="4" spans="1:12" ht="15.95" customHeight="1">
      <c r="A4" s="65" t="s">
        <v>46</v>
      </c>
      <c r="B4" s="66"/>
      <c r="C4" s="66">
        <f>'[2]ESTIMACION DE DEMANDA'!$C$43</f>
        <v>975594.84014122677</v>
      </c>
      <c r="D4" s="66">
        <f>C4</f>
        <v>975594.84014122677</v>
      </c>
      <c r="E4" s="66">
        <f>D4</f>
        <v>975594.84014122677</v>
      </c>
      <c r="F4" s="66">
        <f>E4*0.95</f>
        <v>926815.0981341654</v>
      </c>
      <c r="G4" s="66">
        <f t="shared" si="0"/>
        <v>926815.0981341654</v>
      </c>
      <c r="H4" s="66">
        <f t="shared" si="0"/>
        <v>926815.0981341654</v>
      </c>
      <c r="I4" s="66">
        <f t="shared" si="0"/>
        <v>926815.0981341654</v>
      </c>
      <c r="J4" s="66">
        <f t="shared" si="0"/>
        <v>926815.0981341654</v>
      </c>
      <c r="K4" s="66">
        <f t="shared" si="0"/>
        <v>926815.0981341654</v>
      </c>
      <c r="L4" s="66">
        <f t="shared" si="0"/>
        <v>926815.0981341654</v>
      </c>
    </row>
    <row r="5" spans="1:12" ht="15.95" customHeight="1">
      <c r="A5" s="47" t="s">
        <v>47</v>
      </c>
      <c r="B5" s="66"/>
      <c r="C5" s="54">
        <f>SUM(C3:C4)</f>
        <v>1467847.9163297957</v>
      </c>
      <c r="D5" s="54">
        <f t="shared" ref="D5:L5" si="1">SUM(D3:D4)</f>
        <v>1467847.9163297957</v>
      </c>
      <c r="E5" s="54">
        <f t="shared" si="1"/>
        <v>1467847.9163297957</v>
      </c>
      <c r="F5" s="54">
        <f t="shared" si="1"/>
        <v>1394455.5205133059</v>
      </c>
      <c r="G5" s="54">
        <f t="shared" si="1"/>
        <v>1394455.5205133059</v>
      </c>
      <c r="H5" s="54">
        <f t="shared" si="1"/>
        <v>1394455.5205133059</v>
      </c>
      <c r="I5" s="54">
        <f t="shared" si="1"/>
        <v>1394455.5205133059</v>
      </c>
      <c r="J5" s="54">
        <f t="shared" si="1"/>
        <v>1394455.5205133059</v>
      </c>
      <c r="K5" s="54">
        <f t="shared" si="1"/>
        <v>1394455.5205133059</v>
      </c>
      <c r="L5" s="54">
        <f t="shared" si="1"/>
        <v>1394455.5205133059</v>
      </c>
    </row>
    <row r="6" spans="1:12" ht="15.95" customHeight="1">
      <c r="A6" s="65" t="s">
        <v>44</v>
      </c>
      <c r="B6" s="66"/>
      <c r="C6" s="66">
        <f>(-'[1]ESTIMACION DE DEMANDA'!$C$53)*1.15</f>
        <v>-471742.53134737868</v>
      </c>
      <c r="D6" s="66">
        <f>(-'[1]ESTIMACION DE DEMANDA'!$C$53)*1.15</f>
        <v>-471742.53134737868</v>
      </c>
      <c r="E6" s="66">
        <f>(-'[1]ESTIMACION DE DEMANDA'!$C$53)*1.15</f>
        <v>-471742.53134737868</v>
      </c>
      <c r="F6" s="66">
        <f>E6*0.95</f>
        <v>-448155.4047800097</v>
      </c>
      <c r="G6" s="66">
        <f t="shared" ref="G6:L7" si="2">F6</f>
        <v>-448155.4047800097</v>
      </c>
      <c r="H6" s="66">
        <f t="shared" si="2"/>
        <v>-448155.4047800097</v>
      </c>
      <c r="I6" s="66">
        <f t="shared" si="2"/>
        <v>-448155.4047800097</v>
      </c>
      <c r="J6" s="66">
        <f t="shared" si="2"/>
        <v>-448155.4047800097</v>
      </c>
      <c r="K6" s="66">
        <f t="shared" si="2"/>
        <v>-448155.4047800097</v>
      </c>
      <c r="L6" s="66">
        <f t="shared" si="2"/>
        <v>-448155.4047800097</v>
      </c>
    </row>
    <row r="7" spans="1:12" ht="15.95" customHeight="1">
      <c r="A7" s="65" t="s">
        <v>43</v>
      </c>
      <c r="B7" s="66"/>
      <c r="C7" s="66">
        <f>(-'[2]ESTIMACION DE DEMANDA'!$C$60)*1.15</f>
        <v>-934945.05513534206</v>
      </c>
      <c r="D7" s="66">
        <f>C7</f>
        <v>-934945.05513534206</v>
      </c>
      <c r="E7" s="66">
        <f>D7</f>
        <v>-934945.05513534206</v>
      </c>
      <c r="F7" s="66">
        <f>E7*0.95</f>
        <v>-888197.80237857497</v>
      </c>
      <c r="G7" s="66">
        <f t="shared" si="2"/>
        <v>-888197.80237857497</v>
      </c>
      <c r="H7" s="66">
        <f t="shared" si="2"/>
        <v>-888197.80237857497</v>
      </c>
      <c r="I7" s="66">
        <f t="shared" si="2"/>
        <v>-888197.80237857497</v>
      </c>
      <c r="J7" s="66">
        <f t="shared" si="2"/>
        <v>-888197.80237857497</v>
      </c>
      <c r="K7" s="66">
        <f t="shared" si="2"/>
        <v>-888197.80237857497</v>
      </c>
      <c r="L7" s="66">
        <f t="shared" si="2"/>
        <v>-888197.80237857497</v>
      </c>
    </row>
    <row r="8" spans="1:12" ht="15.95" customHeight="1">
      <c r="A8" s="47" t="s">
        <v>42</v>
      </c>
      <c r="B8" s="66"/>
      <c r="C8" s="54">
        <f>SUM(C6:C7)</f>
        <v>-1406687.5864827207</v>
      </c>
      <c r="D8" s="54">
        <f t="shared" ref="D8:L8" si="3">SUM(D6:D7)</f>
        <v>-1406687.5864827207</v>
      </c>
      <c r="E8" s="54">
        <f t="shared" si="3"/>
        <v>-1406687.5864827207</v>
      </c>
      <c r="F8" s="54">
        <f t="shared" si="3"/>
        <v>-1336353.2071585846</v>
      </c>
      <c r="G8" s="54">
        <f t="shared" si="3"/>
        <v>-1336353.2071585846</v>
      </c>
      <c r="H8" s="54">
        <f t="shared" si="3"/>
        <v>-1336353.2071585846</v>
      </c>
      <c r="I8" s="54">
        <f t="shared" si="3"/>
        <v>-1336353.2071585846</v>
      </c>
      <c r="J8" s="54">
        <f t="shared" si="3"/>
        <v>-1336353.2071585846</v>
      </c>
      <c r="K8" s="54">
        <f t="shared" si="3"/>
        <v>-1336353.2071585846</v>
      </c>
      <c r="L8" s="54">
        <f t="shared" si="3"/>
        <v>-1336353.2071585846</v>
      </c>
    </row>
    <row r="9" spans="1:12" ht="15.95" customHeight="1">
      <c r="A9" s="47" t="s">
        <v>168</v>
      </c>
      <c r="B9" s="66"/>
      <c r="C9" s="54">
        <f>C5+C8</f>
        <v>61160.329847075045</v>
      </c>
      <c r="D9" s="54">
        <f t="shared" ref="D9:L9" si="4">D5+D8</f>
        <v>61160.329847075045</v>
      </c>
      <c r="E9" s="54">
        <f t="shared" si="4"/>
        <v>61160.329847075045</v>
      </c>
      <c r="F9" s="54">
        <f t="shared" si="4"/>
        <v>58102.313354721293</v>
      </c>
      <c r="G9" s="54">
        <f t="shared" si="4"/>
        <v>58102.313354721293</v>
      </c>
      <c r="H9" s="54">
        <f t="shared" si="4"/>
        <v>58102.313354721293</v>
      </c>
      <c r="I9" s="54">
        <f t="shared" si="4"/>
        <v>58102.313354721293</v>
      </c>
      <c r="J9" s="54">
        <f t="shared" si="4"/>
        <v>58102.313354721293</v>
      </c>
      <c r="K9" s="54">
        <f t="shared" si="4"/>
        <v>58102.313354721293</v>
      </c>
      <c r="L9" s="54">
        <f t="shared" si="4"/>
        <v>58102.313354721293</v>
      </c>
    </row>
    <row r="10" spans="1:12" ht="15.95" customHeight="1">
      <c r="A10" s="67" t="s">
        <v>59</v>
      </c>
      <c r="B10" s="66"/>
      <c r="C10" s="66">
        <f>-' SERVICIOS B. Y  ALQUILER'!C16</f>
        <v>-7500</v>
      </c>
      <c r="D10" s="66">
        <f>C10</f>
        <v>-7500</v>
      </c>
      <c r="E10" s="66">
        <f t="shared" ref="E10:L13" si="5">D10</f>
        <v>-7500</v>
      </c>
      <c r="F10" s="66">
        <f>E10*0.9</f>
        <v>-6750</v>
      </c>
      <c r="G10" s="66">
        <f t="shared" si="5"/>
        <v>-6750</v>
      </c>
      <c r="H10" s="66">
        <f t="shared" si="5"/>
        <v>-6750</v>
      </c>
      <c r="I10" s="66">
        <f t="shared" si="5"/>
        <v>-6750</v>
      </c>
      <c r="J10" s="66">
        <f t="shared" si="5"/>
        <v>-6750</v>
      </c>
      <c r="K10" s="66">
        <f t="shared" si="5"/>
        <v>-6750</v>
      </c>
      <c r="L10" s="66">
        <f t="shared" si="5"/>
        <v>-6750</v>
      </c>
    </row>
    <row r="11" spans="1:12" ht="15.95" customHeight="1">
      <c r="A11" s="67" t="s">
        <v>60</v>
      </c>
      <c r="B11" s="66"/>
      <c r="C11" s="66">
        <f>-[3]tecnico!$J$63</f>
        <v>-89664.063999999998</v>
      </c>
      <c r="D11" s="66">
        <f>-SUELDOS!D12</f>
        <v>-95389.772800000006</v>
      </c>
      <c r="E11" s="66">
        <f t="shared" si="5"/>
        <v>-95389.772800000006</v>
      </c>
      <c r="F11" s="66">
        <f t="shared" si="5"/>
        <v>-95389.772800000006</v>
      </c>
      <c r="G11" s="66">
        <f t="shared" si="5"/>
        <v>-95389.772800000006</v>
      </c>
      <c r="H11" s="66">
        <f t="shared" si="5"/>
        <v>-95389.772800000006</v>
      </c>
      <c r="I11" s="66">
        <f t="shared" si="5"/>
        <v>-95389.772800000006</v>
      </c>
      <c r="J11" s="66">
        <f t="shared" si="5"/>
        <v>-95389.772800000006</v>
      </c>
      <c r="K11" s="66">
        <f t="shared" si="5"/>
        <v>-95389.772800000006</v>
      </c>
      <c r="L11" s="66">
        <f t="shared" si="5"/>
        <v>-95389.772800000006</v>
      </c>
    </row>
    <row r="12" spans="1:12" ht="15.95" customHeight="1">
      <c r="A12" s="65" t="s">
        <v>97</v>
      </c>
      <c r="B12" s="66"/>
      <c r="C12" s="66">
        <f>-SUMINISTROS!B20</f>
        <v>-2140.8000000000002</v>
      </c>
      <c r="D12" s="66">
        <f>C12</f>
        <v>-2140.8000000000002</v>
      </c>
      <c r="E12" s="66">
        <f t="shared" si="5"/>
        <v>-2140.8000000000002</v>
      </c>
      <c r="F12" s="66">
        <f t="shared" si="5"/>
        <v>-2140.8000000000002</v>
      </c>
      <c r="G12" s="66">
        <f t="shared" si="5"/>
        <v>-2140.8000000000002</v>
      </c>
      <c r="H12" s="66">
        <f t="shared" si="5"/>
        <v>-2140.8000000000002</v>
      </c>
      <c r="I12" s="66">
        <f t="shared" si="5"/>
        <v>-2140.8000000000002</v>
      </c>
      <c r="J12" s="66">
        <f t="shared" si="5"/>
        <v>-2140.8000000000002</v>
      </c>
      <c r="K12" s="66">
        <f t="shared" si="5"/>
        <v>-2140.8000000000002</v>
      </c>
      <c r="L12" s="66">
        <f t="shared" si="5"/>
        <v>-2140.8000000000002</v>
      </c>
    </row>
    <row r="13" spans="1:12" ht="15.95" customHeight="1">
      <c r="A13" s="65" t="s">
        <v>41</v>
      </c>
      <c r="B13" s="66"/>
      <c r="C13" s="66">
        <f>-MANTENIMIENTO!B8</f>
        <v>-3102.9400000000005</v>
      </c>
      <c r="D13" s="66">
        <f>C13</f>
        <v>-3102.9400000000005</v>
      </c>
      <c r="E13" s="66">
        <f t="shared" si="5"/>
        <v>-3102.9400000000005</v>
      </c>
      <c r="F13" s="66">
        <f t="shared" si="5"/>
        <v>-3102.9400000000005</v>
      </c>
      <c r="G13" s="66">
        <f t="shared" si="5"/>
        <v>-3102.9400000000005</v>
      </c>
      <c r="H13" s="66">
        <f t="shared" si="5"/>
        <v>-3102.9400000000005</v>
      </c>
      <c r="I13" s="66">
        <f t="shared" si="5"/>
        <v>-3102.9400000000005</v>
      </c>
      <c r="J13" s="66">
        <f t="shared" si="5"/>
        <v>-3102.9400000000005</v>
      </c>
      <c r="K13" s="66">
        <f t="shared" si="5"/>
        <v>-3102.9400000000005</v>
      </c>
      <c r="L13" s="66">
        <f t="shared" si="5"/>
        <v>-3102.9400000000005</v>
      </c>
    </row>
    <row r="14" spans="1:12" ht="15.95" customHeight="1">
      <c r="A14" s="65" t="s">
        <v>113</v>
      </c>
      <c r="B14" s="66"/>
      <c r="C14" s="66">
        <f>-'GASTOS DE PROMOCION'!E20</f>
        <v>-80360</v>
      </c>
      <c r="D14" s="66">
        <f>C14</f>
        <v>-80360</v>
      </c>
      <c r="E14" s="66">
        <f>-'GASTOS DE PROMOCION'!E39</f>
        <v>-57320</v>
      </c>
      <c r="F14" s="66">
        <f>E14</f>
        <v>-57320</v>
      </c>
      <c r="G14" s="66">
        <f>E14</f>
        <v>-57320</v>
      </c>
      <c r="H14" s="66">
        <f>-'GASTOS DE PROMOCION'!E56</f>
        <v>-43400</v>
      </c>
      <c r="I14" s="66">
        <f>H14</f>
        <v>-43400</v>
      </c>
      <c r="J14" s="66">
        <f>H14</f>
        <v>-43400</v>
      </c>
      <c r="K14" s="66">
        <f>H14</f>
        <v>-43400</v>
      </c>
      <c r="L14" s="66">
        <f>H14</f>
        <v>-43400</v>
      </c>
    </row>
    <row r="15" spans="1:12" ht="15.95" customHeight="1">
      <c r="A15" s="65" t="s">
        <v>40</v>
      </c>
      <c r="B15" s="66"/>
      <c r="C15" s="66">
        <f>-'GASTOS DE TRANSPORTE'!B5</f>
        <v>-424</v>
      </c>
      <c r="D15" s="66">
        <f>C15</f>
        <v>-424</v>
      </c>
      <c r="E15" s="66">
        <f t="shared" ref="E15:L16" si="6">D15</f>
        <v>-424</v>
      </c>
      <c r="F15" s="66">
        <f t="shared" si="6"/>
        <v>-424</v>
      </c>
      <c r="G15" s="66">
        <f t="shared" si="6"/>
        <v>-424</v>
      </c>
      <c r="H15" s="66">
        <f t="shared" si="6"/>
        <v>-424</v>
      </c>
      <c r="I15" s="66">
        <f t="shared" si="6"/>
        <v>-424</v>
      </c>
      <c r="J15" s="66">
        <f t="shared" si="6"/>
        <v>-424</v>
      </c>
      <c r="K15" s="66">
        <f t="shared" si="6"/>
        <v>-424</v>
      </c>
      <c r="L15" s="66">
        <f t="shared" si="6"/>
        <v>-424</v>
      </c>
    </row>
    <row r="16" spans="1:12" ht="15.95" customHeight="1">
      <c r="A16" s="65" t="s">
        <v>39</v>
      </c>
      <c r="B16" s="66"/>
      <c r="C16" s="66">
        <f>-' SERVICIOS B. Y  ALQUILER'!C23</f>
        <v>-45600</v>
      </c>
      <c r="D16" s="66">
        <f>C16</f>
        <v>-45600</v>
      </c>
      <c r="E16" s="66">
        <f t="shared" si="6"/>
        <v>-45600</v>
      </c>
      <c r="F16" s="66">
        <f t="shared" si="6"/>
        <v>-45600</v>
      </c>
      <c r="G16" s="66">
        <f t="shared" si="6"/>
        <v>-45600</v>
      </c>
      <c r="H16" s="66">
        <f t="shared" si="6"/>
        <v>-45600</v>
      </c>
      <c r="I16" s="66">
        <f t="shared" si="6"/>
        <v>-45600</v>
      </c>
      <c r="J16" s="66">
        <f t="shared" si="6"/>
        <v>-45600</v>
      </c>
      <c r="K16" s="66">
        <f t="shared" si="6"/>
        <v>-45600</v>
      </c>
      <c r="L16" s="66">
        <f t="shared" si="6"/>
        <v>-45600</v>
      </c>
    </row>
    <row r="17" spans="1:12" ht="15.95" customHeight="1">
      <c r="A17" s="65" t="s">
        <v>38</v>
      </c>
      <c r="B17" s="66"/>
      <c r="C17" s="66">
        <f>-('ACTIVOS INTANGIBLES'!B18+100)</f>
        <v>-903.6</v>
      </c>
      <c r="D17" s="66">
        <f>C17+100</f>
        <v>-803.6</v>
      </c>
      <c r="E17" s="66">
        <f t="shared" ref="E17:L17" si="7">C17</f>
        <v>-903.6</v>
      </c>
      <c r="F17" s="66">
        <f t="shared" si="7"/>
        <v>-803.6</v>
      </c>
      <c r="G17" s="66">
        <f t="shared" si="7"/>
        <v>-903.6</v>
      </c>
      <c r="H17" s="66">
        <f t="shared" si="7"/>
        <v>-803.6</v>
      </c>
      <c r="I17" s="66">
        <f t="shared" si="7"/>
        <v>-903.6</v>
      </c>
      <c r="J17" s="66">
        <f t="shared" si="7"/>
        <v>-803.6</v>
      </c>
      <c r="K17" s="66">
        <f t="shared" si="7"/>
        <v>-903.6</v>
      </c>
      <c r="L17" s="66">
        <f t="shared" si="7"/>
        <v>-803.6</v>
      </c>
    </row>
    <row r="18" spans="1:12" ht="15.95" customHeight="1">
      <c r="A18" s="65" t="s">
        <v>37</v>
      </c>
      <c r="B18" s="66"/>
      <c r="C18" s="66">
        <f>-Financiamiento!D3</f>
        <v>-4836.92</v>
      </c>
      <c r="D18" s="66">
        <f>-Financiamiento!D4</f>
        <v>-3648.69</v>
      </c>
      <c r="E18" s="66">
        <f>-Financiamiento!D5</f>
        <v>-2327</v>
      </c>
      <c r="F18" s="66">
        <f>-Financiamiento!D6</f>
        <v>-856.88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</row>
    <row r="19" spans="1:12" ht="15.95" customHeight="1">
      <c r="A19" s="47" t="s">
        <v>52</v>
      </c>
      <c r="B19" s="66"/>
      <c r="C19" s="54">
        <f>SUM(C10:C18)</f>
        <v>-234532.32400000002</v>
      </c>
      <c r="D19" s="54">
        <f>SUM(D10:D18)</f>
        <v>-238969.80280000003</v>
      </c>
      <c r="E19" s="54">
        <f>SUM(E10:E18)</f>
        <v>-214708.11280000003</v>
      </c>
      <c r="F19" s="54">
        <f t="shared" ref="F19:L19" si="8">SUM(F10:F18)</f>
        <v>-212387.99280000004</v>
      </c>
      <c r="G19" s="54">
        <f t="shared" si="8"/>
        <v>-211631.11280000003</v>
      </c>
      <c r="H19" s="54">
        <f t="shared" si="8"/>
        <v>-197611.11280000003</v>
      </c>
      <c r="I19" s="54">
        <f t="shared" si="8"/>
        <v>-197711.11280000003</v>
      </c>
      <c r="J19" s="54">
        <f t="shared" si="8"/>
        <v>-197611.11280000003</v>
      </c>
      <c r="K19" s="54">
        <f t="shared" si="8"/>
        <v>-197711.11280000003</v>
      </c>
      <c r="L19" s="54">
        <f t="shared" si="8"/>
        <v>-197611.11280000003</v>
      </c>
    </row>
    <row r="20" spans="1:12" ht="15.95" customHeight="1">
      <c r="A20" s="65" t="s">
        <v>50</v>
      </c>
      <c r="B20" s="66"/>
      <c r="C20" s="66">
        <f>-'ACTIVOS INTANGIBLES'!B14/5</f>
        <v>-531.52</v>
      </c>
      <c r="D20" s="66">
        <f>C20</f>
        <v>-531.52</v>
      </c>
      <c r="E20" s="66">
        <f t="shared" ref="E20:L21" si="9">D20</f>
        <v>-531.52</v>
      </c>
      <c r="F20" s="66">
        <f t="shared" si="9"/>
        <v>-531.52</v>
      </c>
      <c r="G20" s="66">
        <f t="shared" si="9"/>
        <v>-531.52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</row>
    <row r="21" spans="1:12" ht="15.95" customHeight="1">
      <c r="A21" s="65" t="s">
        <v>49</v>
      </c>
      <c r="B21" s="66"/>
      <c r="C21" s="66">
        <f>-DEPRECIACION!E27</f>
        <v>-13334.1</v>
      </c>
      <c r="D21" s="66">
        <f>C21</f>
        <v>-13334.1</v>
      </c>
      <c r="E21" s="66">
        <f t="shared" si="9"/>
        <v>-13334.1</v>
      </c>
      <c r="F21" s="66">
        <f t="shared" si="9"/>
        <v>-13334.1</v>
      </c>
      <c r="G21" s="66">
        <f t="shared" si="9"/>
        <v>-13334.1</v>
      </c>
      <c r="H21" s="66">
        <f t="shared" si="9"/>
        <v>-13334.1</v>
      </c>
      <c r="I21" s="66">
        <f t="shared" si="9"/>
        <v>-13334.1</v>
      </c>
      <c r="J21" s="66">
        <f t="shared" si="9"/>
        <v>-13334.1</v>
      </c>
      <c r="K21" s="66">
        <f t="shared" si="9"/>
        <v>-13334.1</v>
      </c>
      <c r="L21" s="66">
        <f t="shared" si="9"/>
        <v>-13334.1</v>
      </c>
    </row>
    <row r="22" spans="1:12" ht="15.95" customHeight="1">
      <c r="A22" s="47" t="s">
        <v>51</v>
      </c>
      <c r="B22" s="66"/>
      <c r="C22" s="54">
        <f>SUM(C20:C21)</f>
        <v>-13865.62</v>
      </c>
      <c r="D22" s="54">
        <f>SUM(D20:D21)</f>
        <v>-13865.62</v>
      </c>
      <c r="E22" s="54">
        <f t="shared" ref="E22:L22" si="10">SUM(E20:E21)</f>
        <v>-13865.62</v>
      </c>
      <c r="F22" s="54">
        <f t="shared" si="10"/>
        <v>-13865.62</v>
      </c>
      <c r="G22" s="54">
        <f t="shared" si="10"/>
        <v>-13865.62</v>
      </c>
      <c r="H22" s="54">
        <f t="shared" si="10"/>
        <v>-13334.1</v>
      </c>
      <c r="I22" s="54">
        <f t="shared" si="10"/>
        <v>-13334.1</v>
      </c>
      <c r="J22" s="54">
        <f t="shared" si="10"/>
        <v>-13334.1</v>
      </c>
      <c r="K22" s="54">
        <f t="shared" si="10"/>
        <v>-13334.1</v>
      </c>
      <c r="L22" s="54">
        <f t="shared" si="10"/>
        <v>-13334.1</v>
      </c>
    </row>
    <row r="23" spans="1:12" ht="15.95" customHeight="1">
      <c r="A23" s="47" t="s">
        <v>95</v>
      </c>
      <c r="B23" s="66"/>
      <c r="C23" s="54">
        <f t="shared" ref="C23:L23" si="11">C9+C19+C22</f>
        <v>-187237.61415292497</v>
      </c>
      <c r="D23" s="54">
        <f t="shared" si="11"/>
        <v>-191675.09295292498</v>
      </c>
      <c r="E23" s="54">
        <f t="shared" si="11"/>
        <v>-167413.40295292498</v>
      </c>
      <c r="F23" s="54">
        <f t="shared" si="11"/>
        <v>-168151.29944527874</v>
      </c>
      <c r="G23" s="54">
        <f t="shared" si="11"/>
        <v>-167394.41944527873</v>
      </c>
      <c r="H23" s="54">
        <f t="shared" si="11"/>
        <v>-152842.89944527874</v>
      </c>
      <c r="I23" s="54">
        <f t="shared" si="11"/>
        <v>-152942.89944527874</v>
      </c>
      <c r="J23" s="54">
        <f t="shared" si="11"/>
        <v>-152842.89944527874</v>
      </c>
      <c r="K23" s="54">
        <f t="shared" si="11"/>
        <v>-152942.89944527874</v>
      </c>
      <c r="L23" s="54">
        <f t="shared" si="11"/>
        <v>-152842.89944527874</v>
      </c>
    </row>
    <row r="24" spans="1:12" ht="15.95" customHeight="1">
      <c r="A24" s="47" t="s">
        <v>98</v>
      </c>
      <c r="B24" s="66"/>
      <c r="C24" s="54">
        <f>-IF(C23&gt;0, 0.15*C23,0)</f>
        <v>0</v>
      </c>
      <c r="D24" s="54">
        <f t="shared" ref="D24:L24" si="12">-IF(D23&gt;0, 0.15*D23,0)</f>
        <v>0</v>
      </c>
      <c r="E24" s="54">
        <f t="shared" si="12"/>
        <v>0</v>
      </c>
      <c r="F24" s="54">
        <f t="shared" si="12"/>
        <v>0</v>
      </c>
      <c r="G24" s="54">
        <f t="shared" si="12"/>
        <v>0</v>
      </c>
      <c r="H24" s="54">
        <f t="shared" si="12"/>
        <v>0</v>
      </c>
      <c r="I24" s="54">
        <f t="shared" si="12"/>
        <v>0</v>
      </c>
      <c r="J24" s="54">
        <f t="shared" si="12"/>
        <v>0</v>
      </c>
      <c r="K24" s="54">
        <f t="shared" si="12"/>
        <v>0</v>
      </c>
      <c r="L24" s="54">
        <f t="shared" si="12"/>
        <v>0</v>
      </c>
    </row>
    <row r="25" spans="1:12" ht="15.95" customHeight="1">
      <c r="A25" s="47" t="s">
        <v>94</v>
      </c>
      <c r="B25" s="66"/>
      <c r="C25" s="68">
        <f>C23+C24</f>
        <v>-187237.61415292497</v>
      </c>
      <c r="D25" s="68">
        <f>D23+D24</f>
        <v>-191675.09295292498</v>
      </c>
      <c r="E25" s="68">
        <f>E23+E24</f>
        <v>-167413.40295292498</v>
      </c>
      <c r="F25" s="68">
        <f t="shared" ref="F25:L25" si="13">F23+F24</f>
        <v>-168151.29944527874</v>
      </c>
      <c r="G25" s="68">
        <f t="shared" si="13"/>
        <v>-167394.41944527873</v>
      </c>
      <c r="H25" s="68">
        <f t="shared" si="13"/>
        <v>-152842.89944527874</v>
      </c>
      <c r="I25" s="68">
        <f t="shared" si="13"/>
        <v>-152942.89944527874</v>
      </c>
      <c r="J25" s="68">
        <f t="shared" si="13"/>
        <v>-152842.89944527874</v>
      </c>
      <c r="K25" s="68">
        <f t="shared" si="13"/>
        <v>-152942.89944527874</v>
      </c>
      <c r="L25" s="68">
        <f t="shared" si="13"/>
        <v>-152842.89944527874</v>
      </c>
    </row>
    <row r="26" spans="1:12" ht="15.95" customHeight="1">
      <c r="A26" s="65" t="s">
        <v>96</v>
      </c>
      <c r="B26" s="66"/>
      <c r="C26" s="66">
        <f>-(IF(C25&gt;0,C25*0.23,0))</f>
        <v>0</v>
      </c>
      <c r="D26" s="66">
        <f>-(IF(D25&gt;0,D25*0.22,0))</f>
        <v>0</v>
      </c>
      <c r="E26" s="66">
        <f>-(IF(E25&gt;0,E25*0.22,0))</f>
        <v>0</v>
      </c>
      <c r="F26" s="66">
        <f t="shared" ref="F26:L26" si="14">-(IF(F25&gt;0,F25*0.22,0))</f>
        <v>0</v>
      </c>
      <c r="G26" s="66">
        <f t="shared" si="14"/>
        <v>0</v>
      </c>
      <c r="H26" s="66">
        <f t="shared" si="14"/>
        <v>0</v>
      </c>
      <c r="I26" s="66">
        <f t="shared" si="14"/>
        <v>0</v>
      </c>
      <c r="J26" s="66">
        <f t="shared" si="14"/>
        <v>0</v>
      </c>
      <c r="K26" s="66">
        <f t="shared" si="14"/>
        <v>0</v>
      </c>
      <c r="L26" s="66">
        <f t="shared" si="14"/>
        <v>0</v>
      </c>
    </row>
    <row r="27" spans="1:12" ht="15.95" customHeight="1">
      <c r="A27" s="47" t="s">
        <v>99</v>
      </c>
      <c r="B27" s="66"/>
      <c r="C27" s="66">
        <f>C25+C26</f>
        <v>-187237.61415292497</v>
      </c>
      <c r="D27" s="66">
        <f>D25+D26</f>
        <v>-191675.09295292498</v>
      </c>
      <c r="E27" s="66">
        <f>E25+E26</f>
        <v>-167413.40295292498</v>
      </c>
      <c r="F27" s="66">
        <f t="shared" ref="F27:L27" si="15">F25+F26</f>
        <v>-168151.29944527874</v>
      </c>
      <c r="G27" s="66">
        <f t="shared" si="15"/>
        <v>-167394.41944527873</v>
      </c>
      <c r="H27" s="66">
        <f t="shared" si="15"/>
        <v>-152842.89944527874</v>
      </c>
      <c r="I27" s="66">
        <f t="shared" si="15"/>
        <v>-152942.89944527874</v>
      </c>
      <c r="J27" s="66">
        <f t="shared" si="15"/>
        <v>-152842.89944527874</v>
      </c>
      <c r="K27" s="66">
        <f t="shared" si="15"/>
        <v>-152942.89944527874</v>
      </c>
      <c r="L27" s="66">
        <f t="shared" si="15"/>
        <v>-152842.89944527874</v>
      </c>
    </row>
    <row r="28" spans="1:12" ht="15.95" customHeight="1">
      <c r="A28" s="65" t="s">
        <v>100</v>
      </c>
      <c r="B28" s="66"/>
      <c r="C28" s="66">
        <f>-IF(C27&gt;0,0.1*C27,0)</f>
        <v>0</v>
      </c>
      <c r="D28" s="66">
        <f t="shared" ref="D28:L28" si="16">-IF(D27&gt;0,0.1*D27,0)</f>
        <v>0</v>
      </c>
      <c r="E28" s="66">
        <f t="shared" si="16"/>
        <v>0</v>
      </c>
      <c r="F28" s="66">
        <f t="shared" si="16"/>
        <v>0</v>
      </c>
      <c r="G28" s="66">
        <f t="shared" si="16"/>
        <v>0</v>
      </c>
      <c r="H28" s="66">
        <f t="shared" si="16"/>
        <v>0</v>
      </c>
      <c r="I28" s="66">
        <f t="shared" si="16"/>
        <v>0</v>
      </c>
      <c r="J28" s="66">
        <f t="shared" si="16"/>
        <v>0</v>
      </c>
      <c r="K28" s="66">
        <f t="shared" si="16"/>
        <v>0</v>
      </c>
      <c r="L28" s="66">
        <f t="shared" si="16"/>
        <v>0</v>
      </c>
    </row>
    <row r="29" spans="1:12" ht="15.95" customHeight="1">
      <c r="A29" s="47" t="s">
        <v>101</v>
      </c>
      <c r="B29" s="54"/>
      <c r="C29" s="54">
        <f>C27+C28</f>
        <v>-187237.61415292497</v>
      </c>
      <c r="D29" s="54">
        <f t="shared" ref="D29:L29" si="17">D27+D28</f>
        <v>-191675.09295292498</v>
      </c>
      <c r="E29" s="54">
        <f>E27+E28</f>
        <v>-167413.40295292498</v>
      </c>
      <c r="F29" s="54">
        <f t="shared" si="17"/>
        <v>-168151.29944527874</v>
      </c>
      <c r="G29" s="54">
        <f t="shared" si="17"/>
        <v>-167394.41944527873</v>
      </c>
      <c r="H29" s="54">
        <f t="shared" si="17"/>
        <v>-152842.89944527874</v>
      </c>
      <c r="I29" s="54">
        <f t="shared" si="17"/>
        <v>-152942.89944527874</v>
      </c>
      <c r="J29" s="54">
        <f t="shared" si="17"/>
        <v>-152842.89944527874</v>
      </c>
      <c r="K29" s="54">
        <f t="shared" si="17"/>
        <v>-152942.89944527874</v>
      </c>
      <c r="L29" s="54">
        <f t="shared" si="17"/>
        <v>-152842.89944527874</v>
      </c>
    </row>
    <row r="30" spans="1:12" ht="15.95" customHeight="1">
      <c r="A30" s="65" t="s">
        <v>53</v>
      </c>
      <c r="B30" s="66"/>
      <c r="C30" s="66">
        <f>-C21</f>
        <v>13334.1</v>
      </c>
      <c r="D30" s="66">
        <f>-D21</f>
        <v>13334.1</v>
      </c>
      <c r="E30" s="66">
        <f t="shared" ref="E30:L30" si="18">-E21</f>
        <v>13334.1</v>
      </c>
      <c r="F30" s="66">
        <f t="shared" si="18"/>
        <v>13334.1</v>
      </c>
      <c r="G30" s="66">
        <f t="shared" si="18"/>
        <v>13334.1</v>
      </c>
      <c r="H30" s="66">
        <f t="shared" si="18"/>
        <v>13334.1</v>
      </c>
      <c r="I30" s="66">
        <f t="shared" si="18"/>
        <v>13334.1</v>
      </c>
      <c r="J30" s="66">
        <f t="shared" si="18"/>
        <v>13334.1</v>
      </c>
      <c r="K30" s="66">
        <f t="shared" si="18"/>
        <v>13334.1</v>
      </c>
      <c r="L30" s="66">
        <f t="shared" si="18"/>
        <v>13334.1</v>
      </c>
    </row>
    <row r="31" spans="1:12" ht="15.95" customHeight="1">
      <c r="A31" s="65" t="s">
        <v>54</v>
      </c>
      <c r="B31" s="66"/>
      <c r="C31" s="66">
        <f>-C20</f>
        <v>531.52</v>
      </c>
      <c r="D31" s="66">
        <f>-D20</f>
        <v>531.52</v>
      </c>
      <c r="E31" s="66">
        <f>-E20</f>
        <v>531.52</v>
      </c>
      <c r="F31" s="66">
        <f>-F20</f>
        <v>531.52</v>
      </c>
      <c r="G31" s="66">
        <f>-G20</f>
        <v>531.52</v>
      </c>
      <c r="H31" s="66">
        <f>H20</f>
        <v>0</v>
      </c>
      <c r="I31" s="66">
        <f>I20</f>
        <v>0</v>
      </c>
      <c r="J31" s="66">
        <f>J20</f>
        <v>0</v>
      </c>
      <c r="K31" s="66">
        <f>K20</f>
        <v>0</v>
      </c>
      <c r="L31" s="66">
        <f>L20</f>
        <v>0</v>
      </c>
    </row>
    <row r="32" spans="1:12" ht="15.95" customHeight="1">
      <c r="A32" s="47" t="s">
        <v>56</v>
      </c>
      <c r="B32" s="66"/>
      <c r="C32" s="54">
        <f>SUM(C30:C31)</f>
        <v>13865.62</v>
      </c>
      <c r="D32" s="54">
        <f>SUM(D30:D31)</f>
        <v>13865.62</v>
      </c>
      <c r="E32" s="54">
        <f t="shared" ref="E32:L32" si="19">SUM(E30:E31)</f>
        <v>13865.62</v>
      </c>
      <c r="F32" s="54">
        <f t="shared" si="19"/>
        <v>13865.62</v>
      </c>
      <c r="G32" s="54">
        <f t="shared" si="19"/>
        <v>13865.62</v>
      </c>
      <c r="H32" s="54">
        <f t="shared" si="19"/>
        <v>13334.1</v>
      </c>
      <c r="I32" s="54">
        <f t="shared" si="19"/>
        <v>13334.1</v>
      </c>
      <c r="J32" s="54">
        <f t="shared" si="19"/>
        <v>13334.1</v>
      </c>
      <c r="K32" s="54">
        <f t="shared" si="19"/>
        <v>13334.1</v>
      </c>
      <c r="L32" s="54">
        <f t="shared" si="19"/>
        <v>13334.1</v>
      </c>
    </row>
    <row r="33" spans="1:12" ht="15.95" customHeight="1">
      <c r="A33" s="65" t="s">
        <v>55</v>
      </c>
      <c r="B33" s="66"/>
      <c r="C33" s="66">
        <f>-Financiamiento!C3</f>
        <v>-10580.45</v>
      </c>
      <c r="D33" s="66">
        <f>-Financiamiento!C4</f>
        <v>-11768.69</v>
      </c>
      <c r="E33" s="66">
        <f>-Financiamiento!C5</f>
        <v>-13090.37</v>
      </c>
      <c r="F33" s="66">
        <f>-Financiamiento!C6</f>
        <v>-14560.49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</row>
    <row r="34" spans="1:12" ht="15.95" customHeight="1">
      <c r="A34" s="65" t="s">
        <v>48</v>
      </c>
      <c r="B34" s="66">
        <v>50000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5.95" customHeight="1">
      <c r="A35" s="65" t="s">
        <v>57</v>
      </c>
      <c r="B35" s="66">
        <f>-[3]tecnico!$E$29</f>
        <v>-83341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5.95" customHeight="1">
      <c r="A36" s="65" t="s">
        <v>58</v>
      </c>
      <c r="B36" s="66">
        <f>0</f>
        <v>0</v>
      </c>
      <c r="C36" s="66">
        <f>-[4]tecnico!$C$43</f>
        <v>0</v>
      </c>
      <c r="D36" s="66">
        <f>-[4]tecnico!$D$43</f>
        <v>0</v>
      </c>
      <c r="E36" s="66">
        <f>-[4]tecnico!$E$43</f>
        <v>-11760</v>
      </c>
      <c r="F36" s="66">
        <f>-[4]tecnico!$F$43</f>
        <v>0</v>
      </c>
      <c r="G36" s="66">
        <f>-[4]tecnico!$G$43</f>
        <v>-22560</v>
      </c>
      <c r="H36" s="66">
        <f>-[4]tecnico!$H$43</f>
        <v>-11760</v>
      </c>
      <c r="I36" s="66">
        <f>-[4]tecnico!$I$43</f>
        <v>0</v>
      </c>
      <c r="J36" s="66">
        <f>-[4]tecnico!$J$43</f>
        <v>0</v>
      </c>
      <c r="K36" s="66">
        <f>-[4]tecnico!$K$43</f>
        <v>-11760</v>
      </c>
      <c r="L36" s="66">
        <f>-[4]tecnico!$L$43</f>
        <v>0</v>
      </c>
    </row>
    <row r="37" spans="1:12" ht="15.95" customHeight="1">
      <c r="A37" s="65" t="s">
        <v>34</v>
      </c>
      <c r="B37" s="66">
        <f>-'ACTIVOS INTANGIBLES'!B14</f>
        <v>-2657.6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5.95" customHeight="1">
      <c r="A38" s="65" t="s">
        <v>33</v>
      </c>
      <c r="B38" s="66">
        <f>'Capital de trabajo'!D9</f>
        <v>-19902.767136184884</v>
      </c>
      <c r="C38" s="66"/>
      <c r="D38" s="66"/>
      <c r="E38" s="66"/>
      <c r="F38" s="66"/>
      <c r="G38" s="66"/>
      <c r="H38" s="66"/>
      <c r="I38" s="66"/>
      <c r="J38" s="66"/>
      <c r="K38" s="66"/>
      <c r="L38" s="66">
        <f>-B38</f>
        <v>19902.767136184884</v>
      </c>
    </row>
    <row r="39" spans="1:12" ht="15.95" customHeight="1">
      <c r="A39" s="65" t="s">
        <v>35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>
        <f>'Valor de desecho'!H28</f>
        <v>7840.0000000000009</v>
      </c>
    </row>
    <row r="40" spans="1:12" ht="15.95" customHeight="1">
      <c r="A40" s="149" t="s">
        <v>36</v>
      </c>
      <c r="B40" s="150">
        <f>B29+SUM(B32:B39)</f>
        <v>-55901.367136184883</v>
      </c>
      <c r="C40" s="150">
        <f t="shared" ref="C40:L40" si="20">C29+SUM(C32:C39)</f>
        <v>-183952.44415292496</v>
      </c>
      <c r="D40" s="150">
        <f t="shared" si="20"/>
        <v>-189578.16295292499</v>
      </c>
      <c r="E40" s="150">
        <f t="shared" si="20"/>
        <v>-178398.15295292498</v>
      </c>
      <c r="F40" s="150">
        <f t="shared" si="20"/>
        <v>-168846.16944527873</v>
      </c>
      <c r="G40" s="150">
        <f t="shared" si="20"/>
        <v>-176088.79944527874</v>
      </c>
      <c r="H40" s="150">
        <f t="shared" si="20"/>
        <v>-151268.79944527874</v>
      </c>
      <c r="I40" s="150">
        <f t="shared" si="20"/>
        <v>-139608.79944527874</v>
      </c>
      <c r="J40" s="150">
        <f t="shared" si="20"/>
        <v>-139508.79944527874</v>
      </c>
      <c r="K40" s="150">
        <f t="shared" si="20"/>
        <v>-151368.79944527874</v>
      </c>
      <c r="L40" s="150">
        <f t="shared" si="20"/>
        <v>-111766.03230909386</v>
      </c>
    </row>
    <row r="41" spans="1:12" ht="15.95" customHeight="1">
      <c r="A41" s="151" t="s">
        <v>223</v>
      </c>
      <c r="B41" s="138">
        <v>6.3500000000000001E-2</v>
      </c>
    </row>
    <row r="42" spans="1:12" ht="15.95" customHeight="1">
      <c r="A42" s="151" t="s">
        <v>224</v>
      </c>
      <c r="B42" s="137">
        <f>NPV(B41, C40:L40)+B40</f>
        <v>-1234113.928985012</v>
      </c>
    </row>
    <row r="43" spans="1:12" ht="15.95" customHeight="1">
      <c r="A43" s="151" t="s">
        <v>30</v>
      </c>
      <c r="B43" s="138" t="e">
        <f>IRR(B40:L40)</f>
        <v>#DIV/0!</v>
      </c>
    </row>
    <row r="44" spans="1:12" ht="15.95" customHeight="1"/>
    <row r="45" spans="1:12">
      <c r="D45" s="136"/>
    </row>
    <row r="46" spans="1:12" ht="15">
      <c r="A46" s="69" t="s">
        <v>202</v>
      </c>
    </row>
    <row r="47" spans="1:12">
      <c r="A47" s="42" t="s">
        <v>203</v>
      </c>
    </row>
    <row r="48" spans="1:12">
      <c r="A48" s="42" t="s">
        <v>204</v>
      </c>
    </row>
    <row r="49" spans="1:1">
      <c r="A49" s="42" t="s">
        <v>205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zoomScale="80" zoomScaleNormal="80" workbookViewId="0">
      <selection activeCell="A4" sqref="A4"/>
    </sheetView>
  </sheetViews>
  <sheetFormatPr baseColWidth="10" defaultRowHeight="14.25"/>
  <cols>
    <col min="1" max="1" width="40.140625" style="42" customWidth="1"/>
    <col min="2" max="2" width="21.5703125" style="42" customWidth="1"/>
    <col min="3" max="12" width="21.5703125" style="42" bestFit="1" customWidth="1"/>
    <col min="13" max="16384" width="11.42578125" style="42"/>
  </cols>
  <sheetData>
    <row r="1" spans="1:12" ht="15.95" customHeight="1">
      <c r="A1" s="69" t="s">
        <v>222</v>
      </c>
      <c r="C1" s="136"/>
    </row>
    <row r="2" spans="1:12" ht="15.95" customHeight="1">
      <c r="A2" s="91" t="s">
        <v>29</v>
      </c>
      <c r="B2" s="92">
        <v>0</v>
      </c>
      <c r="C2" s="92">
        <v>1</v>
      </c>
      <c r="D2" s="92">
        <v>2</v>
      </c>
      <c r="E2" s="92">
        <v>3</v>
      </c>
      <c r="F2" s="92">
        <v>4</v>
      </c>
      <c r="G2" s="92">
        <v>5</v>
      </c>
      <c r="H2" s="92">
        <v>6</v>
      </c>
      <c r="I2" s="92">
        <v>7</v>
      </c>
      <c r="J2" s="92">
        <v>8</v>
      </c>
      <c r="K2" s="92">
        <v>9</v>
      </c>
      <c r="L2" s="92">
        <v>10</v>
      </c>
    </row>
    <row r="3" spans="1:12" ht="15.95" customHeight="1">
      <c r="A3" s="65" t="s">
        <v>45</v>
      </c>
      <c r="B3" s="66"/>
      <c r="C3" s="66">
        <f>'[1]ESTIMACION DE DEMANDA'!$C$36</f>
        <v>492253.07618856896</v>
      </c>
      <c r="D3" s="66">
        <f>'[1]ESTIMACION DE DEMANDA'!$C$36</f>
        <v>492253.07618856896</v>
      </c>
      <c r="E3" s="66">
        <f>'[1]ESTIMACION DE DEMANDA'!$C$36</f>
        <v>492253.07618856896</v>
      </c>
      <c r="F3" s="66">
        <f>'[1]ESTIMACION DE DEMANDA'!$C$36</f>
        <v>492253.07618856896</v>
      </c>
      <c r="G3" s="66">
        <f>'[1]ESTIMACION DE DEMANDA'!$C$36</f>
        <v>492253.07618856896</v>
      </c>
      <c r="H3" s="66">
        <f>'[1]ESTIMACION DE DEMANDA'!$C$36</f>
        <v>492253.07618856896</v>
      </c>
      <c r="I3" s="66">
        <f>'[1]ESTIMACION DE DEMANDA'!$C$36</f>
        <v>492253.07618856896</v>
      </c>
      <c r="J3" s="66">
        <f>'[1]ESTIMACION DE DEMANDA'!$C$36</f>
        <v>492253.07618856896</v>
      </c>
      <c r="K3" s="66">
        <f>'[1]ESTIMACION DE DEMANDA'!$C$36</f>
        <v>492253.07618856896</v>
      </c>
      <c r="L3" s="66">
        <f>'[1]ESTIMACION DE DEMANDA'!$C$36</f>
        <v>492253.07618856896</v>
      </c>
    </row>
    <row r="4" spans="1:12" ht="15.95" customHeight="1">
      <c r="A4" s="65" t="s">
        <v>46</v>
      </c>
      <c r="B4" s="66"/>
      <c r="C4" s="66">
        <f>'[2]ESTIMACION DE DEMANDA'!$C$43</f>
        <v>975594.84014122677</v>
      </c>
      <c r="D4" s="66">
        <f>C4</f>
        <v>975594.84014122677</v>
      </c>
      <c r="E4" s="66">
        <f t="shared" ref="E4:L4" si="0">D4</f>
        <v>975594.84014122677</v>
      </c>
      <c r="F4" s="66">
        <f t="shared" si="0"/>
        <v>975594.84014122677</v>
      </c>
      <c r="G4" s="66">
        <f t="shared" si="0"/>
        <v>975594.84014122677</v>
      </c>
      <c r="H4" s="66">
        <f t="shared" si="0"/>
        <v>975594.84014122677</v>
      </c>
      <c r="I4" s="66">
        <f t="shared" si="0"/>
        <v>975594.84014122677</v>
      </c>
      <c r="J4" s="66">
        <f t="shared" si="0"/>
        <v>975594.84014122677</v>
      </c>
      <c r="K4" s="66">
        <f t="shared" si="0"/>
        <v>975594.84014122677</v>
      </c>
      <c r="L4" s="66">
        <f t="shared" si="0"/>
        <v>975594.84014122677</v>
      </c>
    </row>
    <row r="5" spans="1:12" ht="15.95" customHeight="1">
      <c r="A5" s="47" t="s">
        <v>47</v>
      </c>
      <c r="B5" s="66"/>
      <c r="C5" s="54">
        <f>SUM(C3:C4)</f>
        <v>1467847.9163297957</v>
      </c>
      <c r="D5" s="54">
        <f t="shared" ref="D5:L5" si="1">SUM(D3:D4)</f>
        <v>1467847.9163297957</v>
      </c>
      <c r="E5" s="54">
        <f t="shared" si="1"/>
        <v>1467847.9163297957</v>
      </c>
      <c r="F5" s="54">
        <f t="shared" si="1"/>
        <v>1467847.9163297957</v>
      </c>
      <c r="G5" s="54">
        <f t="shared" si="1"/>
        <v>1467847.9163297957</v>
      </c>
      <c r="H5" s="54">
        <f t="shared" si="1"/>
        <v>1467847.9163297957</v>
      </c>
      <c r="I5" s="54">
        <f t="shared" si="1"/>
        <v>1467847.9163297957</v>
      </c>
      <c r="J5" s="54">
        <f t="shared" si="1"/>
        <v>1467847.9163297957</v>
      </c>
      <c r="K5" s="54">
        <f t="shared" si="1"/>
        <v>1467847.9163297957</v>
      </c>
      <c r="L5" s="54">
        <f t="shared" si="1"/>
        <v>1467847.9163297957</v>
      </c>
    </row>
    <row r="6" spans="1:12" ht="15.95" customHeight="1">
      <c r="A6" s="65" t="s">
        <v>44</v>
      </c>
      <c r="B6" s="66"/>
      <c r="C6" s="66">
        <f>-'[1]ESTIMACION DE DEMANDA'!$C$53</f>
        <v>-410210.89682380756</v>
      </c>
      <c r="D6" s="66">
        <f>-'[1]ESTIMACION DE DEMANDA'!$C$53</f>
        <v>-410210.89682380756</v>
      </c>
      <c r="E6" s="66">
        <f>-'[1]ESTIMACION DE DEMANDA'!$C$53</f>
        <v>-410210.89682380756</v>
      </c>
      <c r="F6" s="66">
        <f>-'[1]ESTIMACION DE DEMANDA'!$C$53</f>
        <v>-410210.89682380756</v>
      </c>
      <c r="G6" s="66">
        <f>-'[1]ESTIMACION DE DEMANDA'!$C$53</f>
        <v>-410210.89682380756</v>
      </c>
      <c r="H6" s="66">
        <f>-'[1]ESTIMACION DE DEMANDA'!$C$53</f>
        <v>-410210.89682380756</v>
      </c>
      <c r="I6" s="66">
        <f>-'[1]ESTIMACION DE DEMANDA'!$C$53</f>
        <v>-410210.89682380756</v>
      </c>
      <c r="J6" s="66">
        <f>-'[1]ESTIMACION DE DEMANDA'!$C$53</f>
        <v>-410210.89682380756</v>
      </c>
      <c r="K6" s="66">
        <f>-'[1]ESTIMACION DE DEMANDA'!$C$53</f>
        <v>-410210.89682380756</v>
      </c>
      <c r="L6" s="66">
        <f>-'[1]ESTIMACION DE DEMANDA'!$C$53</f>
        <v>-410210.89682380756</v>
      </c>
    </row>
    <row r="7" spans="1:12" ht="15.95" customHeight="1">
      <c r="A7" s="65" t="s">
        <v>43</v>
      </c>
      <c r="B7" s="66"/>
      <c r="C7" s="66">
        <f>-'[2]ESTIMACION DE DEMANDA'!$C$60</f>
        <v>-812995.70011768886</v>
      </c>
      <c r="D7" s="66">
        <f>C7</f>
        <v>-812995.70011768886</v>
      </c>
      <c r="E7" s="66">
        <f t="shared" ref="E7:L7" si="2">D7</f>
        <v>-812995.70011768886</v>
      </c>
      <c r="F7" s="66">
        <f t="shared" si="2"/>
        <v>-812995.70011768886</v>
      </c>
      <c r="G7" s="66">
        <f t="shared" si="2"/>
        <v>-812995.70011768886</v>
      </c>
      <c r="H7" s="66">
        <f t="shared" si="2"/>
        <v>-812995.70011768886</v>
      </c>
      <c r="I7" s="66">
        <f t="shared" si="2"/>
        <v>-812995.70011768886</v>
      </c>
      <c r="J7" s="66">
        <f t="shared" si="2"/>
        <v>-812995.70011768886</v>
      </c>
      <c r="K7" s="66">
        <f t="shared" si="2"/>
        <v>-812995.70011768886</v>
      </c>
      <c r="L7" s="66">
        <f t="shared" si="2"/>
        <v>-812995.70011768886</v>
      </c>
    </row>
    <row r="8" spans="1:12" ht="15.95" customHeight="1">
      <c r="A8" s="47" t="s">
        <v>42</v>
      </c>
      <c r="B8" s="66"/>
      <c r="C8" s="54">
        <f>SUM(C6:C7)</f>
        <v>-1223206.5969414965</v>
      </c>
      <c r="D8" s="54">
        <f t="shared" ref="D8:L8" si="3">SUM(D6:D7)</f>
        <v>-1223206.5969414965</v>
      </c>
      <c r="E8" s="54">
        <f t="shared" si="3"/>
        <v>-1223206.5969414965</v>
      </c>
      <c r="F8" s="54">
        <f t="shared" si="3"/>
        <v>-1223206.5969414965</v>
      </c>
      <c r="G8" s="54">
        <f t="shared" si="3"/>
        <v>-1223206.5969414965</v>
      </c>
      <c r="H8" s="54">
        <f t="shared" si="3"/>
        <v>-1223206.5969414965</v>
      </c>
      <c r="I8" s="54">
        <f t="shared" si="3"/>
        <v>-1223206.5969414965</v>
      </c>
      <c r="J8" s="54">
        <f t="shared" si="3"/>
        <v>-1223206.5969414965</v>
      </c>
      <c r="K8" s="54">
        <f t="shared" si="3"/>
        <v>-1223206.5969414965</v>
      </c>
      <c r="L8" s="54">
        <f t="shared" si="3"/>
        <v>-1223206.5969414965</v>
      </c>
    </row>
    <row r="9" spans="1:12" ht="15.95" customHeight="1">
      <c r="A9" s="47" t="s">
        <v>168</v>
      </c>
      <c r="B9" s="66"/>
      <c r="C9" s="54">
        <f>C5+C8</f>
        <v>244641.31938829925</v>
      </c>
      <c r="D9" s="54">
        <f t="shared" ref="D9:L9" si="4">D5+D8</f>
        <v>244641.31938829925</v>
      </c>
      <c r="E9" s="54">
        <f t="shared" si="4"/>
        <v>244641.31938829925</v>
      </c>
      <c r="F9" s="54">
        <f t="shared" si="4"/>
        <v>244641.31938829925</v>
      </c>
      <c r="G9" s="54">
        <f t="shared" si="4"/>
        <v>244641.31938829925</v>
      </c>
      <c r="H9" s="54">
        <f t="shared" si="4"/>
        <v>244641.31938829925</v>
      </c>
      <c r="I9" s="54">
        <f t="shared" si="4"/>
        <v>244641.31938829925</v>
      </c>
      <c r="J9" s="54">
        <f t="shared" si="4"/>
        <v>244641.31938829925</v>
      </c>
      <c r="K9" s="54">
        <f t="shared" si="4"/>
        <v>244641.31938829925</v>
      </c>
      <c r="L9" s="54">
        <f t="shared" si="4"/>
        <v>244641.31938829925</v>
      </c>
    </row>
    <row r="10" spans="1:12" ht="15.95" customHeight="1">
      <c r="A10" s="67" t="s">
        <v>59</v>
      </c>
      <c r="B10" s="66"/>
      <c r="C10" s="66">
        <f>-' SERVICIOS B. Y  ALQUILER'!C16</f>
        <v>-7500</v>
      </c>
      <c r="D10" s="66">
        <f>C10</f>
        <v>-7500</v>
      </c>
      <c r="E10" s="66">
        <f t="shared" ref="E10:L14" si="5">D10</f>
        <v>-7500</v>
      </c>
      <c r="F10" s="66">
        <f t="shared" si="5"/>
        <v>-7500</v>
      </c>
      <c r="G10" s="66">
        <f t="shared" si="5"/>
        <v>-7500</v>
      </c>
      <c r="H10" s="66">
        <f t="shared" si="5"/>
        <v>-7500</v>
      </c>
      <c r="I10" s="66">
        <f t="shared" si="5"/>
        <v>-7500</v>
      </c>
      <c r="J10" s="66">
        <f t="shared" si="5"/>
        <v>-7500</v>
      </c>
      <c r="K10" s="66">
        <f t="shared" si="5"/>
        <v>-7500</v>
      </c>
      <c r="L10" s="66">
        <f t="shared" si="5"/>
        <v>-7500</v>
      </c>
    </row>
    <row r="11" spans="1:12" ht="15.95" customHeight="1">
      <c r="A11" s="67" t="s">
        <v>60</v>
      </c>
      <c r="B11" s="66"/>
      <c r="C11" s="66">
        <f>-[3]tecnico!$J$63</f>
        <v>-89664.063999999998</v>
      </c>
      <c r="D11" s="66">
        <f>-SUELDOS!D12</f>
        <v>-95389.772800000006</v>
      </c>
      <c r="E11" s="66">
        <f t="shared" si="5"/>
        <v>-95389.772800000006</v>
      </c>
      <c r="F11" s="66">
        <f t="shared" si="5"/>
        <v>-95389.772800000006</v>
      </c>
      <c r="G11" s="66">
        <f t="shared" si="5"/>
        <v>-95389.772800000006</v>
      </c>
      <c r="H11" s="66">
        <f t="shared" si="5"/>
        <v>-95389.772800000006</v>
      </c>
      <c r="I11" s="66">
        <f t="shared" si="5"/>
        <v>-95389.772800000006</v>
      </c>
      <c r="J11" s="66">
        <f t="shared" si="5"/>
        <v>-95389.772800000006</v>
      </c>
      <c r="K11" s="66">
        <f t="shared" si="5"/>
        <v>-95389.772800000006</v>
      </c>
      <c r="L11" s="66">
        <f t="shared" si="5"/>
        <v>-95389.772800000006</v>
      </c>
    </row>
    <row r="12" spans="1:12" ht="15.95" customHeight="1">
      <c r="A12" s="65" t="s">
        <v>97</v>
      </c>
      <c r="B12" s="66"/>
      <c r="C12" s="66">
        <f>-SUMINISTROS!B20</f>
        <v>-2140.8000000000002</v>
      </c>
      <c r="D12" s="66">
        <f>C12</f>
        <v>-2140.8000000000002</v>
      </c>
      <c r="E12" s="66">
        <f t="shared" si="5"/>
        <v>-2140.8000000000002</v>
      </c>
      <c r="F12" s="66">
        <f t="shared" si="5"/>
        <v>-2140.8000000000002</v>
      </c>
      <c r="G12" s="66">
        <f t="shared" si="5"/>
        <v>-2140.8000000000002</v>
      </c>
      <c r="H12" s="66">
        <f t="shared" si="5"/>
        <v>-2140.8000000000002</v>
      </c>
      <c r="I12" s="66">
        <f t="shared" si="5"/>
        <v>-2140.8000000000002</v>
      </c>
      <c r="J12" s="66">
        <f t="shared" si="5"/>
        <v>-2140.8000000000002</v>
      </c>
      <c r="K12" s="66">
        <f t="shared" si="5"/>
        <v>-2140.8000000000002</v>
      </c>
      <c r="L12" s="66">
        <f t="shared" si="5"/>
        <v>-2140.8000000000002</v>
      </c>
    </row>
    <row r="13" spans="1:12" ht="15.95" customHeight="1">
      <c r="A13" s="65" t="s">
        <v>41</v>
      </c>
      <c r="B13" s="66"/>
      <c r="C13" s="66">
        <f>-MANTENIMIENTO!B8</f>
        <v>-3102.9400000000005</v>
      </c>
      <c r="D13" s="66">
        <f>C13</f>
        <v>-3102.9400000000005</v>
      </c>
      <c r="E13" s="66">
        <f t="shared" si="5"/>
        <v>-3102.9400000000005</v>
      </c>
      <c r="F13" s="66">
        <f t="shared" si="5"/>
        <v>-3102.9400000000005</v>
      </c>
      <c r="G13" s="66">
        <f t="shared" si="5"/>
        <v>-3102.9400000000005</v>
      </c>
      <c r="H13" s="66">
        <f t="shared" si="5"/>
        <v>-3102.9400000000005</v>
      </c>
      <c r="I13" s="66">
        <f t="shared" si="5"/>
        <v>-3102.9400000000005</v>
      </c>
      <c r="J13" s="66">
        <f t="shared" si="5"/>
        <v>-3102.9400000000005</v>
      </c>
      <c r="K13" s="66">
        <f t="shared" si="5"/>
        <v>-3102.9400000000005</v>
      </c>
      <c r="L13" s="66">
        <f t="shared" si="5"/>
        <v>-3102.9400000000005</v>
      </c>
    </row>
    <row r="14" spans="1:12" ht="15.95" customHeight="1">
      <c r="A14" s="65" t="s">
        <v>113</v>
      </c>
      <c r="B14" s="66"/>
      <c r="C14" s="66">
        <f>-'GASTOS DE PROMOCION'!E20</f>
        <v>-80360</v>
      </c>
      <c r="D14" s="66">
        <f>C14</f>
        <v>-80360</v>
      </c>
      <c r="E14" s="66">
        <f>-'GASTOS DE PROMOCION'!E39</f>
        <v>-57320</v>
      </c>
      <c r="F14" s="66">
        <f>E14</f>
        <v>-57320</v>
      </c>
      <c r="G14" s="66">
        <f t="shared" si="5"/>
        <v>-57320</v>
      </c>
      <c r="H14" s="66">
        <f>-'GASTOS DE PROMOCION'!E56</f>
        <v>-43400</v>
      </c>
      <c r="I14" s="66">
        <f>H14</f>
        <v>-43400</v>
      </c>
      <c r="J14" s="66">
        <f>H14</f>
        <v>-43400</v>
      </c>
      <c r="K14" s="66">
        <f>H14</f>
        <v>-43400</v>
      </c>
      <c r="L14" s="66">
        <f>H14</f>
        <v>-43400</v>
      </c>
    </row>
    <row r="15" spans="1:12" ht="15.95" customHeight="1">
      <c r="A15" s="65" t="s">
        <v>40</v>
      </c>
      <c r="B15" s="66"/>
      <c r="C15" s="66">
        <f>-'GASTOS DE TRANSPORTE'!B5</f>
        <v>-424</v>
      </c>
      <c r="D15" s="66">
        <f>C15</f>
        <v>-424</v>
      </c>
      <c r="E15" s="66">
        <f t="shared" ref="E15:L16" si="6">D15</f>
        <v>-424</v>
      </c>
      <c r="F15" s="66">
        <f t="shared" si="6"/>
        <v>-424</v>
      </c>
      <c r="G15" s="66">
        <f t="shared" si="6"/>
        <v>-424</v>
      </c>
      <c r="H15" s="66">
        <f t="shared" si="6"/>
        <v>-424</v>
      </c>
      <c r="I15" s="66">
        <f t="shared" si="6"/>
        <v>-424</v>
      </c>
      <c r="J15" s="66">
        <f t="shared" si="6"/>
        <v>-424</v>
      </c>
      <c r="K15" s="66">
        <f t="shared" si="6"/>
        <v>-424</v>
      </c>
      <c r="L15" s="66">
        <f t="shared" si="6"/>
        <v>-424</v>
      </c>
    </row>
    <row r="16" spans="1:12" ht="15.95" customHeight="1">
      <c r="A16" s="65" t="s">
        <v>39</v>
      </c>
      <c r="B16" s="66"/>
      <c r="C16" s="66">
        <f>-' SERVICIOS B. Y  ALQUILER'!C23</f>
        <v>-45600</v>
      </c>
      <c r="D16" s="66">
        <f>C16</f>
        <v>-45600</v>
      </c>
      <c r="E16" s="66">
        <f t="shared" si="6"/>
        <v>-45600</v>
      </c>
      <c r="F16" s="66">
        <f t="shared" si="6"/>
        <v>-45600</v>
      </c>
      <c r="G16" s="66">
        <f t="shared" si="6"/>
        <v>-45600</v>
      </c>
      <c r="H16" s="66">
        <f t="shared" si="6"/>
        <v>-45600</v>
      </c>
      <c r="I16" s="66">
        <f t="shared" si="6"/>
        <v>-45600</v>
      </c>
      <c r="J16" s="66">
        <f t="shared" si="6"/>
        <v>-45600</v>
      </c>
      <c r="K16" s="66">
        <f t="shared" si="6"/>
        <v>-45600</v>
      </c>
      <c r="L16" s="66">
        <f t="shared" si="6"/>
        <v>-45600</v>
      </c>
    </row>
    <row r="17" spans="1:12" ht="15.95" customHeight="1">
      <c r="A17" s="65" t="s">
        <v>38</v>
      </c>
      <c r="B17" s="66"/>
      <c r="C17" s="66">
        <f>-('ACTIVOS INTANGIBLES'!B18+100)</f>
        <v>-903.6</v>
      </c>
      <c r="D17" s="66">
        <f>C17+100</f>
        <v>-803.6</v>
      </c>
      <c r="E17" s="66">
        <f t="shared" ref="E17:L17" si="7">C17</f>
        <v>-903.6</v>
      </c>
      <c r="F17" s="66">
        <f t="shared" si="7"/>
        <v>-803.6</v>
      </c>
      <c r="G17" s="66">
        <f t="shared" si="7"/>
        <v>-903.6</v>
      </c>
      <c r="H17" s="66">
        <f t="shared" si="7"/>
        <v>-803.6</v>
      </c>
      <c r="I17" s="66">
        <f t="shared" si="7"/>
        <v>-903.6</v>
      </c>
      <c r="J17" s="66">
        <f t="shared" si="7"/>
        <v>-803.6</v>
      </c>
      <c r="K17" s="66">
        <f t="shared" si="7"/>
        <v>-903.6</v>
      </c>
      <c r="L17" s="66">
        <f t="shared" si="7"/>
        <v>-803.6</v>
      </c>
    </row>
    <row r="18" spans="1:12" ht="15.95" customHeight="1">
      <c r="A18" s="65" t="s">
        <v>37</v>
      </c>
      <c r="B18" s="66"/>
      <c r="C18" s="66">
        <f>-Financiamiento!D3</f>
        <v>-4836.92</v>
      </c>
      <c r="D18" s="66">
        <f>-Financiamiento!D4</f>
        <v>-3648.69</v>
      </c>
      <c r="E18" s="66">
        <f>-Financiamiento!D5</f>
        <v>-2327</v>
      </c>
      <c r="F18" s="66">
        <f>-Financiamiento!D6</f>
        <v>-856.88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</row>
    <row r="19" spans="1:12" ht="15.95" customHeight="1">
      <c r="A19" s="47" t="s">
        <v>52</v>
      </c>
      <c r="B19" s="66"/>
      <c r="C19" s="54">
        <f>SUM(C10:C18)</f>
        <v>-234532.32400000002</v>
      </c>
      <c r="D19" s="54">
        <f>SUM(D10:D18)</f>
        <v>-238969.80280000003</v>
      </c>
      <c r="E19" s="54">
        <f>SUM(E10:E18)</f>
        <v>-214708.11280000003</v>
      </c>
      <c r="F19" s="54">
        <f t="shared" ref="F19:L19" si="8">SUM(F10:F18)</f>
        <v>-213137.99280000004</v>
      </c>
      <c r="G19" s="54">
        <f t="shared" si="8"/>
        <v>-212381.11280000003</v>
      </c>
      <c r="H19" s="54">
        <f t="shared" si="8"/>
        <v>-198361.11280000003</v>
      </c>
      <c r="I19" s="54">
        <f t="shared" si="8"/>
        <v>-198461.11280000003</v>
      </c>
      <c r="J19" s="54">
        <f t="shared" si="8"/>
        <v>-198361.11280000003</v>
      </c>
      <c r="K19" s="54">
        <f t="shared" si="8"/>
        <v>-198461.11280000003</v>
      </c>
      <c r="L19" s="54">
        <f t="shared" si="8"/>
        <v>-198361.11280000003</v>
      </c>
    </row>
    <row r="20" spans="1:12" ht="15.95" customHeight="1">
      <c r="A20" s="65" t="s">
        <v>50</v>
      </c>
      <c r="B20" s="66"/>
      <c r="C20" s="66">
        <f>-'ACTIVOS INTANGIBLES'!B14/5</f>
        <v>-531.52</v>
      </c>
      <c r="D20" s="66">
        <f>C20</f>
        <v>-531.52</v>
      </c>
      <c r="E20" s="66">
        <f>D20</f>
        <v>-531.52</v>
      </c>
      <c r="F20" s="66">
        <f>E20</f>
        <v>-531.52</v>
      </c>
      <c r="G20" s="66">
        <f>F20</f>
        <v>-531.52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</row>
    <row r="21" spans="1:12" ht="15.95" customHeight="1">
      <c r="A21" s="65" t="s">
        <v>49</v>
      </c>
      <c r="B21" s="66"/>
      <c r="C21" s="66">
        <f>-DEPRECIACION!E27</f>
        <v>-13334.1</v>
      </c>
      <c r="D21" s="66">
        <f>C21</f>
        <v>-13334.1</v>
      </c>
      <c r="E21" s="66">
        <f t="shared" ref="E21:L21" si="9">D21</f>
        <v>-13334.1</v>
      </c>
      <c r="F21" s="66">
        <f t="shared" si="9"/>
        <v>-13334.1</v>
      </c>
      <c r="G21" s="66">
        <f t="shared" si="9"/>
        <v>-13334.1</v>
      </c>
      <c r="H21" s="66">
        <f t="shared" si="9"/>
        <v>-13334.1</v>
      </c>
      <c r="I21" s="66">
        <f t="shared" si="9"/>
        <v>-13334.1</v>
      </c>
      <c r="J21" s="66">
        <f t="shared" si="9"/>
        <v>-13334.1</v>
      </c>
      <c r="K21" s="66">
        <f t="shared" si="9"/>
        <v>-13334.1</v>
      </c>
      <c r="L21" s="66">
        <f t="shared" si="9"/>
        <v>-13334.1</v>
      </c>
    </row>
    <row r="22" spans="1:12" ht="15.95" customHeight="1">
      <c r="A22" s="47" t="s">
        <v>51</v>
      </c>
      <c r="B22" s="66"/>
      <c r="C22" s="54">
        <f>SUM(C20:C21)</f>
        <v>-13865.62</v>
      </c>
      <c r="D22" s="54">
        <f>SUM(D20:D21)</f>
        <v>-13865.62</v>
      </c>
      <c r="E22" s="54">
        <f t="shared" ref="E22:L22" si="10">SUM(E20:E21)</f>
        <v>-13865.62</v>
      </c>
      <c r="F22" s="54">
        <f t="shared" si="10"/>
        <v>-13865.62</v>
      </c>
      <c r="G22" s="54">
        <f t="shared" si="10"/>
        <v>-13865.62</v>
      </c>
      <c r="H22" s="54">
        <f t="shared" si="10"/>
        <v>-13334.1</v>
      </c>
      <c r="I22" s="54">
        <f t="shared" si="10"/>
        <v>-13334.1</v>
      </c>
      <c r="J22" s="54">
        <f t="shared" si="10"/>
        <v>-13334.1</v>
      </c>
      <c r="K22" s="54">
        <f t="shared" si="10"/>
        <v>-13334.1</v>
      </c>
      <c r="L22" s="54">
        <f t="shared" si="10"/>
        <v>-13334.1</v>
      </c>
    </row>
    <row r="23" spans="1:12" ht="15.95" customHeight="1">
      <c r="A23" s="47" t="s">
        <v>95</v>
      </c>
      <c r="B23" s="66"/>
      <c r="C23" s="54">
        <f t="shared" ref="C23:L23" si="11">C9+C19+C22</f>
        <v>-3756.624611700774</v>
      </c>
      <c r="D23" s="54">
        <f t="shared" si="11"/>
        <v>-8194.1034117007857</v>
      </c>
      <c r="E23" s="54">
        <f t="shared" si="11"/>
        <v>16067.586588299217</v>
      </c>
      <c r="F23" s="54">
        <f t="shared" si="11"/>
        <v>17637.70658829921</v>
      </c>
      <c r="G23" s="54">
        <f t="shared" si="11"/>
        <v>18394.586588299215</v>
      </c>
      <c r="H23" s="54">
        <f t="shared" si="11"/>
        <v>32946.106588299219</v>
      </c>
      <c r="I23" s="54">
        <f t="shared" si="11"/>
        <v>32846.106588299219</v>
      </c>
      <c r="J23" s="54">
        <f t="shared" si="11"/>
        <v>32946.106588299219</v>
      </c>
      <c r="K23" s="54">
        <f t="shared" si="11"/>
        <v>32846.106588299219</v>
      </c>
      <c r="L23" s="54">
        <f t="shared" si="11"/>
        <v>32946.106588299219</v>
      </c>
    </row>
    <row r="24" spans="1:12" ht="15.95" customHeight="1">
      <c r="A24" s="47" t="s">
        <v>98</v>
      </c>
      <c r="B24" s="66"/>
      <c r="C24" s="54">
        <f>-IF(C23&gt;0, 0.15*C23,0)</f>
        <v>0</v>
      </c>
      <c r="D24" s="54">
        <f t="shared" ref="D24:L24" si="12">-IF(D23&gt;0, 0.15*D23,0)</f>
        <v>0</v>
      </c>
      <c r="E24" s="54">
        <f t="shared" si="12"/>
        <v>-2410.1379882448823</v>
      </c>
      <c r="F24" s="54">
        <f t="shared" si="12"/>
        <v>-2645.6559882448814</v>
      </c>
      <c r="G24" s="54">
        <f t="shared" si="12"/>
        <v>-2759.187988244882</v>
      </c>
      <c r="H24" s="54">
        <f t="shared" si="12"/>
        <v>-4941.915988244883</v>
      </c>
      <c r="I24" s="54">
        <f t="shared" si="12"/>
        <v>-4926.915988244883</v>
      </c>
      <c r="J24" s="54">
        <f t="shared" si="12"/>
        <v>-4941.915988244883</v>
      </c>
      <c r="K24" s="54">
        <f t="shared" si="12"/>
        <v>-4926.915988244883</v>
      </c>
      <c r="L24" s="54">
        <f t="shared" si="12"/>
        <v>-4941.915988244883</v>
      </c>
    </row>
    <row r="25" spans="1:12" ht="15.95" customHeight="1">
      <c r="A25" s="47" t="s">
        <v>94</v>
      </c>
      <c r="B25" s="66"/>
      <c r="C25" s="68">
        <f>C23+C24</f>
        <v>-3756.624611700774</v>
      </c>
      <c r="D25" s="68">
        <f>D23+D24</f>
        <v>-8194.1034117007857</v>
      </c>
      <c r="E25" s="68">
        <f>E23+E24</f>
        <v>13657.448600054335</v>
      </c>
      <c r="F25" s="68">
        <f t="shared" ref="F25:L25" si="13">F23+F24</f>
        <v>14992.050600054328</v>
      </c>
      <c r="G25" s="68">
        <f t="shared" si="13"/>
        <v>15635.398600054334</v>
      </c>
      <c r="H25" s="68">
        <f t="shared" si="13"/>
        <v>28004.190600054335</v>
      </c>
      <c r="I25" s="68">
        <f t="shared" si="13"/>
        <v>27919.190600054335</v>
      </c>
      <c r="J25" s="68">
        <f t="shared" si="13"/>
        <v>28004.190600054335</v>
      </c>
      <c r="K25" s="68">
        <f t="shared" si="13"/>
        <v>27919.190600054335</v>
      </c>
      <c r="L25" s="68">
        <f t="shared" si="13"/>
        <v>28004.190600054335</v>
      </c>
    </row>
    <row r="26" spans="1:12" ht="15.95" customHeight="1">
      <c r="A26" s="65" t="s">
        <v>96</v>
      </c>
      <c r="B26" s="66"/>
      <c r="C26" s="66">
        <f>-(IF(C25&gt;0,C25*0.23,0))</f>
        <v>0</v>
      </c>
      <c r="D26" s="66">
        <f>-(IF(D25&gt;0,D25*0.22,0))</f>
        <v>0</v>
      </c>
      <c r="E26" s="66">
        <f>-(IF(E25&gt;0,E25*0.22,0))</f>
        <v>-3004.6386920119535</v>
      </c>
      <c r="F26" s="66">
        <f t="shared" ref="F26:L26" si="14">-(IF(F25&gt;0,F25*0.22,0))</f>
        <v>-3298.2511320119524</v>
      </c>
      <c r="G26" s="66">
        <f t="shared" si="14"/>
        <v>-3439.7876920119534</v>
      </c>
      <c r="H26" s="66">
        <f t="shared" si="14"/>
        <v>-6160.9219320119537</v>
      </c>
      <c r="I26" s="66">
        <f t="shared" si="14"/>
        <v>-6142.2219320119539</v>
      </c>
      <c r="J26" s="66">
        <f t="shared" si="14"/>
        <v>-6160.9219320119537</v>
      </c>
      <c r="K26" s="66">
        <f t="shared" si="14"/>
        <v>-6142.2219320119539</v>
      </c>
      <c r="L26" s="66">
        <f t="shared" si="14"/>
        <v>-6160.9219320119537</v>
      </c>
    </row>
    <row r="27" spans="1:12" ht="15.95" customHeight="1">
      <c r="A27" s="47" t="s">
        <v>99</v>
      </c>
      <c r="B27" s="66"/>
      <c r="C27" s="66">
        <f>C25+C26</f>
        <v>-3756.624611700774</v>
      </c>
      <c r="D27" s="66">
        <f>D25+D26</f>
        <v>-8194.1034117007857</v>
      </c>
      <c r="E27" s="66">
        <f>E25+E26</f>
        <v>10652.809908042382</v>
      </c>
      <c r="F27" s="66">
        <f t="shared" ref="F27:L27" si="15">F25+F26</f>
        <v>11693.799468042376</v>
      </c>
      <c r="G27" s="66">
        <f t="shared" si="15"/>
        <v>12195.610908042381</v>
      </c>
      <c r="H27" s="66">
        <f t="shared" si="15"/>
        <v>21843.268668042379</v>
      </c>
      <c r="I27" s="66">
        <f t="shared" si="15"/>
        <v>21776.96866804238</v>
      </c>
      <c r="J27" s="66">
        <f t="shared" si="15"/>
        <v>21843.268668042379</v>
      </c>
      <c r="K27" s="66">
        <f t="shared" si="15"/>
        <v>21776.96866804238</v>
      </c>
      <c r="L27" s="66">
        <f t="shared" si="15"/>
        <v>21843.268668042379</v>
      </c>
    </row>
    <row r="28" spans="1:12" ht="15.95" customHeight="1">
      <c r="A28" s="65" t="s">
        <v>100</v>
      </c>
      <c r="B28" s="66"/>
      <c r="C28" s="66">
        <f>-IF(C27&gt;0,0.1*C27,0)</f>
        <v>0</v>
      </c>
      <c r="D28" s="66">
        <f t="shared" ref="D28:L28" si="16">-IF(D27&gt;0,0.1*D27,0)</f>
        <v>0</v>
      </c>
      <c r="E28" s="66">
        <f t="shared" si="16"/>
        <v>-1065.2809908042382</v>
      </c>
      <c r="F28" s="66">
        <f t="shared" si="16"/>
        <v>-1169.3799468042378</v>
      </c>
      <c r="G28" s="66">
        <f t="shared" si="16"/>
        <v>-1219.5610908042381</v>
      </c>
      <c r="H28" s="66">
        <f t="shared" si="16"/>
        <v>-2184.3268668042379</v>
      </c>
      <c r="I28" s="66">
        <f t="shared" si="16"/>
        <v>-2177.6968668042382</v>
      </c>
      <c r="J28" s="66">
        <f t="shared" si="16"/>
        <v>-2184.3268668042379</v>
      </c>
      <c r="K28" s="66">
        <f t="shared" si="16"/>
        <v>-2177.6968668042382</v>
      </c>
      <c r="L28" s="66">
        <f t="shared" si="16"/>
        <v>-2184.3268668042379</v>
      </c>
    </row>
    <row r="29" spans="1:12" ht="15.95" customHeight="1">
      <c r="A29" s="47" t="s">
        <v>101</v>
      </c>
      <c r="B29" s="54"/>
      <c r="C29" s="54">
        <f>C27+C28</f>
        <v>-3756.624611700774</v>
      </c>
      <c r="D29" s="54">
        <f t="shared" ref="D29:L29" si="17">D27+D28</f>
        <v>-8194.1034117007857</v>
      </c>
      <c r="E29" s="54">
        <f>E27+E28</f>
        <v>9587.5289172381435</v>
      </c>
      <c r="F29" s="54">
        <f t="shared" si="17"/>
        <v>10524.419521238138</v>
      </c>
      <c r="G29" s="54">
        <f t="shared" si="17"/>
        <v>10976.049817238143</v>
      </c>
      <c r="H29" s="54">
        <f t="shared" si="17"/>
        <v>19658.941801238143</v>
      </c>
      <c r="I29" s="54">
        <f t="shared" si="17"/>
        <v>19599.271801238141</v>
      </c>
      <c r="J29" s="54">
        <f t="shared" si="17"/>
        <v>19658.941801238143</v>
      </c>
      <c r="K29" s="54">
        <f t="shared" si="17"/>
        <v>19599.271801238141</v>
      </c>
      <c r="L29" s="54">
        <f t="shared" si="17"/>
        <v>19658.941801238143</v>
      </c>
    </row>
    <row r="30" spans="1:12" ht="15.95" customHeight="1">
      <c r="A30" s="65" t="s">
        <v>53</v>
      </c>
      <c r="B30" s="66"/>
      <c r="C30" s="66">
        <f>-C21</f>
        <v>13334.1</v>
      </c>
      <c r="D30" s="66">
        <f>-D21</f>
        <v>13334.1</v>
      </c>
      <c r="E30" s="66">
        <f t="shared" ref="E30:L30" si="18">-E21</f>
        <v>13334.1</v>
      </c>
      <c r="F30" s="66">
        <f t="shared" si="18"/>
        <v>13334.1</v>
      </c>
      <c r="G30" s="66">
        <f t="shared" si="18"/>
        <v>13334.1</v>
      </c>
      <c r="H30" s="66">
        <f t="shared" si="18"/>
        <v>13334.1</v>
      </c>
      <c r="I30" s="66">
        <f t="shared" si="18"/>
        <v>13334.1</v>
      </c>
      <c r="J30" s="66">
        <f t="shared" si="18"/>
        <v>13334.1</v>
      </c>
      <c r="K30" s="66">
        <f t="shared" si="18"/>
        <v>13334.1</v>
      </c>
      <c r="L30" s="66">
        <f t="shared" si="18"/>
        <v>13334.1</v>
      </c>
    </row>
    <row r="31" spans="1:12" ht="15.95" customHeight="1">
      <c r="A31" s="65" t="s">
        <v>54</v>
      </c>
      <c r="B31" s="66"/>
      <c r="C31" s="66">
        <f>-C20</f>
        <v>531.52</v>
      </c>
      <c r="D31" s="66">
        <f>-D20</f>
        <v>531.52</v>
      </c>
      <c r="E31" s="66">
        <f>-E20</f>
        <v>531.52</v>
      </c>
      <c r="F31" s="66">
        <f>-F20</f>
        <v>531.52</v>
      </c>
      <c r="G31" s="66">
        <f>-G20</f>
        <v>531.52</v>
      </c>
      <c r="H31" s="66">
        <f>H20</f>
        <v>0</v>
      </c>
      <c r="I31" s="66">
        <f>I20</f>
        <v>0</v>
      </c>
      <c r="J31" s="66">
        <f>J20</f>
        <v>0</v>
      </c>
      <c r="K31" s="66">
        <f>K20</f>
        <v>0</v>
      </c>
      <c r="L31" s="66">
        <f>L20</f>
        <v>0</v>
      </c>
    </row>
    <row r="32" spans="1:12" ht="15.95" customHeight="1">
      <c r="A32" s="47" t="s">
        <v>56</v>
      </c>
      <c r="B32" s="66"/>
      <c r="C32" s="54">
        <f>SUM(C30:C31)</f>
        <v>13865.62</v>
      </c>
      <c r="D32" s="54">
        <f>SUM(D30:D31)</f>
        <v>13865.62</v>
      </c>
      <c r="E32" s="54">
        <f t="shared" ref="E32:L32" si="19">SUM(E30:E31)</f>
        <v>13865.62</v>
      </c>
      <c r="F32" s="54">
        <f t="shared" si="19"/>
        <v>13865.62</v>
      </c>
      <c r="G32" s="54">
        <f t="shared" si="19"/>
        <v>13865.62</v>
      </c>
      <c r="H32" s="54">
        <f t="shared" si="19"/>
        <v>13334.1</v>
      </c>
      <c r="I32" s="54">
        <f t="shared" si="19"/>
        <v>13334.1</v>
      </c>
      <c r="J32" s="54">
        <f t="shared" si="19"/>
        <v>13334.1</v>
      </c>
      <c r="K32" s="54">
        <f t="shared" si="19"/>
        <v>13334.1</v>
      </c>
      <c r="L32" s="54">
        <f t="shared" si="19"/>
        <v>13334.1</v>
      </c>
    </row>
    <row r="33" spans="1:12" ht="15.95" customHeight="1">
      <c r="A33" s="65" t="s">
        <v>55</v>
      </c>
      <c r="B33" s="66"/>
      <c r="C33" s="66">
        <f>-Financiamiento!C3</f>
        <v>-10580.45</v>
      </c>
      <c r="D33" s="66">
        <f>-Financiamiento!C4</f>
        <v>-11768.69</v>
      </c>
      <c r="E33" s="66">
        <f>-Financiamiento!C5</f>
        <v>-13090.37</v>
      </c>
      <c r="F33" s="66">
        <f>-Financiamiento!C6</f>
        <v>-14560.49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</row>
    <row r="34" spans="1:12" ht="15.95" customHeight="1">
      <c r="A34" s="65" t="s">
        <v>48</v>
      </c>
      <c r="B34" s="66">
        <v>50000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5.95" customHeight="1">
      <c r="A35" s="65" t="s">
        <v>57</v>
      </c>
      <c r="B35" s="66">
        <f>-[3]tecnico!$E$29</f>
        <v>-83341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5.95" customHeight="1">
      <c r="A36" s="65" t="s">
        <v>58</v>
      </c>
      <c r="B36" s="66">
        <f>0</f>
        <v>0</v>
      </c>
      <c r="C36" s="66">
        <f>-[4]tecnico!$C$43</f>
        <v>0</v>
      </c>
      <c r="D36" s="66">
        <f>-[4]tecnico!$D$43</f>
        <v>0</v>
      </c>
      <c r="E36" s="66">
        <f>-[4]tecnico!$E$43</f>
        <v>-11760</v>
      </c>
      <c r="F36" s="66">
        <f>-[4]tecnico!$F$43</f>
        <v>0</v>
      </c>
      <c r="G36" s="66">
        <f>-[4]tecnico!$G$43</f>
        <v>-22560</v>
      </c>
      <c r="H36" s="66">
        <f>-[4]tecnico!$H$43</f>
        <v>-11760</v>
      </c>
      <c r="I36" s="66">
        <f>-[4]tecnico!$I$43</f>
        <v>0</v>
      </c>
      <c r="J36" s="66">
        <f>-[4]tecnico!$J$43</f>
        <v>0</v>
      </c>
      <c r="K36" s="66">
        <f>-[4]tecnico!$K$43</f>
        <v>-11760</v>
      </c>
      <c r="L36" s="66">
        <f>-[4]tecnico!$L$43</f>
        <v>0</v>
      </c>
    </row>
    <row r="37" spans="1:12" ht="15.95" customHeight="1">
      <c r="A37" s="65" t="s">
        <v>34</v>
      </c>
      <c r="B37" s="66">
        <f>-'ACTIVOS INTANGIBLES'!B14</f>
        <v>-2657.6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5.95" customHeight="1">
      <c r="A38" s="65" t="s">
        <v>33</v>
      </c>
      <c r="B38" s="66">
        <f>'Capital de trabajo'!D9</f>
        <v>-19902.767136184884</v>
      </c>
      <c r="C38" s="66"/>
      <c r="D38" s="66"/>
      <c r="E38" s="66"/>
      <c r="F38" s="66"/>
      <c r="G38" s="66"/>
      <c r="H38" s="66"/>
      <c r="I38" s="66"/>
      <c r="J38" s="66"/>
      <c r="K38" s="66"/>
      <c r="L38" s="66">
        <f>-B38</f>
        <v>19902.767136184884</v>
      </c>
    </row>
    <row r="39" spans="1:12" ht="15.95" customHeight="1">
      <c r="A39" s="65" t="s">
        <v>35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>
        <f>'Valor de desecho'!H28</f>
        <v>7840.0000000000009</v>
      </c>
    </row>
    <row r="40" spans="1:12" ht="15.95" customHeight="1">
      <c r="A40" s="91" t="s">
        <v>36</v>
      </c>
      <c r="B40" s="94">
        <f>B29+SUM(B32:B39)</f>
        <v>-55901.367136184883</v>
      </c>
      <c r="C40" s="94">
        <f t="shared" ref="C40:L40" si="20">C29+SUM(C32:C39)</f>
        <v>-471.45461170077397</v>
      </c>
      <c r="D40" s="94">
        <f t="shared" si="20"/>
        <v>-6097.1734117007854</v>
      </c>
      <c r="E40" s="94">
        <f t="shared" si="20"/>
        <v>-1397.2210827618565</v>
      </c>
      <c r="F40" s="94">
        <f t="shared" si="20"/>
        <v>9829.5495212381393</v>
      </c>
      <c r="G40" s="94">
        <f t="shared" si="20"/>
        <v>2281.6698172381439</v>
      </c>
      <c r="H40" s="94">
        <f t="shared" si="20"/>
        <v>21233.041801238141</v>
      </c>
      <c r="I40" s="94">
        <f t="shared" si="20"/>
        <v>32933.371801238143</v>
      </c>
      <c r="J40" s="94">
        <f t="shared" si="20"/>
        <v>32993.041801238141</v>
      </c>
      <c r="K40" s="94">
        <f t="shared" si="20"/>
        <v>21173.371801238143</v>
      </c>
      <c r="L40" s="94">
        <f t="shared" si="20"/>
        <v>60735.808937423026</v>
      </c>
    </row>
    <row r="41" spans="1:12" ht="15.95" customHeight="1">
      <c r="A41" s="139" t="s">
        <v>223</v>
      </c>
      <c r="B41" s="141">
        <v>6.3500000000000001E-2</v>
      </c>
    </row>
    <row r="42" spans="1:12" ht="15.95" customHeight="1">
      <c r="A42" s="139" t="s">
        <v>224</v>
      </c>
      <c r="B42" s="140">
        <f>NPV(B41, C40:L40)+B40</f>
        <v>47684.67900494473</v>
      </c>
    </row>
    <row r="43" spans="1:12" ht="15.95" customHeight="1">
      <c r="A43" s="139" t="s">
        <v>30</v>
      </c>
      <c r="B43" s="141">
        <f>IRR(B40:L40)</f>
        <v>0.14569197061418607</v>
      </c>
      <c r="C43" s="42">
        <v>14.57</v>
      </c>
    </row>
    <row r="45" spans="1:12">
      <c r="D45" s="136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workbookViewId="0">
      <selection activeCell="A3" sqref="A3"/>
    </sheetView>
  </sheetViews>
  <sheetFormatPr baseColWidth="10" defaultRowHeight="14.25"/>
  <cols>
    <col min="1" max="1" width="43.28515625" style="42" customWidth="1"/>
    <col min="2" max="2" width="14.140625" style="42" bestFit="1" customWidth="1"/>
    <col min="3" max="12" width="16.85546875" style="42" bestFit="1" customWidth="1"/>
    <col min="13" max="16384" width="11.42578125" style="42"/>
  </cols>
  <sheetData>
    <row r="1" spans="1:12" ht="15">
      <c r="A1" s="69" t="s">
        <v>228</v>
      </c>
      <c r="C1" s="136"/>
    </row>
    <row r="2" spans="1:12" ht="15.95" customHeight="1">
      <c r="A2" s="154" t="s">
        <v>29</v>
      </c>
      <c r="B2" s="155">
        <v>0</v>
      </c>
      <c r="C2" s="155">
        <v>1</v>
      </c>
      <c r="D2" s="155">
        <v>2</v>
      </c>
      <c r="E2" s="155">
        <v>3</v>
      </c>
      <c r="F2" s="155">
        <v>4</v>
      </c>
      <c r="G2" s="155">
        <v>5</v>
      </c>
      <c r="H2" s="155">
        <v>6</v>
      </c>
      <c r="I2" s="155">
        <v>7</v>
      </c>
      <c r="J2" s="155">
        <v>8</v>
      </c>
      <c r="K2" s="155">
        <v>9</v>
      </c>
      <c r="L2" s="155">
        <v>10</v>
      </c>
    </row>
    <row r="3" spans="1:12" ht="15.95" customHeight="1">
      <c r="A3" s="65" t="s">
        <v>45</v>
      </c>
      <c r="B3" s="66"/>
      <c r="C3" s="66">
        <f>'[1]ESTIMACION DE DEMANDA'!$C$36</f>
        <v>492253.07618856896</v>
      </c>
      <c r="D3" s="66">
        <f>'[1]ESTIMACION DE DEMANDA'!$C$36</f>
        <v>492253.07618856896</v>
      </c>
      <c r="E3" s="66">
        <f>'[1]ESTIMACION DE DEMANDA'!$C$36</f>
        <v>492253.07618856896</v>
      </c>
      <c r="F3" s="66">
        <f>'[1]ESTIMACION DE DEMANDA'!$C$36</f>
        <v>492253.07618856896</v>
      </c>
      <c r="G3" s="66">
        <f>'[1]ESTIMACION DE DEMANDA'!$C$36</f>
        <v>492253.07618856896</v>
      </c>
      <c r="H3" s="66">
        <f>'[1]ESTIMACION DE DEMANDA'!$C$36</f>
        <v>492253.07618856896</v>
      </c>
      <c r="I3" s="66">
        <f>'[1]ESTIMACION DE DEMANDA'!$C$36</f>
        <v>492253.07618856896</v>
      </c>
      <c r="J3" s="66">
        <f>'[1]ESTIMACION DE DEMANDA'!$C$36</f>
        <v>492253.07618856896</v>
      </c>
      <c r="K3" s="66">
        <f>'[1]ESTIMACION DE DEMANDA'!$C$36</f>
        <v>492253.07618856896</v>
      </c>
      <c r="L3" s="66">
        <f>'[1]ESTIMACION DE DEMANDA'!$C$36</f>
        <v>492253.07618856896</v>
      </c>
    </row>
    <row r="4" spans="1:12" ht="15.95" customHeight="1">
      <c r="A4" s="65" t="s">
        <v>46</v>
      </c>
      <c r="B4" s="66"/>
      <c r="C4" s="66">
        <f>'[2]ESTIMACION DE DEMANDA'!$C$43</f>
        <v>975594.84014122677</v>
      </c>
      <c r="D4" s="66">
        <f>C4</f>
        <v>975594.84014122677</v>
      </c>
      <c r="E4" s="66">
        <f t="shared" ref="E4:L4" si="0">D4</f>
        <v>975594.84014122677</v>
      </c>
      <c r="F4" s="66">
        <f t="shared" si="0"/>
        <v>975594.84014122677</v>
      </c>
      <c r="G4" s="66">
        <f t="shared" si="0"/>
        <v>975594.84014122677</v>
      </c>
      <c r="H4" s="66">
        <f t="shared" si="0"/>
        <v>975594.84014122677</v>
      </c>
      <c r="I4" s="66">
        <f t="shared" si="0"/>
        <v>975594.84014122677</v>
      </c>
      <c r="J4" s="66">
        <f t="shared" si="0"/>
        <v>975594.84014122677</v>
      </c>
      <c r="K4" s="66">
        <f t="shared" si="0"/>
        <v>975594.84014122677</v>
      </c>
      <c r="L4" s="66">
        <f t="shared" si="0"/>
        <v>975594.84014122677</v>
      </c>
    </row>
    <row r="5" spans="1:12" ht="15.95" customHeight="1">
      <c r="A5" s="47" t="s">
        <v>47</v>
      </c>
      <c r="B5" s="66"/>
      <c r="C5" s="54">
        <f>SUM(C3:C4)</f>
        <v>1467847.9163297957</v>
      </c>
      <c r="D5" s="54">
        <f t="shared" ref="D5:L5" si="1">SUM(D3:D4)</f>
        <v>1467847.9163297957</v>
      </c>
      <c r="E5" s="54">
        <f t="shared" si="1"/>
        <v>1467847.9163297957</v>
      </c>
      <c r="F5" s="54">
        <f t="shared" si="1"/>
        <v>1467847.9163297957</v>
      </c>
      <c r="G5" s="54">
        <f t="shared" si="1"/>
        <v>1467847.9163297957</v>
      </c>
      <c r="H5" s="54">
        <f t="shared" si="1"/>
        <v>1467847.9163297957</v>
      </c>
      <c r="I5" s="54">
        <f t="shared" si="1"/>
        <v>1467847.9163297957</v>
      </c>
      <c r="J5" s="54">
        <f t="shared" si="1"/>
        <v>1467847.9163297957</v>
      </c>
      <c r="K5" s="54">
        <f t="shared" si="1"/>
        <v>1467847.9163297957</v>
      </c>
      <c r="L5" s="54">
        <f t="shared" si="1"/>
        <v>1467847.9163297957</v>
      </c>
    </row>
    <row r="6" spans="1:12" ht="15.95" customHeight="1">
      <c r="A6" s="65" t="s">
        <v>44</v>
      </c>
      <c r="B6" s="66"/>
      <c r="C6" s="66">
        <f>-'[1]ESTIMACION DE DEMANDA'!$C$53</f>
        <v>-410210.89682380756</v>
      </c>
      <c r="D6" s="66">
        <f>-'[1]ESTIMACION DE DEMANDA'!$C$53</f>
        <v>-410210.89682380756</v>
      </c>
      <c r="E6" s="66">
        <f>-'[1]ESTIMACION DE DEMANDA'!$C$53</f>
        <v>-410210.89682380756</v>
      </c>
      <c r="F6" s="66">
        <f>-'[1]ESTIMACION DE DEMANDA'!$C$53</f>
        <v>-410210.89682380756</v>
      </c>
      <c r="G6" s="66">
        <f>-'[1]ESTIMACION DE DEMANDA'!$C$53</f>
        <v>-410210.89682380756</v>
      </c>
      <c r="H6" s="66">
        <f>-'[1]ESTIMACION DE DEMANDA'!$C$53</f>
        <v>-410210.89682380756</v>
      </c>
      <c r="I6" s="66">
        <f>-'[1]ESTIMACION DE DEMANDA'!$C$53</f>
        <v>-410210.89682380756</v>
      </c>
      <c r="J6" s="66">
        <f>-'[1]ESTIMACION DE DEMANDA'!$C$53</f>
        <v>-410210.89682380756</v>
      </c>
      <c r="K6" s="66">
        <f>-'[1]ESTIMACION DE DEMANDA'!$C$53</f>
        <v>-410210.89682380756</v>
      </c>
      <c r="L6" s="66">
        <f>-'[1]ESTIMACION DE DEMANDA'!$C$53</f>
        <v>-410210.89682380756</v>
      </c>
    </row>
    <row r="7" spans="1:12" ht="15.95" customHeight="1">
      <c r="A7" s="65" t="s">
        <v>43</v>
      </c>
      <c r="B7" s="66"/>
      <c r="C7" s="66">
        <f>-'[2]ESTIMACION DE DEMANDA'!$C$60</f>
        <v>-812995.70011768886</v>
      </c>
      <c r="D7" s="66">
        <f>C7</f>
        <v>-812995.70011768886</v>
      </c>
      <c r="E7" s="66">
        <f t="shared" ref="E7:L7" si="2">D7</f>
        <v>-812995.70011768886</v>
      </c>
      <c r="F7" s="66">
        <f t="shared" si="2"/>
        <v>-812995.70011768886</v>
      </c>
      <c r="G7" s="66">
        <f t="shared" si="2"/>
        <v>-812995.70011768886</v>
      </c>
      <c r="H7" s="66">
        <f t="shared" si="2"/>
        <v>-812995.70011768886</v>
      </c>
      <c r="I7" s="66">
        <f t="shared" si="2"/>
        <v>-812995.70011768886</v>
      </c>
      <c r="J7" s="66">
        <f t="shared" si="2"/>
        <v>-812995.70011768886</v>
      </c>
      <c r="K7" s="66">
        <f t="shared" si="2"/>
        <v>-812995.70011768886</v>
      </c>
      <c r="L7" s="66">
        <f t="shared" si="2"/>
        <v>-812995.70011768886</v>
      </c>
    </row>
    <row r="8" spans="1:12" ht="15.95" customHeight="1">
      <c r="A8" s="47" t="s">
        <v>42</v>
      </c>
      <c r="B8" s="66"/>
      <c r="C8" s="54">
        <f>SUM(C6:C7)</f>
        <v>-1223206.5969414965</v>
      </c>
      <c r="D8" s="54">
        <f t="shared" ref="D8:L8" si="3">SUM(D6:D7)</f>
        <v>-1223206.5969414965</v>
      </c>
      <c r="E8" s="54">
        <f t="shared" si="3"/>
        <v>-1223206.5969414965</v>
      </c>
      <c r="F8" s="54">
        <f t="shared" si="3"/>
        <v>-1223206.5969414965</v>
      </c>
      <c r="G8" s="54">
        <f t="shared" si="3"/>
        <v>-1223206.5969414965</v>
      </c>
      <c r="H8" s="54">
        <f t="shared" si="3"/>
        <v>-1223206.5969414965</v>
      </c>
      <c r="I8" s="54">
        <f t="shared" si="3"/>
        <v>-1223206.5969414965</v>
      </c>
      <c r="J8" s="54">
        <f t="shared" si="3"/>
        <v>-1223206.5969414965</v>
      </c>
      <c r="K8" s="54">
        <f t="shared" si="3"/>
        <v>-1223206.5969414965</v>
      </c>
      <c r="L8" s="54">
        <f t="shared" si="3"/>
        <v>-1223206.5969414965</v>
      </c>
    </row>
    <row r="9" spans="1:12" ht="15.95" customHeight="1">
      <c r="A9" s="47" t="s">
        <v>168</v>
      </c>
      <c r="B9" s="66"/>
      <c r="C9" s="54">
        <f>C5+C8</f>
        <v>244641.31938829925</v>
      </c>
      <c r="D9" s="54">
        <f t="shared" ref="D9:L9" si="4">D5+D8</f>
        <v>244641.31938829925</v>
      </c>
      <c r="E9" s="54">
        <f t="shared" si="4"/>
        <v>244641.31938829925</v>
      </c>
      <c r="F9" s="54">
        <f t="shared" si="4"/>
        <v>244641.31938829925</v>
      </c>
      <c r="G9" s="54">
        <f t="shared" si="4"/>
        <v>244641.31938829925</v>
      </c>
      <c r="H9" s="54">
        <f t="shared" si="4"/>
        <v>244641.31938829925</v>
      </c>
      <c r="I9" s="54">
        <f t="shared" si="4"/>
        <v>244641.31938829925</v>
      </c>
      <c r="J9" s="54">
        <f t="shared" si="4"/>
        <v>244641.31938829925</v>
      </c>
      <c r="K9" s="54">
        <f t="shared" si="4"/>
        <v>244641.31938829925</v>
      </c>
      <c r="L9" s="54">
        <f t="shared" si="4"/>
        <v>244641.31938829925</v>
      </c>
    </row>
    <row r="10" spans="1:12" s="152" customFormat="1" ht="15.95" customHeight="1">
      <c r="A10" s="67" t="s">
        <v>59</v>
      </c>
      <c r="B10" s="66"/>
      <c r="C10" s="66">
        <f>-' SERVICIOS B. Y  ALQUILER'!C16</f>
        <v>-7500</v>
      </c>
      <c r="D10" s="66">
        <f>C10</f>
        <v>-7500</v>
      </c>
      <c r="E10" s="66">
        <f t="shared" ref="E10:L13" si="5">D10</f>
        <v>-7500</v>
      </c>
      <c r="F10" s="66">
        <f t="shared" si="5"/>
        <v>-7500</v>
      </c>
      <c r="G10" s="66">
        <f t="shared" si="5"/>
        <v>-7500</v>
      </c>
      <c r="H10" s="66">
        <f t="shared" si="5"/>
        <v>-7500</v>
      </c>
      <c r="I10" s="66">
        <f t="shared" si="5"/>
        <v>-7500</v>
      </c>
      <c r="J10" s="66">
        <f t="shared" si="5"/>
        <v>-7500</v>
      </c>
      <c r="K10" s="66">
        <f t="shared" si="5"/>
        <v>-7500</v>
      </c>
      <c r="L10" s="66">
        <f t="shared" si="5"/>
        <v>-7500</v>
      </c>
    </row>
    <row r="11" spans="1:12" s="152" customFormat="1" ht="15.95" customHeight="1">
      <c r="A11" s="67" t="s">
        <v>60</v>
      </c>
      <c r="B11" s="66"/>
      <c r="C11" s="66">
        <f>-[5]tecnico!$J$63/2</f>
        <v>-44832.031999999999</v>
      </c>
      <c r="D11" s="66">
        <f>-SUELDOS!D12/2</f>
        <v>-47694.886400000003</v>
      </c>
      <c r="E11" s="66">
        <f t="shared" si="5"/>
        <v>-47694.886400000003</v>
      </c>
      <c r="F11" s="66">
        <f t="shared" si="5"/>
        <v>-47694.886400000003</v>
      </c>
      <c r="G11" s="66">
        <f t="shared" si="5"/>
        <v>-47694.886400000003</v>
      </c>
      <c r="H11" s="66">
        <f t="shared" si="5"/>
        <v>-47694.886400000003</v>
      </c>
      <c r="I11" s="66">
        <f t="shared" si="5"/>
        <v>-47694.886400000003</v>
      </c>
      <c r="J11" s="66">
        <f t="shared" si="5"/>
        <v>-47694.886400000003</v>
      </c>
      <c r="K11" s="66">
        <f t="shared" si="5"/>
        <v>-47694.886400000003</v>
      </c>
      <c r="L11" s="66">
        <f t="shared" si="5"/>
        <v>-47694.886400000003</v>
      </c>
    </row>
    <row r="12" spans="1:12" s="152" customFormat="1" ht="15.95" customHeight="1">
      <c r="A12" s="65" t="s">
        <v>97</v>
      </c>
      <c r="B12" s="66"/>
      <c r="C12" s="66">
        <f>-SUMINISTROS!B20</f>
        <v>-2140.8000000000002</v>
      </c>
      <c r="D12" s="66">
        <f>C12</f>
        <v>-2140.8000000000002</v>
      </c>
      <c r="E12" s="66">
        <f t="shared" si="5"/>
        <v>-2140.8000000000002</v>
      </c>
      <c r="F12" s="66">
        <f t="shared" si="5"/>
        <v>-2140.8000000000002</v>
      </c>
      <c r="G12" s="66">
        <f t="shared" si="5"/>
        <v>-2140.8000000000002</v>
      </c>
      <c r="H12" s="66">
        <f t="shared" si="5"/>
        <v>-2140.8000000000002</v>
      </c>
      <c r="I12" s="66">
        <f t="shared" si="5"/>
        <v>-2140.8000000000002</v>
      </c>
      <c r="J12" s="66">
        <f t="shared" si="5"/>
        <v>-2140.8000000000002</v>
      </c>
      <c r="K12" s="66">
        <f t="shared" si="5"/>
        <v>-2140.8000000000002</v>
      </c>
      <c r="L12" s="66">
        <f t="shared" si="5"/>
        <v>-2140.8000000000002</v>
      </c>
    </row>
    <row r="13" spans="1:12" s="152" customFormat="1" ht="15.95" customHeight="1">
      <c r="A13" s="65" t="s">
        <v>41</v>
      </c>
      <c r="B13" s="66"/>
      <c r="C13" s="66">
        <f>-MANTENIMIENTO!B8</f>
        <v>-3102.9400000000005</v>
      </c>
      <c r="D13" s="66">
        <f>C13</f>
        <v>-3102.9400000000005</v>
      </c>
      <c r="E13" s="66">
        <f t="shared" si="5"/>
        <v>-3102.9400000000005</v>
      </c>
      <c r="F13" s="66">
        <f t="shared" si="5"/>
        <v>-3102.9400000000005</v>
      </c>
      <c r="G13" s="66">
        <f t="shared" si="5"/>
        <v>-3102.9400000000005</v>
      </c>
      <c r="H13" s="66">
        <f t="shared" si="5"/>
        <v>-3102.9400000000005</v>
      </c>
      <c r="I13" s="66">
        <f t="shared" si="5"/>
        <v>-3102.9400000000005</v>
      </c>
      <c r="J13" s="66">
        <f t="shared" si="5"/>
        <v>-3102.9400000000005</v>
      </c>
      <c r="K13" s="66">
        <f t="shared" si="5"/>
        <v>-3102.9400000000005</v>
      </c>
      <c r="L13" s="66">
        <f t="shared" si="5"/>
        <v>-3102.9400000000005</v>
      </c>
    </row>
    <row r="14" spans="1:12" s="152" customFormat="1" ht="15.95" customHeight="1">
      <c r="A14" s="65" t="s">
        <v>113</v>
      </c>
      <c r="B14" s="66"/>
      <c r="C14" s="66">
        <f>-'GASTOS DE PROMOCION'!E20</f>
        <v>-80360</v>
      </c>
      <c r="D14" s="66">
        <f>C14</f>
        <v>-80360</v>
      </c>
      <c r="E14" s="66">
        <f>-'GASTOS DE PROMOCION'!E39</f>
        <v>-57320</v>
      </c>
      <c r="F14" s="66">
        <f>E14</f>
        <v>-57320</v>
      </c>
      <c r="G14" s="66">
        <f>E14</f>
        <v>-57320</v>
      </c>
      <c r="H14" s="66">
        <f>-'GASTOS DE PROMOCION'!E56</f>
        <v>-43400</v>
      </c>
      <c r="I14" s="66">
        <f>H14</f>
        <v>-43400</v>
      </c>
      <c r="J14" s="66">
        <f>H14</f>
        <v>-43400</v>
      </c>
      <c r="K14" s="66">
        <f>H14</f>
        <v>-43400</v>
      </c>
      <c r="L14" s="66">
        <f>H14</f>
        <v>-43400</v>
      </c>
    </row>
    <row r="15" spans="1:12" s="152" customFormat="1" ht="15.95" customHeight="1">
      <c r="A15" s="65" t="s">
        <v>40</v>
      </c>
      <c r="B15" s="66"/>
      <c r="C15" s="66">
        <f>-'GASTOS DE TRANSPORTE'!B5</f>
        <v>-424</v>
      </c>
      <c r="D15" s="66">
        <f>C15</f>
        <v>-424</v>
      </c>
      <c r="E15" s="66">
        <f t="shared" ref="E15:L16" si="6">D15</f>
        <v>-424</v>
      </c>
      <c r="F15" s="66">
        <f t="shared" si="6"/>
        <v>-424</v>
      </c>
      <c r="G15" s="66">
        <f t="shared" si="6"/>
        <v>-424</v>
      </c>
      <c r="H15" s="66">
        <f t="shared" si="6"/>
        <v>-424</v>
      </c>
      <c r="I15" s="66">
        <f t="shared" si="6"/>
        <v>-424</v>
      </c>
      <c r="J15" s="66">
        <f t="shared" si="6"/>
        <v>-424</v>
      </c>
      <c r="K15" s="66">
        <f t="shared" si="6"/>
        <v>-424</v>
      </c>
      <c r="L15" s="66">
        <f t="shared" si="6"/>
        <v>-424</v>
      </c>
    </row>
    <row r="16" spans="1:12" s="152" customFormat="1" ht="15.95" customHeight="1">
      <c r="A16" s="65" t="s">
        <v>39</v>
      </c>
      <c r="B16" s="66"/>
      <c r="C16" s="66">
        <f>-' SERVICIOS B. Y  ALQUILER'!C23</f>
        <v>-45600</v>
      </c>
      <c r="D16" s="66">
        <f>C16</f>
        <v>-45600</v>
      </c>
      <c r="E16" s="66">
        <f t="shared" si="6"/>
        <v>-45600</v>
      </c>
      <c r="F16" s="66">
        <f t="shared" si="6"/>
        <v>-45600</v>
      </c>
      <c r="G16" s="66">
        <f t="shared" si="6"/>
        <v>-45600</v>
      </c>
      <c r="H16" s="66">
        <f t="shared" si="6"/>
        <v>-45600</v>
      </c>
      <c r="I16" s="66">
        <f t="shared" si="6"/>
        <v>-45600</v>
      </c>
      <c r="J16" s="66">
        <f t="shared" si="6"/>
        <v>-45600</v>
      </c>
      <c r="K16" s="66">
        <f t="shared" si="6"/>
        <v>-45600</v>
      </c>
      <c r="L16" s="66">
        <f t="shared" si="6"/>
        <v>-45600</v>
      </c>
    </row>
    <row r="17" spans="1:12" s="152" customFormat="1" ht="15.95" customHeight="1">
      <c r="A17" s="65" t="s">
        <v>38</v>
      </c>
      <c r="B17" s="66"/>
      <c r="C17" s="66">
        <f>-('ACTIVOS INTANGIBLES'!B18+100)</f>
        <v>-903.6</v>
      </c>
      <c r="D17" s="66">
        <f>C17+100</f>
        <v>-803.6</v>
      </c>
      <c r="E17" s="66">
        <f t="shared" ref="E17:L17" si="7">C17</f>
        <v>-903.6</v>
      </c>
      <c r="F17" s="66">
        <f t="shared" si="7"/>
        <v>-803.6</v>
      </c>
      <c r="G17" s="66">
        <f t="shared" si="7"/>
        <v>-903.6</v>
      </c>
      <c r="H17" s="66">
        <f t="shared" si="7"/>
        <v>-803.6</v>
      </c>
      <c r="I17" s="66">
        <f t="shared" si="7"/>
        <v>-903.6</v>
      </c>
      <c r="J17" s="66">
        <f t="shared" si="7"/>
        <v>-803.6</v>
      </c>
      <c r="K17" s="66">
        <f t="shared" si="7"/>
        <v>-903.6</v>
      </c>
      <c r="L17" s="66">
        <f t="shared" si="7"/>
        <v>-803.6</v>
      </c>
    </row>
    <row r="18" spans="1:12" ht="15.95" customHeight="1">
      <c r="A18" s="65" t="s">
        <v>37</v>
      </c>
      <c r="B18" s="66"/>
      <c r="C18" s="66">
        <f>-Financiamiento!D3</f>
        <v>-4836.92</v>
      </c>
      <c r="D18" s="66">
        <f>-Financiamiento!D4</f>
        <v>-3648.69</v>
      </c>
      <c r="E18" s="66">
        <f>-Financiamiento!D5</f>
        <v>-2327</v>
      </c>
      <c r="F18" s="66">
        <f>-Financiamiento!D6</f>
        <v>-856.88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</row>
    <row r="19" spans="1:12" ht="15.95" customHeight="1">
      <c r="A19" s="47" t="s">
        <v>52</v>
      </c>
      <c r="B19" s="66"/>
      <c r="C19" s="54">
        <f>SUM(C10:C18)</f>
        <v>-189700.29200000002</v>
      </c>
      <c r="D19" s="54">
        <f>SUM(D10:D18)</f>
        <v>-191274.91640000002</v>
      </c>
      <c r="E19" s="54">
        <f>SUM(E10:E18)</f>
        <v>-167013.22640000001</v>
      </c>
      <c r="F19" s="54">
        <f t="shared" ref="F19:L19" si="8">SUM(F10:F18)</f>
        <v>-165443.10640000002</v>
      </c>
      <c r="G19" s="54">
        <f t="shared" si="8"/>
        <v>-164686.22640000001</v>
      </c>
      <c r="H19" s="54">
        <f t="shared" si="8"/>
        <v>-150666.22640000001</v>
      </c>
      <c r="I19" s="54">
        <f t="shared" si="8"/>
        <v>-150766.22640000001</v>
      </c>
      <c r="J19" s="54">
        <f t="shared" si="8"/>
        <v>-150666.22640000001</v>
      </c>
      <c r="K19" s="54">
        <f t="shared" si="8"/>
        <v>-150766.22640000001</v>
      </c>
      <c r="L19" s="54">
        <f t="shared" si="8"/>
        <v>-150666.22640000001</v>
      </c>
    </row>
    <row r="20" spans="1:12" ht="15.95" customHeight="1">
      <c r="A20" s="65" t="s">
        <v>50</v>
      </c>
      <c r="B20" s="66"/>
      <c r="C20" s="66">
        <f>-'ACTIVOS INTANGIBLES'!B14/5</f>
        <v>-531.52</v>
      </c>
      <c r="D20" s="66">
        <f>C20</f>
        <v>-531.52</v>
      </c>
      <c r="E20" s="66">
        <f t="shared" ref="E20:L21" si="9">D20</f>
        <v>-531.52</v>
      </c>
      <c r="F20" s="66">
        <f t="shared" si="9"/>
        <v>-531.52</v>
      </c>
      <c r="G20" s="66">
        <f t="shared" si="9"/>
        <v>-531.52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</row>
    <row r="21" spans="1:12" ht="15.95" customHeight="1">
      <c r="A21" s="65" t="s">
        <v>49</v>
      </c>
      <c r="B21" s="66"/>
      <c r="C21" s="66">
        <f>-DEPRECIACION!E27</f>
        <v>-13334.1</v>
      </c>
      <c r="D21" s="66">
        <f>C21</f>
        <v>-13334.1</v>
      </c>
      <c r="E21" s="66">
        <f t="shared" si="9"/>
        <v>-13334.1</v>
      </c>
      <c r="F21" s="66">
        <f t="shared" si="9"/>
        <v>-13334.1</v>
      </c>
      <c r="G21" s="66">
        <f t="shared" si="9"/>
        <v>-13334.1</v>
      </c>
      <c r="H21" s="66">
        <f t="shared" si="9"/>
        <v>-13334.1</v>
      </c>
      <c r="I21" s="66">
        <f t="shared" si="9"/>
        <v>-13334.1</v>
      </c>
      <c r="J21" s="66">
        <f t="shared" si="9"/>
        <v>-13334.1</v>
      </c>
      <c r="K21" s="66">
        <f t="shared" si="9"/>
        <v>-13334.1</v>
      </c>
      <c r="L21" s="66">
        <f t="shared" si="9"/>
        <v>-13334.1</v>
      </c>
    </row>
    <row r="22" spans="1:12" ht="15.95" customHeight="1">
      <c r="A22" s="47" t="s">
        <v>51</v>
      </c>
      <c r="B22" s="66"/>
      <c r="C22" s="54">
        <f>SUM(C20:C21)</f>
        <v>-13865.62</v>
      </c>
      <c r="D22" s="54">
        <f>SUM(D20:D21)</f>
        <v>-13865.62</v>
      </c>
      <c r="E22" s="54">
        <f t="shared" ref="E22:L22" si="10">SUM(E20:E21)</f>
        <v>-13865.62</v>
      </c>
      <c r="F22" s="54">
        <f t="shared" si="10"/>
        <v>-13865.62</v>
      </c>
      <c r="G22" s="54">
        <f t="shared" si="10"/>
        <v>-13865.62</v>
      </c>
      <c r="H22" s="54">
        <f t="shared" si="10"/>
        <v>-13334.1</v>
      </c>
      <c r="I22" s="54">
        <f t="shared" si="10"/>
        <v>-13334.1</v>
      </c>
      <c r="J22" s="54">
        <f t="shared" si="10"/>
        <v>-13334.1</v>
      </c>
      <c r="K22" s="54">
        <f t="shared" si="10"/>
        <v>-13334.1</v>
      </c>
      <c r="L22" s="54">
        <f t="shared" si="10"/>
        <v>-13334.1</v>
      </c>
    </row>
    <row r="23" spans="1:12" ht="15.95" customHeight="1">
      <c r="A23" s="47" t="s">
        <v>172</v>
      </c>
      <c r="B23" s="54"/>
      <c r="C23" s="54">
        <f t="shared" ref="C23:L23" si="11">C9+C19+C22</f>
        <v>41075.407388299231</v>
      </c>
      <c r="D23" s="54">
        <f t="shared" si="11"/>
        <v>39500.78298829923</v>
      </c>
      <c r="E23" s="54">
        <f t="shared" si="11"/>
        <v>63762.472988299232</v>
      </c>
      <c r="F23" s="54">
        <f t="shared" si="11"/>
        <v>65332.592988299228</v>
      </c>
      <c r="G23" s="54">
        <f t="shared" si="11"/>
        <v>66089.47298829924</v>
      </c>
      <c r="H23" s="54">
        <f t="shared" si="11"/>
        <v>80640.992988299229</v>
      </c>
      <c r="I23" s="54">
        <f t="shared" si="11"/>
        <v>80540.992988299229</v>
      </c>
      <c r="J23" s="54">
        <f t="shared" si="11"/>
        <v>80640.992988299229</v>
      </c>
      <c r="K23" s="54">
        <f t="shared" si="11"/>
        <v>80540.992988299229</v>
      </c>
      <c r="L23" s="54">
        <f t="shared" si="11"/>
        <v>80640.992988299229</v>
      </c>
    </row>
    <row r="24" spans="1:12" ht="15.95" customHeight="1">
      <c r="A24" s="65" t="s">
        <v>53</v>
      </c>
      <c r="B24" s="66"/>
      <c r="C24" s="66">
        <f>-C21</f>
        <v>13334.1</v>
      </c>
      <c r="D24" s="66">
        <f>-D21</f>
        <v>13334.1</v>
      </c>
      <c r="E24" s="66">
        <f t="shared" ref="E24:L24" si="12">-E21</f>
        <v>13334.1</v>
      </c>
      <c r="F24" s="66">
        <f t="shared" si="12"/>
        <v>13334.1</v>
      </c>
      <c r="G24" s="66">
        <f t="shared" si="12"/>
        <v>13334.1</v>
      </c>
      <c r="H24" s="66">
        <f t="shared" si="12"/>
        <v>13334.1</v>
      </c>
      <c r="I24" s="66">
        <f t="shared" si="12"/>
        <v>13334.1</v>
      </c>
      <c r="J24" s="66">
        <f t="shared" si="12"/>
        <v>13334.1</v>
      </c>
      <c r="K24" s="66">
        <f t="shared" si="12"/>
        <v>13334.1</v>
      </c>
      <c r="L24" s="66">
        <f t="shared" si="12"/>
        <v>13334.1</v>
      </c>
    </row>
    <row r="25" spans="1:12" ht="15.95" customHeight="1">
      <c r="A25" s="65" t="s">
        <v>54</v>
      </c>
      <c r="B25" s="66"/>
      <c r="C25" s="66">
        <f>-C20</f>
        <v>531.52</v>
      </c>
      <c r="D25" s="66">
        <f>-D20</f>
        <v>531.52</v>
      </c>
      <c r="E25" s="66">
        <f>-E20</f>
        <v>531.52</v>
      </c>
      <c r="F25" s="66">
        <f>-F20</f>
        <v>531.52</v>
      </c>
      <c r="G25" s="66">
        <f>-G20</f>
        <v>531.52</v>
      </c>
      <c r="H25" s="66">
        <f>H20</f>
        <v>0</v>
      </c>
      <c r="I25" s="66">
        <f>I20</f>
        <v>0</v>
      </c>
      <c r="J25" s="66">
        <f>J20</f>
        <v>0</v>
      </c>
      <c r="K25" s="66">
        <f>K20</f>
        <v>0</v>
      </c>
      <c r="L25" s="66">
        <f>L20</f>
        <v>0</v>
      </c>
    </row>
    <row r="26" spans="1:12" ht="15.95" customHeight="1">
      <c r="A26" s="47" t="s">
        <v>56</v>
      </c>
      <c r="B26" s="66"/>
      <c r="C26" s="54">
        <f>SUM(C24:C25)</f>
        <v>13865.62</v>
      </c>
      <c r="D26" s="54">
        <f>SUM(D24:D25)</f>
        <v>13865.62</v>
      </c>
      <c r="E26" s="54">
        <f t="shared" ref="E26:L26" si="13">SUM(E24:E25)</f>
        <v>13865.62</v>
      </c>
      <c r="F26" s="54">
        <f t="shared" si="13"/>
        <v>13865.62</v>
      </c>
      <c r="G26" s="54">
        <f t="shared" si="13"/>
        <v>13865.62</v>
      </c>
      <c r="H26" s="54">
        <f t="shared" si="13"/>
        <v>13334.1</v>
      </c>
      <c r="I26" s="54">
        <f t="shared" si="13"/>
        <v>13334.1</v>
      </c>
      <c r="J26" s="54">
        <f t="shared" si="13"/>
        <v>13334.1</v>
      </c>
      <c r="K26" s="54">
        <f t="shared" si="13"/>
        <v>13334.1</v>
      </c>
      <c r="L26" s="54">
        <f t="shared" si="13"/>
        <v>13334.1</v>
      </c>
    </row>
    <row r="27" spans="1:12" ht="15.95" customHeight="1">
      <c r="A27" s="65" t="s">
        <v>55</v>
      </c>
      <c r="B27" s="66"/>
      <c r="C27" s="66">
        <f>-Financiamiento!C3</f>
        <v>-10580.45</v>
      </c>
      <c r="D27" s="66">
        <f>-Financiamiento!C4</f>
        <v>-11768.69</v>
      </c>
      <c r="E27" s="66">
        <f>-Financiamiento!C5</f>
        <v>-13090.37</v>
      </c>
      <c r="F27" s="66">
        <f>-Financiamiento!C6</f>
        <v>-14560.49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</row>
    <row r="28" spans="1:12" ht="15.95" customHeight="1">
      <c r="A28" s="65" t="s">
        <v>48</v>
      </c>
      <c r="B28" s="66">
        <v>50000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5.95" customHeight="1">
      <c r="A29" s="65" t="s">
        <v>57</v>
      </c>
      <c r="B29" s="66">
        <v>-77965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5.95" customHeight="1">
      <c r="A30" s="65" t="s">
        <v>58</v>
      </c>
      <c r="B30" s="66">
        <f>0</f>
        <v>0</v>
      </c>
      <c r="C30" s="66">
        <v>0</v>
      </c>
      <c r="D30" s="66">
        <v>0</v>
      </c>
      <c r="E30" s="66">
        <f>-11760</f>
        <v>-11760</v>
      </c>
      <c r="F30" s="66">
        <v>0</v>
      </c>
      <c r="G30" s="66">
        <f>-22350</f>
        <v>-22350</v>
      </c>
      <c r="H30" s="66">
        <f>-11760</f>
        <v>-11760</v>
      </c>
      <c r="I30" s="66">
        <v>0</v>
      </c>
      <c r="J30" s="66">
        <v>0</v>
      </c>
      <c r="K30" s="66">
        <f>-11760</f>
        <v>-11760</v>
      </c>
      <c r="L30" s="66">
        <v>0</v>
      </c>
    </row>
    <row r="31" spans="1:12" ht="15.95" customHeight="1">
      <c r="A31" s="65" t="s">
        <v>34</v>
      </c>
      <c r="B31" s="66">
        <f>-'ACTIVOS INTANGIBLES'!B14</f>
        <v>-2657.6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5.95" customHeight="1">
      <c r="A32" s="65" t="s">
        <v>33</v>
      </c>
      <c r="B32" s="66">
        <f>'Capital de trabajo'!D9</f>
        <v>-19902.767136184884</v>
      </c>
      <c r="C32" s="66"/>
      <c r="D32" s="66"/>
      <c r="E32" s="66"/>
      <c r="F32" s="66"/>
      <c r="G32" s="66"/>
      <c r="H32" s="66"/>
      <c r="I32" s="66"/>
      <c r="J32" s="66"/>
      <c r="K32" s="66"/>
      <c r="L32" s="66">
        <f>-B32</f>
        <v>19902.767136184884</v>
      </c>
    </row>
    <row r="33" spans="1:12" ht="15.95" customHeight="1">
      <c r="A33" s="65" t="s">
        <v>35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>
        <f>'Valor de desecho'!H28</f>
        <v>7840.0000000000009</v>
      </c>
    </row>
    <row r="34" spans="1:12" ht="15.95" customHeight="1">
      <c r="A34" s="154" t="s">
        <v>36</v>
      </c>
      <c r="B34" s="156">
        <f t="shared" ref="B34:L34" si="14">B23+SUM(B26:B33)</f>
        <v>-50525.367136184883</v>
      </c>
      <c r="C34" s="156">
        <f t="shared" si="14"/>
        <v>44360.577388299229</v>
      </c>
      <c r="D34" s="156">
        <f t="shared" si="14"/>
        <v>41597.71298829923</v>
      </c>
      <c r="E34" s="156">
        <f t="shared" si="14"/>
        <v>52777.722988299232</v>
      </c>
      <c r="F34" s="156">
        <f t="shared" si="14"/>
        <v>64637.722988299225</v>
      </c>
      <c r="G34" s="156">
        <f t="shared" si="14"/>
        <v>57605.092988299242</v>
      </c>
      <c r="H34" s="156">
        <f t="shared" si="14"/>
        <v>82215.092988299235</v>
      </c>
      <c r="I34" s="156">
        <f t="shared" si="14"/>
        <v>93875.092988299235</v>
      </c>
      <c r="J34" s="156">
        <f t="shared" si="14"/>
        <v>93975.092988299235</v>
      </c>
      <c r="K34" s="156">
        <f t="shared" si="14"/>
        <v>82115.092988299235</v>
      </c>
      <c r="L34" s="156">
        <f t="shared" si="14"/>
        <v>121717.86012448411</v>
      </c>
    </row>
    <row r="35" spans="1:12" ht="15.95" customHeight="1"/>
    <row r="36" spans="1:12" ht="15.95" customHeight="1">
      <c r="A36" s="155" t="s">
        <v>173</v>
      </c>
      <c r="B36" s="137">
        <f>NPV(0.921%, C34:L34)+B34</f>
        <v>642803.6835205222</v>
      </c>
    </row>
    <row r="37" spans="1:12" ht="15.95" customHeight="1">
      <c r="A37" s="155" t="s">
        <v>30</v>
      </c>
      <c r="B37" s="138">
        <f>IRR(B34:L34)</f>
        <v>0.94948875455163118</v>
      </c>
    </row>
    <row r="39" spans="1:12">
      <c r="D39" s="136"/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workbookViewId="0">
      <selection activeCell="A2" sqref="A2:L31"/>
    </sheetView>
  </sheetViews>
  <sheetFormatPr baseColWidth="10" defaultRowHeight="14.25"/>
  <cols>
    <col min="1" max="1" width="53.28515625" style="42" customWidth="1"/>
    <col min="2" max="12" width="17.7109375" style="42" customWidth="1"/>
    <col min="13" max="16384" width="11.42578125" style="42"/>
  </cols>
  <sheetData>
    <row r="1" spans="1:12" ht="15">
      <c r="A1" s="69" t="s">
        <v>227</v>
      </c>
      <c r="C1" s="136"/>
    </row>
    <row r="2" spans="1:12" ht="15.95" customHeight="1">
      <c r="A2" s="149" t="s">
        <v>29</v>
      </c>
      <c r="B2" s="151">
        <v>0</v>
      </c>
      <c r="C2" s="151">
        <v>1</v>
      </c>
      <c r="D2" s="151">
        <v>2</v>
      </c>
      <c r="E2" s="151">
        <v>3</v>
      </c>
      <c r="F2" s="151">
        <v>4</v>
      </c>
      <c r="G2" s="151">
        <v>5</v>
      </c>
      <c r="H2" s="151">
        <v>6</v>
      </c>
      <c r="I2" s="151">
        <v>7</v>
      </c>
      <c r="J2" s="151">
        <v>8</v>
      </c>
      <c r="K2" s="151">
        <v>9</v>
      </c>
      <c r="L2" s="151">
        <v>10</v>
      </c>
    </row>
    <row r="3" spans="1:12" ht="15.95" customHeight="1">
      <c r="A3" s="65" t="s">
        <v>232</v>
      </c>
      <c r="B3" s="66"/>
      <c r="C3" s="66">
        <f>'[1]ESTIMACION DE DEMANDA'!$C$36</f>
        <v>492253.07618856896</v>
      </c>
      <c r="D3" s="66">
        <f>'[1]ESTIMACION DE DEMANDA'!$C$36</f>
        <v>492253.07618856896</v>
      </c>
      <c r="E3" s="66">
        <f>'[1]ESTIMACION DE DEMANDA'!$C$36</f>
        <v>492253.07618856896</v>
      </c>
      <c r="F3" s="66">
        <f>E3*0.95</f>
        <v>467640.42237914051</v>
      </c>
      <c r="G3" s="66">
        <f>F3</f>
        <v>467640.42237914051</v>
      </c>
      <c r="H3" s="66">
        <f t="shared" ref="H3:L4" si="0">G3</f>
        <v>467640.42237914051</v>
      </c>
      <c r="I3" s="66">
        <f t="shared" si="0"/>
        <v>467640.42237914051</v>
      </c>
      <c r="J3" s="66">
        <f t="shared" si="0"/>
        <v>467640.42237914051</v>
      </c>
      <c r="K3" s="66">
        <f t="shared" si="0"/>
        <v>467640.42237914051</v>
      </c>
      <c r="L3" s="66">
        <f t="shared" si="0"/>
        <v>467640.42237914051</v>
      </c>
    </row>
    <row r="4" spans="1:12" ht="15.95" customHeight="1">
      <c r="A4" s="65" t="s">
        <v>233</v>
      </c>
      <c r="B4" s="66"/>
      <c r="C4" s="66">
        <f>'[2]ESTIMACION DE DEMANDA'!$C$43</f>
        <v>975594.84014122677</v>
      </c>
      <c r="D4" s="66">
        <f>C4</f>
        <v>975594.84014122677</v>
      </c>
      <c r="E4" s="66">
        <f>D4</f>
        <v>975594.84014122677</v>
      </c>
      <c r="F4" s="66">
        <f>E4*0.95</f>
        <v>926815.0981341654</v>
      </c>
      <c r="G4" s="66">
        <f>F4</f>
        <v>926815.0981341654</v>
      </c>
      <c r="H4" s="66">
        <f t="shared" si="0"/>
        <v>926815.0981341654</v>
      </c>
      <c r="I4" s="66">
        <f t="shared" si="0"/>
        <v>926815.0981341654</v>
      </c>
      <c r="J4" s="66">
        <f t="shared" si="0"/>
        <v>926815.0981341654</v>
      </c>
      <c r="K4" s="66">
        <f t="shared" si="0"/>
        <v>926815.0981341654</v>
      </c>
      <c r="L4" s="66">
        <f t="shared" si="0"/>
        <v>926815.0981341654</v>
      </c>
    </row>
    <row r="5" spans="1:12" ht="15.95" customHeight="1">
      <c r="A5" s="47" t="s">
        <v>47</v>
      </c>
      <c r="B5" s="66"/>
      <c r="C5" s="54">
        <f>SUM(C3:C4)</f>
        <v>1467847.9163297957</v>
      </c>
      <c r="D5" s="54">
        <f t="shared" ref="D5:L5" si="1">SUM(D3:D4)</f>
        <v>1467847.9163297957</v>
      </c>
      <c r="E5" s="54">
        <f t="shared" si="1"/>
        <v>1467847.9163297957</v>
      </c>
      <c r="F5" s="54">
        <f t="shared" si="1"/>
        <v>1394455.5205133059</v>
      </c>
      <c r="G5" s="54">
        <f t="shared" si="1"/>
        <v>1394455.5205133059</v>
      </c>
      <c r="H5" s="54">
        <f t="shared" si="1"/>
        <v>1394455.5205133059</v>
      </c>
      <c r="I5" s="54">
        <f t="shared" si="1"/>
        <v>1394455.5205133059</v>
      </c>
      <c r="J5" s="54">
        <f t="shared" si="1"/>
        <v>1394455.5205133059</v>
      </c>
      <c r="K5" s="54">
        <f t="shared" si="1"/>
        <v>1394455.5205133059</v>
      </c>
      <c r="L5" s="54">
        <f t="shared" si="1"/>
        <v>1394455.5205133059</v>
      </c>
    </row>
    <row r="6" spans="1:12" ht="15.95" customHeight="1">
      <c r="A6" s="65" t="s">
        <v>235</v>
      </c>
      <c r="B6" s="66"/>
      <c r="C6" s="66">
        <f>(-'[1]ESTIMACION DE DEMANDA'!$C$53)*1.15</f>
        <v>-471742.53134737868</v>
      </c>
      <c r="D6" s="66">
        <f>(-'[1]ESTIMACION DE DEMANDA'!$C$53)*1.15</f>
        <v>-471742.53134737868</v>
      </c>
      <c r="E6" s="66">
        <f>(-'[1]ESTIMACION DE DEMANDA'!$C$53)*1.15</f>
        <v>-471742.53134737868</v>
      </c>
      <c r="F6" s="66">
        <f>E6*0.95</f>
        <v>-448155.4047800097</v>
      </c>
      <c r="G6" s="66">
        <f>F6</f>
        <v>-448155.4047800097</v>
      </c>
      <c r="H6" s="66">
        <f t="shared" ref="H6:L7" si="2">G6</f>
        <v>-448155.4047800097</v>
      </c>
      <c r="I6" s="66">
        <f t="shared" si="2"/>
        <v>-448155.4047800097</v>
      </c>
      <c r="J6" s="66">
        <f t="shared" si="2"/>
        <v>-448155.4047800097</v>
      </c>
      <c r="K6" s="66">
        <f t="shared" si="2"/>
        <v>-448155.4047800097</v>
      </c>
      <c r="L6" s="66">
        <f t="shared" si="2"/>
        <v>-448155.4047800097</v>
      </c>
    </row>
    <row r="7" spans="1:12" ht="15.95" customHeight="1">
      <c r="A7" s="65" t="s">
        <v>240</v>
      </c>
      <c r="B7" s="66"/>
      <c r="C7" s="66">
        <f>(-'[2]ESTIMACION DE DEMANDA'!$C$60)*1.15</f>
        <v>-934945.05513534206</v>
      </c>
      <c r="D7" s="66">
        <f>C7</f>
        <v>-934945.05513534206</v>
      </c>
      <c r="E7" s="66">
        <f>D7</f>
        <v>-934945.05513534206</v>
      </c>
      <c r="F7" s="66">
        <f>E7*0.95</f>
        <v>-888197.80237857497</v>
      </c>
      <c r="G7" s="66">
        <f>F7</f>
        <v>-888197.80237857497</v>
      </c>
      <c r="H7" s="66">
        <f t="shared" si="2"/>
        <v>-888197.80237857497</v>
      </c>
      <c r="I7" s="66">
        <f t="shared" si="2"/>
        <v>-888197.80237857497</v>
      </c>
      <c r="J7" s="66">
        <f t="shared" si="2"/>
        <v>-888197.80237857497</v>
      </c>
      <c r="K7" s="66">
        <f t="shared" si="2"/>
        <v>-888197.80237857497</v>
      </c>
      <c r="L7" s="66">
        <f t="shared" si="2"/>
        <v>-888197.80237857497</v>
      </c>
    </row>
    <row r="8" spans="1:12" ht="15.95" customHeight="1">
      <c r="A8" s="47" t="s">
        <v>42</v>
      </c>
      <c r="B8" s="66"/>
      <c r="C8" s="54">
        <f>SUM(C6:C7)</f>
        <v>-1406687.5864827207</v>
      </c>
      <c r="D8" s="54">
        <f t="shared" ref="D8:L8" si="3">SUM(D6:D7)</f>
        <v>-1406687.5864827207</v>
      </c>
      <c r="E8" s="54">
        <f t="shared" si="3"/>
        <v>-1406687.5864827207</v>
      </c>
      <c r="F8" s="54">
        <f t="shared" si="3"/>
        <v>-1336353.2071585846</v>
      </c>
      <c r="G8" s="54">
        <f t="shared" si="3"/>
        <v>-1336353.2071585846</v>
      </c>
      <c r="H8" s="54">
        <f t="shared" si="3"/>
        <v>-1336353.2071585846</v>
      </c>
      <c r="I8" s="54">
        <f t="shared" si="3"/>
        <v>-1336353.2071585846</v>
      </c>
      <c r="J8" s="54">
        <f t="shared" si="3"/>
        <v>-1336353.2071585846</v>
      </c>
      <c r="K8" s="54">
        <f t="shared" si="3"/>
        <v>-1336353.2071585846</v>
      </c>
      <c r="L8" s="54">
        <f t="shared" si="3"/>
        <v>-1336353.2071585846</v>
      </c>
    </row>
    <row r="9" spans="1:12" ht="15.95" customHeight="1">
      <c r="A9" s="47" t="s">
        <v>168</v>
      </c>
      <c r="B9" s="66"/>
      <c r="C9" s="54">
        <f>C5+C8</f>
        <v>61160.329847075045</v>
      </c>
      <c r="D9" s="54">
        <f t="shared" ref="D9:L9" si="4">D5+D8</f>
        <v>61160.329847075045</v>
      </c>
      <c r="E9" s="54">
        <f t="shared" si="4"/>
        <v>61160.329847075045</v>
      </c>
      <c r="F9" s="54">
        <f t="shared" si="4"/>
        <v>58102.313354721293</v>
      </c>
      <c r="G9" s="54">
        <f t="shared" si="4"/>
        <v>58102.313354721293</v>
      </c>
      <c r="H9" s="54">
        <f t="shared" si="4"/>
        <v>58102.313354721293</v>
      </c>
      <c r="I9" s="54">
        <f t="shared" si="4"/>
        <v>58102.313354721293</v>
      </c>
      <c r="J9" s="54">
        <f t="shared" si="4"/>
        <v>58102.313354721293</v>
      </c>
      <c r="K9" s="54">
        <f t="shared" si="4"/>
        <v>58102.313354721293</v>
      </c>
      <c r="L9" s="54">
        <f t="shared" si="4"/>
        <v>58102.313354721293</v>
      </c>
    </row>
    <row r="10" spans="1:12" ht="15.95" customHeight="1">
      <c r="A10" s="65" t="s">
        <v>37</v>
      </c>
      <c r="B10" s="66"/>
      <c r="C10" s="66">
        <f>-Financiamiento!D3</f>
        <v>-4836.92</v>
      </c>
      <c r="D10" s="66">
        <f>-Financiamiento!D4</f>
        <v>-3648.69</v>
      </c>
      <c r="E10" s="66">
        <f>-Financiamiento!D5</f>
        <v>-2327</v>
      </c>
      <c r="F10" s="66">
        <f>-Financiamiento!D6</f>
        <v>-856.88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</row>
    <row r="11" spans="1:12" ht="15.95" customHeight="1">
      <c r="A11" s="65" t="s">
        <v>156</v>
      </c>
      <c r="B11" s="66"/>
      <c r="C11" s="66">
        <f>SUM('F. Caja Pesimista'!C10:C17)</f>
        <v>-229695.40400000001</v>
      </c>
      <c r="D11" s="66">
        <f>SUM('F. Caja Pesimista'!D10:D17)</f>
        <v>-235321.11280000003</v>
      </c>
      <c r="E11" s="66">
        <f>SUM('F. Caja Pesimista'!E10:E17)</f>
        <v>-212381.11280000003</v>
      </c>
      <c r="F11" s="66">
        <f>SUM('F. Caja Pesimista'!F10:F17)</f>
        <v>-211531.11280000003</v>
      </c>
      <c r="G11" s="66">
        <f>SUM('F. Caja Pesimista'!G10:G17)</f>
        <v>-211631.11280000003</v>
      </c>
      <c r="H11" s="66">
        <f>SUM('F. Caja Pesimista'!H10:H17)</f>
        <v>-197611.11280000003</v>
      </c>
      <c r="I11" s="66">
        <f>SUM('F. Caja Pesimista'!I10:I17)</f>
        <v>-197711.11280000003</v>
      </c>
      <c r="J11" s="66">
        <f>SUM('F. Caja Pesimista'!J10:J17)</f>
        <v>-197611.11280000003</v>
      </c>
      <c r="K11" s="66">
        <f>SUM('F. Caja Pesimista'!K10:K17)</f>
        <v>-197711.11280000003</v>
      </c>
      <c r="L11" s="66">
        <f>SUM('F. Caja Pesimista'!L10:L17)</f>
        <v>-197611.11280000003</v>
      </c>
    </row>
    <row r="12" spans="1:12" ht="15.95" customHeight="1">
      <c r="A12" s="65" t="s">
        <v>159</v>
      </c>
      <c r="B12" s="66"/>
      <c r="C12" s="66">
        <f>SUM('F. Caja Pesimista'!C20:C21)</f>
        <v>-13865.62</v>
      </c>
      <c r="D12" s="66">
        <f>SUM('F. Caja Pesimista'!D20:D21)</f>
        <v>-13865.62</v>
      </c>
      <c r="E12" s="66">
        <f>SUM('F. Caja Pesimista'!E20:E21)</f>
        <v>-13865.62</v>
      </c>
      <c r="F12" s="66">
        <f>SUM('F. Caja Pesimista'!F20:F21)</f>
        <v>-13865.62</v>
      </c>
      <c r="G12" s="66">
        <f>SUM('F. Caja Pesimista'!G20:G21)</f>
        <v>-13865.62</v>
      </c>
      <c r="H12" s="66">
        <f>SUM('F. Caja Pesimista'!H20:H21)</f>
        <v>-13334.1</v>
      </c>
      <c r="I12" s="66">
        <f>SUM('F. Caja Pesimista'!I20:I21)</f>
        <v>-13334.1</v>
      </c>
      <c r="J12" s="66">
        <f>SUM('F. Caja Pesimista'!J20:J21)</f>
        <v>-13334.1</v>
      </c>
      <c r="K12" s="66">
        <f>SUM('F. Caja Pesimista'!K20:K21)</f>
        <v>-13334.1</v>
      </c>
      <c r="L12" s="66">
        <f>SUM('F. Caja Pesimista'!L20:L21)</f>
        <v>-13334.1</v>
      </c>
    </row>
    <row r="13" spans="1:12" ht="15.95" customHeight="1">
      <c r="A13" s="47" t="s">
        <v>95</v>
      </c>
      <c r="B13" s="66"/>
      <c r="C13" s="54">
        <f>C9+C11+C12+C10</f>
        <v>-187237.61415292497</v>
      </c>
      <c r="D13" s="54">
        <f t="shared" ref="D13:L13" si="5">D9+D11+D12+D10</f>
        <v>-191675.09295292498</v>
      </c>
      <c r="E13" s="54">
        <f t="shared" si="5"/>
        <v>-167413.40295292498</v>
      </c>
      <c r="F13" s="54">
        <f t="shared" si="5"/>
        <v>-168151.29944527874</v>
      </c>
      <c r="G13" s="54">
        <f t="shared" si="5"/>
        <v>-167394.41944527873</v>
      </c>
      <c r="H13" s="54">
        <f t="shared" si="5"/>
        <v>-152842.89944527874</v>
      </c>
      <c r="I13" s="54">
        <f t="shared" si="5"/>
        <v>-152942.89944527874</v>
      </c>
      <c r="J13" s="54">
        <f t="shared" si="5"/>
        <v>-152842.89944527874</v>
      </c>
      <c r="K13" s="54">
        <f t="shared" si="5"/>
        <v>-152942.89944527874</v>
      </c>
      <c r="L13" s="54">
        <f t="shared" si="5"/>
        <v>-152842.89944527874</v>
      </c>
    </row>
    <row r="14" spans="1:12" ht="15.95" customHeight="1">
      <c r="A14" s="47" t="s">
        <v>98</v>
      </c>
      <c r="B14" s="66"/>
      <c r="C14" s="54">
        <f>-IF(C13&gt;0, 0.15*C13,0)</f>
        <v>0</v>
      </c>
      <c r="D14" s="54">
        <f t="shared" ref="D14:L14" si="6">-IF(D13&gt;0, 0.15*D13,0)</f>
        <v>0</v>
      </c>
      <c r="E14" s="54">
        <f t="shared" si="6"/>
        <v>0</v>
      </c>
      <c r="F14" s="54">
        <f t="shared" si="6"/>
        <v>0</v>
      </c>
      <c r="G14" s="54">
        <f t="shared" si="6"/>
        <v>0</v>
      </c>
      <c r="H14" s="54">
        <f t="shared" si="6"/>
        <v>0</v>
      </c>
      <c r="I14" s="54">
        <f t="shared" si="6"/>
        <v>0</v>
      </c>
      <c r="J14" s="54">
        <f t="shared" si="6"/>
        <v>0</v>
      </c>
      <c r="K14" s="54">
        <f t="shared" si="6"/>
        <v>0</v>
      </c>
      <c r="L14" s="54">
        <f t="shared" si="6"/>
        <v>0</v>
      </c>
    </row>
    <row r="15" spans="1:12" ht="15.95" customHeight="1">
      <c r="A15" s="47" t="s">
        <v>94</v>
      </c>
      <c r="B15" s="66"/>
      <c r="C15" s="68">
        <f>C13+C14</f>
        <v>-187237.61415292497</v>
      </c>
      <c r="D15" s="68">
        <f>D13+D14</f>
        <v>-191675.09295292498</v>
      </c>
      <c r="E15" s="68">
        <f>E13+E14</f>
        <v>-167413.40295292498</v>
      </c>
      <c r="F15" s="68">
        <f t="shared" ref="F15:L15" si="7">F13+F14</f>
        <v>-168151.29944527874</v>
      </c>
      <c r="G15" s="68">
        <f t="shared" si="7"/>
        <v>-167394.41944527873</v>
      </c>
      <c r="H15" s="68">
        <f t="shared" si="7"/>
        <v>-152842.89944527874</v>
      </c>
      <c r="I15" s="68">
        <f t="shared" si="7"/>
        <v>-152942.89944527874</v>
      </c>
      <c r="J15" s="68">
        <f t="shared" si="7"/>
        <v>-152842.89944527874</v>
      </c>
      <c r="K15" s="68">
        <f t="shared" si="7"/>
        <v>-152942.89944527874</v>
      </c>
      <c r="L15" s="68">
        <f t="shared" si="7"/>
        <v>-152842.89944527874</v>
      </c>
    </row>
    <row r="16" spans="1:12" ht="15.95" customHeight="1">
      <c r="A16" s="65" t="s">
        <v>96</v>
      </c>
      <c r="B16" s="66"/>
      <c r="C16" s="66">
        <f>-(IF(C15&gt;0,C15*0.23,0))</f>
        <v>0</v>
      </c>
      <c r="D16" s="66">
        <f>-(IF(D15&gt;0,D15*0.22,0))</f>
        <v>0</v>
      </c>
      <c r="E16" s="66">
        <f>-(IF(E15&gt;0,E15*0.22,0))</f>
        <v>0</v>
      </c>
      <c r="F16" s="66">
        <f t="shared" ref="F16:L16" si="8">-(IF(F15&gt;0,F15*0.22,0))</f>
        <v>0</v>
      </c>
      <c r="G16" s="66">
        <f t="shared" si="8"/>
        <v>0</v>
      </c>
      <c r="H16" s="66">
        <f t="shared" si="8"/>
        <v>0</v>
      </c>
      <c r="I16" s="66">
        <f t="shared" si="8"/>
        <v>0</v>
      </c>
      <c r="J16" s="66">
        <f t="shared" si="8"/>
        <v>0</v>
      </c>
      <c r="K16" s="66">
        <f t="shared" si="8"/>
        <v>0</v>
      </c>
      <c r="L16" s="66">
        <f t="shared" si="8"/>
        <v>0</v>
      </c>
    </row>
    <row r="17" spans="1:12" ht="15.95" customHeight="1">
      <c r="A17" s="47" t="s">
        <v>99</v>
      </c>
      <c r="B17" s="66"/>
      <c r="C17" s="66">
        <f>C15+C16</f>
        <v>-187237.61415292497</v>
      </c>
      <c r="D17" s="66">
        <f>D15+D16</f>
        <v>-191675.09295292498</v>
      </c>
      <c r="E17" s="66">
        <f>E15+E16</f>
        <v>-167413.40295292498</v>
      </c>
      <c r="F17" s="66">
        <f t="shared" ref="F17:L17" si="9">F15+F16</f>
        <v>-168151.29944527874</v>
      </c>
      <c r="G17" s="66">
        <f t="shared" si="9"/>
        <v>-167394.41944527873</v>
      </c>
      <c r="H17" s="66">
        <f t="shared" si="9"/>
        <v>-152842.89944527874</v>
      </c>
      <c r="I17" s="66">
        <f t="shared" si="9"/>
        <v>-152942.89944527874</v>
      </c>
      <c r="J17" s="66">
        <f t="shared" si="9"/>
        <v>-152842.89944527874</v>
      </c>
      <c r="K17" s="66">
        <f t="shared" si="9"/>
        <v>-152942.89944527874</v>
      </c>
      <c r="L17" s="66">
        <f t="shared" si="9"/>
        <v>-152842.89944527874</v>
      </c>
    </row>
    <row r="18" spans="1:12" ht="15.95" customHeight="1">
      <c r="A18" s="65" t="s">
        <v>100</v>
      </c>
      <c r="B18" s="66"/>
      <c r="C18" s="66">
        <f>-IF(C17&gt;0,0.1*C17,0)</f>
        <v>0</v>
      </c>
      <c r="D18" s="66">
        <f t="shared" ref="D18:L18" si="10">-IF(D17&gt;0,0.1*D17,0)</f>
        <v>0</v>
      </c>
      <c r="E18" s="66">
        <f t="shared" si="10"/>
        <v>0</v>
      </c>
      <c r="F18" s="66">
        <f t="shared" si="10"/>
        <v>0</v>
      </c>
      <c r="G18" s="66">
        <f t="shared" si="10"/>
        <v>0</v>
      </c>
      <c r="H18" s="66">
        <f t="shared" si="10"/>
        <v>0</v>
      </c>
      <c r="I18" s="66">
        <f t="shared" si="10"/>
        <v>0</v>
      </c>
      <c r="J18" s="66">
        <f t="shared" si="10"/>
        <v>0</v>
      </c>
      <c r="K18" s="66">
        <f t="shared" si="10"/>
        <v>0</v>
      </c>
      <c r="L18" s="66">
        <f t="shared" si="10"/>
        <v>0</v>
      </c>
    </row>
    <row r="19" spans="1:12" ht="15.95" customHeight="1">
      <c r="A19" s="47" t="s">
        <v>101</v>
      </c>
      <c r="B19" s="54"/>
      <c r="C19" s="54">
        <f>C17+C18</f>
        <v>-187237.61415292497</v>
      </c>
      <c r="D19" s="54">
        <f t="shared" ref="D19:L19" si="11">D17+D18</f>
        <v>-191675.09295292498</v>
      </c>
      <c r="E19" s="54">
        <f>E17+E18</f>
        <v>-167413.40295292498</v>
      </c>
      <c r="F19" s="54">
        <f t="shared" si="11"/>
        <v>-168151.29944527874</v>
      </c>
      <c r="G19" s="54">
        <f t="shared" si="11"/>
        <v>-167394.41944527873</v>
      </c>
      <c r="H19" s="54">
        <f t="shared" si="11"/>
        <v>-152842.89944527874</v>
      </c>
      <c r="I19" s="54">
        <f t="shared" si="11"/>
        <v>-152942.89944527874</v>
      </c>
      <c r="J19" s="54">
        <f t="shared" si="11"/>
        <v>-152842.89944527874</v>
      </c>
      <c r="K19" s="54">
        <f t="shared" si="11"/>
        <v>-152942.89944527874</v>
      </c>
      <c r="L19" s="54">
        <f t="shared" si="11"/>
        <v>-152842.89944527874</v>
      </c>
    </row>
    <row r="20" spans="1:12" ht="15.95" customHeight="1">
      <c r="A20" s="65" t="s">
        <v>158</v>
      </c>
      <c r="B20" s="66"/>
      <c r="C20" s="54">
        <f>-C12</f>
        <v>13865.62</v>
      </c>
      <c r="D20" s="54">
        <f t="shared" ref="D20:L20" si="12">-D12</f>
        <v>13865.62</v>
      </c>
      <c r="E20" s="54">
        <f t="shared" si="12"/>
        <v>13865.62</v>
      </c>
      <c r="F20" s="54">
        <f t="shared" si="12"/>
        <v>13865.62</v>
      </c>
      <c r="G20" s="54">
        <f t="shared" si="12"/>
        <v>13865.62</v>
      </c>
      <c r="H20" s="54">
        <f t="shared" si="12"/>
        <v>13334.1</v>
      </c>
      <c r="I20" s="54">
        <f t="shared" si="12"/>
        <v>13334.1</v>
      </c>
      <c r="J20" s="54">
        <f t="shared" si="12"/>
        <v>13334.1</v>
      </c>
      <c r="K20" s="54">
        <f t="shared" si="12"/>
        <v>13334.1</v>
      </c>
      <c r="L20" s="54">
        <f t="shared" si="12"/>
        <v>13334.1</v>
      </c>
    </row>
    <row r="21" spans="1:12" ht="15.95" customHeight="1">
      <c r="A21" s="65" t="s">
        <v>236</v>
      </c>
      <c r="B21" s="66"/>
      <c r="C21" s="66">
        <f>-Financiamiento!C3</f>
        <v>-10580.45</v>
      </c>
      <c r="D21" s="66">
        <f>-Financiamiento!C4</f>
        <v>-11768.69</v>
      </c>
      <c r="E21" s="66">
        <f>-Financiamiento!C5</f>
        <v>-13090.37</v>
      </c>
      <c r="F21" s="66">
        <f>-Financiamiento!C6</f>
        <v>-14560.49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</row>
    <row r="22" spans="1:12" ht="15.95" customHeight="1">
      <c r="A22" s="65" t="s">
        <v>237</v>
      </c>
      <c r="B22" s="66">
        <v>50000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5.95" customHeight="1">
      <c r="A23" s="65" t="s">
        <v>57</v>
      </c>
      <c r="B23" s="66">
        <f>-[3]tecnico!$E$29</f>
        <v>-83341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5.95" customHeight="1">
      <c r="A24" s="65" t="s">
        <v>58</v>
      </c>
      <c r="B24" s="66">
        <f>0</f>
        <v>0</v>
      </c>
      <c r="C24" s="66">
        <f>-[4]tecnico!$C$43</f>
        <v>0</v>
      </c>
      <c r="D24" s="66">
        <f>-[4]tecnico!$D$43</f>
        <v>0</v>
      </c>
      <c r="E24" s="66">
        <f>-[4]tecnico!$E$43</f>
        <v>-11760</v>
      </c>
      <c r="F24" s="66">
        <f>-[4]tecnico!$F$43</f>
        <v>0</v>
      </c>
      <c r="G24" s="66">
        <f>-[4]tecnico!$G$43</f>
        <v>-22560</v>
      </c>
      <c r="H24" s="66">
        <f>-[4]tecnico!$H$43</f>
        <v>-11760</v>
      </c>
      <c r="I24" s="66">
        <f>-[4]tecnico!$I$43</f>
        <v>0</v>
      </c>
      <c r="J24" s="66">
        <f>-[4]tecnico!$J$43</f>
        <v>0</v>
      </c>
      <c r="K24" s="66">
        <f>-[4]tecnico!$K$43</f>
        <v>-11760</v>
      </c>
      <c r="L24" s="66">
        <f>-[4]tecnico!$L$43</f>
        <v>0</v>
      </c>
    </row>
    <row r="25" spans="1:12" ht="15.95" customHeight="1">
      <c r="A25" s="65" t="s">
        <v>239</v>
      </c>
      <c r="B25" s="66">
        <f>-'ACTIVOS INTANGIBLES'!B14</f>
        <v>-2657.6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5.95" customHeight="1">
      <c r="A26" s="65" t="s">
        <v>33</v>
      </c>
      <c r="B26" s="66">
        <f>'Capital de trabajo'!D9</f>
        <v>-19902.767136184884</v>
      </c>
      <c r="C26" s="66"/>
      <c r="D26" s="66"/>
      <c r="E26" s="66"/>
      <c r="F26" s="66"/>
      <c r="G26" s="66"/>
      <c r="H26" s="66"/>
      <c r="I26" s="66"/>
      <c r="J26" s="66"/>
      <c r="K26" s="66"/>
      <c r="L26" s="66">
        <f>-B26</f>
        <v>19902.767136184884</v>
      </c>
    </row>
    <row r="27" spans="1:12" ht="15.95" customHeight="1">
      <c r="A27" s="65" t="s">
        <v>35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>
        <f>'Valor de desecho'!H28</f>
        <v>7840.0000000000009</v>
      </c>
    </row>
    <row r="28" spans="1:12" ht="15.95" customHeight="1">
      <c r="A28" s="149" t="s">
        <v>36</v>
      </c>
      <c r="B28" s="150">
        <f t="shared" ref="B28:L28" si="13">B19+SUM(B20:B27)</f>
        <v>-55901.367136184883</v>
      </c>
      <c r="C28" s="150">
        <f t="shared" si="13"/>
        <v>-183952.44415292496</v>
      </c>
      <c r="D28" s="150">
        <f t="shared" si="13"/>
        <v>-189578.16295292499</v>
      </c>
      <c r="E28" s="150">
        <f t="shared" si="13"/>
        <v>-178398.15295292498</v>
      </c>
      <c r="F28" s="150">
        <f t="shared" si="13"/>
        <v>-168846.16944527873</v>
      </c>
      <c r="G28" s="150">
        <f t="shared" si="13"/>
        <v>-176088.79944527874</v>
      </c>
      <c r="H28" s="150">
        <f t="shared" si="13"/>
        <v>-151268.79944527874</v>
      </c>
      <c r="I28" s="150">
        <f t="shared" si="13"/>
        <v>-139608.79944527874</v>
      </c>
      <c r="J28" s="150">
        <f t="shared" si="13"/>
        <v>-139508.79944527874</v>
      </c>
      <c r="K28" s="150">
        <f t="shared" si="13"/>
        <v>-151368.79944527874</v>
      </c>
      <c r="L28" s="150">
        <f t="shared" si="13"/>
        <v>-111766.03230909386</v>
      </c>
    </row>
    <row r="29" spans="1:12" ht="15.95" customHeight="1">
      <c r="A29" s="151" t="s">
        <v>223</v>
      </c>
      <c r="B29" s="147">
        <v>6.3500000000000001E-2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1:12" ht="15.95" customHeight="1">
      <c r="A30" s="151" t="s">
        <v>224</v>
      </c>
      <c r="B30" s="148">
        <f>NPV(B29, C28:L28)+B28</f>
        <v>-1234113.928985012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</row>
    <row r="31" spans="1:12" ht="15.95" customHeight="1">
      <c r="A31" s="151" t="s">
        <v>30</v>
      </c>
      <c r="B31" s="147" t="e">
        <f>IRR(B28:L28)</f>
        <v>#DIV/0!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3" spans="4:4">
      <c r="D33" s="136"/>
    </row>
  </sheetData>
  <pageMargins left="0.7" right="0.7" top="0.75" bottom="0.75" header="0.3" footer="0.3"/>
  <pageSetup paperSize="9" orientation="portrait" horizontalDpi="0" verticalDpi="0" r:id="rId1"/>
  <ignoredErrors>
    <ignoredError sqref="C16:J18 F4:L8 K16:L18" formula="1"/>
    <ignoredError sqref="B31" evalErro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0" zoomScaleNormal="90" workbookViewId="0">
      <selection activeCell="A2" sqref="A2:L2"/>
    </sheetView>
  </sheetViews>
  <sheetFormatPr baseColWidth="10" defaultRowHeight="14.25"/>
  <cols>
    <col min="1" max="1" width="52.5703125" style="42" customWidth="1"/>
    <col min="2" max="2" width="16.28515625" style="42" customWidth="1"/>
    <col min="3" max="12" width="17.28515625" style="42" bestFit="1" customWidth="1"/>
    <col min="13" max="16384" width="11.42578125" style="42"/>
  </cols>
  <sheetData>
    <row r="1" spans="1:12" ht="15">
      <c r="A1" s="69" t="s">
        <v>228</v>
      </c>
      <c r="C1" s="136"/>
    </row>
    <row r="2" spans="1:12" ht="15.95" customHeight="1">
      <c r="A2" s="154" t="s">
        <v>304</v>
      </c>
      <c r="B2" s="155">
        <v>0</v>
      </c>
      <c r="C2" s="155">
        <v>1</v>
      </c>
      <c r="D2" s="155">
        <v>2</v>
      </c>
      <c r="E2" s="155">
        <v>3</v>
      </c>
      <c r="F2" s="155">
        <v>4</v>
      </c>
      <c r="G2" s="155">
        <v>5</v>
      </c>
      <c r="H2" s="155">
        <v>6</v>
      </c>
      <c r="I2" s="155">
        <v>7</v>
      </c>
      <c r="J2" s="155">
        <v>8</v>
      </c>
      <c r="K2" s="155">
        <v>9</v>
      </c>
      <c r="L2" s="155">
        <v>10</v>
      </c>
    </row>
    <row r="3" spans="1:12" ht="15.95" customHeight="1">
      <c r="A3" s="65" t="s">
        <v>232</v>
      </c>
      <c r="B3" s="66"/>
      <c r="C3" s="66">
        <f>'[1]ESTIMACION DE DEMANDA'!$C$36</f>
        <v>492253.07618856896</v>
      </c>
      <c r="D3" s="66">
        <f>'[1]ESTIMACION DE DEMANDA'!$C$36</f>
        <v>492253.07618856896</v>
      </c>
      <c r="E3" s="66">
        <f>'[1]ESTIMACION DE DEMANDA'!$C$36</f>
        <v>492253.07618856896</v>
      </c>
      <c r="F3" s="66">
        <f>'[1]ESTIMACION DE DEMANDA'!$C$36</f>
        <v>492253.07618856896</v>
      </c>
      <c r="G3" s="66">
        <f>'[1]ESTIMACION DE DEMANDA'!$C$36</f>
        <v>492253.07618856896</v>
      </c>
      <c r="H3" s="66">
        <f>'[1]ESTIMACION DE DEMANDA'!$C$36</f>
        <v>492253.07618856896</v>
      </c>
      <c r="I3" s="66">
        <f>'[1]ESTIMACION DE DEMANDA'!$C$36</f>
        <v>492253.07618856896</v>
      </c>
      <c r="J3" s="66">
        <f>'[1]ESTIMACION DE DEMANDA'!$C$36</f>
        <v>492253.07618856896</v>
      </c>
      <c r="K3" s="66">
        <f>'[1]ESTIMACION DE DEMANDA'!$C$36</f>
        <v>492253.07618856896</v>
      </c>
      <c r="L3" s="66">
        <f>'[1]ESTIMACION DE DEMANDA'!$C$36</f>
        <v>492253.07618856896</v>
      </c>
    </row>
    <row r="4" spans="1:12" ht="15.95" customHeight="1">
      <c r="A4" s="65" t="s">
        <v>247</v>
      </c>
      <c r="B4" s="66"/>
      <c r="C4" s="66">
        <f>'[2]ESTIMACION DE DEMANDA'!$C$43</f>
        <v>975594.84014122677</v>
      </c>
      <c r="D4" s="66">
        <f>C4</f>
        <v>975594.84014122677</v>
      </c>
      <c r="E4" s="66">
        <f t="shared" ref="E4:L4" si="0">D4</f>
        <v>975594.84014122677</v>
      </c>
      <c r="F4" s="66">
        <f t="shared" si="0"/>
        <v>975594.84014122677</v>
      </c>
      <c r="G4" s="66">
        <f t="shared" si="0"/>
        <v>975594.84014122677</v>
      </c>
      <c r="H4" s="66">
        <f t="shared" si="0"/>
        <v>975594.84014122677</v>
      </c>
      <c r="I4" s="66">
        <f t="shared" si="0"/>
        <v>975594.84014122677</v>
      </c>
      <c r="J4" s="66">
        <f t="shared" si="0"/>
        <v>975594.84014122677</v>
      </c>
      <c r="K4" s="66">
        <f t="shared" si="0"/>
        <v>975594.84014122677</v>
      </c>
      <c r="L4" s="66">
        <f t="shared" si="0"/>
        <v>975594.84014122677</v>
      </c>
    </row>
    <row r="5" spans="1:12" ht="15.95" customHeight="1">
      <c r="A5" s="47" t="s">
        <v>47</v>
      </c>
      <c r="B5" s="66"/>
      <c r="C5" s="54">
        <f>SUM(C3:C4)</f>
        <v>1467847.9163297957</v>
      </c>
      <c r="D5" s="54">
        <f t="shared" ref="D5:L5" si="1">SUM(D3:D4)</f>
        <v>1467847.9163297957</v>
      </c>
      <c r="E5" s="54">
        <f t="shared" si="1"/>
        <v>1467847.9163297957</v>
      </c>
      <c r="F5" s="54">
        <f t="shared" si="1"/>
        <v>1467847.9163297957</v>
      </c>
      <c r="G5" s="54">
        <f t="shared" si="1"/>
        <v>1467847.9163297957</v>
      </c>
      <c r="H5" s="54">
        <f t="shared" si="1"/>
        <v>1467847.9163297957</v>
      </c>
      <c r="I5" s="54">
        <f t="shared" si="1"/>
        <v>1467847.9163297957</v>
      </c>
      <c r="J5" s="54">
        <f t="shared" si="1"/>
        <v>1467847.9163297957</v>
      </c>
      <c r="K5" s="54">
        <f t="shared" si="1"/>
        <v>1467847.9163297957</v>
      </c>
      <c r="L5" s="54">
        <f t="shared" si="1"/>
        <v>1467847.9163297957</v>
      </c>
    </row>
    <row r="6" spans="1:12" ht="15.95" customHeight="1">
      <c r="A6" s="65" t="s">
        <v>235</v>
      </c>
      <c r="B6" s="66"/>
      <c r="C6" s="66">
        <f>-'[1]ESTIMACION DE DEMANDA'!$C$53</f>
        <v>-410210.89682380756</v>
      </c>
      <c r="D6" s="66">
        <f>-'[1]ESTIMACION DE DEMANDA'!$C$53</f>
        <v>-410210.89682380756</v>
      </c>
      <c r="E6" s="66">
        <f>-'[1]ESTIMACION DE DEMANDA'!$C$53</f>
        <v>-410210.89682380756</v>
      </c>
      <c r="F6" s="66">
        <f>-'[1]ESTIMACION DE DEMANDA'!$C$53</f>
        <v>-410210.89682380756</v>
      </c>
      <c r="G6" s="66">
        <f>-'[1]ESTIMACION DE DEMANDA'!$C$53</f>
        <v>-410210.89682380756</v>
      </c>
      <c r="H6" s="66">
        <f>-'[1]ESTIMACION DE DEMANDA'!$C$53</f>
        <v>-410210.89682380756</v>
      </c>
      <c r="I6" s="66">
        <f>-'[1]ESTIMACION DE DEMANDA'!$C$53</f>
        <v>-410210.89682380756</v>
      </c>
      <c r="J6" s="66">
        <f>-'[1]ESTIMACION DE DEMANDA'!$C$53</f>
        <v>-410210.89682380756</v>
      </c>
      <c r="K6" s="66">
        <f>-'[1]ESTIMACION DE DEMANDA'!$C$53</f>
        <v>-410210.89682380756</v>
      </c>
      <c r="L6" s="66">
        <f>-'[1]ESTIMACION DE DEMANDA'!$C$53</f>
        <v>-410210.89682380756</v>
      </c>
    </row>
    <row r="7" spans="1:12" ht="15.95" customHeight="1">
      <c r="A7" s="65" t="s">
        <v>240</v>
      </c>
      <c r="B7" s="66"/>
      <c r="C7" s="66">
        <f>-'[2]ESTIMACION DE DEMANDA'!$C$60</f>
        <v>-812995.70011768886</v>
      </c>
      <c r="D7" s="66">
        <f>C7</f>
        <v>-812995.70011768886</v>
      </c>
      <c r="E7" s="66">
        <f t="shared" ref="E7:L7" si="2">D7</f>
        <v>-812995.70011768886</v>
      </c>
      <c r="F7" s="66">
        <f t="shared" si="2"/>
        <v>-812995.70011768886</v>
      </c>
      <c r="G7" s="66">
        <f t="shared" si="2"/>
        <v>-812995.70011768886</v>
      </c>
      <c r="H7" s="66">
        <f t="shared" si="2"/>
        <v>-812995.70011768886</v>
      </c>
      <c r="I7" s="66">
        <f t="shared" si="2"/>
        <v>-812995.70011768886</v>
      </c>
      <c r="J7" s="66">
        <f t="shared" si="2"/>
        <v>-812995.70011768886</v>
      </c>
      <c r="K7" s="66">
        <f t="shared" si="2"/>
        <v>-812995.70011768886</v>
      </c>
      <c r="L7" s="66">
        <f t="shared" si="2"/>
        <v>-812995.70011768886</v>
      </c>
    </row>
    <row r="8" spans="1:12" ht="15.95" customHeight="1">
      <c r="A8" s="47" t="s">
        <v>42</v>
      </c>
      <c r="B8" s="66"/>
      <c r="C8" s="54">
        <f>SUM(C6:C7)</f>
        <v>-1223206.5969414965</v>
      </c>
      <c r="D8" s="54">
        <f t="shared" ref="D8:L8" si="3">SUM(D6:D7)</f>
        <v>-1223206.5969414965</v>
      </c>
      <c r="E8" s="54">
        <f t="shared" si="3"/>
        <v>-1223206.5969414965</v>
      </c>
      <c r="F8" s="54">
        <f t="shared" si="3"/>
        <v>-1223206.5969414965</v>
      </c>
      <c r="G8" s="54">
        <f t="shared" si="3"/>
        <v>-1223206.5969414965</v>
      </c>
      <c r="H8" s="54">
        <f t="shared" si="3"/>
        <v>-1223206.5969414965</v>
      </c>
      <c r="I8" s="54">
        <f t="shared" si="3"/>
        <v>-1223206.5969414965</v>
      </c>
      <c r="J8" s="54">
        <f t="shared" si="3"/>
        <v>-1223206.5969414965</v>
      </c>
      <c r="K8" s="54">
        <f t="shared" si="3"/>
        <v>-1223206.5969414965</v>
      </c>
      <c r="L8" s="54">
        <f t="shared" si="3"/>
        <v>-1223206.5969414965</v>
      </c>
    </row>
    <row r="9" spans="1:12" ht="15.95" customHeight="1">
      <c r="A9" s="47" t="s">
        <v>168</v>
      </c>
      <c r="B9" s="66"/>
      <c r="C9" s="54">
        <f>C5+C8</f>
        <v>244641.31938829925</v>
      </c>
      <c r="D9" s="54">
        <f t="shared" ref="D9:L9" si="4">D5+D8</f>
        <v>244641.31938829925</v>
      </c>
      <c r="E9" s="54">
        <f t="shared" si="4"/>
        <v>244641.31938829925</v>
      </c>
      <c r="F9" s="54">
        <f t="shared" si="4"/>
        <v>244641.31938829925</v>
      </c>
      <c r="G9" s="54">
        <f t="shared" si="4"/>
        <v>244641.31938829925</v>
      </c>
      <c r="H9" s="54">
        <f t="shared" si="4"/>
        <v>244641.31938829925</v>
      </c>
      <c r="I9" s="54">
        <f t="shared" si="4"/>
        <v>244641.31938829925</v>
      </c>
      <c r="J9" s="54">
        <f t="shared" si="4"/>
        <v>244641.31938829925</v>
      </c>
      <c r="K9" s="54">
        <f t="shared" si="4"/>
        <v>244641.31938829925</v>
      </c>
      <c r="L9" s="54">
        <f t="shared" si="4"/>
        <v>244641.31938829925</v>
      </c>
    </row>
    <row r="10" spans="1:12" ht="15.95" customHeight="1">
      <c r="A10" s="65" t="s">
        <v>171</v>
      </c>
      <c r="B10" s="66"/>
      <c r="C10" s="66">
        <f>SUM('F. Caja Social'!C10:C17)</f>
        <v>-184863.372</v>
      </c>
      <c r="D10" s="66">
        <f>SUM('F. Caja Social'!D10:D17)</f>
        <v>-187626.22640000001</v>
      </c>
      <c r="E10" s="66">
        <f>SUM('F. Caja Social'!E10:E17)</f>
        <v>-164686.22640000001</v>
      </c>
      <c r="F10" s="66">
        <f>SUM('F. Caja Social'!F10:F17)</f>
        <v>-164586.22640000001</v>
      </c>
      <c r="G10" s="66">
        <f>SUM('F. Caja Social'!G10:G17)</f>
        <v>-164686.22640000001</v>
      </c>
      <c r="H10" s="66">
        <f>SUM('F. Caja Social'!H10:H17)</f>
        <v>-150666.22640000001</v>
      </c>
      <c r="I10" s="66">
        <f>SUM('F. Caja Social'!I10:I17)</f>
        <v>-150766.22640000001</v>
      </c>
      <c r="J10" s="66">
        <f>SUM('F. Caja Social'!J10:J17)</f>
        <v>-150666.22640000001</v>
      </c>
      <c r="K10" s="66">
        <f>SUM('F. Caja Social'!K10:K17)</f>
        <v>-150766.22640000001</v>
      </c>
      <c r="L10" s="66">
        <f>SUM('F. Caja Social'!L10:L17)</f>
        <v>-150666.22640000001</v>
      </c>
    </row>
    <row r="11" spans="1:12" ht="15.95" customHeight="1">
      <c r="A11" s="65" t="s">
        <v>37</v>
      </c>
      <c r="B11" s="66"/>
      <c r="C11" s="66">
        <f>-Financiamiento!D3</f>
        <v>-4836.92</v>
      </c>
      <c r="D11" s="66">
        <f>-Financiamiento!D4</f>
        <v>-3648.69</v>
      </c>
      <c r="E11" s="66">
        <f>-Financiamiento!D5</f>
        <v>-2327</v>
      </c>
      <c r="F11" s="66">
        <f>-Financiamiento!D6</f>
        <v>-856.88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</row>
    <row r="12" spans="1:12" ht="15.95" customHeight="1">
      <c r="A12" s="65" t="s">
        <v>159</v>
      </c>
      <c r="B12" s="66"/>
      <c r="C12" s="66">
        <f>SUM('F. Caja Social'!C20:C21)</f>
        <v>-13865.62</v>
      </c>
      <c r="D12" s="66">
        <f>SUM('F. Caja Social'!D20:D21)</f>
        <v>-13865.62</v>
      </c>
      <c r="E12" s="66">
        <f>SUM('F. Caja Social'!E20:E21)</f>
        <v>-13865.62</v>
      </c>
      <c r="F12" s="66">
        <f>SUM('F. Caja Social'!F20:F21)</f>
        <v>-13865.62</v>
      </c>
      <c r="G12" s="66">
        <f>SUM('F. Caja Social'!G20:G21)</f>
        <v>-13865.62</v>
      </c>
      <c r="H12" s="66">
        <f>SUM('F. Caja Social'!H20:H21)</f>
        <v>-13334.1</v>
      </c>
      <c r="I12" s="66">
        <f>SUM('F. Caja Social'!I20:I21)</f>
        <v>-13334.1</v>
      </c>
      <c r="J12" s="66">
        <f>SUM('F. Caja Social'!J20:J21)</f>
        <v>-13334.1</v>
      </c>
      <c r="K12" s="66">
        <f>SUM('F. Caja Social'!K20:K21)</f>
        <v>-13334.1</v>
      </c>
      <c r="L12" s="66">
        <f>SUM('F. Caja Social'!L20:L21)</f>
        <v>-13334.1</v>
      </c>
    </row>
    <row r="13" spans="1:12" ht="15.95" customHeight="1">
      <c r="A13" s="47" t="s">
        <v>172</v>
      </c>
      <c r="B13" s="54"/>
      <c r="C13" s="54">
        <f>C9+C10+C12+C11</f>
        <v>41075.407388299245</v>
      </c>
      <c r="D13" s="54">
        <f t="shared" ref="D13:L13" si="5">D9+D10+D12+D11</f>
        <v>39500.78298829923</v>
      </c>
      <c r="E13" s="54">
        <f t="shared" si="5"/>
        <v>63762.47298829924</v>
      </c>
      <c r="F13" s="54">
        <f t="shared" si="5"/>
        <v>65332.592988299242</v>
      </c>
      <c r="G13" s="54">
        <f t="shared" si="5"/>
        <v>66089.47298829924</v>
      </c>
      <c r="H13" s="54">
        <f t="shared" si="5"/>
        <v>80640.992988299229</v>
      </c>
      <c r="I13" s="54">
        <f t="shared" si="5"/>
        <v>80540.992988299229</v>
      </c>
      <c r="J13" s="54">
        <f t="shared" si="5"/>
        <v>80640.992988299229</v>
      </c>
      <c r="K13" s="54">
        <f t="shared" si="5"/>
        <v>80540.992988299229</v>
      </c>
      <c r="L13" s="54">
        <f t="shared" si="5"/>
        <v>80640.992988299229</v>
      </c>
    </row>
    <row r="14" spans="1:12" ht="15.95" customHeight="1">
      <c r="A14" s="65" t="s">
        <v>158</v>
      </c>
      <c r="B14" s="66"/>
      <c r="C14" s="66">
        <f>SUM('F. Caja Social'!C24:C25)</f>
        <v>13865.62</v>
      </c>
      <c r="D14" s="66">
        <f>SUM('F. Caja Social'!D24:D25)</f>
        <v>13865.62</v>
      </c>
      <c r="E14" s="66">
        <f>SUM('F. Caja Social'!E24:E25)</f>
        <v>13865.62</v>
      </c>
      <c r="F14" s="66">
        <f>SUM('F. Caja Social'!F24:F25)</f>
        <v>13865.62</v>
      </c>
      <c r="G14" s="66">
        <f>SUM('F. Caja Social'!G24:G25)</f>
        <v>13865.62</v>
      </c>
      <c r="H14" s="66">
        <f>SUM('F. Caja Social'!H24:H25)</f>
        <v>13334.1</v>
      </c>
      <c r="I14" s="66">
        <f>SUM('F. Caja Social'!I24:I25)</f>
        <v>13334.1</v>
      </c>
      <c r="J14" s="66">
        <f>SUM('F. Caja Social'!J24:J25)</f>
        <v>13334.1</v>
      </c>
      <c r="K14" s="66">
        <f>SUM('F. Caja Social'!K24:K25)</f>
        <v>13334.1</v>
      </c>
      <c r="L14" s="66">
        <f>SUM('F. Caja Social'!L24:L25)</f>
        <v>13334.1</v>
      </c>
    </row>
    <row r="15" spans="1:12" ht="15.95" customHeight="1">
      <c r="A15" s="65" t="s">
        <v>236</v>
      </c>
      <c r="B15" s="66"/>
      <c r="C15" s="66">
        <f>-Financiamiento!C3</f>
        <v>-10580.45</v>
      </c>
      <c r="D15" s="66">
        <f>-Financiamiento!C4</f>
        <v>-11768.69</v>
      </c>
      <c r="E15" s="66">
        <f>-Financiamiento!C5</f>
        <v>-13090.37</v>
      </c>
      <c r="F15" s="66">
        <f>-Financiamiento!C6</f>
        <v>-14560.49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</row>
    <row r="16" spans="1:12" ht="15.95" customHeight="1">
      <c r="A16" s="65" t="s">
        <v>237</v>
      </c>
      <c r="B16" s="66">
        <v>50000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5.95" customHeight="1">
      <c r="A17" s="65" t="s">
        <v>238</v>
      </c>
      <c r="B17" s="66">
        <v>-77965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5.95" customHeight="1">
      <c r="A18" s="65" t="s">
        <v>58</v>
      </c>
      <c r="B18" s="66">
        <f>0</f>
        <v>0</v>
      </c>
      <c r="C18" s="66">
        <v>0</v>
      </c>
      <c r="D18" s="66">
        <v>0</v>
      </c>
      <c r="E18" s="66">
        <f>-11760</f>
        <v>-11760</v>
      </c>
      <c r="F18" s="66">
        <v>0</v>
      </c>
      <c r="G18" s="66">
        <f>-22350</f>
        <v>-22350</v>
      </c>
      <c r="H18" s="66">
        <f>-11760</f>
        <v>-11760</v>
      </c>
      <c r="I18" s="66">
        <v>0</v>
      </c>
      <c r="J18" s="66">
        <v>0</v>
      </c>
      <c r="K18" s="66">
        <f>-11760</f>
        <v>-11760</v>
      </c>
      <c r="L18" s="66">
        <v>0</v>
      </c>
    </row>
    <row r="19" spans="1:12" ht="15.95" customHeight="1">
      <c r="A19" s="65" t="s">
        <v>239</v>
      </c>
      <c r="B19" s="66">
        <f>-'ACTIVOS INTANGIBLES'!B14</f>
        <v>-2657.6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5.95" customHeight="1">
      <c r="A20" s="65" t="s">
        <v>33</v>
      </c>
      <c r="B20" s="66">
        <f>'Capital de trabajo'!D9</f>
        <v>-19902.767136184884</v>
      </c>
      <c r="C20" s="66"/>
      <c r="D20" s="66"/>
      <c r="E20" s="66"/>
      <c r="F20" s="66"/>
      <c r="G20" s="66"/>
      <c r="H20" s="66"/>
      <c r="I20" s="66"/>
      <c r="J20" s="66"/>
      <c r="K20" s="66"/>
      <c r="L20" s="66">
        <f>-B20</f>
        <v>19902.767136184884</v>
      </c>
    </row>
    <row r="21" spans="1:12" ht="15.95" customHeight="1">
      <c r="A21" s="65" t="s">
        <v>35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>
        <f>'Valor de desecho'!H28</f>
        <v>7840.0000000000009</v>
      </c>
    </row>
    <row r="22" spans="1:12" ht="15.95" customHeight="1">
      <c r="A22" s="154" t="s">
        <v>36</v>
      </c>
      <c r="B22" s="156">
        <f t="shared" ref="B22:L22" si="6">B13+SUM(B14:B21)</f>
        <v>-50525.367136184883</v>
      </c>
      <c r="C22" s="156">
        <f t="shared" si="6"/>
        <v>44360.577388299243</v>
      </c>
      <c r="D22" s="156">
        <f t="shared" si="6"/>
        <v>41597.71298829923</v>
      </c>
      <c r="E22" s="156">
        <f t="shared" si="6"/>
        <v>52777.72298829924</v>
      </c>
      <c r="F22" s="156">
        <f t="shared" si="6"/>
        <v>64637.72298829924</v>
      </c>
      <c r="G22" s="156">
        <f t="shared" si="6"/>
        <v>57605.092988299242</v>
      </c>
      <c r="H22" s="156">
        <f t="shared" si="6"/>
        <v>82215.092988299235</v>
      </c>
      <c r="I22" s="156">
        <f t="shared" si="6"/>
        <v>93875.092988299235</v>
      </c>
      <c r="J22" s="156">
        <f t="shared" si="6"/>
        <v>93975.092988299235</v>
      </c>
      <c r="K22" s="156">
        <f t="shared" si="6"/>
        <v>82115.092988299235</v>
      </c>
      <c r="L22" s="156">
        <f t="shared" si="6"/>
        <v>121717.86012448411</v>
      </c>
    </row>
    <row r="23" spans="1:12" ht="15.95" customHeight="1"/>
    <row r="24" spans="1:12" ht="15.95" customHeight="1">
      <c r="A24" s="155" t="s">
        <v>173</v>
      </c>
      <c r="B24" s="137">
        <f>NPV(0.921%, C22:L22)+B22</f>
        <v>642803.68352052243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</row>
    <row r="25" spans="1:12" ht="15.95" customHeight="1">
      <c r="A25" s="155" t="s">
        <v>30</v>
      </c>
      <c r="B25" s="138">
        <f>IRR(B22:L22)</f>
        <v>0.94948875455163118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</row>
    <row r="27" spans="1:12">
      <c r="D27" s="136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1"/>
  <dimension ref="B2:H40"/>
  <sheetViews>
    <sheetView workbookViewId="0">
      <selection activeCell="B34" sqref="B34"/>
    </sheetView>
  </sheetViews>
  <sheetFormatPr baseColWidth="10" defaultRowHeight="14.25"/>
  <cols>
    <col min="1" max="1" width="11.42578125" style="42"/>
    <col min="2" max="2" width="24" style="48" customWidth="1"/>
    <col min="3" max="3" width="11.42578125" style="48" customWidth="1"/>
    <col min="4" max="4" width="11.140625" style="48" customWidth="1"/>
    <col min="5" max="5" width="15.140625" style="48" customWidth="1"/>
    <col min="6" max="6" width="15.7109375" style="48" customWidth="1"/>
    <col min="7" max="7" width="16" style="48" customWidth="1"/>
    <col min="8" max="8" width="12.28515625" style="48" customWidth="1"/>
    <col min="9" max="16384" width="11.42578125" style="42"/>
  </cols>
  <sheetData>
    <row r="2" spans="2:8" ht="15">
      <c r="B2" s="228" t="s">
        <v>150</v>
      </c>
      <c r="C2" s="228"/>
      <c r="D2" s="228"/>
      <c r="E2" s="228"/>
      <c r="F2" s="228"/>
      <c r="G2" s="228"/>
      <c r="H2" s="228"/>
    </row>
    <row r="3" spans="2:8" ht="25.5">
      <c r="B3" s="130" t="s">
        <v>248</v>
      </c>
      <c r="C3" s="130" t="s">
        <v>249</v>
      </c>
      <c r="D3" s="130" t="s">
        <v>250</v>
      </c>
      <c r="E3" s="157" t="s">
        <v>251</v>
      </c>
      <c r="F3" s="157" t="s">
        <v>252</v>
      </c>
      <c r="G3" s="157" t="s">
        <v>253</v>
      </c>
      <c r="H3" s="157" t="s">
        <v>254</v>
      </c>
    </row>
    <row r="4" spans="2:8" ht="15.95" hidden="1" customHeight="1">
      <c r="B4" s="14" t="s">
        <v>8</v>
      </c>
      <c r="C4" s="160">
        <v>21390</v>
      </c>
      <c r="D4" s="63">
        <v>5</v>
      </c>
      <c r="E4" s="62">
        <f>C4/D4</f>
        <v>4278</v>
      </c>
      <c r="F4" s="14">
        <v>5</v>
      </c>
      <c r="G4" s="62">
        <f>(E4*F4)</f>
        <v>21390</v>
      </c>
      <c r="H4" s="159">
        <f>C4-G4</f>
        <v>0</v>
      </c>
    </row>
    <row r="5" spans="2:8" ht="15.95" hidden="1" customHeight="1">
      <c r="B5" s="14" t="s">
        <v>9</v>
      </c>
      <c r="C5" s="160">
        <v>9150</v>
      </c>
      <c r="D5" s="63">
        <v>10</v>
      </c>
      <c r="E5" s="62">
        <f t="shared" ref="E5:E27" si="0">C5/D5</f>
        <v>915</v>
      </c>
      <c r="F5" s="14">
        <v>10</v>
      </c>
      <c r="G5" s="62">
        <f t="shared" ref="G5:G27" si="1">(E5*F5)</f>
        <v>9150</v>
      </c>
      <c r="H5" s="159">
        <f t="shared" ref="H5:H27" si="2">C5-G5</f>
        <v>0</v>
      </c>
    </row>
    <row r="6" spans="2:8" ht="15.95" hidden="1" customHeight="1">
      <c r="B6" s="14" t="s">
        <v>11</v>
      </c>
      <c r="C6" s="160">
        <v>4320</v>
      </c>
      <c r="D6" s="63">
        <v>10</v>
      </c>
      <c r="E6" s="62">
        <f t="shared" si="0"/>
        <v>432</v>
      </c>
      <c r="F6" s="14">
        <v>10</v>
      </c>
      <c r="G6" s="62">
        <f t="shared" si="1"/>
        <v>4320</v>
      </c>
      <c r="H6" s="159">
        <f t="shared" si="2"/>
        <v>0</v>
      </c>
    </row>
    <row r="7" spans="2:8" ht="15.95" hidden="1" customHeight="1">
      <c r="B7" s="14" t="s">
        <v>10</v>
      </c>
      <c r="C7" s="160">
        <v>4800</v>
      </c>
      <c r="D7" s="63">
        <v>10</v>
      </c>
      <c r="E7" s="62">
        <f t="shared" si="0"/>
        <v>480</v>
      </c>
      <c r="F7" s="14">
        <v>10</v>
      </c>
      <c r="G7" s="62">
        <f t="shared" si="1"/>
        <v>4800</v>
      </c>
      <c r="H7" s="159">
        <f t="shared" si="2"/>
        <v>0</v>
      </c>
    </row>
    <row r="8" spans="2:8" ht="15.95" hidden="1" customHeight="1">
      <c r="B8" s="14" t="s">
        <v>12</v>
      </c>
      <c r="C8" s="160">
        <v>780</v>
      </c>
      <c r="D8" s="14">
        <v>10</v>
      </c>
      <c r="E8" s="62">
        <f t="shared" si="0"/>
        <v>78</v>
      </c>
      <c r="F8" s="14">
        <v>10</v>
      </c>
      <c r="G8" s="62">
        <f t="shared" si="1"/>
        <v>780</v>
      </c>
      <c r="H8" s="159">
        <f t="shared" si="2"/>
        <v>0</v>
      </c>
    </row>
    <row r="9" spans="2:8" ht="15.95" hidden="1" customHeight="1">
      <c r="B9" s="14" t="s">
        <v>13</v>
      </c>
      <c r="C9" s="160">
        <v>2370</v>
      </c>
      <c r="D9" s="14">
        <v>10</v>
      </c>
      <c r="E9" s="62">
        <f t="shared" si="0"/>
        <v>237</v>
      </c>
      <c r="F9" s="14">
        <v>10</v>
      </c>
      <c r="G9" s="62">
        <f>(E9*F9)</f>
        <v>2370</v>
      </c>
      <c r="H9" s="159">
        <f>C9-G9</f>
        <v>0</v>
      </c>
    </row>
    <row r="10" spans="2:8" ht="15.95" hidden="1" customHeight="1">
      <c r="B10" s="14" t="s">
        <v>114</v>
      </c>
      <c r="C10" s="160">
        <v>420</v>
      </c>
      <c r="D10" s="14">
        <v>10</v>
      </c>
      <c r="E10" s="62">
        <f t="shared" si="0"/>
        <v>42</v>
      </c>
      <c r="F10" s="14">
        <v>10</v>
      </c>
      <c r="G10" s="62">
        <f>(E10*F10)</f>
        <v>420</v>
      </c>
      <c r="H10" s="159">
        <f>C10-G10</f>
        <v>0</v>
      </c>
    </row>
    <row r="11" spans="2:8" ht="15.95" hidden="1" customHeight="1">
      <c r="B11" s="14" t="s">
        <v>14</v>
      </c>
      <c r="C11" s="160">
        <v>1200</v>
      </c>
      <c r="D11" s="14">
        <v>10</v>
      </c>
      <c r="E11" s="62">
        <f t="shared" si="0"/>
        <v>120</v>
      </c>
      <c r="F11" s="14">
        <v>10</v>
      </c>
      <c r="G11" s="62">
        <f t="shared" si="1"/>
        <v>1200</v>
      </c>
      <c r="H11" s="159">
        <f t="shared" si="2"/>
        <v>0</v>
      </c>
    </row>
    <row r="12" spans="2:8" ht="15.95" customHeight="1">
      <c r="B12" s="14" t="s">
        <v>255</v>
      </c>
      <c r="C12" s="160">
        <v>270</v>
      </c>
      <c r="D12" s="14">
        <v>3</v>
      </c>
      <c r="E12" s="62">
        <f t="shared" si="0"/>
        <v>90</v>
      </c>
      <c r="F12" s="14">
        <v>1</v>
      </c>
      <c r="G12" s="62">
        <f t="shared" si="1"/>
        <v>90</v>
      </c>
      <c r="H12" s="159">
        <f t="shared" si="2"/>
        <v>180</v>
      </c>
    </row>
    <row r="13" spans="2:8" ht="15.95" customHeight="1">
      <c r="B13" s="14" t="s">
        <v>15</v>
      </c>
      <c r="C13" s="160">
        <v>1050</v>
      </c>
      <c r="D13" s="14">
        <v>3</v>
      </c>
      <c r="E13" s="62">
        <f t="shared" si="0"/>
        <v>350</v>
      </c>
      <c r="F13" s="14">
        <v>1</v>
      </c>
      <c r="G13" s="62">
        <f t="shared" si="1"/>
        <v>350</v>
      </c>
      <c r="H13" s="159">
        <f t="shared" si="2"/>
        <v>700</v>
      </c>
    </row>
    <row r="14" spans="2:8" ht="15.95" hidden="1" customHeight="1">
      <c r="B14" s="14" t="s">
        <v>16</v>
      </c>
      <c r="C14" s="160">
        <v>800</v>
      </c>
      <c r="D14" s="14">
        <v>10</v>
      </c>
      <c r="E14" s="62">
        <f t="shared" si="0"/>
        <v>80</v>
      </c>
      <c r="F14" s="14">
        <v>10</v>
      </c>
      <c r="G14" s="62">
        <f t="shared" si="1"/>
        <v>800</v>
      </c>
      <c r="H14" s="159">
        <f t="shared" si="2"/>
        <v>0</v>
      </c>
    </row>
    <row r="15" spans="2:8" ht="15.95" customHeight="1">
      <c r="B15" s="14" t="s">
        <v>256</v>
      </c>
      <c r="C15" s="160">
        <v>3600</v>
      </c>
      <c r="D15" s="14">
        <v>3</v>
      </c>
      <c r="E15" s="62">
        <f t="shared" si="0"/>
        <v>1200</v>
      </c>
      <c r="F15" s="14">
        <v>1</v>
      </c>
      <c r="G15" s="62">
        <f t="shared" si="1"/>
        <v>1200</v>
      </c>
      <c r="H15" s="159">
        <f t="shared" si="2"/>
        <v>2400</v>
      </c>
    </row>
    <row r="16" spans="2:8" ht="15.95" hidden="1" customHeight="1">
      <c r="B16" s="14" t="s">
        <v>28</v>
      </c>
      <c r="C16" s="160">
        <v>1170</v>
      </c>
      <c r="D16" s="14">
        <v>5</v>
      </c>
      <c r="E16" s="62">
        <f t="shared" si="0"/>
        <v>234</v>
      </c>
      <c r="F16" s="14">
        <v>5</v>
      </c>
      <c r="G16" s="62">
        <f t="shared" si="1"/>
        <v>1170</v>
      </c>
      <c r="H16" s="159">
        <f t="shared" si="2"/>
        <v>0</v>
      </c>
    </row>
    <row r="17" spans="2:8" ht="15.95" hidden="1" customHeight="1">
      <c r="B17" s="14" t="s">
        <v>17</v>
      </c>
      <c r="C17" s="160">
        <v>160</v>
      </c>
      <c r="D17" s="14">
        <v>10</v>
      </c>
      <c r="E17" s="62">
        <f t="shared" si="0"/>
        <v>16</v>
      </c>
      <c r="F17" s="14">
        <v>10</v>
      </c>
      <c r="G17" s="62">
        <f t="shared" si="1"/>
        <v>160</v>
      </c>
      <c r="H17" s="159">
        <f t="shared" si="2"/>
        <v>0</v>
      </c>
    </row>
    <row r="18" spans="2:8" ht="15.95" customHeight="1">
      <c r="B18" s="14" t="s">
        <v>18</v>
      </c>
      <c r="C18" s="160">
        <v>2000</v>
      </c>
      <c r="D18" s="14">
        <v>3</v>
      </c>
      <c r="E18" s="62">
        <f t="shared" si="0"/>
        <v>666.66666666666663</v>
      </c>
      <c r="F18" s="14">
        <v>1</v>
      </c>
      <c r="G18" s="62">
        <f t="shared" si="1"/>
        <v>666.66666666666663</v>
      </c>
      <c r="H18" s="159">
        <f t="shared" si="2"/>
        <v>1333.3333333333335</v>
      </c>
    </row>
    <row r="19" spans="2:8" ht="15.95" hidden="1" customHeight="1">
      <c r="B19" s="14" t="s">
        <v>19</v>
      </c>
      <c r="C19" s="160">
        <v>32</v>
      </c>
      <c r="D19" s="14">
        <v>10</v>
      </c>
      <c r="E19" s="62">
        <f t="shared" si="0"/>
        <v>3.2</v>
      </c>
      <c r="F19" s="14">
        <v>10</v>
      </c>
      <c r="G19" s="62">
        <f t="shared" si="1"/>
        <v>32</v>
      </c>
      <c r="H19" s="159">
        <f t="shared" si="2"/>
        <v>0</v>
      </c>
    </row>
    <row r="20" spans="2:8" ht="15.95" customHeight="1">
      <c r="B20" s="14" t="s">
        <v>20</v>
      </c>
      <c r="C20" s="160">
        <v>250</v>
      </c>
      <c r="D20" s="14">
        <v>3</v>
      </c>
      <c r="E20" s="62">
        <f t="shared" si="0"/>
        <v>83.333333333333329</v>
      </c>
      <c r="F20" s="14">
        <v>1</v>
      </c>
      <c r="G20" s="62">
        <f t="shared" si="1"/>
        <v>83.333333333333329</v>
      </c>
      <c r="H20" s="159">
        <f t="shared" si="2"/>
        <v>166.66666666666669</v>
      </c>
    </row>
    <row r="21" spans="2:8" ht="15.95" hidden="1" customHeight="1">
      <c r="B21" s="14" t="s">
        <v>21</v>
      </c>
      <c r="C21" s="160">
        <v>15</v>
      </c>
      <c r="D21" s="14">
        <v>10</v>
      </c>
      <c r="E21" s="62">
        <f t="shared" si="0"/>
        <v>1.5</v>
      </c>
      <c r="F21" s="14">
        <v>10</v>
      </c>
      <c r="G21" s="62">
        <f t="shared" si="1"/>
        <v>15</v>
      </c>
      <c r="H21" s="159">
        <f t="shared" si="2"/>
        <v>0</v>
      </c>
    </row>
    <row r="22" spans="2:8" ht="15.95" hidden="1" customHeight="1">
      <c r="B22" s="14" t="s">
        <v>22</v>
      </c>
      <c r="C22" s="160">
        <v>400</v>
      </c>
      <c r="D22" s="14">
        <v>10</v>
      </c>
      <c r="E22" s="62">
        <f t="shared" si="0"/>
        <v>40</v>
      </c>
      <c r="F22" s="14">
        <v>10</v>
      </c>
      <c r="G22" s="62">
        <f t="shared" si="1"/>
        <v>400</v>
      </c>
      <c r="H22" s="159">
        <f t="shared" si="2"/>
        <v>0</v>
      </c>
    </row>
    <row r="23" spans="2:8" ht="15.95" customHeight="1">
      <c r="B23" s="14" t="s">
        <v>61</v>
      </c>
      <c r="C23" s="160">
        <v>1740</v>
      </c>
      <c r="D23" s="14">
        <v>3</v>
      </c>
      <c r="E23" s="62">
        <f t="shared" si="0"/>
        <v>580</v>
      </c>
      <c r="F23" s="14">
        <v>1</v>
      </c>
      <c r="G23" s="62">
        <f t="shared" si="1"/>
        <v>580</v>
      </c>
      <c r="H23" s="159">
        <f t="shared" si="2"/>
        <v>1160</v>
      </c>
    </row>
    <row r="24" spans="2:8" ht="15.95" hidden="1" customHeight="1">
      <c r="B24" s="14" t="s">
        <v>23</v>
      </c>
      <c r="C24" s="160">
        <v>24375</v>
      </c>
      <c r="D24" s="14">
        <v>10</v>
      </c>
      <c r="E24" s="62">
        <f t="shared" si="0"/>
        <v>2437.5</v>
      </c>
      <c r="F24" s="14">
        <v>10</v>
      </c>
      <c r="G24" s="62">
        <f t="shared" si="1"/>
        <v>24375</v>
      </c>
      <c r="H24" s="159">
        <f t="shared" si="2"/>
        <v>0</v>
      </c>
    </row>
    <row r="25" spans="2:8" ht="15.95" hidden="1" customHeight="1">
      <c r="B25" s="14" t="s">
        <v>24</v>
      </c>
      <c r="C25" s="160">
        <v>100</v>
      </c>
      <c r="D25" s="14">
        <v>10</v>
      </c>
      <c r="E25" s="62">
        <f t="shared" si="0"/>
        <v>10</v>
      </c>
      <c r="F25" s="14">
        <v>10</v>
      </c>
      <c r="G25" s="62">
        <f t="shared" si="1"/>
        <v>100</v>
      </c>
      <c r="H25" s="159">
        <f t="shared" si="2"/>
        <v>0</v>
      </c>
    </row>
    <row r="26" spans="2:8" ht="15.95" customHeight="1">
      <c r="B26" s="14" t="s">
        <v>257</v>
      </c>
      <c r="C26" s="160">
        <v>2850</v>
      </c>
      <c r="D26" s="14">
        <v>3</v>
      </c>
      <c r="E26" s="62">
        <f t="shared" si="0"/>
        <v>950</v>
      </c>
      <c r="F26" s="14">
        <v>1</v>
      </c>
      <c r="G26" s="62">
        <f t="shared" si="1"/>
        <v>950</v>
      </c>
      <c r="H26" s="159">
        <f t="shared" si="2"/>
        <v>1900</v>
      </c>
    </row>
    <row r="27" spans="2:8" ht="15.95" hidden="1" customHeight="1">
      <c r="B27" s="14" t="s">
        <v>25</v>
      </c>
      <c r="C27" s="160">
        <v>99</v>
      </c>
      <c r="D27" s="14">
        <v>10</v>
      </c>
      <c r="E27" s="62">
        <f t="shared" si="0"/>
        <v>9.9</v>
      </c>
      <c r="F27" s="14">
        <v>10</v>
      </c>
      <c r="G27" s="62">
        <f t="shared" si="1"/>
        <v>99</v>
      </c>
      <c r="H27" s="159">
        <f t="shared" si="2"/>
        <v>0</v>
      </c>
    </row>
    <row r="28" spans="2:8" ht="15.95" customHeight="1">
      <c r="B28" s="182"/>
      <c r="C28" s="182"/>
      <c r="D28" s="182"/>
      <c r="E28" s="182"/>
      <c r="F28" s="182"/>
      <c r="G28" s="158" t="s">
        <v>2</v>
      </c>
      <c r="H28" s="158">
        <f>SUM(H4:H27)</f>
        <v>7840.0000000000009</v>
      </c>
    </row>
    <row r="31" spans="2:8" ht="15">
      <c r="B31" s="229"/>
      <c r="C31" s="229"/>
      <c r="D31" s="229"/>
      <c r="E31" s="229"/>
      <c r="F31" s="229"/>
      <c r="G31" s="229"/>
      <c r="H31" s="229"/>
    </row>
    <row r="32" spans="2:8">
      <c r="B32" s="183"/>
      <c r="C32" s="183"/>
      <c r="D32" s="183"/>
      <c r="E32" s="183"/>
      <c r="F32" s="183"/>
      <c r="G32" s="183"/>
      <c r="H32" s="183"/>
    </row>
    <row r="33" spans="2:8">
      <c r="B33" s="184"/>
      <c r="C33" s="185"/>
      <c r="D33" s="184"/>
      <c r="E33" s="186"/>
      <c r="F33" s="184"/>
      <c r="G33" s="186"/>
      <c r="H33" s="187"/>
    </row>
    <row r="34" spans="2:8">
      <c r="B34" s="184"/>
      <c r="C34" s="185"/>
      <c r="D34" s="184"/>
      <c r="E34" s="186"/>
      <c r="F34" s="184"/>
      <c r="G34" s="186"/>
      <c r="H34" s="187"/>
    </row>
    <row r="35" spans="2:8">
      <c r="B35" s="184"/>
      <c r="C35" s="185"/>
      <c r="D35" s="184"/>
      <c r="E35" s="186"/>
      <c r="F35" s="184"/>
      <c r="G35" s="186"/>
      <c r="H35" s="187"/>
    </row>
    <row r="36" spans="2:8">
      <c r="B36" s="184"/>
      <c r="C36" s="185"/>
      <c r="D36" s="184"/>
      <c r="E36" s="186"/>
      <c r="F36" s="184"/>
      <c r="G36" s="186"/>
      <c r="H36" s="187"/>
    </row>
    <row r="37" spans="2:8">
      <c r="B37" s="184"/>
      <c r="C37" s="185"/>
      <c r="D37" s="184"/>
      <c r="E37" s="186"/>
      <c r="F37" s="184"/>
      <c r="G37" s="186"/>
      <c r="H37" s="187"/>
    </row>
    <row r="38" spans="2:8">
      <c r="B38" s="184"/>
      <c r="C38" s="185"/>
      <c r="D38" s="184"/>
      <c r="E38" s="186"/>
      <c r="F38" s="184"/>
      <c r="G38" s="186"/>
      <c r="H38" s="187"/>
    </row>
    <row r="39" spans="2:8">
      <c r="B39" s="184"/>
      <c r="C39" s="185"/>
      <c r="D39" s="184"/>
      <c r="E39" s="186"/>
      <c r="F39" s="184"/>
      <c r="G39" s="186"/>
      <c r="H39" s="187"/>
    </row>
    <row r="40" spans="2:8">
      <c r="B40" s="184"/>
      <c r="C40" s="184"/>
      <c r="D40" s="184"/>
      <c r="E40" s="184"/>
      <c r="F40" s="184"/>
      <c r="G40" s="188"/>
      <c r="H40" s="188"/>
    </row>
  </sheetData>
  <autoFilter ref="B3:H28">
    <filterColumn colId="6">
      <filters>
        <filter val="$ 7.840,00"/>
        <filter val="1.160,00"/>
        <filter val="1.333,33"/>
        <filter val="1.900,00"/>
        <filter val="166,67"/>
        <filter val="180,00"/>
        <filter val="2.400,00"/>
        <filter val="700,00"/>
      </filters>
    </filterColumn>
  </autoFilter>
  <mergeCells count="2">
    <mergeCell ref="B2:H2"/>
    <mergeCell ref="B31:H3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E9"/>
  <sheetViews>
    <sheetView workbookViewId="0">
      <selection activeCell="B5" sqref="B5:D9"/>
    </sheetView>
  </sheetViews>
  <sheetFormatPr baseColWidth="10" defaultRowHeight="15"/>
  <cols>
    <col min="1" max="1" width="11.42578125" style="108"/>
    <col min="2" max="2" width="26.42578125" style="108" customWidth="1"/>
    <col min="3" max="3" width="19.5703125" style="108" customWidth="1"/>
    <col min="4" max="4" width="21.85546875" style="108" customWidth="1"/>
    <col min="5" max="16384" width="11.42578125" style="108"/>
  </cols>
  <sheetData>
    <row r="3" spans="2:5" ht="15.75">
      <c r="B3" s="81" t="s">
        <v>106</v>
      </c>
      <c r="C3" s="75">
        <v>5</v>
      </c>
      <c r="D3" s="75" t="s">
        <v>107</v>
      </c>
    </row>
    <row r="4" spans="2:5" ht="15.75">
      <c r="B4" s="81"/>
      <c r="C4" s="75"/>
      <c r="D4" s="75"/>
    </row>
    <row r="5" spans="2:5" ht="15.75">
      <c r="B5" s="230" t="s">
        <v>105</v>
      </c>
      <c r="C5" s="230"/>
      <c r="D5" s="230"/>
    </row>
    <row r="6" spans="2:5" ht="37.5" customHeight="1">
      <c r="B6" s="162" t="s">
        <v>108</v>
      </c>
      <c r="C6" s="162" t="s">
        <v>109</v>
      </c>
      <c r="D6" s="162" t="s">
        <v>110</v>
      </c>
      <c r="E6" s="153"/>
    </row>
    <row r="7" spans="2:5">
      <c r="B7" s="163" t="s">
        <v>111</v>
      </c>
      <c r="C7" s="164">
        <f>'F. Caja SIN crecimiento '!C8</f>
        <v>-1223206.5969414965</v>
      </c>
      <c r="D7" s="164">
        <f>(C7/365)*$C$3</f>
        <v>-16756.254752623241</v>
      </c>
    </row>
    <row r="8" spans="2:5">
      <c r="B8" s="163" t="s">
        <v>112</v>
      </c>
      <c r="C8" s="164">
        <f>SUM('F. Caja SIN crecimiento '!C10:C17)</f>
        <v>-229695.40400000001</v>
      </c>
      <c r="D8" s="164">
        <f>(C8/365)*$C$3</f>
        <v>-3146.5123835616441</v>
      </c>
    </row>
    <row r="9" spans="2:5" ht="15.75">
      <c r="B9" s="78" t="s">
        <v>146</v>
      </c>
      <c r="C9" s="161"/>
      <c r="D9" s="165">
        <f>SUM(D7:D8)</f>
        <v>-19902.767136184884</v>
      </c>
    </row>
  </sheetData>
  <mergeCells count="1"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24" sqref="B24"/>
    </sheetView>
  </sheetViews>
  <sheetFormatPr baseColWidth="10" defaultRowHeight="15"/>
  <cols>
    <col min="1" max="1" width="45.7109375" customWidth="1"/>
    <col min="2" max="2" width="17.7109375" customWidth="1"/>
  </cols>
  <sheetData>
    <row r="1" spans="1:2" ht="15.95" customHeight="1">
      <c r="A1" s="199" t="s">
        <v>1</v>
      </c>
      <c r="B1" s="199"/>
    </row>
    <row r="2" spans="1:2" ht="15.95" customHeight="1">
      <c r="A2" s="81" t="s">
        <v>263</v>
      </c>
      <c r="B2" s="81" t="s">
        <v>212</v>
      </c>
    </row>
    <row r="3" spans="1:2" ht="15.95" customHeight="1">
      <c r="A3" s="77" t="s">
        <v>115</v>
      </c>
      <c r="B3" s="82">
        <v>144</v>
      </c>
    </row>
    <row r="4" spans="1:2" ht="15.95" customHeight="1">
      <c r="A4" s="77" t="s">
        <v>264</v>
      </c>
      <c r="B4" s="82">
        <v>43.199999999999996</v>
      </c>
    </row>
    <row r="5" spans="1:2" ht="15.95" customHeight="1">
      <c r="A5" s="77" t="s">
        <v>116</v>
      </c>
      <c r="B5" s="82">
        <v>28.800000000000004</v>
      </c>
    </row>
    <row r="6" spans="1:2" s="13" customFormat="1" ht="15.95" customHeight="1">
      <c r="A6" s="83" t="s">
        <v>117</v>
      </c>
      <c r="B6" s="84">
        <v>18</v>
      </c>
    </row>
    <row r="7" spans="1:2" s="13" customFormat="1" ht="15.95" customHeight="1">
      <c r="A7" s="83" t="s">
        <v>118</v>
      </c>
      <c r="B7" s="84">
        <v>17.600000000000001</v>
      </c>
    </row>
    <row r="8" spans="1:2" s="13" customFormat="1" ht="15.95" customHeight="1">
      <c r="A8" s="83" t="s">
        <v>119</v>
      </c>
      <c r="B8" s="84">
        <v>6.4</v>
      </c>
    </row>
    <row r="9" spans="1:2" ht="15.95" customHeight="1">
      <c r="A9" s="77" t="s">
        <v>120</v>
      </c>
      <c r="B9" s="82">
        <v>84</v>
      </c>
    </row>
    <row r="10" spans="1:2" ht="15.95" customHeight="1">
      <c r="A10" s="77" t="s">
        <v>121</v>
      </c>
      <c r="B10" s="82">
        <v>30</v>
      </c>
    </row>
    <row r="11" spans="1:2" ht="15.95" customHeight="1">
      <c r="A11" s="77" t="s">
        <v>122</v>
      </c>
      <c r="B11" s="82">
        <v>50.400000000000006</v>
      </c>
    </row>
    <row r="12" spans="1:2" ht="15.95" customHeight="1">
      <c r="A12" s="77" t="s">
        <v>123</v>
      </c>
      <c r="B12" s="82">
        <v>38.400000000000006</v>
      </c>
    </row>
    <row r="13" spans="1:2" ht="15.95" customHeight="1">
      <c r="A13" s="77" t="s">
        <v>124</v>
      </c>
      <c r="B13" s="82">
        <v>21.6</v>
      </c>
    </row>
    <row r="14" spans="1:2" ht="15.95" customHeight="1">
      <c r="A14" s="77" t="s">
        <v>125</v>
      </c>
      <c r="B14" s="82">
        <v>48</v>
      </c>
    </row>
    <row r="15" spans="1:2" s="13" customFormat="1" ht="15.95" customHeight="1">
      <c r="A15" s="83" t="s">
        <v>126</v>
      </c>
      <c r="B15" s="84">
        <v>2.4000000000000004</v>
      </c>
    </row>
    <row r="16" spans="1:2" s="13" customFormat="1" ht="15.95" customHeight="1">
      <c r="A16" s="83" t="s">
        <v>127</v>
      </c>
      <c r="B16" s="84">
        <v>24</v>
      </c>
    </row>
    <row r="17" spans="1:2" ht="15.95" customHeight="1">
      <c r="A17" s="77" t="s">
        <v>128</v>
      </c>
      <c r="B17" s="82">
        <v>84</v>
      </c>
    </row>
    <row r="18" spans="1:2" ht="15.95" customHeight="1">
      <c r="A18" s="77" t="s">
        <v>265</v>
      </c>
      <c r="B18" s="82">
        <v>600</v>
      </c>
    </row>
    <row r="19" spans="1:2" ht="15.95" customHeight="1">
      <c r="A19" s="83" t="s">
        <v>266</v>
      </c>
      <c r="B19" s="82">
        <v>900</v>
      </c>
    </row>
    <row r="20" spans="1:2" ht="15.95" customHeight="1">
      <c r="A20" s="85" t="s">
        <v>2</v>
      </c>
      <c r="B20" s="86">
        <f>SUM(B3:B19)</f>
        <v>2140.8000000000002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0"/>
  <sheetViews>
    <sheetView zoomScale="90" zoomScaleNormal="90" workbookViewId="0">
      <selection activeCell="C11" sqref="C11"/>
    </sheetView>
  </sheetViews>
  <sheetFormatPr baseColWidth="10" defaultRowHeight="14.25"/>
  <cols>
    <col min="1" max="1" width="11.42578125" style="42"/>
    <col min="2" max="2" width="32.5703125" style="42" customWidth="1"/>
    <col min="3" max="3" width="13.5703125" style="42" bestFit="1" customWidth="1"/>
    <col min="4" max="4" width="12.42578125" style="42" bestFit="1" customWidth="1"/>
    <col min="5" max="8" width="12.28515625" style="42" bestFit="1" customWidth="1"/>
    <col min="9" max="13" width="12.7109375" style="42" bestFit="1" customWidth="1"/>
    <col min="14" max="16384" width="11.42578125" style="42"/>
  </cols>
  <sheetData>
    <row r="2" spans="2:13" ht="15">
      <c r="C2" s="69" t="s">
        <v>166</v>
      </c>
    </row>
    <row r="3" spans="2:13" ht="15.95" customHeight="1">
      <c r="B3" s="180"/>
      <c r="C3" s="167">
        <v>0</v>
      </c>
      <c r="D3" s="167">
        <v>1</v>
      </c>
      <c r="E3" s="167">
        <v>2</v>
      </c>
      <c r="F3" s="167">
        <v>3</v>
      </c>
      <c r="G3" s="167">
        <v>4</v>
      </c>
      <c r="H3" s="167">
        <v>5</v>
      </c>
      <c r="I3" s="167">
        <v>6</v>
      </c>
      <c r="J3" s="167">
        <v>7</v>
      </c>
      <c r="K3" s="167">
        <v>8</v>
      </c>
      <c r="L3" s="167">
        <v>9</v>
      </c>
      <c r="M3" s="167">
        <v>10</v>
      </c>
    </row>
    <row r="4" spans="2:13" ht="15.95" customHeight="1">
      <c r="B4" s="168" t="s">
        <v>160</v>
      </c>
      <c r="C4" s="43">
        <f>'F. Caja SIN crecimiento '!B40</f>
        <v>-55901.367136184883</v>
      </c>
      <c r="D4" s="43">
        <f>'F. Caja SIN crecimiento '!C40</f>
        <v>-471.45461170077397</v>
      </c>
      <c r="E4" s="43">
        <f>'F. Caja SIN crecimiento '!D40</f>
        <v>-6097.1734117007854</v>
      </c>
      <c r="F4" s="43">
        <f>'F. Caja SIN crecimiento '!E40</f>
        <v>-1397.2210827618565</v>
      </c>
      <c r="G4" s="43">
        <f>'F. Caja SIN crecimiento '!F40</f>
        <v>9829.5495212381393</v>
      </c>
      <c r="H4" s="43">
        <f>'F. Caja SIN crecimiento '!G40</f>
        <v>2281.6698172381439</v>
      </c>
      <c r="I4" s="43">
        <f>'F. Caja SIN crecimiento '!H40</f>
        <v>21233.041801238141</v>
      </c>
      <c r="J4" s="43">
        <f>'F. Caja SIN crecimiento '!I40</f>
        <v>32933.371801238143</v>
      </c>
      <c r="K4" s="43">
        <f>'F. Caja SIN crecimiento '!J40</f>
        <v>32993.041801238141</v>
      </c>
      <c r="L4" s="43">
        <f>'F. Caja SIN crecimiento '!K40</f>
        <v>21173.371801238143</v>
      </c>
      <c r="M4" s="43">
        <f>'F. Caja SIN crecimiento '!L40</f>
        <v>60735.808937423026</v>
      </c>
    </row>
    <row r="5" spans="2:13" ht="15.95" customHeight="1">
      <c r="B5" s="168" t="s">
        <v>161</v>
      </c>
      <c r="C5" s="169">
        <f>C4*((1+$C$11)^-C3)</f>
        <v>-55901.367136184883</v>
      </c>
      <c r="D5" s="169">
        <f t="shared" ref="D5:M5" si="0">D4*((1+$C$11)^-D3)</f>
        <v>-443.30475947416454</v>
      </c>
      <c r="E5" s="169">
        <f t="shared" si="0"/>
        <v>-5390.8042071309519</v>
      </c>
      <c r="F5" s="169">
        <f t="shared" si="0"/>
        <v>-1161.5894191128245</v>
      </c>
      <c r="G5" s="169">
        <f t="shared" si="0"/>
        <v>7683.9342147605903</v>
      </c>
      <c r="H5" s="169">
        <f t="shared" si="0"/>
        <v>1677.1245885548324</v>
      </c>
      <c r="I5" s="169">
        <f t="shared" si="0"/>
        <v>14675.308827275929</v>
      </c>
      <c r="J5" s="169">
        <f t="shared" si="0"/>
        <v>21402.954955578487</v>
      </c>
      <c r="K5" s="169">
        <f t="shared" si="0"/>
        <v>20161.479722847595</v>
      </c>
      <c r="L5" s="169">
        <f t="shared" si="0"/>
        <v>12166.133440538195</v>
      </c>
      <c r="M5" s="169">
        <f t="shared" si="0"/>
        <v>32814.80877729191</v>
      </c>
    </row>
    <row r="6" spans="2:13" ht="30.75" customHeight="1">
      <c r="B6" s="170" t="s">
        <v>229</v>
      </c>
      <c r="C6" s="43">
        <f>C5</f>
        <v>-55901.367136184883</v>
      </c>
      <c r="D6" s="43">
        <f>D5+C6</f>
        <v>-56344.671895659048</v>
      </c>
      <c r="E6" s="43">
        <f t="shared" ref="E6:M6" si="1">E5+D6</f>
        <v>-61735.476102790002</v>
      </c>
      <c r="F6" s="43">
        <f t="shared" si="1"/>
        <v>-62897.065521902827</v>
      </c>
      <c r="G6" s="43">
        <f t="shared" si="1"/>
        <v>-55213.131307142234</v>
      </c>
      <c r="H6" s="43">
        <f t="shared" si="1"/>
        <v>-53536.0067185874</v>
      </c>
      <c r="I6" s="43">
        <f t="shared" si="1"/>
        <v>-38860.697891311473</v>
      </c>
      <c r="J6" s="43">
        <f t="shared" si="1"/>
        <v>-17457.742935732986</v>
      </c>
      <c r="K6" s="43">
        <f t="shared" si="1"/>
        <v>2703.7367871146089</v>
      </c>
      <c r="L6" s="43">
        <f t="shared" si="1"/>
        <v>14869.870227652804</v>
      </c>
      <c r="M6" s="43">
        <f t="shared" si="1"/>
        <v>47684.679004944715</v>
      </c>
    </row>
    <row r="8" spans="2:13">
      <c r="C8" s="179" t="s">
        <v>162</v>
      </c>
      <c r="D8" s="231" t="s">
        <v>165</v>
      </c>
      <c r="E8" s="231"/>
      <c r="F8" s="231"/>
    </row>
    <row r="10" spans="2:13">
      <c r="B10" s="171" t="s">
        <v>164</v>
      </c>
      <c r="C10" s="93">
        <f>SUM('F. Caja SIN crecimiento '!B35:B38)</f>
        <v>-105901.36713618488</v>
      </c>
    </row>
    <row r="11" spans="2:13" ht="15">
      <c r="B11" s="166" t="s">
        <v>163</v>
      </c>
      <c r="C11" s="146">
        <v>6.3500000000000001E-2</v>
      </c>
    </row>
    <row r="14" spans="2:13" ht="15">
      <c r="C14" s="69" t="s">
        <v>167</v>
      </c>
    </row>
    <row r="15" spans="2:13" ht="15">
      <c r="B15" s="180"/>
      <c r="C15" s="166">
        <v>0</v>
      </c>
      <c r="D15" s="166">
        <v>1</v>
      </c>
      <c r="E15" s="166">
        <v>2</v>
      </c>
      <c r="F15" s="166">
        <v>3</v>
      </c>
      <c r="G15" s="166">
        <v>4</v>
      </c>
      <c r="H15" s="166">
        <v>5</v>
      </c>
      <c r="I15" s="166">
        <v>6</v>
      </c>
      <c r="J15" s="166">
        <v>7</v>
      </c>
      <c r="K15" s="166">
        <v>8</v>
      </c>
      <c r="L15" s="166">
        <v>9</v>
      </c>
      <c r="M15" s="166">
        <v>10</v>
      </c>
    </row>
    <row r="16" spans="2:13" ht="15">
      <c r="B16" s="168" t="s">
        <v>160</v>
      </c>
      <c r="C16" s="45">
        <f>'F. Caja Optimista'!B40</f>
        <v>-55901.367136184883</v>
      </c>
      <c r="D16" s="45">
        <f>'F. Caja Optimista'!C40</f>
        <v>-471.45461170077397</v>
      </c>
      <c r="E16" s="45">
        <f>'F. Caja Optimista'!D40</f>
        <v>-6097.1734117007854</v>
      </c>
      <c r="F16" s="45">
        <f>'F. Caja Optimista'!E40</f>
        <v>6702.731659680423</v>
      </c>
      <c r="G16" s="45">
        <f>'F. Caja Optimista'!F40</f>
        <v>75064.127910500363</v>
      </c>
      <c r="H16" s="45">
        <f>'F. Caja Optimista'!G40</f>
        <v>75777.193047565757</v>
      </c>
      <c r="I16" s="45">
        <f>'F. Caja Optimista'!H40</f>
        <v>103071.18811102179</v>
      </c>
      <c r="J16" s="45">
        <f>'F. Caja Optimista'!I40</f>
        <v>123196.61758705211</v>
      </c>
      <c r="K16" s="45">
        <f>'F. Caja Optimista'!J40</f>
        <v>131764.66922693781</v>
      </c>
      <c r="L16" s="45">
        <f>'F. Caja Optimista'!K40</f>
        <v>128537.47647569946</v>
      </c>
      <c r="M16" s="45">
        <f>'F. Caja Optimista'!L40</f>
        <v>176777.30766146028</v>
      </c>
    </row>
    <row r="17" spans="2:13" ht="15">
      <c r="B17" s="168" t="s">
        <v>161</v>
      </c>
      <c r="C17" s="169">
        <f>C16*((1+$C$11)^-C15)</f>
        <v>-55901.367136184883</v>
      </c>
      <c r="D17" s="169">
        <f t="shared" ref="D17:M17" si="2">D16*((1+$C$11)^-D15)</f>
        <v>-443.30475947416454</v>
      </c>
      <c r="E17" s="169">
        <f t="shared" si="2"/>
        <v>-5390.8042071309519</v>
      </c>
      <c r="F17" s="169">
        <f t="shared" si="2"/>
        <v>5572.3623634759761</v>
      </c>
      <c r="G17" s="169">
        <f t="shared" si="2"/>
        <v>58678.967892315617</v>
      </c>
      <c r="H17" s="169">
        <f t="shared" si="2"/>
        <v>55699.467447736475</v>
      </c>
      <c r="I17" s="169">
        <f t="shared" si="2"/>
        <v>71238.09819068377</v>
      </c>
      <c r="J17" s="169">
        <f t="shared" si="2"/>
        <v>80063.823188495211</v>
      </c>
      <c r="K17" s="169">
        <f t="shared" si="2"/>
        <v>80519.120450025701</v>
      </c>
      <c r="L17" s="169">
        <f t="shared" si="2"/>
        <v>73857.111923097342</v>
      </c>
      <c r="M17" s="169">
        <f t="shared" si="2"/>
        <v>95510.599900827583</v>
      </c>
    </row>
    <row r="18" spans="2:13" ht="28.5">
      <c r="B18" s="170" t="s">
        <v>229</v>
      </c>
      <c r="C18" s="45">
        <f>C17</f>
        <v>-55901.367136184883</v>
      </c>
      <c r="D18" s="45">
        <f>D17+C18</f>
        <v>-56344.671895659048</v>
      </c>
      <c r="E18" s="45">
        <f t="shared" ref="E18:M18" si="3">E17+D18</f>
        <v>-61735.476102790002</v>
      </c>
      <c r="F18" s="45">
        <f t="shared" si="3"/>
        <v>-56163.113739314023</v>
      </c>
      <c r="G18" s="45">
        <f t="shared" si="3"/>
        <v>2515.8541530015937</v>
      </c>
      <c r="H18" s="45">
        <f t="shared" si="3"/>
        <v>58215.321600738069</v>
      </c>
      <c r="I18" s="45">
        <f t="shared" si="3"/>
        <v>129453.41979142184</v>
      </c>
      <c r="J18" s="45">
        <f t="shared" si="3"/>
        <v>209517.24297991703</v>
      </c>
      <c r="K18" s="45">
        <f t="shared" si="3"/>
        <v>290036.36342994275</v>
      </c>
      <c r="L18" s="45">
        <f t="shared" si="3"/>
        <v>363893.47535304009</v>
      </c>
      <c r="M18" s="45">
        <f t="shared" si="3"/>
        <v>459404.07525386766</v>
      </c>
    </row>
    <row r="20" spans="2:13">
      <c r="C20" s="179" t="s">
        <v>162</v>
      </c>
      <c r="D20" s="231" t="s">
        <v>231</v>
      </c>
      <c r="E20" s="231"/>
      <c r="F20" s="231"/>
    </row>
  </sheetData>
  <mergeCells count="2">
    <mergeCell ref="D8:F8"/>
    <mergeCell ref="D20:F2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Normal="100" zoomScaleSheetLayoutView="100" workbookViewId="0">
      <selection activeCell="D24" sqref="D24"/>
    </sheetView>
  </sheetViews>
  <sheetFormatPr baseColWidth="10" defaultRowHeight="14.25"/>
  <cols>
    <col min="1" max="1" width="33" style="42" customWidth="1"/>
    <col min="2" max="11" width="15.140625" style="42" bestFit="1" customWidth="1"/>
    <col min="12" max="16384" width="11.42578125" style="42"/>
  </cols>
  <sheetData>
    <row r="1" spans="1:11" ht="15">
      <c r="A1" s="69" t="s">
        <v>303</v>
      </c>
      <c r="B1" s="136"/>
    </row>
    <row r="2" spans="1:11" ht="15.95" customHeight="1">
      <c r="A2" s="177" t="s">
        <v>29</v>
      </c>
      <c r="B2" s="178">
        <v>1</v>
      </c>
      <c r="C2" s="178">
        <v>2</v>
      </c>
      <c r="D2" s="178">
        <v>3</v>
      </c>
      <c r="E2" s="178">
        <v>4</v>
      </c>
      <c r="F2" s="178">
        <v>5</v>
      </c>
      <c r="G2" s="178">
        <v>6</v>
      </c>
      <c r="H2" s="178">
        <v>7</v>
      </c>
      <c r="I2" s="178">
        <v>8</v>
      </c>
      <c r="J2" s="178">
        <v>9</v>
      </c>
      <c r="K2" s="178">
        <v>10</v>
      </c>
    </row>
    <row r="3" spans="1:11" ht="15.95" customHeight="1">
      <c r="A3" s="173" t="s">
        <v>230</v>
      </c>
      <c r="B3" s="174">
        <f>(-1.2*B4)</f>
        <v>1490387.6639999999</v>
      </c>
      <c r="C3" s="174">
        <f t="shared" ref="C3:J3" si="0">(-1.2*C4)</f>
        <v>1517012.5368000001</v>
      </c>
      <c r="D3" s="174">
        <f t="shared" si="0"/>
        <v>1371442.3967999979</v>
      </c>
      <c r="E3" s="174">
        <f t="shared" si="0"/>
        <v>1362021.6768000047</v>
      </c>
      <c r="F3" s="174">
        <f t="shared" si="0"/>
        <v>1357480.3968000009</v>
      </c>
      <c r="G3" s="174">
        <f t="shared" si="0"/>
        <v>1270171.2768000013</v>
      </c>
      <c r="H3" s="174">
        <f t="shared" si="0"/>
        <v>1270771.2767999999</v>
      </c>
      <c r="I3" s="174">
        <f t="shared" si="0"/>
        <v>1270171.276800001</v>
      </c>
      <c r="J3" s="174">
        <f t="shared" si="0"/>
        <v>1270771.276800001</v>
      </c>
      <c r="K3" s="174">
        <f>(-1.2*K4)</f>
        <v>1270171.2767999996</v>
      </c>
    </row>
    <row r="4" spans="1:11" ht="15.95" customHeight="1">
      <c r="A4" s="173" t="s">
        <v>169</v>
      </c>
      <c r="B4" s="175">
        <v>-1241989.72</v>
      </c>
      <c r="C4" s="175">
        <v>-1264177.1140000001</v>
      </c>
      <c r="D4" s="175">
        <v>-1142868.6639999982</v>
      </c>
      <c r="E4" s="175">
        <v>-1135018.064000004</v>
      </c>
      <c r="F4" s="175">
        <v>-1131233.6640000008</v>
      </c>
      <c r="G4" s="175">
        <v>-1058476.0640000012</v>
      </c>
      <c r="H4" s="175">
        <v>-1058976.064</v>
      </c>
      <c r="I4" s="175">
        <v>-1058476.0640000009</v>
      </c>
      <c r="J4" s="175">
        <v>-1058976.0640000009</v>
      </c>
      <c r="K4" s="175">
        <v>-1058476.0639999998</v>
      </c>
    </row>
    <row r="5" spans="1:11" ht="15.95" customHeight="1">
      <c r="A5" s="176" t="s">
        <v>170</v>
      </c>
      <c r="B5" s="175">
        <f t="shared" ref="B5:K5" si="1">B3+B4</f>
        <v>248397.9439999999</v>
      </c>
      <c r="C5" s="175">
        <f t="shared" si="1"/>
        <v>252835.42280000006</v>
      </c>
      <c r="D5" s="175">
        <f t="shared" si="1"/>
        <v>228573.73279999965</v>
      </c>
      <c r="E5" s="175">
        <f t="shared" si="1"/>
        <v>227003.6128000007</v>
      </c>
      <c r="F5" s="175">
        <f t="shared" si="1"/>
        <v>226246.73280000011</v>
      </c>
      <c r="G5" s="175">
        <f t="shared" si="1"/>
        <v>211695.2128000001</v>
      </c>
      <c r="H5" s="175">
        <f t="shared" si="1"/>
        <v>211795.21279999986</v>
      </c>
      <c r="I5" s="175">
        <f t="shared" si="1"/>
        <v>211695.2128000001</v>
      </c>
      <c r="J5" s="175">
        <f t="shared" si="1"/>
        <v>211795.2128000001</v>
      </c>
      <c r="K5" s="175">
        <f t="shared" si="1"/>
        <v>211695.21279999986</v>
      </c>
    </row>
    <row r="6" spans="1:11" ht="15.95" customHeight="1">
      <c r="A6" s="173" t="s">
        <v>171</v>
      </c>
      <c r="B6" s="175">
        <f>SUM('F. Caja SIN crecimiento '!C10:C17)</f>
        <v>-229695.40400000001</v>
      </c>
      <c r="C6" s="175">
        <f>SUM('F. Caja SIN crecimiento '!D10:D17)</f>
        <v>-235321.11280000003</v>
      </c>
      <c r="D6" s="175">
        <f>SUM('F. Caja SIN crecimiento '!E10:E17)</f>
        <v>-212381.11280000003</v>
      </c>
      <c r="E6" s="175">
        <f>SUM('F. Caja SIN crecimiento '!F10:F17)</f>
        <v>-212281.11280000003</v>
      </c>
      <c r="F6" s="175">
        <f>SUM('F. Caja SIN crecimiento '!G10:G17)</f>
        <v>-212381.11280000003</v>
      </c>
      <c r="G6" s="175">
        <f>SUM('F. Caja SIN crecimiento '!H10:H17)</f>
        <v>-198361.11280000003</v>
      </c>
      <c r="H6" s="175">
        <f>SUM('F. Caja SIN crecimiento '!I10:I17)</f>
        <v>-198461.11280000003</v>
      </c>
      <c r="I6" s="175">
        <f>SUM('F. Caja SIN crecimiento '!J10:J17)</f>
        <v>-198361.11280000003</v>
      </c>
      <c r="J6" s="175">
        <f>SUM('F. Caja SIN crecimiento '!K10:K17)</f>
        <v>-198461.11280000003</v>
      </c>
      <c r="K6" s="175">
        <f>SUM('F. Caja SIN crecimiento '!L10:L17)</f>
        <v>-198361.11280000003</v>
      </c>
    </row>
    <row r="7" spans="1:11" ht="15.95" customHeight="1">
      <c r="A7" s="173" t="s">
        <v>37</v>
      </c>
      <c r="B7" s="175">
        <f>-Financiamiento!D3</f>
        <v>-4836.92</v>
      </c>
      <c r="C7" s="175">
        <f>-Financiamiento!D4</f>
        <v>-3648.69</v>
      </c>
      <c r="D7" s="175">
        <f>-Financiamiento!D5</f>
        <v>-2327</v>
      </c>
      <c r="E7" s="175">
        <f>-Financiamiento!D6</f>
        <v>-856.88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</row>
    <row r="8" spans="1:11" ht="15.95" customHeight="1">
      <c r="A8" s="173" t="s">
        <v>153</v>
      </c>
      <c r="B8" s="175">
        <f>'F. Caja SIN crecimiento '!C22</f>
        <v>-13865.62</v>
      </c>
      <c r="C8" s="175">
        <f>'F. Caja SIN crecimiento '!D22</f>
        <v>-13865.62</v>
      </c>
      <c r="D8" s="175">
        <f>'F. Caja SIN crecimiento '!E22</f>
        <v>-13865.62</v>
      </c>
      <c r="E8" s="175">
        <f>'F. Caja SIN crecimiento '!F22</f>
        <v>-13865.62</v>
      </c>
      <c r="F8" s="175">
        <f>'F. Caja SIN crecimiento '!G22</f>
        <v>-13865.62</v>
      </c>
      <c r="G8" s="175">
        <f>'F. Caja SIN crecimiento '!H22</f>
        <v>-13334.1</v>
      </c>
      <c r="H8" s="175">
        <f>'F. Caja SIN crecimiento '!I22</f>
        <v>-13334.1</v>
      </c>
      <c r="I8" s="175">
        <f>'F. Caja SIN crecimiento '!J22</f>
        <v>-13334.1</v>
      </c>
      <c r="J8" s="175">
        <f>'F. Caja SIN crecimiento '!K22</f>
        <v>-13334.1</v>
      </c>
      <c r="K8" s="175">
        <f>'F. Caja SIN crecimiento '!L22</f>
        <v>-13334.1</v>
      </c>
    </row>
    <row r="9" spans="1:11" ht="15.95" customHeight="1">
      <c r="A9" s="176" t="s">
        <v>95</v>
      </c>
      <c r="B9" s="174">
        <f>B5+B6+B7+B8</f>
        <v>-1.0913936421275139E-10</v>
      </c>
      <c r="C9" s="174">
        <f t="shared" ref="C9:K9" si="2">C5+C6+C7+C8</f>
        <v>2.5465851649641991E-11</v>
      </c>
      <c r="D9" s="174">
        <f t="shared" si="2"/>
        <v>-3.8380676414817572E-10</v>
      </c>
      <c r="E9" s="174">
        <f t="shared" si="2"/>
        <v>6.6938810050487518E-10</v>
      </c>
      <c r="F9" s="174">
        <f t="shared" si="2"/>
        <v>8.1854523159563541E-11</v>
      </c>
      <c r="G9" s="174">
        <f t="shared" si="2"/>
        <v>6.3664629124104977E-11</v>
      </c>
      <c r="H9" s="174">
        <f t="shared" si="2"/>
        <v>-1.6916601452976465E-10</v>
      </c>
      <c r="I9" s="174">
        <f t="shared" si="2"/>
        <v>6.3664629124104977E-11</v>
      </c>
      <c r="J9" s="174">
        <f t="shared" si="2"/>
        <v>6.3664629124104977E-11</v>
      </c>
      <c r="K9" s="174">
        <f t="shared" si="2"/>
        <v>-1.6916601452976465E-10</v>
      </c>
    </row>
    <row r="12" spans="1:11">
      <c r="C12" s="136"/>
    </row>
    <row r="14" spans="1:11">
      <c r="B14" s="172"/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I13" sqref="I13"/>
    </sheetView>
  </sheetViews>
  <sheetFormatPr baseColWidth="10" defaultRowHeight="15"/>
  <cols>
    <col min="2" max="2" width="23.5703125" customWidth="1"/>
  </cols>
  <sheetData>
    <row r="1" spans="1:8" ht="15.75" thickBot="1">
      <c r="A1" s="15" t="s">
        <v>63</v>
      </c>
      <c r="B1" s="16"/>
      <c r="C1" s="16"/>
      <c r="D1" s="16"/>
      <c r="E1" s="16"/>
      <c r="G1" s="38"/>
    </row>
    <row r="2" spans="1:8" ht="15.75" thickBot="1">
      <c r="A2" s="232" t="s">
        <v>64</v>
      </c>
      <c r="B2" s="233"/>
    </row>
    <row r="3" spans="1:8" ht="15.75" thickBot="1">
      <c r="A3" s="17" t="s">
        <v>65</v>
      </c>
      <c r="B3" s="18"/>
      <c r="D3" s="34" t="s">
        <v>66</v>
      </c>
      <c r="E3" s="35"/>
    </row>
    <row r="4" spans="1:8" ht="15.75" thickBot="1">
      <c r="A4" s="19" t="s">
        <v>67</v>
      </c>
      <c r="B4" s="20">
        <f>B18</f>
        <v>1.5</v>
      </c>
    </row>
    <row r="5" spans="1:8" ht="15.75" thickBot="1"/>
    <row r="6" spans="1:8" ht="15.75" thickBot="1">
      <c r="A6" s="234" t="s">
        <v>68</v>
      </c>
      <c r="B6" s="235"/>
      <c r="C6" s="235"/>
      <c r="D6" s="236"/>
      <c r="F6" s="237" t="s">
        <v>69</v>
      </c>
      <c r="G6" s="238"/>
      <c r="H6" s="239"/>
    </row>
    <row r="7" spans="1:8">
      <c r="A7" s="17" t="s">
        <v>70</v>
      </c>
      <c r="B7" s="21" t="s">
        <v>71</v>
      </c>
      <c r="C7" s="21" t="s">
        <v>72</v>
      </c>
      <c r="D7" s="22" t="s">
        <v>73</v>
      </c>
      <c r="F7" s="17" t="s">
        <v>70</v>
      </c>
      <c r="G7" s="21" t="s">
        <v>71</v>
      </c>
      <c r="H7" s="22" t="s">
        <v>72</v>
      </c>
    </row>
    <row r="8" spans="1:8" ht="60">
      <c r="A8" s="3" t="s">
        <v>74</v>
      </c>
      <c r="B8" s="1" t="s">
        <v>75</v>
      </c>
      <c r="C8" s="1" t="s">
        <v>76</v>
      </c>
      <c r="D8" s="23" t="s">
        <v>77</v>
      </c>
      <c r="F8" s="3" t="s">
        <v>74</v>
      </c>
      <c r="G8" s="1" t="s">
        <v>75</v>
      </c>
      <c r="H8" s="12" t="s">
        <v>76</v>
      </c>
    </row>
    <row r="9" spans="1:8" ht="45">
      <c r="A9" s="3"/>
      <c r="B9" s="1"/>
      <c r="C9" s="1" t="s">
        <v>78</v>
      </c>
      <c r="D9" s="11" t="s">
        <v>79</v>
      </c>
      <c r="F9" s="3"/>
      <c r="G9" s="24"/>
      <c r="H9" s="23" t="s">
        <v>77</v>
      </c>
    </row>
    <row r="10" spans="1:8" ht="45">
      <c r="A10" s="3"/>
      <c r="B10" s="1"/>
      <c r="C10" s="1" t="s">
        <v>80</v>
      </c>
      <c r="D10" s="11"/>
      <c r="F10" s="3"/>
      <c r="G10" s="1"/>
      <c r="H10" s="11" t="s">
        <v>79</v>
      </c>
    </row>
    <row r="11" spans="1:8" ht="30">
      <c r="A11" s="3"/>
      <c r="B11" s="1"/>
      <c r="C11" s="1" t="s">
        <v>81</v>
      </c>
      <c r="D11" s="11"/>
      <c r="F11" s="3"/>
      <c r="G11" s="1"/>
      <c r="H11" s="11"/>
    </row>
    <row r="12" spans="1:8" ht="45.75" thickBot="1">
      <c r="A12" s="25"/>
      <c r="B12" s="26"/>
      <c r="C12" s="26" t="s">
        <v>82</v>
      </c>
      <c r="D12" s="12"/>
      <c r="F12" s="25"/>
      <c r="G12" s="26"/>
      <c r="H12" s="27"/>
    </row>
    <row r="13" spans="1:8" ht="15.75" thickBot="1">
      <c r="A13" s="4"/>
      <c r="B13" s="28" t="s">
        <v>2</v>
      </c>
      <c r="C13" s="29">
        <v>2</v>
      </c>
      <c r="D13" s="30" t="s">
        <v>83</v>
      </c>
      <c r="F13" s="31" t="s">
        <v>2</v>
      </c>
      <c r="G13" s="28">
        <v>1</v>
      </c>
      <c r="H13" s="32" t="s">
        <v>83</v>
      </c>
    </row>
    <row r="15" spans="1:8">
      <c r="A15" s="9" t="s">
        <v>84</v>
      </c>
      <c r="B15" s="240" t="s">
        <v>85</v>
      </c>
      <c r="C15" s="241"/>
    </row>
    <row r="16" spans="1:8">
      <c r="A16" s="2" t="s">
        <v>86</v>
      </c>
      <c r="B16" s="2">
        <f>G13</f>
        <v>1</v>
      </c>
      <c r="C16" s="2" t="s">
        <v>83</v>
      </c>
    </row>
    <row r="17" spans="1:7">
      <c r="A17" s="8" t="s">
        <v>87</v>
      </c>
      <c r="B17" s="8">
        <f>C13</f>
        <v>2</v>
      </c>
      <c r="C17" s="8" t="s">
        <v>83</v>
      </c>
    </row>
    <row r="18" spans="1:7" ht="30">
      <c r="A18" s="36" t="s">
        <v>88</v>
      </c>
      <c r="B18" s="242">
        <f>(B16+B17)/2</f>
        <v>1.5</v>
      </c>
      <c r="C18" s="243"/>
    </row>
    <row r="19" spans="1:7">
      <c r="D19" s="33"/>
    </row>
    <row r="20" spans="1:7">
      <c r="D20" s="33"/>
      <c r="G20" s="37">
        <v>2.5000000000000001E-2</v>
      </c>
    </row>
    <row r="21" spans="1:7" ht="15.75" thickBot="1">
      <c r="A21" s="15" t="s">
        <v>63</v>
      </c>
      <c r="B21" s="16"/>
      <c r="C21" s="16"/>
      <c r="D21" s="16"/>
    </row>
    <row r="22" spans="1:7" ht="15.75" thickBot="1">
      <c r="A22" s="232" t="s">
        <v>64</v>
      </c>
      <c r="B22" s="233"/>
    </row>
    <row r="23" spans="1:7" ht="15.75" thickBot="1">
      <c r="A23" s="17" t="s">
        <v>65</v>
      </c>
      <c r="B23" s="18">
        <f>SUM('F. Caja SIN crecimiento '!C10:C17)+'F. Caja SIN crecimiento '!C8</f>
        <v>-1452902.0009414966</v>
      </c>
      <c r="D23" s="34" t="s">
        <v>66</v>
      </c>
      <c r="E23" s="35">
        <f>(B23/365)*B24</f>
        <v>-5970.8301408554653</v>
      </c>
    </row>
    <row r="24" spans="1:7" ht="15.75" thickBot="1">
      <c r="A24" s="19" t="s">
        <v>67</v>
      </c>
      <c r="B24" s="20">
        <v>1.5</v>
      </c>
    </row>
  </sheetData>
  <mergeCells count="6">
    <mergeCell ref="A22:B22"/>
    <mergeCell ref="A2:B2"/>
    <mergeCell ref="A6:D6"/>
    <mergeCell ref="F6:H6"/>
    <mergeCell ref="B15:C15"/>
    <mergeCell ref="B18:C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workbookViewId="0">
      <selection activeCell="D21" sqref="D21"/>
    </sheetView>
  </sheetViews>
  <sheetFormatPr baseColWidth="10" defaultRowHeight="15"/>
  <cols>
    <col min="1" max="1" width="57.5703125" customWidth="1"/>
    <col min="2" max="2" width="17.140625" customWidth="1"/>
    <col min="3" max="3" width="14.42578125" customWidth="1"/>
    <col min="4" max="4" width="14.7109375" bestFit="1" customWidth="1"/>
    <col min="6" max="6" width="15.140625" customWidth="1"/>
  </cols>
  <sheetData>
    <row r="2" spans="1:4" ht="15.95" customHeight="1">
      <c r="A2" s="208" t="s">
        <v>151</v>
      </c>
      <c r="B2" s="208"/>
      <c r="C2" s="208"/>
      <c r="D2" s="208"/>
    </row>
    <row r="3" spans="1:4" ht="15.95" customHeight="1">
      <c r="A3" s="202" t="s">
        <v>216</v>
      </c>
      <c r="B3" s="204" t="s">
        <v>262</v>
      </c>
      <c r="C3" s="206" t="s">
        <v>261</v>
      </c>
      <c r="D3" s="207"/>
    </row>
    <row r="4" spans="1:4" ht="15.95" customHeight="1">
      <c r="A4" s="203"/>
      <c r="B4" s="205"/>
      <c r="C4" s="78" t="s">
        <v>217</v>
      </c>
      <c r="D4" s="78" t="s">
        <v>146</v>
      </c>
    </row>
    <row r="5" spans="1:4" ht="15.95" customHeight="1">
      <c r="A5" s="75" t="s">
        <v>4</v>
      </c>
      <c r="B5" s="77">
        <v>3</v>
      </c>
      <c r="C5" s="79">
        <v>4916.5792000000001</v>
      </c>
      <c r="D5" s="79">
        <f>B5*C5</f>
        <v>14749.7376</v>
      </c>
    </row>
    <row r="6" spans="1:4" ht="15.95" customHeight="1">
      <c r="A6" s="75" t="s">
        <v>5</v>
      </c>
      <c r="B6" s="77">
        <v>6</v>
      </c>
      <c r="C6" s="79">
        <v>4916.5792000000001</v>
      </c>
      <c r="D6" s="79">
        <f t="shared" ref="D6:D11" si="0">B6*C6</f>
        <v>29499.475200000001</v>
      </c>
    </row>
    <row r="7" spans="1:4" ht="15.95" customHeight="1">
      <c r="A7" s="75" t="s">
        <v>6</v>
      </c>
      <c r="B7" s="77">
        <v>3</v>
      </c>
      <c r="C7" s="79">
        <v>5835.16</v>
      </c>
      <c r="D7" s="79">
        <f t="shared" si="0"/>
        <v>17505.48</v>
      </c>
    </row>
    <row r="8" spans="1:4" ht="15.95" customHeight="1">
      <c r="A8" s="75" t="s">
        <v>104</v>
      </c>
      <c r="B8" s="77">
        <v>1</v>
      </c>
      <c r="C8" s="79">
        <v>12170.2</v>
      </c>
      <c r="D8" s="79">
        <f t="shared" si="0"/>
        <v>12170.2</v>
      </c>
    </row>
    <row r="9" spans="1:4" ht="15.95" customHeight="1">
      <c r="A9" s="75" t="s">
        <v>102</v>
      </c>
      <c r="B9" s="77">
        <v>1</v>
      </c>
      <c r="C9" s="79">
        <v>8210.7999999999993</v>
      </c>
      <c r="D9" s="79">
        <f t="shared" si="0"/>
        <v>8210.7999999999993</v>
      </c>
    </row>
    <row r="10" spans="1:4" ht="15.95" customHeight="1">
      <c r="A10" s="75" t="s">
        <v>103</v>
      </c>
      <c r="B10" s="77">
        <v>1</v>
      </c>
      <c r="C10" s="79">
        <v>8210.7999999999993</v>
      </c>
      <c r="D10" s="79">
        <f t="shared" si="0"/>
        <v>8210.7999999999993</v>
      </c>
    </row>
    <row r="11" spans="1:4" ht="15.95" customHeight="1">
      <c r="A11" s="75" t="s">
        <v>3</v>
      </c>
      <c r="B11" s="77">
        <v>1</v>
      </c>
      <c r="C11" s="79">
        <v>5043.28</v>
      </c>
      <c r="D11" s="79">
        <f t="shared" si="0"/>
        <v>5043.28</v>
      </c>
    </row>
    <row r="12" spans="1:4" ht="15.95" customHeight="1">
      <c r="A12" s="189"/>
      <c r="B12" s="200" t="s">
        <v>2</v>
      </c>
      <c r="C12" s="201"/>
      <c r="D12" s="80">
        <f>SUM(D5:D11)</f>
        <v>95389.772800000006</v>
      </c>
    </row>
    <row r="13" spans="1:4" ht="15.95" customHeight="1"/>
    <row r="14" spans="1:4" ht="15.95" customHeight="1"/>
    <row r="15" spans="1:4" ht="15.95" customHeight="1"/>
  </sheetData>
  <mergeCells count="5">
    <mergeCell ref="B12:C12"/>
    <mergeCell ref="A3:A4"/>
    <mergeCell ref="B3:B4"/>
    <mergeCell ref="C3:D3"/>
    <mergeCell ref="A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A18" sqref="A18:C23"/>
    </sheetView>
  </sheetViews>
  <sheetFormatPr baseColWidth="10" defaultRowHeight="15"/>
  <cols>
    <col min="1" max="1" width="25.140625" customWidth="1"/>
    <col min="2" max="2" width="13.42578125" bestFit="1" customWidth="1"/>
    <col min="3" max="3" width="14.7109375" bestFit="1" customWidth="1"/>
    <col min="6" max="6" width="12.42578125" customWidth="1"/>
  </cols>
  <sheetData>
    <row r="1" spans="1:3" s="97" customFormat="1" ht="15.95" customHeight="1">
      <c r="A1" s="209" t="s">
        <v>258</v>
      </c>
      <c r="B1" s="209"/>
      <c r="C1" s="209"/>
    </row>
    <row r="2" spans="1:3" s="97" customFormat="1" ht="15.95" customHeight="1">
      <c r="A2" s="81"/>
      <c r="B2" s="81" t="s">
        <v>32</v>
      </c>
      <c r="C2" s="81" t="s">
        <v>31</v>
      </c>
    </row>
    <row r="3" spans="1:3" s="97" customFormat="1" ht="15.95" customHeight="1">
      <c r="A3" s="98" t="s">
        <v>129</v>
      </c>
      <c r="B3" s="99">
        <f>SUM(B4:B6)</f>
        <v>50</v>
      </c>
      <c r="C3" s="99">
        <f t="shared" ref="C3:C15" si="0">B3*12</f>
        <v>600</v>
      </c>
    </row>
    <row r="4" spans="1:3" s="97" customFormat="1" ht="15.95" customHeight="1">
      <c r="A4" s="100" t="s">
        <v>218</v>
      </c>
      <c r="B4" s="101">
        <v>30</v>
      </c>
      <c r="C4" s="101">
        <f t="shared" si="0"/>
        <v>360</v>
      </c>
    </row>
    <row r="5" spans="1:3" s="97" customFormat="1" ht="15.95" customHeight="1">
      <c r="A5" s="100" t="s">
        <v>219</v>
      </c>
      <c r="B5" s="101">
        <v>10</v>
      </c>
      <c r="C5" s="101">
        <f t="shared" si="0"/>
        <v>120</v>
      </c>
    </row>
    <row r="6" spans="1:3" s="97" customFormat="1" ht="15.95" customHeight="1">
      <c r="A6" s="100" t="s">
        <v>220</v>
      </c>
      <c r="B6" s="101">
        <v>10</v>
      </c>
      <c r="C6" s="101">
        <f t="shared" si="0"/>
        <v>120</v>
      </c>
    </row>
    <row r="7" spans="1:3" s="97" customFormat="1" ht="15.95" customHeight="1">
      <c r="A7" s="98" t="s">
        <v>259</v>
      </c>
      <c r="B7" s="99">
        <f>SUM(B8:B10)</f>
        <v>500</v>
      </c>
      <c r="C7" s="99">
        <f t="shared" si="0"/>
        <v>6000</v>
      </c>
    </row>
    <row r="8" spans="1:3" s="97" customFormat="1" ht="15.95" customHeight="1">
      <c r="A8" s="100" t="s">
        <v>218</v>
      </c>
      <c r="B8" s="101">
        <v>200</v>
      </c>
      <c r="C8" s="101">
        <f t="shared" si="0"/>
        <v>2400</v>
      </c>
    </row>
    <row r="9" spans="1:3" s="97" customFormat="1" ht="15.95" customHeight="1">
      <c r="A9" s="100" t="s">
        <v>219</v>
      </c>
      <c r="B9" s="101">
        <v>150</v>
      </c>
      <c r="C9" s="101">
        <f t="shared" si="0"/>
        <v>1800</v>
      </c>
    </row>
    <row r="10" spans="1:3" s="97" customFormat="1" ht="15.95" customHeight="1">
      <c r="A10" s="100" t="s">
        <v>220</v>
      </c>
      <c r="B10" s="101">
        <v>150</v>
      </c>
      <c r="C10" s="101">
        <f t="shared" si="0"/>
        <v>1800</v>
      </c>
    </row>
    <row r="11" spans="1:3" s="97" customFormat="1" ht="15.95" customHeight="1">
      <c r="A11" s="98" t="s">
        <v>260</v>
      </c>
      <c r="B11" s="99">
        <f>SUM(B12:B14)</f>
        <v>50</v>
      </c>
      <c r="C11" s="99">
        <f t="shared" si="0"/>
        <v>600</v>
      </c>
    </row>
    <row r="12" spans="1:3" s="97" customFormat="1" ht="15.95" customHeight="1">
      <c r="A12" s="100" t="s">
        <v>218</v>
      </c>
      <c r="B12" s="101">
        <v>30</v>
      </c>
      <c r="C12" s="101">
        <f t="shared" si="0"/>
        <v>360</v>
      </c>
    </row>
    <row r="13" spans="1:3" s="97" customFormat="1" ht="15.95" customHeight="1">
      <c r="A13" s="100" t="s">
        <v>219</v>
      </c>
      <c r="B13" s="101">
        <v>10</v>
      </c>
      <c r="C13" s="101">
        <f t="shared" si="0"/>
        <v>120</v>
      </c>
    </row>
    <row r="14" spans="1:3" s="97" customFormat="1" ht="15.95" customHeight="1">
      <c r="A14" s="100" t="s">
        <v>220</v>
      </c>
      <c r="B14" s="101">
        <v>10</v>
      </c>
      <c r="C14" s="101">
        <f t="shared" si="0"/>
        <v>120</v>
      </c>
    </row>
    <row r="15" spans="1:3" s="97" customFormat="1" ht="15.95" customHeight="1">
      <c r="A15" s="98" t="s">
        <v>130</v>
      </c>
      <c r="B15" s="99">
        <v>25</v>
      </c>
      <c r="C15" s="99">
        <f t="shared" si="0"/>
        <v>300</v>
      </c>
    </row>
    <row r="16" spans="1:3" s="97" customFormat="1" ht="15.95" customHeight="1">
      <c r="A16" s="102" t="s">
        <v>2</v>
      </c>
      <c r="B16" s="103">
        <f>B3+B7+B11+B15</f>
        <v>625</v>
      </c>
      <c r="C16" s="103">
        <f>C3+C7+C11+C15</f>
        <v>7500</v>
      </c>
    </row>
    <row r="17" spans="1:3" s="97" customFormat="1" ht="15.95" customHeight="1">
      <c r="A17" s="56"/>
      <c r="B17" s="56"/>
      <c r="C17" s="56"/>
    </row>
    <row r="18" spans="1:3" s="97" customFormat="1" ht="15.95" customHeight="1">
      <c r="A18" s="210" t="s">
        <v>7</v>
      </c>
      <c r="B18" s="211"/>
      <c r="C18" s="212"/>
    </row>
    <row r="19" spans="1:3" s="97" customFormat="1" ht="15.95" customHeight="1">
      <c r="A19" s="75"/>
      <c r="B19" s="81" t="s">
        <v>32</v>
      </c>
      <c r="C19" s="81" t="s">
        <v>31</v>
      </c>
    </row>
    <row r="20" spans="1:3" s="97" customFormat="1" ht="15.95" customHeight="1">
      <c r="A20" s="100" t="s">
        <v>218</v>
      </c>
      <c r="B20" s="104">
        <v>2500</v>
      </c>
      <c r="C20" s="104">
        <f>B20*12</f>
        <v>30000</v>
      </c>
    </row>
    <row r="21" spans="1:3" s="97" customFormat="1" ht="15.95" customHeight="1">
      <c r="A21" s="100" t="s">
        <v>219</v>
      </c>
      <c r="B21" s="104">
        <v>900</v>
      </c>
      <c r="C21" s="104">
        <f>B21*12</f>
        <v>10800</v>
      </c>
    </row>
    <row r="22" spans="1:3" s="97" customFormat="1" ht="15.95" customHeight="1">
      <c r="A22" s="100" t="s">
        <v>220</v>
      </c>
      <c r="B22" s="104">
        <v>400</v>
      </c>
      <c r="C22" s="104">
        <f>B22*12</f>
        <v>4800</v>
      </c>
    </row>
    <row r="23" spans="1:3" s="97" customFormat="1" ht="15.95" customHeight="1">
      <c r="A23" s="105" t="s">
        <v>2</v>
      </c>
      <c r="B23" s="105">
        <f>SUM(B20:B22)</f>
        <v>3800</v>
      </c>
      <c r="C23" s="105">
        <f>SUM(C20:C22)</f>
        <v>45600</v>
      </c>
    </row>
  </sheetData>
  <mergeCells count="2">
    <mergeCell ref="A1:C1"/>
    <mergeCell ref="A18:C1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sqref="A1:B8"/>
    </sheetView>
  </sheetViews>
  <sheetFormatPr baseColWidth="10" defaultRowHeight="15"/>
  <cols>
    <col min="1" max="1" width="54.85546875" customWidth="1"/>
    <col min="2" max="2" width="15.7109375" customWidth="1"/>
  </cols>
  <sheetData>
    <row r="1" spans="1:2" ht="15.95" customHeight="1">
      <c r="A1" s="213" t="s">
        <v>27</v>
      </c>
      <c r="B1" s="213"/>
    </row>
    <row r="2" spans="1:2" ht="15.95" customHeight="1">
      <c r="A2" s="81"/>
      <c r="B2" s="81" t="s">
        <v>31</v>
      </c>
    </row>
    <row r="3" spans="1:2" ht="15.95" customHeight="1">
      <c r="A3" s="53" t="s">
        <v>268</v>
      </c>
      <c r="B3" s="127">
        <v>2302.9400000000005</v>
      </c>
    </row>
    <row r="4" spans="1:2" ht="15.95" customHeight="1">
      <c r="A4" s="53" t="s">
        <v>131</v>
      </c>
      <c r="B4" s="127">
        <v>200</v>
      </c>
    </row>
    <row r="5" spans="1:2" ht="15.95" customHeight="1">
      <c r="A5" s="53" t="s">
        <v>267</v>
      </c>
      <c r="B5" s="127">
        <v>200</v>
      </c>
    </row>
    <row r="6" spans="1:2" ht="15.95" customHeight="1">
      <c r="A6" s="53" t="s">
        <v>269</v>
      </c>
      <c r="B6" s="127">
        <v>200</v>
      </c>
    </row>
    <row r="7" spans="1:2" ht="15.95" customHeight="1">
      <c r="A7" s="53" t="s">
        <v>270</v>
      </c>
      <c r="B7" s="127">
        <v>200</v>
      </c>
    </row>
    <row r="8" spans="1:2" ht="15.95" customHeight="1">
      <c r="A8" s="128" t="s">
        <v>2</v>
      </c>
      <c r="B8" s="129">
        <f>SUM(B4:B7)+B3</f>
        <v>3102.9400000000005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topLeftCell="A37" workbookViewId="0">
      <selection activeCell="C42" sqref="C42"/>
    </sheetView>
  </sheetViews>
  <sheetFormatPr baseColWidth="10" defaultRowHeight="14.25"/>
  <cols>
    <col min="1" max="1" width="26.42578125" style="42" customWidth="1"/>
    <col min="2" max="2" width="59.5703125" style="42" customWidth="1"/>
    <col min="3" max="3" width="17.42578125" style="42" customWidth="1"/>
    <col min="4" max="4" width="18" style="42" customWidth="1"/>
    <col min="5" max="5" width="14" style="42" customWidth="1"/>
    <col min="6" max="16384" width="11.42578125" style="42"/>
  </cols>
  <sheetData>
    <row r="1" spans="1:6" ht="15.95" customHeight="1"/>
    <row r="2" spans="1:6" ht="15.95" customHeight="1">
      <c r="A2" s="106" t="s">
        <v>174</v>
      </c>
    </row>
    <row r="3" spans="1:6" ht="15.95" customHeight="1"/>
    <row r="4" spans="1:6" ht="15.95" customHeight="1">
      <c r="A4" s="220" t="s">
        <v>175</v>
      </c>
      <c r="B4" s="220"/>
      <c r="C4" s="220"/>
      <c r="D4" s="220"/>
      <c r="E4" s="220"/>
    </row>
    <row r="5" spans="1:6" ht="15.95" customHeight="1">
      <c r="A5" s="109" t="s">
        <v>176</v>
      </c>
      <c r="B5" s="109" t="s">
        <v>271</v>
      </c>
      <c r="C5" s="110" t="s">
        <v>177</v>
      </c>
      <c r="D5" s="109" t="s">
        <v>178</v>
      </c>
      <c r="E5" s="109" t="s">
        <v>179</v>
      </c>
    </row>
    <row r="6" spans="1:6" ht="15.95" customHeight="1">
      <c r="A6" s="44" t="s">
        <v>180</v>
      </c>
      <c r="B6" s="44" t="s">
        <v>281</v>
      </c>
      <c r="C6" s="111">
        <v>560</v>
      </c>
      <c r="D6" s="46">
        <v>12</v>
      </c>
      <c r="E6" s="112">
        <f>C6*D6</f>
        <v>6720</v>
      </c>
    </row>
    <row r="7" spans="1:6" ht="15.95" customHeight="1">
      <c r="A7" s="44" t="s">
        <v>181</v>
      </c>
      <c r="B7" s="44" t="s">
        <v>182</v>
      </c>
      <c r="C7" s="111">
        <v>2400</v>
      </c>
      <c r="D7" s="46">
        <v>12</v>
      </c>
      <c r="E7" s="112">
        <f t="shared" ref="E7:E12" si="0">C7*D7</f>
        <v>28800</v>
      </c>
    </row>
    <row r="8" spans="1:6" ht="15.95" customHeight="1">
      <c r="A8" s="44" t="s">
        <v>183</v>
      </c>
      <c r="B8" s="44" t="s">
        <v>184</v>
      </c>
      <c r="C8" s="111">
        <v>900</v>
      </c>
      <c r="D8" s="46">
        <v>12</v>
      </c>
      <c r="E8" s="112">
        <f t="shared" si="0"/>
        <v>10800</v>
      </c>
    </row>
    <row r="9" spans="1:6" ht="15.95" customHeight="1">
      <c r="A9" s="44" t="s">
        <v>185</v>
      </c>
      <c r="B9" s="44" t="s">
        <v>285</v>
      </c>
      <c r="C9" s="111">
        <v>1920</v>
      </c>
      <c r="D9" s="46">
        <v>12</v>
      </c>
      <c r="E9" s="112">
        <f t="shared" si="0"/>
        <v>23040</v>
      </c>
    </row>
    <row r="10" spans="1:6" ht="15.95" customHeight="1">
      <c r="A10" s="44" t="s">
        <v>186</v>
      </c>
      <c r="B10" s="44" t="s">
        <v>187</v>
      </c>
      <c r="C10" s="111">
        <v>100</v>
      </c>
      <c r="D10" s="46">
        <v>12</v>
      </c>
      <c r="E10" s="112">
        <f t="shared" si="0"/>
        <v>1200</v>
      </c>
    </row>
    <row r="11" spans="1:6" ht="15.95" customHeight="1">
      <c r="A11" s="44" t="s">
        <v>188</v>
      </c>
      <c r="B11" s="44" t="s">
        <v>189</v>
      </c>
      <c r="C11" s="111">
        <v>0</v>
      </c>
      <c r="D11" s="44"/>
      <c r="E11" s="112">
        <f t="shared" si="0"/>
        <v>0</v>
      </c>
    </row>
    <row r="12" spans="1:6" ht="15.95" customHeight="1">
      <c r="A12" s="44"/>
      <c r="B12" s="44" t="s">
        <v>190</v>
      </c>
      <c r="C12" s="111">
        <v>600</v>
      </c>
      <c r="D12" s="51">
        <v>12</v>
      </c>
      <c r="E12" s="112">
        <f t="shared" si="0"/>
        <v>7200</v>
      </c>
      <c r="F12" s="107"/>
    </row>
    <row r="13" spans="1:6" ht="15.95" customHeight="1">
      <c r="A13" s="191"/>
      <c r="B13" s="192" t="s">
        <v>272</v>
      </c>
      <c r="C13" s="221" t="s">
        <v>284</v>
      </c>
      <c r="D13" s="221"/>
      <c r="E13" s="114">
        <f>SUM(E6:E12)</f>
        <v>77760</v>
      </c>
      <c r="F13" s="107"/>
    </row>
    <row r="14" spans="1:6" ht="15.95" customHeight="1">
      <c r="A14" s="220" t="s">
        <v>191</v>
      </c>
      <c r="B14" s="220"/>
      <c r="C14" s="220"/>
      <c r="D14" s="220"/>
      <c r="E14" s="220"/>
    </row>
    <row r="15" spans="1:6" ht="15.95" customHeight="1">
      <c r="A15" s="92" t="s">
        <v>192</v>
      </c>
      <c r="B15" s="92" t="s">
        <v>193</v>
      </c>
      <c r="C15" s="92" t="s">
        <v>194</v>
      </c>
      <c r="D15" s="92" t="s">
        <v>178</v>
      </c>
      <c r="E15" s="92" t="s">
        <v>179</v>
      </c>
    </row>
    <row r="16" spans="1:6" ht="15.95" customHeight="1">
      <c r="A16" s="44" t="s">
        <v>195</v>
      </c>
      <c r="B16" s="44" t="s">
        <v>275</v>
      </c>
      <c r="C16" s="115">
        <v>1.25</v>
      </c>
      <c r="D16" s="46">
        <v>100</v>
      </c>
      <c r="E16" s="112">
        <f>C16*D16</f>
        <v>125</v>
      </c>
    </row>
    <row r="17" spans="1:5" ht="15.95" customHeight="1">
      <c r="A17" s="44" t="s">
        <v>196</v>
      </c>
      <c r="B17" s="44" t="s">
        <v>276</v>
      </c>
      <c r="C17" s="115">
        <v>0.75</v>
      </c>
      <c r="D17" s="46">
        <v>100</v>
      </c>
      <c r="E17" s="112">
        <f>C17*D17</f>
        <v>75</v>
      </c>
    </row>
    <row r="18" spans="1:5" ht="15.95" customHeight="1">
      <c r="A18" s="44" t="s">
        <v>197</v>
      </c>
      <c r="B18" s="44" t="s">
        <v>198</v>
      </c>
      <c r="C18" s="115">
        <v>600</v>
      </c>
      <c r="D18" s="46">
        <v>4</v>
      </c>
      <c r="E18" s="112">
        <f>C18*D18</f>
        <v>2400</v>
      </c>
    </row>
    <row r="19" spans="1:5" ht="15.95" customHeight="1">
      <c r="A19" s="190"/>
      <c r="B19" s="190"/>
      <c r="C19" s="222" t="s">
        <v>283</v>
      </c>
      <c r="D19" s="222"/>
      <c r="E19" s="114">
        <f>SUM(E16:E18)</f>
        <v>2600</v>
      </c>
    </row>
    <row r="20" spans="1:5" ht="15.95" customHeight="1">
      <c r="A20" s="190"/>
      <c r="B20" s="190"/>
      <c r="C20" s="223" t="s">
        <v>282</v>
      </c>
      <c r="D20" s="224"/>
      <c r="E20" s="114">
        <f>+E13+E19</f>
        <v>80360</v>
      </c>
    </row>
    <row r="21" spans="1:5" ht="15.95" customHeight="1">
      <c r="C21" s="180"/>
      <c r="D21" s="180"/>
      <c r="E21" s="180"/>
    </row>
    <row r="22" spans="1:5" ht="15.95" customHeight="1">
      <c r="A22" s="106" t="s">
        <v>199</v>
      </c>
    </row>
    <row r="23" spans="1:5" ht="15.95" customHeight="1"/>
    <row r="24" spans="1:5" ht="15.95" customHeight="1">
      <c r="A24" s="217" t="s">
        <v>175</v>
      </c>
      <c r="B24" s="217"/>
      <c r="C24" s="217"/>
      <c r="D24" s="217"/>
      <c r="E24" s="217"/>
    </row>
    <row r="25" spans="1:5" ht="15.95" customHeight="1">
      <c r="A25" s="116" t="s">
        <v>176</v>
      </c>
      <c r="B25" s="116" t="s">
        <v>271</v>
      </c>
      <c r="C25" s="117" t="s">
        <v>177</v>
      </c>
      <c r="D25" s="116" t="s">
        <v>178</v>
      </c>
      <c r="E25" s="116" t="s">
        <v>179</v>
      </c>
    </row>
    <row r="26" spans="1:5" ht="15.95" customHeight="1">
      <c r="A26" s="44" t="s">
        <v>180</v>
      </c>
      <c r="B26" s="44" t="s">
        <v>281</v>
      </c>
      <c r="C26" s="111">
        <v>560</v>
      </c>
      <c r="D26" s="46">
        <v>12</v>
      </c>
      <c r="E26" s="112">
        <f t="shared" ref="E26:E31" si="1">C26*D26</f>
        <v>6720</v>
      </c>
    </row>
    <row r="27" spans="1:5" ht="15.95" customHeight="1">
      <c r="A27" s="44" t="s">
        <v>181</v>
      </c>
      <c r="B27" s="44" t="s">
        <v>182</v>
      </c>
      <c r="C27" s="111">
        <v>2400</v>
      </c>
      <c r="D27" s="46">
        <v>12</v>
      </c>
      <c r="E27" s="112">
        <f t="shared" si="1"/>
        <v>28800</v>
      </c>
    </row>
    <row r="28" spans="1:5" ht="15.95" customHeight="1">
      <c r="A28" s="44" t="s">
        <v>183</v>
      </c>
      <c r="B28" s="44" t="s">
        <v>184</v>
      </c>
      <c r="C28" s="111">
        <v>900</v>
      </c>
      <c r="D28" s="46">
        <v>12</v>
      </c>
      <c r="E28" s="112">
        <f t="shared" si="1"/>
        <v>10800</v>
      </c>
    </row>
    <row r="29" spans="1:5" ht="15.95" customHeight="1">
      <c r="A29" s="44" t="s">
        <v>186</v>
      </c>
      <c r="B29" s="44" t="s">
        <v>187</v>
      </c>
      <c r="C29" s="111">
        <v>100</v>
      </c>
      <c r="D29" s="46">
        <v>12</v>
      </c>
      <c r="E29" s="112">
        <f t="shared" si="1"/>
        <v>1200</v>
      </c>
    </row>
    <row r="30" spans="1:5" ht="15.95" customHeight="1">
      <c r="A30" s="44" t="s">
        <v>188</v>
      </c>
      <c r="B30" s="44" t="s">
        <v>189</v>
      </c>
      <c r="C30" s="111">
        <v>0</v>
      </c>
      <c r="D30" s="44"/>
      <c r="E30" s="112">
        <f t="shared" si="1"/>
        <v>0</v>
      </c>
    </row>
    <row r="31" spans="1:5" ht="15.95" customHeight="1">
      <c r="A31" s="44"/>
      <c r="B31" s="44" t="s">
        <v>190</v>
      </c>
      <c r="C31" s="111">
        <v>600</v>
      </c>
      <c r="D31" s="51">
        <v>12</v>
      </c>
      <c r="E31" s="112">
        <f t="shared" si="1"/>
        <v>7200</v>
      </c>
    </row>
    <row r="32" spans="1:5" ht="15.95" customHeight="1">
      <c r="A32" s="191"/>
      <c r="B32" s="192" t="s">
        <v>272</v>
      </c>
      <c r="C32" s="216" t="s">
        <v>280</v>
      </c>
      <c r="D32" s="216"/>
      <c r="E32" s="118">
        <f>SUM(E26:E31)</f>
        <v>54720</v>
      </c>
    </row>
    <row r="33" spans="1:5" ht="15.95" customHeight="1">
      <c r="A33" s="217" t="s">
        <v>191</v>
      </c>
      <c r="B33" s="217"/>
      <c r="C33" s="217"/>
      <c r="D33" s="217"/>
      <c r="E33" s="217"/>
    </row>
    <row r="34" spans="1:5" ht="15.95" customHeight="1">
      <c r="A34" s="119" t="s">
        <v>192</v>
      </c>
      <c r="B34" s="119" t="s">
        <v>193</v>
      </c>
      <c r="C34" s="119" t="s">
        <v>194</v>
      </c>
      <c r="D34" s="119" t="s">
        <v>178</v>
      </c>
      <c r="E34" s="119" t="s">
        <v>179</v>
      </c>
    </row>
    <row r="35" spans="1:5" ht="15.95" customHeight="1">
      <c r="A35" s="44" t="s">
        <v>195</v>
      </c>
      <c r="B35" s="44" t="s">
        <v>275</v>
      </c>
      <c r="C35" s="115">
        <v>1.25</v>
      </c>
      <c r="D35" s="46">
        <v>100</v>
      </c>
      <c r="E35" s="112">
        <f>C35*D35</f>
        <v>125</v>
      </c>
    </row>
    <row r="36" spans="1:5" ht="15.95" customHeight="1">
      <c r="A36" s="44" t="s">
        <v>196</v>
      </c>
      <c r="B36" s="44" t="s">
        <v>276</v>
      </c>
      <c r="C36" s="115">
        <v>0.75</v>
      </c>
      <c r="D36" s="46">
        <v>100</v>
      </c>
      <c r="E36" s="112">
        <f>C36*D36</f>
        <v>75</v>
      </c>
    </row>
    <row r="37" spans="1:5" ht="15.95" customHeight="1">
      <c r="A37" s="44" t="s">
        <v>197</v>
      </c>
      <c r="B37" s="44" t="s">
        <v>198</v>
      </c>
      <c r="C37" s="115">
        <v>600</v>
      </c>
      <c r="D37" s="46">
        <v>4</v>
      </c>
      <c r="E37" s="112">
        <f>C37*D37</f>
        <v>2400</v>
      </c>
    </row>
    <row r="38" spans="1:5" ht="15.95" customHeight="1">
      <c r="A38" s="190"/>
      <c r="B38" s="190"/>
      <c r="C38" s="218" t="s">
        <v>279</v>
      </c>
      <c r="D38" s="218"/>
      <c r="E38" s="118">
        <f>SUM(E35:E37)</f>
        <v>2600</v>
      </c>
    </row>
    <row r="39" spans="1:5" ht="15.95" customHeight="1">
      <c r="A39" s="190"/>
      <c r="B39" s="190"/>
      <c r="C39" s="218" t="s">
        <v>278</v>
      </c>
      <c r="D39" s="218"/>
      <c r="E39" s="118">
        <f>+E32+E38</f>
        <v>57320</v>
      </c>
    </row>
    <row r="40" spans="1:5" ht="15.95" customHeight="1"/>
    <row r="41" spans="1:5" ht="15.95" customHeight="1">
      <c r="A41" s="106" t="s">
        <v>200</v>
      </c>
    </row>
    <row r="42" spans="1:5" ht="15.95" customHeight="1"/>
    <row r="43" spans="1:5" ht="15.95" customHeight="1">
      <c r="A43" s="214" t="s">
        <v>175</v>
      </c>
      <c r="B43" s="214"/>
      <c r="C43" s="214"/>
      <c r="D43" s="214"/>
      <c r="E43" s="214"/>
    </row>
    <row r="44" spans="1:5" ht="15.95" customHeight="1">
      <c r="A44" s="120" t="s">
        <v>176</v>
      </c>
      <c r="B44" s="120" t="s">
        <v>271</v>
      </c>
      <c r="C44" s="121" t="s">
        <v>177</v>
      </c>
      <c r="D44" s="120" t="s">
        <v>178</v>
      </c>
      <c r="E44" s="120" t="s">
        <v>179</v>
      </c>
    </row>
    <row r="45" spans="1:5" ht="15.95" customHeight="1">
      <c r="A45" s="44" t="s">
        <v>181</v>
      </c>
      <c r="B45" s="44" t="s">
        <v>182</v>
      </c>
      <c r="C45" s="115">
        <v>1900</v>
      </c>
      <c r="D45" s="46">
        <v>12</v>
      </c>
      <c r="E45" s="112">
        <f>C45*D45</f>
        <v>22800</v>
      </c>
    </row>
    <row r="46" spans="1:5" ht="15.95" customHeight="1">
      <c r="A46" s="44" t="s">
        <v>183</v>
      </c>
      <c r="B46" s="44" t="s">
        <v>201</v>
      </c>
      <c r="C46" s="115">
        <v>900</v>
      </c>
      <c r="D46" s="46">
        <v>12</v>
      </c>
      <c r="E46" s="112">
        <f>C46*D46</f>
        <v>10800</v>
      </c>
    </row>
    <row r="47" spans="1:5" ht="15.95" customHeight="1">
      <c r="A47" s="44" t="s">
        <v>188</v>
      </c>
      <c r="B47" s="44" t="s">
        <v>189</v>
      </c>
      <c r="C47" s="115">
        <v>0</v>
      </c>
      <c r="D47" s="46">
        <v>12</v>
      </c>
      <c r="E47" s="112">
        <f>C47*D47</f>
        <v>0</v>
      </c>
    </row>
    <row r="48" spans="1:5" ht="15.95" customHeight="1">
      <c r="A48" s="44"/>
      <c r="B48" s="44" t="s">
        <v>190</v>
      </c>
      <c r="C48" s="122">
        <v>600</v>
      </c>
      <c r="D48" s="51">
        <v>12</v>
      </c>
      <c r="E48" s="112">
        <f>C48*D48</f>
        <v>7200</v>
      </c>
    </row>
    <row r="49" spans="1:5" ht="15.95" customHeight="1">
      <c r="A49" s="113"/>
      <c r="B49" s="192" t="s">
        <v>272</v>
      </c>
      <c r="C49" s="219" t="s">
        <v>273</v>
      </c>
      <c r="D49" s="219"/>
      <c r="E49" s="123">
        <f>SUM(E45:E48)</f>
        <v>40800</v>
      </c>
    </row>
    <row r="50" spans="1:5" ht="15.95" customHeight="1">
      <c r="A50" s="214" t="s">
        <v>191</v>
      </c>
      <c r="B50" s="214"/>
      <c r="C50" s="214"/>
      <c r="D50" s="214"/>
      <c r="E50" s="214"/>
    </row>
    <row r="51" spans="1:5" ht="15.95" customHeight="1">
      <c r="A51" s="124" t="s">
        <v>192</v>
      </c>
      <c r="B51" s="124" t="s">
        <v>193</v>
      </c>
      <c r="C51" s="124" t="s">
        <v>194</v>
      </c>
      <c r="D51" s="124" t="s">
        <v>178</v>
      </c>
      <c r="E51" s="124" t="s">
        <v>179</v>
      </c>
    </row>
    <row r="52" spans="1:5" ht="15.95" customHeight="1">
      <c r="A52" s="44" t="s">
        <v>195</v>
      </c>
      <c r="B52" s="44" t="s">
        <v>275</v>
      </c>
      <c r="C52" s="115">
        <v>1.25</v>
      </c>
      <c r="D52" s="46">
        <v>100</v>
      </c>
      <c r="E52" s="112">
        <f>C52*D52</f>
        <v>125</v>
      </c>
    </row>
    <row r="53" spans="1:5" ht="15.95" customHeight="1">
      <c r="A53" s="44" t="s">
        <v>196</v>
      </c>
      <c r="B53" s="44" t="s">
        <v>276</v>
      </c>
      <c r="C53" s="115">
        <v>0.75</v>
      </c>
      <c r="D53" s="46">
        <v>100</v>
      </c>
      <c r="E53" s="112">
        <f>C53*D53</f>
        <v>75</v>
      </c>
    </row>
    <row r="54" spans="1:5" ht="15.95" customHeight="1">
      <c r="A54" s="44" t="s">
        <v>197</v>
      </c>
      <c r="B54" s="44" t="s">
        <v>198</v>
      </c>
      <c r="C54" s="115">
        <v>600</v>
      </c>
      <c r="D54" s="46">
        <v>4</v>
      </c>
      <c r="E54" s="112">
        <f>C54*D54</f>
        <v>2400</v>
      </c>
    </row>
    <row r="55" spans="1:5" ht="15.95" customHeight="1">
      <c r="A55" s="190"/>
      <c r="B55" s="190"/>
      <c r="C55" s="215" t="s">
        <v>274</v>
      </c>
      <c r="D55" s="215"/>
      <c r="E55" s="123">
        <f>SUM(E52:E54)</f>
        <v>2600</v>
      </c>
    </row>
    <row r="56" spans="1:5" ht="15.95" customHeight="1">
      <c r="A56" s="190"/>
      <c r="B56" s="190"/>
      <c r="C56" s="215" t="s">
        <v>277</v>
      </c>
      <c r="D56" s="215"/>
      <c r="E56" s="123">
        <f>+E49+E55</f>
        <v>43400</v>
      </c>
    </row>
    <row r="57" spans="1:5" ht="15.95" customHeight="1"/>
    <row r="58" spans="1:5" ht="15.95" customHeight="1"/>
    <row r="59" spans="1:5" ht="15.95" customHeight="1"/>
    <row r="60" spans="1:5" ht="15.95" customHeight="1"/>
    <row r="61" spans="1:5" ht="15.95" customHeight="1"/>
  </sheetData>
  <mergeCells count="15">
    <mergeCell ref="A24:E24"/>
    <mergeCell ref="A4:E4"/>
    <mergeCell ref="C13:D13"/>
    <mergeCell ref="A14:E14"/>
    <mergeCell ref="C19:D19"/>
    <mergeCell ref="C20:D20"/>
    <mergeCell ref="A50:E50"/>
    <mergeCell ref="C55:D55"/>
    <mergeCell ref="C56:D56"/>
    <mergeCell ref="C32:D32"/>
    <mergeCell ref="A33:E33"/>
    <mergeCell ref="C38:D38"/>
    <mergeCell ref="C39:D39"/>
    <mergeCell ref="A43:E43"/>
    <mergeCell ref="C49:D49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sqref="A1:B5"/>
    </sheetView>
  </sheetViews>
  <sheetFormatPr baseColWidth="10" defaultRowHeight="15"/>
  <cols>
    <col min="1" max="1" width="29.7109375" customWidth="1"/>
    <col min="2" max="2" width="15.42578125" customWidth="1"/>
  </cols>
  <sheetData>
    <row r="1" spans="1:2" ht="15.95" customHeight="1">
      <c r="A1" s="225" t="s">
        <v>286</v>
      </c>
      <c r="B1" s="225"/>
    </row>
    <row r="2" spans="1:2" ht="15.95" customHeight="1">
      <c r="A2" s="73"/>
      <c r="B2" s="81" t="s">
        <v>31</v>
      </c>
    </row>
    <row r="3" spans="1:2" ht="15.95" customHeight="1">
      <c r="A3" s="53" t="s">
        <v>132</v>
      </c>
      <c r="B3" s="59">
        <v>264</v>
      </c>
    </row>
    <row r="4" spans="1:2" ht="15.95" customHeight="1">
      <c r="A4" s="53" t="s">
        <v>133</v>
      </c>
      <c r="B4" s="59">
        <v>160</v>
      </c>
    </row>
    <row r="5" spans="1:2" ht="15.95" customHeight="1">
      <c r="A5" s="125" t="s">
        <v>2</v>
      </c>
      <c r="B5" s="126">
        <f>SUM(B3:B4)</f>
        <v>424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I24" sqref="I24"/>
    </sheetView>
  </sheetViews>
  <sheetFormatPr baseColWidth="10" defaultRowHeight="15"/>
  <cols>
    <col min="1" max="1" width="29.85546875" customWidth="1"/>
    <col min="2" max="2" width="11.140625" customWidth="1"/>
    <col min="4" max="4" width="17.5703125" customWidth="1"/>
    <col min="5" max="5" width="18.42578125" customWidth="1"/>
  </cols>
  <sheetData>
    <row r="1" spans="1:5" ht="15.95" customHeight="1">
      <c r="A1" s="226" t="s">
        <v>26</v>
      </c>
      <c r="B1" s="226"/>
      <c r="C1" s="226"/>
      <c r="D1" s="226"/>
      <c r="E1" s="226"/>
    </row>
    <row r="2" spans="1:5" ht="27.75" customHeight="1">
      <c r="A2" s="195" t="s">
        <v>293</v>
      </c>
      <c r="B2" s="196" t="s">
        <v>294</v>
      </c>
      <c r="C2" s="195" t="s">
        <v>295</v>
      </c>
      <c r="D2" s="196" t="s">
        <v>296</v>
      </c>
      <c r="E2" s="196" t="s">
        <v>251</v>
      </c>
    </row>
    <row r="3" spans="1:5" ht="15.95" customHeight="1">
      <c r="A3" s="46" t="s">
        <v>297</v>
      </c>
      <c r="B3" s="95">
        <v>21390</v>
      </c>
      <c r="C3" s="49">
        <v>5</v>
      </c>
      <c r="D3" s="96">
        <f>E3/12</f>
        <v>356.5</v>
      </c>
      <c r="E3" s="96">
        <f>B3/C3</f>
        <v>4278</v>
      </c>
    </row>
    <row r="4" spans="1:5" ht="15.95" customHeight="1">
      <c r="A4" s="46" t="s">
        <v>9</v>
      </c>
      <c r="B4" s="95">
        <v>9150</v>
      </c>
      <c r="C4" s="49">
        <v>10</v>
      </c>
      <c r="D4" s="96">
        <f t="shared" ref="D4:D26" si="0">E4/12</f>
        <v>76.25</v>
      </c>
      <c r="E4" s="96">
        <f t="shared" ref="E4:E26" si="1">B4/C4</f>
        <v>915</v>
      </c>
    </row>
    <row r="5" spans="1:5" ht="15.95" customHeight="1">
      <c r="A5" s="46" t="s">
        <v>11</v>
      </c>
      <c r="B5" s="131">
        <v>4320</v>
      </c>
      <c r="C5" s="50">
        <v>10</v>
      </c>
      <c r="D5" s="96">
        <f t="shared" si="0"/>
        <v>36</v>
      </c>
      <c r="E5" s="96">
        <f t="shared" si="1"/>
        <v>432</v>
      </c>
    </row>
    <row r="6" spans="1:5" ht="15.95" customHeight="1">
      <c r="A6" s="46" t="s">
        <v>10</v>
      </c>
      <c r="B6" s="95">
        <v>4800</v>
      </c>
      <c r="C6" s="49">
        <v>10</v>
      </c>
      <c r="D6" s="96">
        <f t="shared" si="0"/>
        <v>40</v>
      </c>
      <c r="E6" s="96">
        <f t="shared" si="1"/>
        <v>480</v>
      </c>
    </row>
    <row r="7" spans="1:5" ht="15.95" customHeight="1">
      <c r="A7" s="46" t="s">
        <v>12</v>
      </c>
      <c r="B7" s="95">
        <v>780</v>
      </c>
      <c r="C7" s="49">
        <v>10</v>
      </c>
      <c r="D7" s="96">
        <f t="shared" si="0"/>
        <v>6.5</v>
      </c>
      <c r="E7" s="96">
        <f t="shared" si="1"/>
        <v>78</v>
      </c>
    </row>
    <row r="8" spans="1:5" ht="15.95" customHeight="1">
      <c r="A8" s="46" t="s">
        <v>298</v>
      </c>
      <c r="B8" s="95">
        <v>2370</v>
      </c>
      <c r="C8" s="49">
        <v>10</v>
      </c>
      <c r="D8" s="96">
        <f t="shared" si="0"/>
        <v>19.75</v>
      </c>
      <c r="E8" s="96">
        <f t="shared" si="1"/>
        <v>237</v>
      </c>
    </row>
    <row r="9" spans="1:5" ht="15.95" customHeight="1">
      <c r="A9" s="39" t="s">
        <v>299</v>
      </c>
      <c r="B9" s="95">
        <v>420</v>
      </c>
      <c r="C9" s="49">
        <v>10</v>
      </c>
      <c r="D9" s="96">
        <f t="shared" si="0"/>
        <v>3.5</v>
      </c>
      <c r="E9" s="96">
        <f>B9/C9</f>
        <v>42</v>
      </c>
    </row>
    <row r="10" spans="1:5" ht="15.95" customHeight="1">
      <c r="A10" s="46" t="s">
        <v>14</v>
      </c>
      <c r="B10" s="95">
        <v>1200</v>
      </c>
      <c r="C10" s="49">
        <v>10</v>
      </c>
      <c r="D10" s="96">
        <f t="shared" si="0"/>
        <v>10</v>
      </c>
      <c r="E10" s="96">
        <f t="shared" si="1"/>
        <v>120</v>
      </c>
    </row>
    <row r="11" spans="1:5" ht="15.95" customHeight="1">
      <c r="A11" s="51" t="s">
        <v>255</v>
      </c>
      <c r="B11" s="131">
        <v>270</v>
      </c>
      <c r="C11" s="50">
        <v>3</v>
      </c>
      <c r="D11" s="96">
        <f t="shared" si="0"/>
        <v>7.5</v>
      </c>
      <c r="E11" s="96">
        <f t="shared" si="1"/>
        <v>90</v>
      </c>
    </row>
    <row r="12" spans="1:5" ht="15.95" customHeight="1">
      <c r="A12" s="51" t="s">
        <v>15</v>
      </c>
      <c r="B12" s="131">
        <v>1050</v>
      </c>
      <c r="C12" s="50">
        <v>3</v>
      </c>
      <c r="D12" s="96">
        <f t="shared" si="0"/>
        <v>29.166666666666668</v>
      </c>
      <c r="E12" s="96">
        <f t="shared" si="1"/>
        <v>350</v>
      </c>
    </row>
    <row r="13" spans="1:5" ht="15.95" customHeight="1">
      <c r="A13" s="46" t="s">
        <v>16</v>
      </c>
      <c r="B13" s="95">
        <v>800</v>
      </c>
      <c r="C13" s="49">
        <v>10</v>
      </c>
      <c r="D13" s="96">
        <f t="shared" si="0"/>
        <v>6.666666666666667</v>
      </c>
      <c r="E13" s="96">
        <f t="shared" si="1"/>
        <v>80</v>
      </c>
    </row>
    <row r="14" spans="1:5" ht="15.95" customHeight="1">
      <c r="A14" s="46" t="s">
        <v>256</v>
      </c>
      <c r="B14" s="95">
        <v>3600</v>
      </c>
      <c r="C14" s="49">
        <v>3</v>
      </c>
      <c r="D14" s="96">
        <f t="shared" si="0"/>
        <v>100</v>
      </c>
      <c r="E14" s="96">
        <f t="shared" si="1"/>
        <v>1200</v>
      </c>
    </row>
    <row r="15" spans="1:5" ht="15.95" customHeight="1">
      <c r="A15" s="39" t="s">
        <v>28</v>
      </c>
      <c r="B15" s="95">
        <v>1170</v>
      </c>
      <c r="C15" s="49">
        <v>5</v>
      </c>
      <c r="D15" s="96">
        <f>E15/12</f>
        <v>19.5</v>
      </c>
      <c r="E15" s="96">
        <f>B15/C15</f>
        <v>234</v>
      </c>
    </row>
    <row r="16" spans="1:5" ht="15.95" customHeight="1">
      <c r="A16" s="46" t="s">
        <v>17</v>
      </c>
      <c r="B16" s="95">
        <v>160</v>
      </c>
      <c r="C16" s="49">
        <v>10</v>
      </c>
      <c r="D16" s="96">
        <f t="shared" si="0"/>
        <v>1.3333333333333333</v>
      </c>
      <c r="E16" s="96">
        <f t="shared" si="1"/>
        <v>16</v>
      </c>
    </row>
    <row r="17" spans="1:5" ht="15.95" customHeight="1">
      <c r="A17" s="46" t="s">
        <v>18</v>
      </c>
      <c r="B17" s="95">
        <v>2000</v>
      </c>
      <c r="C17" s="49">
        <v>3</v>
      </c>
      <c r="D17" s="96">
        <f t="shared" si="0"/>
        <v>55.55555555555555</v>
      </c>
      <c r="E17" s="96">
        <f t="shared" si="1"/>
        <v>666.66666666666663</v>
      </c>
    </row>
    <row r="18" spans="1:5" ht="15.95" customHeight="1">
      <c r="A18" s="46" t="s">
        <v>19</v>
      </c>
      <c r="B18" s="95">
        <v>32</v>
      </c>
      <c r="C18" s="49">
        <v>10</v>
      </c>
      <c r="D18" s="96">
        <f t="shared" si="0"/>
        <v>0.26666666666666666</v>
      </c>
      <c r="E18" s="96">
        <f t="shared" si="1"/>
        <v>3.2</v>
      </c>
    </row>
    <row r="19" spans="1:5" ht="15.95" customHeight="1">
      <c r="A19" s="46" t="s">
        <v>20</v>
      </c>
      <c r="B19" s="95">
        <v>250</v>
      </c>
      <c r="C19" s="49">
        <v>3</v>
      </c>
      <c r="D19" s="96">
        <f t="shared" si="0"/>
        <v>6.9444444444444438</v>
      </c>
      <c r="E19" s="96">
        <f t="shared" si="1"/>
        <v>83.333333333333329</v>
      </c>
    </row>
    <row r="20" spans="1:5" ht="15.95" customHeight="1">
      <c r="A20" s="46" t="s">
        <v>300</v>
      </c>
      <c r="B20" s="95">
        <v>15</v>
      </c>
      <c r="C20" s="49">
        <v>10</v>
      </c>
      <c r="D20" s="96">
        <f t="shared" si="0"/>
        <v>0.125</v>
      </c>
      <c r="E20" s="96">
        <f t="shared" si="1"/>
        <v>1.5</v>
      </c>
    </row>
    <row r="21" spans="1:5" ht="15.95" customHeight="1">
      <c r="A21" s="46" t="s">
        <v>301</v>
      </c>
      <c r="B21" s="95">
        <v>400</v>
      </c>
      <c r="C21" s="49">
        <v>10</v>
      </c>
      <c r="D21" s="96">
        <f t="shared" si="0"/>
        <v>3.3333333333333335</v>
      </c>
      <c r="E21" s="96">
        <f t="shared" si="1"/>
        <v>40</v>
      </c>
    </row>
    <row r="22" spans="1:5" ht="15.95" customHeight="1">
      <c r="A22" s="46" t="s">
        <v>61</v>
      </c>
      <c r="B22" s="95">
        <v>1740</v>
      </c>
      <c r="C22" s="50">
        <v>3</v>
      </c>
      <c r="D22" s="96">
        <f t="shared" si="0"/>
        <v>48.333333333333336</v>
      </c>
      <c r="E22" s="96">
        <f t="shared" si="1"/>
        <v>580</v>
      </c>
    </row>
    <row r="23" spans="1:5" ht="15.95" customHeight="1">
      <c r="A23" s="46" t="s">
        <v>302</v>
      </c>
      <c r="B23" s="95">
        <v>24375</v>
      </c>
      <c r="C23" s="49">
        <v>10</v>
      </c>
      <c r="D23" s="96">
        <f t="shared" si="0"/>
        <v>203.125</v>
      </c>
      <c r="E23" s="96">
        <f t="shared" si="1"/>
        <v>2437.5</v>
      </c>
    </row>
    <row r="24" spans="1:5" ht="15.95" customHeight="1">
      <c r="A24" s="46" t="s">
        <v>24</v>
      </c>
      <c r="B24" s="95">
        <v>100</v>
      </c>
      <c r="C24" s="49">
        <v>10</v>
      </c>
      <c r="D24" s="96">
        <f t="shared" si="0"/>
        <v>0.83333333333333337</v>
      </c>
      <c r="E24" s="96">
        <f t="shared" si="1"/>
        <v>10</v>
      </c>
    </row>
    <row r="25" spans="1:5" ht="15.95" customHeight="1">
      <c r="A25" s="46" t="s">
        <v>257</v>
      </c>
      <c r="B25" s="95">
        <v>2850</v>
      </c>
      <c r="C25" s="49">
        <v>3</v>
      </c>
      <c r="D25" s="96">
        <f t="shared" si="0"/>
        <v>79.166666666666671</v>
      </c>
      <c r="E25" s="96">
        <f t="shared" si="1"/>
        <v>950</v>
      </c>
    </row>
    <row r="26" spans="1:5" ht="15.95" customHeight="1">
      <c r="A26" s="46" t="s">
        <v>25</v>
      </c>
      <c r="B26" s="95">
        <v>99</v>
      </c>
      <c r="C26" s="49">
        <v>10</v>
      </c>
      <c r="D26" s="96">
        <f t="shared" si="0"/>
        <v>0.82500000000000007</v>
      </c>
      <c r="E26" s="96">
        <f t="shared" si="1"/>
        <v>9.9</v>
      </c>
    </row>
    <row r="27" spans="1:5" ht="15.95" customHeight="1">
      <c r="A27" s="180"/>
      <c r="B27" s="180"/>
      <c r="C27" s="180"/>
      <c r="D27" s="132" t="s">
        <v>2</v>
      </c>
      <c r="E27" s="133">
        <f>SUM(E3:E26)</f>
        <v>13334.1</v>
      </c>
    </row>
    <row r="28" spans="1:5">
      <c r="A28" s="7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topLeftCell="B1" zoomScale="90" zoomScaleNormal="90" workbookViewId="0">
      <selection activeCell="D10" sqref="D10"/>
    </sheetView>
  </sheetViews>
  <sheetFormatPr baseColWidth="10" defaultRowHeight="15"/>
  <cols>
    <col min="1" max="1" width="22.42578125" bestFit="1" customWidth="1"/>
    <col min="2" max="2" width="17.28515625" customWidth="1"/>
    <col min="3" max="3" width="26.140625" customWidth="1"/>
    <col min="4" max="4" width="21.42578125" customWidth="1"/>
  </cols>
  <sheetData>
    <row r="1" spans="1:4" ht="15.95" customHeight="1">
      <c r="B1" s="227" t="s">
        <v>90</v>
      </c>
      <c r="C1" s="227"/>
      <c r="D1" s="227"/>
    </row>
    <row r="2" spans="1:4" ht="15.95" customHeight="1">
      <c r="B2" s="52" t="s">
        <v>91</v>
      </c>
      <c r="C2" s="52" t="s">
        <v>92</v>
      </c>
      <c r="D2" s="52" t="s">
        <v>93</v>
      </c>
    </row>
    <row r="3" spans="1:4" ht="15.95" customHeight="1">
      <c r="B3" s="53">
        <v>1</v>
      </c>
      <c r="C3" s="134">
        <v>10580.45</v>
      </c>
      <c r="D3" s="134">
        <v>4836.92</v>
      </c>
    </row>
    <row r="4" spans="1:4" ht="15.95" customHeight="1">
      <c r="B4" s="53">
        <v>2</v>
      </c>
      <c r="C4" s="134">
        <v>11768.69</v>
      </c>
      <c r="D4" s="134">
        <v>3648.69</v>
      </c>
    </row>
    <row r="5" spans="1:4" ht="15.95" customHeight="1">
      <c r="B5" s="53">
        <v>3</v>
      </c>
      <c r="C5" s="134">
        <v>13090.37</v>
      </c>
      <c r="D5" s="134">
        <v>2327</v>
      </c>
    </row>
    <row r="6" spans="1:4" ht="15.95" customHeight="1">
      <c r="B6" s="53">
        <v>4</v>
      </c>
      <c r="C6" s="134">
        <v>14560.49</v>
      </c>
      <c r="D6" s="134">
        <v>856.88</v>
      </c>
    </row>
    <row r="7" spans="1:4" ht="15.95" customHeight="1"/>
    <row r="8" spans="1:4" ht="15.95" customHeight="1"/>
    <row r="9" spans="1:4" ht="15.95" customHeight="1"/>
    <row r="10" spans="1:4" ht="15.95" customHeight="1">
      <c r="A10" s="56"/>
      <c r="B10" s="135" t="s">
        <v>147</v>
      </c>
      <c r="C10" s="135" t="s">
        <v>221</v>
      </c>
    </row>
    <row r="11" spans="1:4" ht="15.95" customHeight="1">
      <c r="A11" s="52" t="s">
        <v>148</v>
      </c>
      <c r="B11" s="60">
        <f>C11/C13</f>
        <v>0.52786256351438765</v>
      </c>
      <c r="C11" s="58">
        <f>C13-C12</f>
        <v>55901.367136184883</v>
      </c>
    </row>
    <row r="12" spans="1:4" ht="15.95" customHeight="1">
      <c r="A12" s="52" t="s">
        <v>149</v>
      </c>
      <c r="B12" s="60">
        <f>(C12/$C$13)</f>
        <v>0.47213743648561229</v>
      </c>
      <c r="C12" s="59">
        <v>50000</v>
      </c>
    </row>
    <row r="13" spans="1:4" ht="15.95" customHeight="1">
      <c r="A13" s="55" t="s">
        <v>146</v>
      </c>
      <c r="B13" s="61">
        <f>SUM(B11:B12)</f>
        <v>1</v>
      </c>
      <c r="C13" s="57">
        <f>-(SUM('F. Caja SIN crecimiento '!B35:B38))</f>
        <v>105901.36713618488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</vt:i4>
      </vt:variant>
    </vt:vector>
  </HeadingPairs>
  <TitlesOfParts>
    <vt:vector size="23" baseType="lpstr">
      <vt:lpstr>ACTIVOS INTANGIBLES</vt:lpstr>
      <vt:lpstr>SUMINISTROS</vt:lpstr>
      <vt:lpstr>SUELDOS</vt:lpstr>
      <vt:lpstr> SERVICIOS B. Y  ALQUILER</vt:lpstr>
      <vt:lpstr>MANTENIMIENTO</vt:lpstr>
      <vt:lpstr>GASTOS DE PROMOCION</vt:lpstr>
      <vt:lpstr>GASTOS DE TRANSPORTE</vt:lpstr>
      <vt:lpstr>DEPRECIACION</vt:lpstr>
      <vt:lpstr>Financiamiento</vt:lpstr>
      <vt:lpstr>F.C. SIN crecimiento resumen</vt:lpstr>
      <vt:lpstr>F. Caja Optimista</vt:lpstr>
      <vt:lpstr>F.C. Optimista resumen</vt:lpstr>
      <vt:lpstr>F. Caja Pesimista</vt:lpstr>
      <vt:lpstr>F. Caja SIN crecimiento </vt:lpstr>
      <vt:lpstr>F. Caja Social</vt:lpstr>
      <vt:lpstr>F. C. Pesimista resumen</vt:lpstr>
      <vt:lpstr>F.C. social resumen</vt:lpstr>
      <vt:lpstr>Valor de desecho</vt:lpstr>
      <vt:lpstr>Capital de trabajo</vt:lpstr>
      <vt:lpstr>Payback</vt:lpstr>
      <vt:lpstr>Punto de Equilibrio</vt:lpstr>
      <vt:lpstr>xxx</vt:lpstr>
      <vt:lpstr>DEPRECIACION!Área_de_impresión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verito</dc:creator>
  <cp:lastModifiedBy>WinuE</cp:lastModifiedBy>
  <cp:lastPrinted>2012-04-27T01:26:14Z</cp:lastPrinted>
  <dcterms:created xsi:type="dcterms:W3CDTF">2012-04-12T05:39:42Z</dcterms:created>
  <dcterms:modified xsi:type="dcterms:W3CDTF">2012-05-05T22:09:46Z</dcterms:modified>
</cp:coreProperties>
</file>