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 tabRatio="991" firstSheet="2" activeTab="5"/>
  </bookViews>
  <sheets>
    <sheet name="HORTALIZAS ORGANICAS" sheetId="1" r:id="rId1"/>
    <sheet name="GRANOS Y CEREALES ORGANICOS" sheetId="2" r:id="rId2"/>
    <sheet name="HORTALIZAS AGROECOLOGICOS" sheetId="3" r:id="rId3"/>
    <sheet name="FRUTAS AGROECOLOGICAS" sheetId="4" r:id="rId4"/>
    <sheet name="GRANOS AGROECOLOGICOS" sheetId="5" r:id="rId5"/>
    <sheet name="ESTIMACION DE DEMANDA" sheetId="6" r:id="rId6"/>
    <sheet name="VENTAS Y COSTOS" sheetId="7" r:id="rId7"/>
  </sheets>
  <definedNames>
    <definedName name="_xlnm._FilterDatabase" localSheetId="3" hidden="1">'FRUTAS AGROECOLOGICAS'!$A$2:$I$14</definedName>
    <definedName name="_xlnm._FilterDatabase" localSheetId="2" hidden="1">'HORTALIZAS AGROECOLOGICOS'!$A$3:$I$24</definedName>
    <definedName name="_xlnm._FilterDatabase" localSheetId="0" hidden="1">'HORTALIZAS ORGANICAS'!$A$3:$G$17</definedName>
  </definedNames>
  <calcPr calcId="125725"/>
</workbook>
</file>

<file path=xl/calcChain.xml><?xml version="1.0" encoding="utf-8"?>
<calcChain xmlns="http://schemas.openxmlformats.org/spreadsheetml/2006/main">
  <c r="E45" i="6"/>
  <c r="C14"/>
  <c r="C18" s="1"/>
  <c r="C23" s="1"/>
  <c r="D9" i="5"/>
  <c r="C9" s="1"/>
  <c r="D8"/>
  <c r="C8" s="1"/>
  <c r="D7"/>
  <c r="C7" s="1"/>
  <c r="D6"/>
  <c r="C6" s="1"/>
  <c r="D5"/>
  <c r="C5" s="1"/>
  <c r="D4"/>
  <c r="C4" s="1"/>
  <c r="D3"/>
  <c r="C3" s="1"/>
  <c r="D12" i="4"/>
  <c r="C12" s="1"/>
  <c r="D11"/>
  <c r="C11" s="1"/>
  <c r="D10"/>
  <c r="C10" s="1"/>
  <c r="D9"/>
  <c r="C9" s="1"/>
  <c r="D8"/>
  <c r="C8" s="1"/>
  <c r="D7"/>
  <c r="C7" s="1"/>
  <c r="D6"/>
  <c r="C6" s="1"/>
  <c r="D5"/>
  <c r="C5" s="1"/>
  <c r="D4"/>
  <c r="C4" s="1"/>
  <c r="D3"/>
  <c r="I3" s="1"/>
  <c r="D23" i="3"/>
  <c r="C23" s="1"/>
  <c r="D22"/>
  <c r="C22" s="1"/>
  <c r="D21"/>
  <c r="C21" s="1"/>
  <c r="D20"/>
  <c r="C20" s="1"/>
  <c r="D19"/>
  <c r="C19" s="1"/>
  <c r="D18"/>
  <c r="C18" s="1"/>
  <c r="D17"/>
  <c r="C17" s="1"/>
  <c r="D16"/>
  <c r="C16" s="1"/>
  <c r="D15"/>
  <c r="C15" s="1"/>
  <c r="D14"/>
  <c r="C14" s="1"/>
  <c r="D13"/>
  <c r="C13" s="1"/>
  <c r="D12"/>
  <c r="C12" s="1"/>
  <c r="D11"/>
  <c r="C11" s="1"/>
  <c r="D10"/>
  <c r="C10" s="1"/>
  <c r="D9"/>
  <c r="C9" s="1"/>
  <c r="D8"/>
  <c r="C8" s="1"/>
  <c r="D7"/>
  <c r="C7" s="1"/>
  <c r="D6"/>
  <c r="C6" s="1"/>
  <c r="D5"/>
  <c r="C5" s="1"/>
  <c r="D4"/>
  <c r="C4" s="1"/>
  <c r="D9" i="2"/>
  <c r="C9" s="1"/>
  <c r="D8"/>
  <c r="C8" s="1"/>
  <c r="D7"/>
  <c r="C7" s="1"/>
  <c r="D6"/>
  <c r="C6" s="1"/>
  <c r="D5"/>
  <c r="C5" s="1"/>
  <c r="D4"/>
  <c r="C4" s="1"/>
  <c r="D3"/>
  <c r="C3" s="1"/>
  <c r="D5" i="1"/>
  <c r="C5" s="1"/>
  <c r="D6"/>
  <c r="C6" s="1"/>
  <c r="D7"/>
  <c r="C7" s="1"/>
  <c r="D8"/>
  <c r="C8" s="1"/>
  <c r="D9"/>
  <c r="C9" s="1"/>
  <c r="D10"/>
  <c r="C10" s="1"/>
  <c r="D11"/>
  <c r="C11" s="1"/>
  <c r="D12"/>
  <c r="C12" s="1"/>
  <c r="D13"/>
  <c r="C13" s="1"/>
  <c r="D14"/>
  <c r="C14" s="1"/>
  <c r="D15"/>
  <c r="C15" s="1"/>
  <c r="D16"/>
  <c r="C16" s="1"/>
  <c r="D17"/>
  <c r="C17" s="1"/>
  <c r="D4"/>
  <c r="C4" s="1"/>
  <c r="C3" i="4" l="1"/>
  <c r="C19" i="6"/>
  <c r="C27" s="1"/>
  <c r="C30"/>
  <c r="C25"/>
  <c r="D25" s="1"/>
  <c r="C24"/>
  <c r="C28" s="1"/>
  <c r="D24" l="1"/>
  <c r="D30"/>
  <c r="D28"/>
  <c r="C29"/>
  <c r="D29" s="1"/>
  <c r="F18" i="1" l="1"/>
  <c r="F4"/>
  <c r="F8" l="1"/>
  <c r="H13"/>
  <c r="I13" s="1"/>
  <c r="K13" s="1"/>
  <c r="J13"/>
  <c r="J4" i="5"/>
  <c r="J5"/>
  <c r="J6"/>
  <c r="J7"/>
  <c r="J8"/>
  <c r="J9"/>
  <c r="J3"/>
  <c r="J10" s="1"/>
  <c r="C57" i="6" s="1"/>
  <c r="I4" i="5"/>
  <c r="I5"/>
  <c r="K5" s="1"/>
  <c r="I6"/>
  <c r="I7"/>
  <c r="K7" s="1"/>
  <c r="I8"/>
  <c r="I9"/>
  <c r="K9" s="1"/>
  <c r="I3"/>
  <c r="F5"/>
  <c r="F4"/>
  <c r="F6"/>
  <c r="F7"/>
  <c r="F8"/>
  <c r="F9"/>
  <c r="F3"/>
  <c r="F12" i="4"/>
  <c r="I12"/>
  <c r="J12"/>
  <c r="F11"/>
  <c r="I11"/>
  <c r="J11"/>
  <c r="I10"/>
  <c r="J10"/>
  <c r="F9"/>
  <c r="I9"/>
  <c r="J9"/>
  <c r="F8"/>
  <c r="I8"/>
  <c r="J8"/>
  <c r="F7"/>
  <c r="I7"/>
  <c r="J7"/>
  <c r="I6"/>
  <c r="J6"/>
  <c r="F5"/>
  <c r="I5"/>
  <c r="J5"/>
  <c r="F4"/>
  <c r="I4"/>
  <c r="K4" s="1"/>
  <c r="J4"/>
  <c r="F3"/>
  <c r="J3"/>
  <c r="K5" l="1"/>
  <c r="K6"/>
  <c r="K7"/>
  <c r="K9"/>
  <c r="I13"/>
  <c r="C41" i="6" s="1"/>
  <c r="K3" i="4"/>
  <c r="K11"/>
  <c r="J13"/>
  <c r="C58" i="6" s="1"/>
  <c r="K10" i="4"/>
  <c r="K12"/>
  <c r="K3" i="5"/>
  <c r="K8"/>
  <c r="K6"/>
  <c r="K4"/>
  <c r="I10"/>
  <c r="C40" i="6" s="1"/>
  <c r="K8" i="4"/>
  <c r="J3" i="2"/>
  <c r="J5" i="3"/>
  <c r="J6"/>
  <c r="J7"/>
  <c r="J8"/>
  <c r="J9"/>
  <c r="J10"/>
  <c r="J11"/>
  <c r="J12"/>
  <c r="J13"/>
  <c r="J14"/>
  <c r="J15"/>
  <c r="J16"/>
  <c r="J17"/>
  <c r="J18"/>
  <c r="J19"/>
  <c r="J20"/>
  <c r="J21"/>
  <c r="J22"/>
  <c r="J23"/>
  <c r="J4"/>
  <c r="J24" s="1"/>
  <c r="C56" i="6" s="1"/>
  <c r="C59" s="1"/>
  <c r="C60" s="1"/>
  <c r="D10" i="7" s="1"/>
  <c r="I5" i="3"/>
  <c r="K5" s="1"/>
  <c r="I6"/>
  <c r="K6" s="1"/>
  <c r="I7"/>
  <c r="K7" s="1"/>
  <c r="I8"/>
  <c r="K8" s="1"/>
  <c r="I9"/>
  <c r="K9" s="1"/>
  <c r="I10"/>
  <c r="K10" s="1"/>
  <c r="I11"/>
  <c r="K11" s="1"/>
  <c r="I12"/>
  <c r="K12" s="1"/>
  <c r="I13"/>
  <c r="K13" s="1"/>
  <c r="I14"/>
  <c r="K14" s="1"/>
  <c r="I15"/>
  <c r="K15" s="1"/>
  <c r="I16"/>
  <c r="K16" s="1"/>
  <c r="I17"/>
  <c r="K17" s="1"/>
  <c r="I18"/>
  <c r="K18" s="1"/>
  <c r="I19"/>
  <c r="K19" s="1"/>
  <c r="I20"/>
  <c r="K20" s="1"/>
  <c r="I21"/>
  <c r="K21" s="1"/>
  <c r="I22"/>
  <c r="K22" s="1"/>
  <c r="I23"/>
  <c r="K23" s="1"/>
  <c r="I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4"/>
  <c r="I3" i="2"/>
  <c r="H5"/>
  <c r="J5" s="1"/>
  <c r="H6"/>
  <c r="I6" s="1"/>
  <c r="H7"/>
  <c r="J7" s="1"/>
  <c r="H8"/>
  <c r="I8" s="1"/>
  <c r="H9"/>
  <c r="J9" s="1"/>
  <c r="H4"/>
  <c r="I4" s="1"/>
  <c r="F4"/>
  <c r="F5"/>
  <c r="F6"/>
  <c r="F7"/>
  <c r="F8"/>
  <c r="F9"/>
  <c r="F3"/>
  <c r="H5" i="1"/>
  <c r="I5" s="1"/>
  <c r="H6"/>
  <c r="J6" s="1"/>
  <c r="H7"/>
  <c r="I7" s="1"/>
  <c r="H8"/>
  <c r="J8" s="1"/>
  <c r="H9"/>
  <c r="I9" s="1"/>
  <c r="H10"/>
  <c r="I10" s="1"/>
  <c r="H11"/>
  <c r="J11" s="1"/>
  <c r="H12"/>
  <c r="I12" s="1"/>
  <c r="H14"/>
  <c r="J14" s="1"/>
  <c r="H15"/>
  <c r="I15" s="1"/>
  <c r="H16"/>
  <c r="J16" s="1"/>
  <c r="H17"/>
  <c r="I17" s="1"/>
  <c r="H4"/>
  <c r="J4" s="1"/>
  <c r="F6"/>
  <c r="F5"/>
  <c r="F7"/>
  <c r="F9"/>
  <c r="F13"/>
  <c r="F10"/>
  <c r="F11"/>
  <c r="F12"/>
  <c r="F14"/>
  <c r="F15"/>
  <c r="F16"/>
  <c r="F17"/>
  <c r="K13" i="4" l="1"/>
  <c r="K14" s="1"/>
  <c r="K10" i="5"/>
  <c r="K11" s="1"/>
  <c r="I24" i="3"/>
  <c r="C39" i="6" s="1"/>
  <c r="I9" i="2"/>
  <c r="K9" s="1"/>
  <c r="I7"/>
  <c r="K7" s="1"/>
  <c r="I5"/>
  <c r="K5" s="1"/>
  <c r="J8"/>
  <c r="K8" s="1"/>
  <c r="J6"/>
  <c r="K6" s="1"/>
  <c r="J4"/>
  <c r="K4" s="1"/>
  <c r="K3"/>
  <c r="K4" i="3"/>
  <c r="K24" s="1"/>
  <c r="K25" s="1"/>
  <c r="I4" i="1"/>
  <c r="I16"/>
  <c r="K16" s="1"/>
  <c r="I14"/>
  <c r="K14" s="1"/>
  <c r="I11"/>
  <c r="K11" s="1"/>
  <c r="I8"/>
  <c r="K8" s="1"/>
  <c r="I6"/>
  <c r="K6" s="1"/>
  <c r="J17"/>
  <c r="K17" s="1"/>
  <c r="J15"/>
  <c r="K15" s="1"/>
  <c r="J12"/>
  <c r="K12" s="1"/>
  <c r="J10"/>
  <c r="K10" s="1"/>
  <c r="J9"/>
  <c r="K9" s="1"/>
  <c r="J7"/>
  <c r="K7" s="1"/>
  <c r="J5"/>
  <c r="K5" s="1"/>
  <c r="C42" i="6" l="1"/>
  <c r="C43" s="1"/>
  <c r="D5" i="7" s="1"/>
  <c r="I10" i="2"/>
  <c r="C34" i="6" s="1"/>
  <c r="J18" i="1"/>
  <c r="C50" i="6" s="1"/>
  <c r="J10" i="2"/>
  <c r="C51" i="6" s="1"/>
  <c r="K10" i="2"/>
  <c r="K11" s="1"/>
  <c r="K4" i="1"/>
  <c r="K18" s="1"/>
  <c r="K19" s="1"/>
  <c r="I18"/>
  <c r="C33" i="6" s="1"/>
  <c r="C35" l="1"/>
  <c r="C36" s="1"/>
  <c r="D4" i="7" s="1"/>
  <c r="D6" s="1"/>
  <c r="C52" i="6"/>
  <c r="C53" s="1"/>
  <c r="C45"/>
  <c r="C62" l="1"/>
  <c r="D9" i="7"/>
  <c r="D11" s="1"/>
  <c r="E47" i="6"/>
</calcChain>
</file>

<file path=xl/sharedStrings.xml><?xml version="1.0" encoding="utf-8"?>
<sst xmlns="http://schemas.openxmlformats.org/spreadsheetml/2006/main" count="273" uniqueCount="150">
  <si>
    <t>Producto</t>
  </si>
  <si>
    <t>Unidad (GRAMOS/FUNDA)</t>
  </si>
  <si>
    <t>mas consu. Encuesta</t>
  </si>
  <si>
    <t>COSTO CON TRANSPORTE 1 KG</t>
  </si>
  <si>
    <t>ACELGA</t>
  </si>
  <si>
    <t>*</t>
  </si>
  <si>
    <t>ALBAHACA</t>
  </si>
  <si>
    <t>APIO</t>
  </si>
  <si>
    <t>BROCOLI</t>
  </si>
  <si>
    <t>CEBOLLA BLANCA/PUERRO</t>
  </si>
  <si>
    <t>CEBOLLA PERLA/PAITEÑA</t>
  </si>
  <si>
    <t>COLIFLOR</t>
  </si>
  <si>
    <t>ESPINACA</t>
  </si>
  <si>
    <t>LECHUGA CRIOLLA</t>
  </si>
  <si>
    <t>LECHUGA ROMANA</t>
  </si>
  <si>
    <t>MENTA SPICATA (H. BUENA)</t>
  </si>
  <si>
    <t>PEREJIL NORMAL</t>
  </si>
  <si>
    <t>TOMATE CEREZA</t>
  </si>
  <si>
    <t>ZANAHORIA CHANTENAY</t>
  </si>
  <si>
    <t xml:space="preserve">1 Atado </t>
  </si>
  <si>
    <t>1 atado 100 gr</t>
  </si>
  <si>
    <t>1 atado 250 gr</t>
  </si>
  <si>
    <t>grande (2 lb)</t>
  </si>
  <si>
    <t>CEBOLLA BLANCA</t>
  </si>
  <si>
    <t>atado (3,5 lb)</t>
  </si>
  <si>
    <t>CEBOLLA COLORADA</t>
  </si>
  <si>
    <t>libra</t>
  </si>
  <si>
    <t xml:space="preserve">400 gr </t>
  </si>
  <si>
    <t>unidad (427 gr)</t>
  </si>
  <si>
    <t>atado (150 gr)</t>
  </si>
  <si>
    <t>PAPA</t>
  </si>
  <si>
    <t>1 libra</t>
  </si>
  <si>
    <t xml:space="preserve">PIMIENTO </t>
  </si>
  <si>
    <t>TOMATE</t>
  </si>
  <si>
    <t>VAINITAS</t>
  </si>
  <si>
    <t>atado (1 lb)</t>
  </si>
  <si>
    <t>YUCA</t>
  </si>
  <si>
    <t>2 yucas medianas (1260 gr)</t>
  </si>
  <si>
    <t>700 gr</t>
  </si>
  <si>
    <t>ZAPALLO</t>
  </si>
  <si>
    <t>mediano (10 lb)</t>
  </si>
  <si>
    <t>CULANTRO</t>
  </si>
  <si>
    <t>Atado (70 gr)</t>
  </si>
  <si>
    <t>COL</t>
  </si>
  <si>
    <t>1 (427 gr)</t>
  </si>
  <si>
    <t>NABO</t>
  </si>
  <si>
    <t>Atado</t>
  </si>
  <si>
    <t>P.V.P / PRESENTACION</t>
  </si>
  <si>
    <t>P.V.P /KG TERRA MARKET</t>
  </si>
  <si>
    <t xml:space="preserve">HORTALIZAS ORGANICAS          
</t>
  </si>
  <si>
    <t>MARGEN por kg</t>
  </si>
  <si>
    <t>Mas consu. Encuesta</t>
  </si>
  <si>
    <t>PIMIENTO AMARILLO/ ROJO</t>
  </si>
  <si>
    <t>GASTO MENSUAL</t>
  </si>
  <si>
    <t>TOTAL</t>
  </si>
  <si>
    <t>ARROZ INTEGRAL</t>
  </si>
  <si>
    <t>ARVERJA</t>
  </si>
  <si>
    <t>FREJOL CANARIO</t>
  </si>
  <si>
    <t>FREJOL NEGRO</t>
  </si>
  <si>
    <t>FREJOL PANAMITO</t>
  </si>
  <si>
    <t>FREJOL ROJO</t>
  </si>
  <si>
    <t>LENTEJA</t>
  </si>
  <si>
    <t>Consumo por hogar medio semanal (3,8 personas por hogar) KG</t>
  </si>
  <si>
    <t xml:space="preserve">ZANAHORIA </t>
  </si>
  <si>
    <t>Presentacion</t>
  </si>
  <si>
    <t>P.V.P/ PRESENTACION</t>
  </si>
  <si>
    <t>1,5 Libra</t>
  </si>
  <si>
    <t>BANANO</t>
  </si>
  <si>
    <t>FRESA</t>
  </si>
  <si>
    <t>MANGO DE CHUPAR</t>
  </si>
  <si>
    <t>NARANJA</t>
  </si>
  <si>
    <t>PAPAYA</t>
  </si>
  <si>
    <t>MORA</t>
  </si>
  <si>
    <t>LIMON</t>
  </si>
  <si>
    <t>MANDARINAS</t>
  </si>
  <si>
    <t>TOMATE DE ARBOL</t>
  </si>
  <si>
    <t>PLATANO</t>
  </si>
  <si>
    <t>11 (55 gr)</t>
  </si>
  <si>
    <t>MEDIANA (3000 gr)</t>
  </si>
  <si>
    <t>Libra</t>
  </si>
  <si>
    <t>25 (500 gr)</t>
  </si>
  <si>
    <t>8 (150 gr)</t>
  </si>
  <si>
    <t>5 uni.</t>
  </si>
  <si>
    <t>COSTO DE VENTA</t>
  </si>
  <si>
    <t xml:space="preserve">Margen </t>
  </si>
  <si>
    <t>COSTO DE VENTA MENSUAL</t>
  </si>
  <si>
    <t>MARGEN MENSUAL</t>
  </si>
  <si>
    <t>ARROZ</t>
  </si>
  <si>
    <t>FREJOL CARGABELLO</t>
  </si>
  <si>
    <t>FREJOL TIERNO</t>
  </si>
  <si>
    <t>HABA</t>
  </si>
  <si>
    <t>MAIZ</t>
  </si>
  <si>
    <t>LIBRA</t>
  </si>
  <si>
    <t>500 g.</t>
  </si>
  <si>
    <t>FUNDA PEQUEÑA (1 lb)</t>
  </si>
  <si>
    <t>1 (0,5 lb)</t>
  </si>
  <si>
    <t xml:space="preserve">GRANOS Y CEREALES ORGANICOS          
</t>
  </si>
  <si>
    <t>HORTALIZAS AGROECOLOGICAS</t>
  </si>
  <si>
    <t>FRUTAS AGROECOLOGICAS</t>
  </si>
  <si>
    <t>GRANOS Y CEREALES AGROECOLOGICOS</t>
  </si>
  <si>
    <t>Clase social</t>
  </si>
  <si>
    <t>Porcentaje de la población</t>
  </si>
  <si>
    <t>Clase Alta – Nivel A</t>
  </si>
  <si>
    <t>Clase Media Alta – Nivel B</t>
  </si>
  <si>
    <t>Clase Media – Nivel C+</t>
  </si>
  <si>
    <t>Clase Media Baja – Nivel C-</t>
  </si>
  <si>
    <t>Clase Baja – Nivel D</t>
  </si>
  <si>
    <t>Fuente: INEC</t>
  </si>
  <si>
    <t>No. de hogares efectivos que habitan en el norte y sur, de clase media y alta</t>
  </si>
  <si>
    <t>Cuota de mercado</t>
  </si>
  <si>
    <t>Demanda del proyecto</t>
  </si>
  <si>
    <t>Demanda hogares consumo de alimentos agroecologicos</t>
  </si>
  <si>
    <t>Demanda hogares consumo de alimentos organicos</t>
  </si>
  <si>
    <t>% de hogares consumo de alimentos organicos efectivos (encuesta)</t>
  </si>
  <si>
    <t>% de hogares consumo de alimentos agroecologicos efectivos (encuesta)</t>
  </si>
  <si>
    <t>PRECIO CANASTA HORTALIZAS ORGANICAS</t>
  </si>
  <si>
    <t>PRECIO CANASTA HORTALIZAS AGROECOLOGICAS</t>
  </si>
  <si>
    <t>PRECIO CANASTA FRUTAS AGROECOLOGICAS</t>
  </si>
  <si>
    <t xml:space="preserve">PRECIO CANASTA GRANOS ORGANICOS </t>
  </si>
  <si>
    <t>PRECIO CANASTA GRANOS AGROECOLOGICOS</t>
  </si>
  <si>
    <t>TOTAL VENTAS MENSUALES</t>
  </si>
  <si>
    <t xml:space="preserve">TOTAL VENTAS ANUALES </t>
  </si>
  <si>
    <t>ESTIMACION DE VENTAS ANUALES ORGANICAS</t>
  </si>
  <si>
    <t>ESTIMACION DE VENTAS ANUALES AGROECOLOGICOS</t>
  </si>
  <si>
    <t>TOTAL VENTAS EN EL AÑO</t>
  </si>
  <si>
    <t>ESTIMACION DE COSTO DE VENTA ANUALES AGROECOLOGICOS</t>
  </si>
  <si>
    <t>COSTO CANASTA HORTALIZAS ORGANICAS</t>
  </si>
  <si>
    <t xml:space="preserve">COSTO CANASTA GRANOS ORGANICOS </t>
  </si>
  <si>
    <t>COSTO CANASTA HORTALIZAS AGROECOLOGICAS</t>
  </si>
  <si>
    <t>COSTO CANASTA GRANOS AGROECOLOGICOS</t>
  </si>
  <si>
    <t>COSTO CANASTA FRUTAS AGROECOLOGICAS</t>
  </si>
  <si>
    <t xml:space="preserve">TOTAL COSTO DE VENTA ANUALES </t>
  </si>
  <si>
    <t>TOTAL COSTO DE VENTA EN EL AÑO</t>
  </si>
  <si>
    <t>ESTIMACION DE COSTO DE VENTA ANUALES ORGANICOS</t>
  </si>
  <si>
    <t>% Canasta de hortalizas</t>
  </si>
  <si>
    <t>% Canasta de granos y cereales</t>
  </si>
  <si>
    <t>% Canasta de frutas</t>
  </si>
  <si>
    <t>hogares</t>
  </si>
  <si>
    <t>TOTAL COSTO DE VENTA MENSUAL</t>
  </si>
  <si>
    <t>MARGEN UTILIDAD BRUTA</t>
  </si>
  <si>
    <t>KILOGRAMOS POR PRESENTACION</t>
  </si>
  <si>
    <t>HOGARES</t>
  </si>
  <si>
    <t>Hogares por mes</t>
  </si>
  <si>
    <t>Hogares</t>
  </si>
  <si>
    <t>Ventas anuales de alimentos orgánicos</t>
  </si>
  <si>
    <t>Ventas anuales de alimentos agroecológicos</t>
  </si>
  <si>
    <t>Costo de venta de alimentos orgánicos</t>
  </si>
  <si>
    <t>Costo de venta de alimentos agroecológicos</t>
  </si>
  <si>
    <t xml:space="preserve">Total </t>
  </si>
  <si>
    <t>Total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</si>
</sst>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0.000%"/>
    <numFmt numFmtId="165" formatCode="_-* #,##0\ _€_-;\-* #,##0\ _€_-;_-* &quot;-&quot;??\ _€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1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2" fontId="0" fillId="0" borderId="0" xfId="0" applyNumberFormat="1"/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0" fillId="0" borderId="1" xfId="0" applyBorder="1"/>
    <xf numFmtId="2" fontId="2" fillId="0" borderId="1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164" fontId="0" fillId="0" borderId="0" xfId="2" applyNumberFormat="1" applyFont="1"/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9" fillId="0" borderId="0" xfId="0" applyFont="1" applyAlignment="1">
      <alignment horizontal="justify"/>
    </xf>
    <xf numFmtId="0" fontId="10" fillId="0" borderId="0" xfId="0" applyFont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0" fontId="8" fillId="0" borderId="1" xfId="0" applyNumberFormat="1" applyFont="1" applyBorder="1" applyAlignment="1">
      <alignment horizontal="center" vertical="top" wrapText="1"/>
    </xf>
    <xf numFmtId="10" fontId="7" fillId="0" borderId="1" xfId="0" applyNumberFormat="1" applyFont="1" applyBorder="1" applyAlignment="1">
      <alignment horizontal="center" vertical="top" wrapText="1"/>
    </xf>
    <xf numFmtId="10" fontId="0" fillId="0" borderId="1" xfId="0" applyNumberFormat="1" applyBorder="1" applyAlignment="1">
      <alignment horizontal="center"/>
    </xf>
    <xf numFmtId="10" fontId="7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43" fontId="1" fillId="0" borderId="1" xfId="1" applyFont="1" applyBorder="1" applyAlignment="1">
      <alignment horizontal="center" vertical="center"/>
    </xf>
    <xf numFmtId="43" fontId="0" fillId="0" borderId="0" xfId="0" applyNumberFormat="1"/>
    <xf numFmtId="10" fontId="8" fillId="2" borderId="1" xfId="0" applyNumberFormat="1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7" fillId="0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10" fontId="0" fillId="0" borderId="1" xfId="2" applyNumberFormat="1" applyFont="1" applyBorder="1"/>
    <xf numFmtId="10" fontId="0" fillId="0" borderId="1" xfId="0" applyNumberFormat="1" applyBorder="1"/>
    <xf numFmtId="0" fontId="1" fillId="0" borderId="0" xfId="0" applyFont="1"/>
    <xf numFmtId="0" fontId="1" fillId="0" borderId="1" xfId="0" applyFont="1" applyFill="1" applyBorder="1"/>
    <xf numFmtId="2" fontId="1" fillId="0" borderId="1" xfId="0" applyNumberFormat="1" applyFont="1" applyBorder="1"/>
    <xf numFmtId="0" fontId="0" fillId="0" borderId="0" xfId="0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top" wrapText="1"/>
    </xf>
    <xf numFmtId="165" fontId="1" fillId="0" borderId="1" xfId="1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11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4" fontId="12" fillId="0" borderId="1" xfId="0" applyNumberFormat="1" applyFont="1" applyBorder="1"/>
    <xf numFmtId="43" fontId="11" fillId="0" borderId="1" xfId="1" applyFont="1" applyBorder="1" applyAlignment="1">
      <alignment horizontal="center" wrapText="1"/>
    </xf>
    <xf numFmtId="43" fontId="12" fillId="0" borderId="1" xfId="1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95250</xdr:rowOff>
    </xdr:from>
    <xdr:to>
      <xdr:col>6</xdr:col>
      <xdr:colOff>47171</xdr:colOff>
      <xdr:row>23</xdr:row>
      <xdr:rowOff>81643</xdr:rowOff>
    </xdr:to>
    <xdr:sp macro="" textlink="">
      <xdr:nvSpPr>
        <xdr:cNvPr id="2" name="1 CuadroTexto"/>
        <xdr:cNvSpPr txBox="1"/>
      </xdr:nvSpPr>
      <xdr:spPr>
        <a:xfrm>
          <a:off x="4171950" y="4352925"/>
          <a:ext cx="3476171" cy="9388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_tradnl" sz="1200"/>
            <a:t>Dentro</a:t>
          </a:r>
          <a:r>
            <a:rPr lang="es-ES_tradnl" sz="1200" baseline="0"/>
            <a:t> de las hortalizas mas consumidas por los encuestados, en el mercado de alimentos organicos no se encuentran ofertado </a:t>
          </a:r>
          <a:r>
            <a:rPr lang="es-ES_tradnl" sz="1200" baseline="0">
              <a:solidFill>
                <a:srgbClr val="FF0000"/>
              </a:solidFill>
            </a:rPr>
            <a:t>la papa, yuca, cilantro, nabo y coliflor. </a:t>
          </a:r>
          <a:endParaRPr lang="es-ES_tradnl" sz="12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1285875</xdr:colOff>
      <xdr:row>11</xdr:row>
      <xdr:rowOff>19050</xdr:rowOff>
    </xdr:from>
    <xdr:to>
      <xdr:col>5</xdr:col>
      <xdr:colOff>193675</xdr:colOff>
      <xdr:row>15</xdr:row>
      <xdr:rowOff>82550</xdr:rowOff>
    </xdr:to>
    <xdr:sp macro="" textlink="">
      <xdr:nvSpPr>
        <xdr:cNvPr id="2" name="1 CuadroTexto"/>
        <xdr:cNvSpPr txBox="1"/>
      </xdr:nvSpPr>
      <xdr:spPr>
        <a:xfrm>
          <a:off x="2809875" y="2876550"/>
          <a:ext cx="4041775" cy="82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_tradnl" sz="1200"/>
            <a:t>Dentro</a:t>
          </a:r>
          <a:r>
            <a:rPr lang="es-ES_tradnl" sz="1200" baseline="0"/>
            <a:t> de los cereales y granos mas consumidas por los encuestados, en el mercado de alimentos organicos no se encuentran ofertado  el </a:t>
          </a:r>
          <a:r>
            <a:rPr lang="es-ES_tradnl" sz="1200" baseline="0">
              <a:solidFill>
                <a:srgbClr val="FF0000"/>
              </a:solidFill>
            </a:rPr>
            <a:t>arroz blanco, maiz y habas.</a:t>
          </a:r>
          <a:endParaRPr lang="es-ES_tradnl" sz="12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1400175</xdr:colOff>
      <xdr:row>24</xdr:row>
      <xdr:rowOff>57150</xdr:rowOff>
    </xdr:from>
    <xdr:to>
      <xdr:col>3</xdr:col>
      <xdr:colOff>640898</xdr:colOff>
      <xdr:row>28</xdr:row>
      <xdr:rowOff>180975</xdr:rowOff>
    </xdr:to>
    <xdr:sp macro="" textlink="">
      <xdr:nvSpPr>
        <xdr:cNvPr id="2" name="1 CuadroTexto"/>
        <xdr:cNvSpPr txBox="1"/>
      </xdr:nvSpPr>
      <xdr:spPr>
        <a:xfrm>
          <a:off x="1400175" y="5772150"/>
          <a:ext cx="3088823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200">
              <a:solidFill>
                <a:schemeClr val="dk1"/>
              </a:solidFill>
              <a:latin typeface="+mn-lt"/>
              <a:ea typeface="+mn-ea"/>
              <a:cs typeface="+mn-cs"/>
            </a:rPr>
            <a:t>Dentro</a:t>
          </a:r>
          <a:r>
            <a:rPr lang="es-ES_tradnl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las hortalizas mas consumidas por los encuestados, en el mercado de alimentos agroecologicos  no se encuentran ofertado  el </a:t>
          </a:r>
          <a:r>
            <a:rPr lang="es-ES_tradnl" sz="1200" baseline="0">
              <a:solidFill>
                <a:srgbClr val="FF0000"/>
              </a:solidFill>
              <a:latin typeface="+mn-lt"/>
              <a:ea typeface="+mn-ea"/>
              <a:cs typeface="+mn-cs"/>
            </a:rPr>
            <a:t>perejill. </a:t>
          </a:r>
          <a:endParaRPr lang="es-ES_tradnl" sz="12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endParaRPr lang="es-ES_tradn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13</xdr:row>
      <xdr:rowOff>152400</xdr:rowOff>
    </xdr:from>
    <xdr:to>
      <xdr:col>3</xdr:col>
      <xdr:colOff>685470</xdr:colOff>
      <xdr:row>18</xdr:row>
      <xdr:rowOff>84365</xdr:rowOff>
    </xdr:to>
    <xdr:sp macro="" textlink="">
      <xdr:nvSpPr>
        <xdr:cNvPr id="2" name="1 CuadroTexto"/>
        <xdr:cNvSpPr txBox="1"/>
      </xdr:nvSpPr>
      <xdr:spPr>
        <a:xfrm>
          <a:off x="1619250" y="4914900"/>
          <a:ext cx="2933370" cy="884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200">
              <a:solidFill>
                <a:schemeClr val="dk1"/>
              </a:solidFill>
              <a:latin typeface="+mn-lt"/>
              <a:ea typeface="+mn-ea"/>
              <a:cs typeface="+mn-cs"/>
            </a:rPr>
            <a:t>Dentro</a:t>
          </a:r>
          <a:r>
            <a:rPr lang="es-ES_tradnl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las frutas mas consumidas por los encuestados, en el mercado de alimentos agroecologicos  no se encuentran ofertado </a:t>
          </a:r>
          <a:r>
            <a:rPr lang="es-ES_tradnl" sz="1200" baseline="0">
              <a:solidFill>
                <a:srgbClr val="FF0000"/>
              </a:solidFill>
              <a:latin typeface="+mn-lt"/>
              <a:ea typeface="+mn-ea"/>
              <a:cs typeface="+mn-cs"/>
            </a:rPr>
            <a:t>la manzana, la piña, uva y pera.</a:t>
          </a:r>
          <a:endParaRPr lang="es-ES_tradnl" sz="12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endParaRPr lang="es-ES_tradn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7</xdr:col>
      <xdr:colOff>793337</xdr:colOff>
      <xdr:row>15</xdr:row>
      <xdr:rowOff>104775</xdr:rowOff>
    </xdr:to>
    <xdr:sp macro="" textlink="">
      <xdr:nvSpPr>
        <xdr:cNvPr id="2" name="1 CuadroTexto"/>
        <xdr:cNvSpPr txBox="1"/>
      </xdr:nvSpPr>
      <xdr:spPr>
        <a:xfrm>
          <a:off x="4095750" y="3429000"/>
          <a:ext cx="3079337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200">
              <a:solidFill>
                <a:schemeClr val="dk1"/>
              </a:solidFill>
              <a:latin typeface="+mn-lt"/>
              <a:ea typeface="+mn-ea"/>
              <a:cs typeface="+mn-cs"/>
            </a:rPr>
            <a:t>Dentro</a:t>
          </a:r>
          <a:r>
            <a:rPr lang="es-ES_tradnl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los granos  mas consumidas por los encuestados, en el mercado de alimentos agroecologicos  no se encuentran ofertado la </a:t>
          </a:r>
          <a:r>
            <a:rPr lang="es-ES_tradnl" sz="1200" baseline="0">
              <a:solidFill>
                <a:srgbClr val="FF0000"/>
              </a:solidFill>
              <a:latin typeface="+mn-lt"/>
              <a:ea typeface="+mn-ea"/>
              <a:cs typeface="+mn-cs"/>
            </a:rPr>
            <a:t>lenteja.</a:t>
          </a:r>
          <a:endParaRPr lang="es-ES_tradnl" sz="12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endParaRPr lang="es-ES_trad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opLeftCell="B4" workbookViewId="0">
      <selection activeCell="J20" sqref="J20"/>
    </sheetView>
  </sheetViews>
  <sheetFormatPr baseColWidth="10" defaultRowHeight="15"/>
  <cols>
    <col min="1" max="1" width="27.7109375" customWidth="1"/>
    <col min="2" max="2" width="18.85546875" customWidth="1"/>
    <col min="3" max="3" width="15.42578125" customWidth="1"/>
    <col min="4" max="4" width="16.7109375" customWidth="1"/>
    <col min="5" max="5" width="12.42578125" customWidth="1"/>
    <col min="8" max="8" width="21.85546875" customWidth="1"/>
    <col min="9" max="9" width="17.140625" customWidth="1"/>
  </cols>
  <sheetData>
    <row r="2" spans="1:14" ht="15" customHeight="1">
      <c r="A2" s="113" t="s">
        <v>49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4" ht="87.75" customHeight="1">
      <c r="A3" s="2" t="s">
        <v>0</v>
      </c>
      <c r="B3" s="2" t="s">
        <v>1</v>
      </c>
      <c r="C3" s="2" t="s">
        <v>47</v>
      </c>
      <c r="D3" s="2" t="s">
        <v>48</v>
      </c>
      <c r="E3" s="2" t="s">
        <v>3</v>
      </c>
      <c r="F3" s="40" t="s">
        <v>50</v>
      </c>
      <c r="G3" s="6" t="s">
        <v>51</v>
      </c>
      <c r="H3" s="16" t="s">
        <v>62</v>
      </c>
      <c r="I3" s="11" t="s">
        <v>53</v>
      </c>
      <c r="J3" s="62" t="s">
        <v>83</v>
      </c>
      <c r="K3" s="62" t="s">
        <v>84</v>
      </c>
    </row>
    <row r="4" spans="1:14">
      <c r="A4" s="73" t="s">
        <v>4</v>
      </c>
      <c r="B4" s="1">
        <v>400</v>
      </c>
      <c r="C4" s="3">
        <f>(B4*D4)/1000</f>
        <v>1.0608</v>
      </c>
      <c r="D4" s="3">
        <f>E4*1.2</f>
        <v>2.6519999999999997</v>
      </c>
      <c r="E4" s="3">
        <v>2.21</v>
      </c>
      <c r="F4" s="10">
        <f>D4-E4</f>
        <v>0.44199999999999973</v>
      </c>
      <c r="G4" s="8" t="s">
        <v>5</v>
      </c>
      <c r="H4" s="7">
        <f>(B4/1000)</f>
        <v>0.4</v>
      </c>
      <c r="I4" s="4">
        <f>H4*D4*4</f>
        <v>4.2431999999999999</v>
      </c>
      <c r="J4" s="63">
        <f>E4*H4*4</f>
        <v>3.536</v>
      </c>
      <c r="K4" s="63">
        <f>I4-J4</f>
        <v>0.70719999999999983</v>
      </c>
    </row>
    <row r="5" spans="1:14">
      <c r="A5" s="73" t="s">
        <v>6</v>
      </c>
      <c r="B5" s="1">
        <v>50</v>
      </c>
      <c r="C5" s="57">
        <f t="shared" ref="C5:C17" si="0">(B5*D5)/1000</f>
        <v>0.28799999999999998</v>
      </c>
      <c r="D5" s="57">
        <f t="shared" ref="D5:D17" si="1">E5*1.2</f>
        <v>5.76</v>
      </c>
      <c r="E5" s="3">
        <v>4.8</v>
      </c>
      <c r="F5" s="10">
        <f t="shared" ref="F5:F17" si="2">D5-E5</f>
        <v>0.96</v>
      </c>
      <c r="G5" s="8" t="s">
        <v>5</v>
      </c>
      <c r="H5" s="7">
        <f t="shared" ref="H5:H17" si="3">(B5/1000)</f>
        <v>0.05</v>
      </c>
      <c r="I5" s="4">
        <f t="shared" ref="I5:I17" si="4">H5*D5*4</f>
        <v>1.1519999999999999</v>
      </c>
      <c r="J5" s="63">
        <f t="shared" ref="J5:J17" si="5">E5*H5*4</f>
        <v>0.96</v>
      </c>
      <c r="K5" s="63">
        <f t="shared" ref="K5:K17" si="6">I5-J5</f>
        <v>0.19199999999999995</v>
      </c>
      <c r="L5" s="72"/>
    </row>
    <row r="6" spans="1:14">
      <c r="A6" s="73" t="s">
        <v>7</v>
      </c>
      <c r="B6" s="1">
        <v>400</v>
      </c>
      <c r="C6" s="57">
        <f t="shared" si="0"/>
        <v>1.0272000000000001</v>
      </c>
      <c r="D6" s="57">
        <f t="shared" si="1"/>
        <v>2.5680000000000001</v>
      </c>
      <c r="E6" s="3">
        <v>2.14</v>
      </c>
      <c r="F6" s="10">
        <f t="shared" si="2"/>
        <v>0.42799999999999994</v>
      </c>
      <c r="G6" s="8" t="s">
        <v>5</v>
      </c>
      <c r="H6" s="7">
        <f t="shared" si="3"/>
        <v>0.4</v>
      </c>
      <c r="I6" s="4">
        <f t="shared" si="4"/>
        <v>4.1088000000000005</v>
      </c>
      <c r="J6" s="63">
        <f t="shared" si="5"/>
        <v>3.4240000000000004</v>
      </c>
      <c r="K6" s="63">
        <f t="shared" si="6"/>
        <v>0.68480000000000008</v>
      </c>
      <c r="L6" s="72"/>
    </row>
    <row r="7" spans="1:14">
      <c r="A7" s="73" t="s">
        <v>8</v>
      </c>
      <c r="B7" s="1">
        <v>200</v>
      </c>
      <c r="C7" s="57">
        <f t="shared" si="0"/>
        <v>0.60239999999999982</v>
      </c>
      <c r="D7" s="57">
        <f t="shared" si="1"/>
        <v>3.0119999999999996</v>
      </c>
      <c r="E7" s="3">
        <v>2.5099999999999998</v>
      </c>
      <c r="F7" s="10">
        <f t="shared" si="2"/>
        <v>0.50199999999999978</v>
      </c>
      <c r="G7" s="8" t="s">
        <v>5</v>
      </c>
      <c r="H7" s="7">
        <f t="shared" si="3"/>
        <v>0.2</v>
      </c>
      <c r="I7" s="4">
        <f t="shared" si="4"/>
        <v>2.4095999999999997</v>
      </c>
      <c r="J7" s="63">
        <f t="shared" si="5"/>
        <v>2.008</v>
      </c>
      <c r="K7" s="63">
        <f t="shared" si="6"/>
        <v>0.40159999999999973</v>
      </c>
      <c r="L7" s="72"/>
    </row>
    <row r="8" spans="1:14">
      <c r="A8" s="73" t="s">
        <v>9</v>
      </c>
      <c r="B8" s="1">
        <v>1000</v>
      </c>
      <c r="C8" s="57">
        <f t="shared" si="0"/>
        <v>2.5920000000000001</v>
      </c>
      <c r="D8" s="57">
        <f t="shared" si="1"/>
        <v>2.5920000000000001</v>
      </c>
      <c r="E8" s="3">
        <v>2.16</v>
      </c>
      <c r="F8" s="10">
        <f t="shared" si="2"/>
        <v>0.43199999999999994</v>
      </c>
      <c r="G8" s="57" t="s">
        <v>5</v>
      </c>
      <c r="H8" s="7">
        <f t="shared" si="3"/>
        <v>1</v>
      </c>
      <c r="I8" s="4">
        <f t="shared" si="4"/>
        <v>10.368</v>
      </c>
      <c r="J8" s="63">
        <f t="shared" si="5"/>
        <v>8.64</v>
      </c>
      <c r="K8" s="63">
        <f t="shared" si="6"/>
        <v>1.7279999999999998</v>
      </c>
      <c r="L8" s="72"/>
      <c r="N8" s="71"/>
    </row>
    <row r="9" spans="1:14">
      <c r="A9" s="73" t="s">
        <v>10</v>
      </c>
      <c r="B9" s="1">
        <v>200</v>
      </c>
      <c r="C9" s="57">
        <f t="shared" si="0"/>
        <v>0.77279999999999993</v>
      </c>
      <c r="D9" s="57">
        <f t="shared" si="1"/>
        <v>3.8639999999999999</v>
      </c>
      <c r="E9" s="3">
        <v>3.22</v>
      </c>
      <c r="F9" s="10">
        <f t="shared" si="2"/>
        <v>0.64399999999999968</v>
      </c>
      <c r="G9" s="8" t="s">
        <v>5</v>
      </c>
      <c r="H9" s="7">
        <f t="shared" si="3"/>
        <v>0.2</v>
      </c>
      <c r="I9" s="4">
        <f t="shared" si="4"/>
        <v>3.0912000000000002</v>
      </c>
      <c r="J9" s="63">
        <f t="shared" si="5"/>
        <v>2.5760000000000005</v>
      </c>
      <c r="K9" s="63">
        <f t="shared" si="6"/>
        <v>0.51519999999999966</v>
      </c>
      <c r="L9" s="72"/>
      <c r="N9" s="71"/>
    </row>
    <row r="10" spans="1:14">
      <c r="A10" s="73" t="s">
        <v>11</v>
      </c>
      <c r="B10" s="1">
        <v>200</v>
      </c>
      <c r="C10" s="57">
        <f t="shared" si="0"/>
        <v>0.60719999999999996</v>
      </c>
      <c r="D10" s="57">
        <f t="shared" si="1"/>
        <v>3.0359999999999996</v>
      </c>
      <c r="E10" s="3">
        <v>2.5299999999999998</v>
      </c>
      <c r="F10" s="10">
        <f t="shared" si="2"/>
        <v>0.50599999999999978</v>
      </c>
      <c r="G10" s="8" t="s">
        <v>5</v>
      </c>
      <c r="H10" s="7">
        <f t="shared" si="3"/>
        <v>0.2</v>
      </c>
      <c r="I10" s="4">
        <f t="shared" si="4"/>
        <v>2.4287999999999998</v>
      </c>
      <c r="J10" s="63">
        <f t="shared" si="5"/>
        <v>2.024</v>
      </c>
      <c r="K10" s="63">
        <f t="shared" si="6"/>
        <v>0.40479999999999983</v>
      </c>
      <c r="L10" s="72"/>
      <c r="N10" s="71"/>
    </row>
    <row r="11" spans="1:14">
      <c r="A11" s="73" t="s">
        <v>12</v>
      </c>
      <c r="B11" s="1">
        <v>250</v>
      </c>
      <c r="C11" s="57">
        <f t="shared" si="0"/>
        <v>0.72</v>
      </c>
      <c r="D11" s="57">
        <f t="shared" si="1"/>
        <v>2.88</v>
      </c>
      <c r="E11" s="3">
        <v>2.4</v>
      </c>
      <c r="F11" s="10">
        <f t="shared" si="2"/>
        <v>0.48</v>
      </c>
      <c r="G11" s="8" t="s">
        <v>5</v>
      </c>
      <c r="H11" s="7">
        <f t="shared" si="3"/>
        <v>0.25</v>
      </c>
      <c r="I11" s="4">
        <f t="shared" si="4"/>
        <v>2.88</v>
      </c>
      <c r="J11" s="63">
        <f t="shared" si="5"/>
        <v>2.4</v>
      </c>
      <c r="K11" s="63">
        <f t="shared" si="6"/>
        <v>0.48</v>
      </c>
      <c r="L11" s="72"/>
      <c r="N11" s="71"/>
    </row>
    <row r="12" spans="1:14">
      <c r="A12" s="73" t="s">
        <v>14</v>
      </c>
      <c r="B12" s="1">
        <v>200</v>
      </c>
      <c r="C12" s="57">
        <f t="shared" si="0"/>
        <v>0.6167999999999999</v>
      </c>
      <c r="D12" s="57">
        <f t="shared" si="1"/>
        <v>3.0839999999999996</v>
      </c>
      <c r="E12" s="3">
        <v>2.57</v>
      </c>
      <c r="F12" s="10">
        <f t="shared" si="2"/>
        <v>0.51399999999999979</v>
      </c>
      <c r="G12" s="8" t="s">
        <v>5</v>
      </c>
      <c r="H12" s="7">
        <f t="shared" si="3"/>
        <v>0.2</v>
      </c>
      <c r="I12" s="4">
        <f t="shared" si="4"/>
        <v>2.4672000000000001</v>
      </c>
      <c r="J12" s="63">
        <f t="shared" si="5"/>
        <v>2.056</v>
      </c>
      <c r="K12" s="63">
        <f t="shared" si="6"/>
        <v>0.41120000000000001</v>
      </c>
      <c r="L12" s="72"/>
      <c r="N12" s="71"/>
    </row>
    <row r="13" spans="1:14">
      <c r="A13" s="73" t="s">
        <v>45</v>
      </c>
      <c r="B13" s="1">
        <v>450</v>
      </c>
      <c r="C13" s="57">
        <f t="shared" si="0"/>
        <v>1.0367999999999999</v>
      </c>
      <c r="D13" s="57">
        <f t="shared" si="1"/>
        <v>2.3039999999999998</v>
      </c>
      <c r="E13" s="3">
        <v>1.92</v>
      </c>
      <c r="F13" s="10">
        <f t="shared" si="2"/>
        <v>0.3839999999999999</v>
      </c>
      <c r="G13" s="8" t="s">
        <v>5</v>
      </c>
      <c r="H13" s="7">
        <f t="shared" si="3"/>
        <v>0.45</v>
      </c>
      <c r="I13" s="4">
        <f t="shared" si="4"/>
        <v>4.1471999999999998</v>
      </c>
      <c r="J13" s="63">
        <f t="shared" si="5"/>
        <v>3.456</v>
      </c>
      <c r="K13" s="63">
        <f t="shared" si="6"/>
        <v>0.69119999999999981</v>
      </c>
      <c r="L13" s="72"/>
      <c r="N13" s="71"/>
    </row>
    <row r="14" spans="1:14">
      <c r="A14" s="73" t="s">
        <v>16</v>
      </c>
      <c r="B14" s="1">
        <v>100</v>
      </c>
      <c r="C14" s="57">
        <f t="shared" si="0"/>
        <v>0.34200000000000003</v>
      </c>
      <c r="D14" s="57">
        <f t="shared" si="1"/>
        <v>3.42</v>
      </c>
      <c r="E14" s="3">
        <v>2.85</v>
      </c>
      <c r="F14" s="10">
        <f t="shared" si="2"/>
        <v>0.56999999999999984</v>
      </c>
      <c r="G14" s="8" t="s">
        <v>5</v>
      </c>
      <c r="H14" s="7">
        <f t="shared" si="3"/>
        <v>0.1</v>
      </c>
      <c r="I14" s="4">
        <f t="shared" si="4"/>
        <v>1.3680000000000001</v>
      </c>
      <c r="J14" s="63">
        <f t="shared" si="5"/>
        <v>1.1400000000000001</v>
      </c>
      <c r="K14" s="63">
        <f t="shared" si="6"/>
        <v>0.22799999999999998</v>
      </c>
      <c r="L14" s="72"/>
      <c r="N14" s="71"/>
    </row>
    <row r="15" spans="1:14">
      <c r="A15" s="73" t="s">
        <v>52</v>
      </c>
      <c r="B15" s="1">
        <v>200</v>
      </c>
      <c r="C15" s="57">
        <f t="shared" si="0"/>
        <v>0.49919999999999998</v>
      </c>
      <c r="D15" s="57">
        <f t="shared" si="1"/>
        <v>2.496</v>
      </c>
      <c r="E15" s="3">
        <v>2.08</v>
      </c>
      <c r="F15" s="10">
        <f t="shared" si="2"/>
        <v>0.41599999999999993</v>
      </c>
      <c r="G15" s="8" t="s">
        <v>5</v>
      </c>
      <c r="H15" s="7">
        <f t="shared" si="3"/>
        <v>0.2</v>
      </c>
      <c r="I15" s="4">
        <f t="shared" si="4"/>
        <v>1.9968000000000001</v>
      </c>
      <c r="J15" s="63">
        <f t="shared" si="5"/>
        <v>1.6640000000000001</v>
      </c>
      <c r="K15" s="63">
        <f t="shared" si="6"/>
        <v>0.33279999999999998</v>
      </c>
      <c r="L15" s="72"/>
      <c r="N15" s="71"/>
    </row>
    <row r="16" spans="1:14">
      <c r="A16" s="73" t="s">
        <v>17</v>
      </c>
      <c r="B16" s="1">
        <v>500</v>
      </c>
      <c r="C16" s="57">
        <f t="shared" si="0"/>
        <v>1.26</v>
      </c>
      <c r="D16" s="57">
        <f t="shared" si="1"/>
        <v>2.52</v>
      </c>
      <c r="E16" s="3">
        <v>2.1</v>
      </c>
      <c r="F16" s="10">
        <f t="shared" si="2"/>
        <v>0.41999999999999993</v>
      </c>
      <c r="G16" s="8" t="s">
        <v>5</v>
      </c>
      <c r="H16" s="7">
        <f t="shared" si="3"/>
        <v>0.5</v>
      </c>
      <c r="I16" s="4">
        <f t="shared" si="4"/>
        <v>5.04</v>
      </c>
      <c r="J16" s="63">
        <f t="shared" si="5"/>
        <v>4.2</v>
      </c>
      <c r="K16" s="63">
        <f t="shared" si="6"/>
        <v>0.83999999999999986</v>
      </c>
      <c r="L16" s="72"/>
      <c r="N16" s="71"/>
    </row>
    <row r="17" spans="1:14">
      <c r="A17" s="73" t="s">
        <v>18</v>
      </c>
      <c r="B17" s="1">
        <v>300</v>
      </c>
      <c r="C17" s="57">
        <f t="shared" si="0"/>
        <v>0.90720000000000001</v>
      </c>
      <c r="D17" s="57">
        <f t="shared" si="1"/>
        <v>3.024</v>
      </c>
      <c r="E17" s="3">
        <v>2.52</v>
      </c>
      <c r="F17" s="10">
        <f t="shared" si="2"/>
        <v>0.504</v>
      </c>
      <c r="G17" s="8" t="s">
        <v>5</v>
      </c>
      <c r="H17" s="12">
        <f t="shared" si="3"/>
        <v>0.3</v>
      </c>
      <c r="I17" s="4">
        <f t="shared" si="4"/>
        <v>3.6288</v>
      </c>
      <c r="J17" s="63">
        <f t="shared" si="5"/>
        <v>3.024</v>
      </c>
      <c r="K17" s="63">
        <f t="shared" si="6"/>
        <v>0.6048</v>
      </c>
      <c r="L17" s="72"/>
      <c r="N17" s="71"/>
    </row>
    <row r="18" spans="1:14">
      <c r="F18" s="93">
        <f>1.1*E4</f>
        <v>2.431</v>
      </c>
      <c r="H18" s="9" t="s">
        <v>54</v>
      </c>
      <c r="I18" s="13">
        <f>SUM(I4:I17)</f>
        <v>49.329599999999999</v>
      </c>
      <c r="J18" s="100">
        <f>SUM(J4:J17)</f>
        <v>41.108000000000004</v>
      </c>
      <c r="K18" s="55">
        <f>SUM(K4:K17)</f>
        <v>8.2215999999999987</v>
      </c>
      <c r="N18" s="71"/>
    </row>
    <row r="19" spans="1:14">
      <c r="I19" s="75">
        <v>42.62</v>
      </c>
      <c r="K19" s="55">
        <f>K18/4</f>
        <v>2.0553999999999997</v>
      </c>
      <c r="N19" s="71"/>
    </row>
    <row r="26" spans="1:14">
      <c r="C26" s="55"/>
      <c r="D26" s="55"/>
      <c r="E26" s="55"/>
      <c r="F26" s="55"/>
      <c r="G26" s="55"/>
      <c r="H26" s="55"/>
      <c r="I26" s="55"/>
      <c r="J26" s="55"/>
      <c r="K26" s="55"/>
    </row>
  </sheetData>
  <autoFilter ref="A3:G17">
    <sortState ref="A4:G20">
      <sortCondition ref="A3:A18"/>
    </sortState>
  </autoFilter>
  <mergeCells count="1">
    <mergeCell ref="A2:K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I10" sqref="I10"/>
    </sheetView>
  </sheetViews>
  <sheetFormatPr baseColWidth="10" defaultRowHeight="15"/>
  <cols>
    <col min="1" max="1" width="31.28515625" bestFit="1" customWidth="1"/>
    <col min="6" max="6" width="12.140625" customWidth="1"/>
    <col min="8" max="8" width="13.7109375" customWidth="1"/>
  </cols>
  <sheetData>
    <row r="1" spans="1:11">
      <c r="A1" s="113" t="s">
        <v>96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75">
      <c r="A2" s="6" t="s">
        <v>0</v>
      </c>
      <c r="B2" s="6" t="s">
        <v>1</v>
      </c>
      <c r="C2" s="6" t="s">
        <v>47</v>
      </c>
      <c r="D2" s="6" t="s">
        <v>48</v>
      </c>
      <c r="E2" s="6" t="s">
        <v>3</v>
      </c>
      <c r="F2" s="40" t="s">
        <v>50</v>
      </c>
      <c r="G2" s="6" t="s">
        <v>51</v>
      </c>
      <c r="H2" s="16" t="s">
        <v>62</v>
      </c>
      <c r="I2" s="26" t="s">
        <v>53</v>
      </c>
      <c r="J2" s="62" t="s">
        <v>83</v>
      </c>
      <c r="K2" s="40" t="s">
        <v>84</v>
      </c>
    </row>
    <row r="3" spans="1:11">
      <c r="A3" s="5" t="s">
        <v>55</v>
      </c>
      <c r="B3" s="21">
        <v>500</v>
      </c>
      <c r="C3" s="15">
        <f>(B3*D3)/1000</f>
        <v>0.76800000000000002</v>
      </c>
      <c r="D3" s="17">
        <f>E3*1.2</f>
        <v>1.536</v>
      </c>
      <c r="E3" s="5">
        <v>1.28</v>
      </c>
      <c r="F3" s="58">
        <f>D3-E3</f>
        <v>0.25600000000000001</v>
      </c>
      <c r="G3" s="24" t="s">
        <v>5</v>
      </c>
      <c r="H3" s="24">
        <v>3.5</v>
      </c>
      <c r="I3" s="4">
        <f>(H3*D3)*4</f>
        <v>21.504000000000001</v>
      </c>
      <c r="J3" s="57">
        <f>H3*E3*4</f>
        <v>17.920000000000002</v>
      </c>
      <c r="K3" s="63">
        <f>I3-J3</f>
        <v>3.5839999999999996</v>
      </c>
    </row>
    <row r="4" spans="1:11" s="14" customFormat="1">
      <c r="A4" s="23" t="s">
        <v>56</v>
      </c>
      <c r="B4" s="22">
        <v>450</v>
      </c>
      <c r="C4" s="15">
        <f t="shared" ref="C4:C9" si="0">(B4*D4)/1000</f>
        <v>1.1846714845961912</v>
      </c>
      <c r="D4" s="57">
        <f t="shared" ref="D4:D9" si="1">E4*1.2</f>
        <v>2.6326032991026471</v>
      </c>
      <c r="E4" s="20">
        <v>2.1938360825855394</v>
      </c>
      <c r="F4" s="58">
        <f t="shared" ref="F4:F9" si="2">D4-E4</f>
        <v>0.43876721651710771</v>
      </c>
      <c r="G4" s="24"/>
      <c r="H4" s="24">
        <f>B4/1000</f>
        <v>0.45</v>
      </c>
      <c r="I4" s="4">
        <f t="shared" ref="I4:I9" si="3">(H4*D4)*4</f>
        <v>4.7386859383847648</v>
      </c>
      <c r="J4" s="57">
        <f t="shared" ref="J4:J9" si="4">H4*E4*4</f>
        <v>3.9489049486539711</v>
      </c>
      <c r="K4" s="63">
        <f t="shared" ref="K4:K9" si="5">I4-J4</f>
        <v>0.78978098973079369</v>
      </c>
    </row>
    <row r="5" spans="1:11">
      <c r="A5" s="5" t="s">
        <v>57</v>
      </c>
      <c r="B5" s="21">
        <v>500</v>
      </c>
      <c r="C5" s="15">
        <f t="shared" si="0"/>
        <v>1.5</v>
      </c>
      <c r="D5" s="57">
        <f t="shared" si="1"/>
        <v>3</v>
      </c>
      <c r="E5" s="5">
        <v>2.5</v>
      </c>
      <c r="F5" s="58">
        <f t="shared" si="2"/>
        <v>0.5</v>
      </c>
      <c r="G5" s="24" t="s">
        <v>5</v>
      </c>
      <c r="H5" s="24">
        <f t="shared" ref="H5:H9" si="6">B5/1000</f>
        <v>0.5</v>
      </c>
      <c r="I5" s="4">
        <f t="shared" si="3"/>
        <v>6</v>
      </c>
      <c r="J5" s="57">
        <f t="shared" si="4"/>
        <v>5</v>
      </c>
      <c r="K5" s="63">
        <f t="shared" si="5"/>
        <v>1</v>
      </c>
    </row>
    <row r="6" spans="1:11">
      <c r="A6" s="15" t="s">
        <v>58</v>
      </c>
      <c r="B6" s="21">
        <v>500</v>
      </c>
      <c r="C6" s="15">
        <f t="shared" si="0"/>
        <v>1.1399999999999999</v>
      </c>
      <c r="D6" s="57">
        <f t="shared" si="1"/>
        <v>2.2799999999999998</v>
      </c>
      <c r="E6" s="5">
        <v>1.9</v>
      </c>
      <c r="F6" s="58">
        <f t="shared" si="2"/>
        <v>0.37999999999999989</v>
      </c>
      <c r="G6" s="24" t="s">
        <v>5</v>
      </c>
      <c r="H6" s="24">
        <f t="shared" si="6"/>
        <v>0.5</v>
      </c>
      <c r="I6" s="4">
        <f t="shared" si="3"/>
        <v>4.5599999999999996</v>
      </c>
      <c r="J6" s="57">
        <f t="shared" si="4"/>
        <v>3.8</v>
      </c>
      <c r="K6" s="63">
        <f t="shared" si="5"/>
        <v>0.75999999999999979</v>
      </c>
    </row>
    <row r="7" spans="1:11" s="14" customFormat="1">
      <c r="A7" s="18" t="s">
        <v>60</v>
      </c>
      <c r="B7" s="21">
        <v>500</v>
      </c>
      <c r="C7" s="15">
        <f t="shared" si="0"/>
        <v>1.3677600000000001</v>
      </c>
      <c r="D7" s="57">
        <f t="shared" si="1"/>
        <v>2.7355200000000002</v>
      </c>
      <c r="E7" s="19">
        <v>2.2796000000000003</v>
      </c>
      <c r="F7" s="58">
        <f t="shared" si="2"/>
        <v>0.45591999999999988</v>
      </c>
      <c r="G7" s="24" t="s">
        <v>5</v>
      </c>
      <c r="H7" s="24">
        <f t="shared" si="6"/>
        <v>0.5</v>
      </c>
      <c r="I7" s="4">
        <f t="shared" si="3"/>
        <v>5.4710400000000003</v>
      </c>
      <c r="J7" s="57">
        <f t="shared" si="4"/>
        <v>4.5592000000000006</v>
      </c>
      <c r="K7" s="63">
        <f t="shared" si="5"/>
        <v>0.91183999999999976</v>
      </c>
    </row>
    <row r="8" spans="1:11">
      <c r="A8" s="5" t="s">
        <v>59</v>
      </c>
      <c r="B8" s="21">
        <v>500</v>
      </c>
      <c r="C8" s="15">
        <f t="shared" si="0"/>
        <v>1.3080000000000001</v>
      </c>
      <c r="D8" s="57">
        <f t="shared" si="1"/>
        <v>2.6160000000000001</v>
      </c>
      <c r="E8" s="5">
        <v>2.1800000000000002</v>
      </c>
      <c r="F8" s="58">
        <f t="shared" si="2"/>
        <v>0.43599999999999994</v>
      </c>
      <c r="G8" s="24" t="s">
        <v>5</v>
      </c>
      <c r="H8" s="24">
        <f t="shared" si="6"/>
        <v>0.5</v>
      </c>
      <c r="I8" s="4">
        <f t="shared" si="3"/>
        <v>5.2320000000000002</v>
      </c>
      <c r="J8" s="57">
        <f t="shared" si="4"/>
        <v>4.3600000000000003</v>
      </c>
      <c r="K8" s="63">
        <f t="shared" si="5"/>
        <v>0.87199999999999989</v>
      </c>
    </row>
    <row r="9" spans="1:11">
      <c r="A9" s="5" t="s">
        <v>61</v>
      </c>
      <c r="B9" s="21">
        <v>500</v>
      </c>
      <c r="C9" s="15">
        <f t="shared" si="0"/>
        <v>1.224</v>
      </c>
      <c r="D9" s="57">
        <f t="shared" si="1"/>
        <v>2.448</v>
      </c>
      <c r="E9" s="5">
        <v>2.04</v>
      </c>
      <c r="F9" s="58">
        <f t="shared" si="2"/>
        <v>0.40799999999999992</v>
      </c>
      <c r="G9" s="24" t="s">
        <v>5</v>
      </c>
      <c r="H9" s="24">
        <f t="shared" si="6"/>
        <v>0.5</v>
      </c>
      <c r="I9" s="4">
        <f t="shared" si="3"/>
        <v>4.8959999999999999</v>
      </c>
      <c r="J9" s="57">
        <f t="shared" si="4"/>
        <v>4.08</v>
      </c>
      <c r="K9" s="63">
        <f t="shared" si="5"/>
        <v>0.81599999999999984</v>
      </c>
    </row>
    <row r="10" spans="1:11">
      <c r="H10" s="25" t="s">
        <v>54</v>
      </c>
      <c r="I10" s="13">
        <f>SUM(I3:I9)</f>
        <v>52.401725938384772</v>
      </c>
      <c r="J10" s="87">
        <f>SUM(J3:J9)</f>
        <v>43.668104948653976</v>
      </c>
      <c r="K10" s="55">
        <f>SUM(K3:K9)</f>
        <v>8.7336209897307917</v>
      </c>
    </row>
    <row r="11" spans="1:11">
      <c r="I11" s="75">
        <v>46.75</v>
      </c>
      <c r="K11" s="55">
        <f>K10/4</f>
        <v>2.1834052474326979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5"/>
  <sheetViews>
    <sheetView topLeftCell="A10" workbookViewId="0">
      <selection activeCell="C5" sqref="C5"/>
    </sheetView>
  </sheetViews>
  <sheetFormatPr baseColWidth="10" defaultRowHeight="15"/>
  <cols>
    <col min="1" max="1" width="22.5703125" customWidth="1"/>
    <col min="2" max="2" width="23" style="30" customWidth="1"/>
    <col min="3" max="3" width="12.140625" customWidth="1"/>
    <col min="4" max="4" width="11.42578125" customWidth="1"/>
    <col min="5" max="5" width="13" customWidth="1"/>
    <col min="6" max="6" width="13" style="39" customWidth="1"/>
    <col min="7" max="7" width="11.42578125" customWidth="1"/>
    <col min="8" max="8" width="14.5703125" customWidth="1"/>
    <col min="9" max="9" width="12.140625" customWidth="1"/>
    <col min="10" max="11" width="11.42578125" customWidth="1"/>
  </cols>
  <sheetData>
    <row r="2" spans="1:12">
      <c r="A2" s="114" t="s">
        <v>97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2" ht="75">
      <c r="A3" s="27" t="s">
        <v>0</v>
      </c>
      <c r="B3" s="37" t="s">
        <v>64</v>
      </c>
      <c r="C3" s="33" t="s">
        <v>65</v>
      </c>
      <c r="D3" s="27" t="s">
        <v>48</v>
      </c>
      <c r="E3" s="27" t="s">
        <v>3</v>
      </c>
      <c r="F3" s="40" t="s">
        <v>50</v>
      </c>
      <c r="G3" s="31" t="s">
        <v>2</v>
      </c>
      <c r="H3" s="27" t="s">
        <v>62</v>
      </c>
      <c r="I3" s="29" t="s">
        <v>53</v>
      </c>
      <c r="J3" s="62" t="s">
        <v>83</v>
      </c>
      <c r="K3" s="40" t="s">
        <v>84</v>
      </c>
      <c r="L3" s="103" t="s">
        <v>140</v>
      </c>
    </row>
    <row r="4" spans="1:12">
      <c r="A4" s="28" t="s">
        <v>4</v>
      </c>
      <c r="B4" s="36" t="s">
        <v>19</v>
      </c>
      <c r="C4" s="34">
        <f>D4*L4</f>
        <v>0.60563999999999996</v>
      </c>
      <c r="D4" s="35">
        <f>E4*1.2</f>
        <v>0.58799999999999997</v>
      </c>
      <c r="E4" s="41">
        <v>0.49</v>
      </c>
      <c r="F4" s="41">
        <f t="shared" ref="F4:F23" si="0">D4-E4</f>
        <v>9.7999999999999976E-2</v>
      </c>
      <c r="G4" s="32" t="s">
        <v>5</v>
      </c>
      <c r="H4" s="42">
        <v>1.03</v>
      </c>
      <c r="I4" s="67">
        <f t="shared" ref="I4:I23" si="1">H4*D4*4</f>
        <v>2.4225599999999998</v>
      </c>
      <c r="J4" s="57">
        <f>H4*E4*4</f>
        <v>2.0188000000000001</v>
      </c>
      <c r="K4" s="64">
        <f>I4-J4</f>
        <v>0.40375999999999967</v>
      </c>
      <c r="L4">
        <v>1.03</v>
      </c>
    </row>
    <row r="5" spans="1:12">
      <c r="A5" s="28" t="s">
        <v>6</v>
      </c>
      <c r="B5" s="36" t="s">
        <v>20</v>
      </c>
      <c r="C5" s="56">
        <f t="shared" ref="C5:C23" si="2">D5*L5</f>
        <v>0.36719999999999997</v>
      </c>
      <c r="D5" s="57">
        <f t="shared" ref="D5:D23" si="3">E5*1.2</f>
        <v>3.6719999999999997</v>
      </c>
      <c r="E5" s="41">
        <v>3.06</v>
      </c>
      <c r="F5" s="41">
        <f t="shared" si="0"/>
        <v>0.61199999999999966</v>
      </c>
      <c r="G5" s="32" t="s">
        <v>5</v>
      </c>
      <c r="H5" s="42">
        <v>0.1</v>
      </c>
      <c r="I5" s="67">
        <f t="shared" si="1"/>
        <v>1.4687999999999999</v>
      </c>
      <c r="J5" s="57">
        <f t="shared" ref="J5:J23" si="4">H5*E5*4</f>
        <v>1.2240000000000002</v>
      </c>
      <c r="K5" s="64">
        <f t="shared" ref="K5:K23" si="5">I5-J5</f>
        <v>0.24479999999999968</v>
      </c>
      <c r="L5">
        <v>0.1</v>
      </c>
    </row>
    <row r="6" spans="1:12">
      <c r="A6" s="28" t="s">
        <v>7</v>
      </c>
      <c r="B6" s="36" t="s">
        <v>21</v>
      </c>
      <c r="C6" s="56">
        <f t="shared" si="2"/>
        <v>0.49799999999999994</v>
      </c>
      <c r="D6" s="57">
        <f t="shared" si="3"/>
        <v>1.9919999999999998</v>
      </c>
      <c r="E6" s="41">
        <v>1.66</v>
      </c>
      <c r="F6" s="41">
        <f t="shared" si="0"/>
        <v>0.33199999999999985</v>
      </c>
      <c r="G6" s="32" t="s">
        <v>5</v>
      </c>
      <c r="H6" s="42">
        <v>0.25</v>
      </c>
      <c r="I6" s="67">
        <f t="shared" si="1"/>
        <v>1.9919999999999998</v>
      </c>
      <c r="J6" s="57">
        <f t="shared" si="4"/>
        <v>1.66</v>
      </c>
      <c r="K6" s="64">
        <f t="shared" si="5"/>
        <v>0.33199999999999985</v>
      </c>
      <c r="L6">
        <v>0.25</v>
      </c>
    </row>
    <row r="7" spans="1:12">
      <c r="A7" s="28" t="s">
        <v>8</v>
      </c>
      <c r="B7" s="36" t="s">
        <v>22</v>
      </c>
      <c r="C7" s="56">
        <f t="shared" si="2"/>
        <v>0.84083999999999992</v>
      </c>
      <c r="D7" s="57">
        <f t="shared" si="3"/>
        <v>0.92399999999999993</v>
      </c>
      <c r="E7" s="41">
        <v>0.77</v>
      </c>
      <c r="F7" s="41">
        <f t="shared" si="0"/>
        <v>0.15399999999999991</v>
      </c>
      <c r="G7" s="32" t="s">
        <v>5</v>
      </c>
      <c r="H7" s="42">
        <v>0.91</v>
      </c>
      <c r="I7" s="67">
        <f t="shared" si="1"/>
        <v>3.3633599999999997</v>
      </c>
      <c r="J7" s="57">
        <f t="shared" si="4"/>
        <v>2.8028</v>
      </c>
      <c r="K7" s="64">
        <f t="shared" si="5"/>
        <v>0.56055999999999973</v>
      </c>
      <c r="L7">
        <v>0.91</v>
      </c>
    </row>
    <row r="8" spans="1:12">
      <c r="A8" s="28" t="s">
        <v>23</v>
      </c>
      <c r="B8" s="36" t="s">
        <v>24</v>
      </c>
      <c r="C8" s="56">
        <f t="shared" si="2"/>
        <v>0.59148000000000001</v>
      </c>
      <c r="D8" s="57">
        <f t="shared" si="3"/>
        <v>0.372</v>
      </c>
      <c r="E8" s="41">
        <v>0.31</v>
      </c>
      <c r="F8" s="41">
        <f t="shared" si="0"/>
        <v>6.2E-2</v>
      </c>
      <c r="G8" s="32" t="s">
        <v>5</v>
      </c>
      <c r="H8" s="42">
        <v>1.59</v>
      </c>
      <c r="I8" s="67">
        <f t="shared" si="1"/>
        <v>2.36592</v>
      </c>
      <c r="J8" s="57">
        <f t="shared" si="4"/>
        <v>1.9716</v>
      </c>
      <c r="K8" s="64">
        <f t="shared" si="5"/>
        <v>0.39432</v>
      </c>
      <c r="L8">
        <v>1.59</v>
      </c>
    </row>
    <row r="9" spans="1:12">
      <c r="A9" s="28" t="s">
        <v>25</v>
      </c>
      <c r="B9" s="36" t="s">
        <v>26</v>
      </c>
      <c r="C9" s="56">
        <f t="shared" si="2"/>
        <v>0.59940000000000004</v>
      </c>
      <c r="D9" s="57">
        <f t="shared" si="3"/>
        <v>1.3320000000000001</v>
      </c>
      <c r="E9" s="41">
        <v>1.1100000000000001</v>
      </c>
      <c r="F9" s="41">
        <f t="shared" si="0"/>
        <v>0.22199999999999998</v>
      </c>
      <c r="G9" s="32" t="s">
        <v>5</v>
      </c>
      <c r="H9" s="42">
        <v>0.45</v>
      </c>
      <c r="I9" s="67">
        <f t="shared" si="1"/>
        <v>2.3976000000000002</v>
      </c>
      <c r="J9" s="57">
        <f t="shared" si="4"/>
        <v>1.9980000000000002</v>
      </c>
      <c r="K9" s="64">
        <f t="shared" si="5"/>
        <v>0.39959999999999996</v>
      </c>
      <c r="L9">
        <v>0.45</v>
      </c>
    </row>
    <row r="10" spans="1:12">
      <c r="A10" s="28" t="s">
        <v>12</v>
      </c>
      <c r="B10" s="36" t="s">
        <v>27</v>
      </c>
      <c r="C10" s="56">
        <f t="shared" si="2"/>
        <v>0.38880000000000003</v>
      </c>
      <c r="D10" s="57">
        <f t="shared" si="3"/>
        <v>0.97199999999999998</v>
      </c>
      <c r="E10" s="41">
        <v>0.81</v>
      </c>
      <c r="F10" s="41">
        <f t="shared" si="0"/>
        <v>0.16199999999999992</v>
      </c>
      <c r="G10" s="32" t="s">
        <v>5</v>
      </c>
      <c r="H10" s="42">
        <v>0.4</v>
      </c>
      <c r="I10" s="67">
        <f t="shared" si="1"/>
        <v>1.5552000000000001</v>
      </c>
      <c r="J10" s="57">
        <f t="shared" si="4"/>
        <v>1.2960000000000003</v>
      </c>
      <c r="K10" s="64">
        <f t="shared" si="5"/>
        <v>0.25919999999999987</v>
      </c>
      <c r="L10">
        <v>0.4</v>
      </c>
    </row>
    <row r="11" spans="1:12">
      <c r="A11" s="28" t="s">
        <v>13</v>
      </c>
      <c r="B11" s="36" t="s">
        <v>28</v>
      </c>
      <c r="C11" s="56">
        <f t="shared" si="2"/>
        <v>0.60020999999999991</v>
      </c>
      <c r="D11" s="57">
        <f t="shared" si="3"/>
        <v>1.4039999999999999</v>
      </c>
      <c r="E11" s="41">
        <v>1.17</v>
      </c>
      <c r="F11" s="41">
        <f t="shared" si="0"/>
        <v>0.23399999999999999</v>
      </c>
      <c r="G11" s="32" t="s">
        <v>5</v>
      </c>
      <c r="H11" s="42">
        <v>0.42749999999999999</v>
      </c>
      <c r="I11" s="67">
        <f t="shared" si="1"/>
        <v>2.4008399999999996</v>
      </c>
      <c r="J11" s="57">
        <f t="shared" si="4"/>
        <v>2.0006999999999997</v>
      </c>
      <c r="K11" s="64">
        <f t="shared" si="5"/>
        <v>0.40013999999999994</v>
      </c>
      <c r="L11">
        <v>0.42749999999999999</v>
      </c>
    </row>
    <row r="12" spans="1:12">
      <c r="A12" s="28" t="s">
        <v>30</v>
      </c>
      <c r="B12" s="38" t="s">
        <v>31</v>
      </c>
      <c r="C12" s="56">
        <f t="shared" si="2"/>
        <v>0.4158</v>
      </c>
      <c r="D12" s="57">
        <f t="shared" si="3"/>
        <v>0.92399999999999993</v>
      </c>
      <c r="E12" s="41">
        <v>0.77</v>
      </c>
      <c r="F12" s="41">
        <f t="shared" si="0"/>
        <v>0.15399999999999991</v>
      </c>
      <c r="G12" s="32" t="s">
        <v>5</v>
      </c>
      <c r="H12" s="43">
        <v>2.2666666666666648</v>
      </c>
      <c r="I12" s="67">
        <f t="shared" si="1"/>
        <v>8.3775999999999922</v>
      </c>
      <c r="J12" s="57">
        <f t="shared" si="4"/>
        <v>6.9813333333333283</v>
      </c>
      <c r="K12" s="64">
        <f t="shared" si="5"/>
        <v>1.3962666666666639</v>
      </c>
      <c r="L12">
        <v>0.45</v>
      </c>
    </row>
    <row r="13" spans="1:12">
      <c r="A13" s="28" t="s">
        <v>32</v>
      </c>
      <c r="B13" s="36" t="s">
        <v>26</v>
      </c>
      <c r="C13" s="56">
        <f t="shared" si="2"/>
        <v>0.8478</v>
      </c>
      <c r="D13" s="57">
        <f t="shared" si="3"/>
        <v>1.8839999999999999</v>
      </c>
      <c r="E13" s="41">
        <v>1.57</v>
      </c>
      <c r="F13" s="41">
        <f t="shared" si="0"/>
        <v>0.31399999999999983</v>
      </c>
      <c r="G13" s="32" t="s">
        <v>5</v>
      </c>
      <c r="H13" s="42">
        <v>0.45</v>
      </c>
      <c r="I13" s="67">
        <f t="shared" si="1"/>
        <v>3.3912</v>
      </c>
      <c r="J13" s="57">
        <f t="shared" si="4"/>
        <v>2.8260000000000001</v>
      </c>
      <c r="K13" s="64">
        <f t="shared" si="5"/>
        <v>0.56519999999999992</v>
      </c>
      <c r="L13">
        <v>0.45</v>
      </c>
    </row>
    <row r="14" spans="1:12">
      <c r="A14" s="28" t="s">
        <v>33</v>
      </c>
      <c r="B14" s="36" t="s">
        <v>26</v>
      </c>
      <c r="C14" s="56">
        <f t="shared" si="2"/>
        <v>0.59940000000000004</v>
      </c>
      <c r="D14" s="57">
        <f t="shared" si="3"/>
        <v>1.3320000000000001</v>
      </c>
      <c r="E14" s="41">
        <v>1.1100000000000001</v>
      </c>
      <c r="F14" s="41">
        <f t="shared" si="0"/>
        <v>0.22199999999999998</v>
      </c>
      <c r="G14" s="32" t="s">
        <v>5</v>
      </c>
      <c r="H14" s="42">
        <v>0.45</v>
      </c>
      <c r="I14" s="67">
        <f t="shared" si="1"/>
        <v>2.3976000000000002</v>
      </c>
      <c r="J14" s="57">
        <f t="shared" si="4"/>
        <v>1.9980000000000002</v>
      </c>
      <c r="K14" s="64">
        <f t="shared" si="5"/>
        <v>0.39959999999999996</v>
      </c>
      <c r="L14">
        <v>0.45</v>
      </c>
    </row>
    <row r="15" spans="1:12" ht="30">
      <c r="A15" s="28" t="s">
        <v>36</v>
      </c>
      <c r="B15" s="36" t="s">
        <v>37</v>
      </c>
      <c r="C15" s="56">
        <f t="shared" si="2"/>
        <v>0.6048</v>
      </c>
      <c r="D15" s="57">
        <f t="shared" si="3"/>
        <v>0.48</v>
      </c>
      <c r="E15" s="41">
        <v>0.4</v>
      </c>
      <c r="F15" s="41">
        <f t="shared" si="0"/>
        <v>7.999999999999996E-2</v>
      </c>
      <c r="G15" s="32" t="s">
        <v>5</v>
      </c>
      <c r="H15" s="42">
        <v>1.26</v>
      </c>
      <c r="I15" s="67">
        <f t="shared" si="1"/>
        <v>2.4192</v>
      </c>
      <c r="J15" s="57">
        <f t="shared" si="4"/>
        <v>2.016</v>
      </c>
      <c r="K15" s="64">
        <f t="shared" si="5"/>
        <v>0.4032</v>
      </c>
      <c r="L15">
        <v>1.26</v>
      </c>
    </row>
    <row r="16" spans="1:12">
      <c r="A16" s="28" t="s">
        <v>63</v>
      </c>
      <c r="B16" s="36" t="s">
        <v>38</v>
      </c>
      <c r="C16" s="56">
        <f t="shared" si="2"/>
        <v>0.41159999999999997</v>
      </c>
      <c r="D16" s="57">
        <f t="shared" si="3"/>
        <v>0.58799999999999997</v>
      </c>
      <c r="E16" s="41">
        <v>0.49</v>
      </c>
      <c r="F16" s="41">
        <f t="shared" si="0"/>
        <v>9.7999999999999976E-2</v>
      </c>
      <c r="G16" s="32" t="s">
        <v>5</v>
      </c>
      <c r="H16" s="42">
        <v>0.7</v>
      </c>
      <c r="I16" s="67">
        <f t="shared" si="1"/>
        <v>1.6463999999999999</v>
      </c>
      <c r="J16" s="57">
        <f t="shared" si="4"/>
        <v>1.3719999999999999</v>
      </c>
      <c r="K16" s="64">
        <f t="shared" si="5"/>
        <v>0.27439999999999998</v>
      </c>
      <c r="L16">
        <v>0.7</v>
      </c>
    </row>
    <row r="17" spans="1:12">
      <c r="A17" s="28" t="s">
        <v>41</v>
      </c>
      <c r="B17" s="36" t="s">
        <v>42</v>
      </c>
      <c r="C17" s="56">
        <f t="shared" si="2"/>
        <v>0.36036000000000001</v>
      </c>
      <c r="D17" s="57">
        <f t="shared" si="3"/>
        <v>5.1479999999999997</v>
      </c>
      <c r="E17" s="41">
        <v>4.29</v>
      </c>
      <c r="F17" s="41">
        <f t="shared" si="0"/>
        <v>0.85799999999999965</v>
      </c>
      <c r="G17" s="32" t="s">
        <v>5</v>
      </c>
      <c r="H17" s="42">
        <v>7.0000000000000007E-2</v>
      </c>
      <c r="I17" s="67">
        <f t="shared" si="1"/>
        <v>1.4414400000000001</v>
      </c>
      <c r="J17" s="57">
        <f t="shared" si="4"/>
        <v>1.2012</v>
      </c>
      <c r="K17" s="64">
        <f t="shared" si="5"/>
        <v>0.24024000000000001</v>
      </c>
      <c r="L17">
        <v>7.0000000000000007E-2</v>
      </c>
    </row>
    <row r="18" spans="1:12">
      <c r="A18" s="28" t="s">
        <v>11</v>
      </c>
      <c r="B18" s="36" t="s">
        <v>66</v>
      </c>
      <c r="C18" s="56">
        <f t="shared" si="2"/>
        <v>0.60384000000000004</v>
      </c>
      <c r="D18" s="57">
        <f t="shared" si="3"/>
        <v>0.88800000000000001</v>
      </c>
      <c r="E18" s="41">
        <v>0.74</v>
      </c>
      <c r="F18" s="41">
        <f t="shared" si="0"/>
        <v>0.14800000000000002</v>
      </c>
      <c r="G18" s="32" t="s">
        <v>5</v>
      </c>
      <c r="H18" s="42">
        <v>0.68</v>
      </c>
      <c r="I18" s="67">
        <f t="shared" si="1"/>
        <v>2.4153600000000002</v>
      </c>
      <c r="J18" s="57">
        <f t="shared" si="4"/>
        <v>2.0127999999999999</v>
      </c>
      <c r="K18" s="64">
        <f t="shared" si="5"/>
        <v>0.40256000000000025</v>
      </c>
      <c r="L18">
        <v>0.68</v>
      </c>
    </row>
    <row r="19" spans="1:12">
      <c r="A19" s="28" t="s">
        <v>45</v>
      </c>
      <c r="B19" s="36" t="s">
        <v>46</v>
      </c>
      <c r="C19" s="56">
        <f t="shared" si="2"/>
        <v>0.60563999999999996</v>
      </c>
      <c r="D19" s="57">
        <f t="shared" si="3"/>
        <v>0.58799999999999997</v>
      </c>
      <c r="E19" s="41">
        <v>0.49</v>
      </c>
      <c r="F19" s="41">
        <f t="shared" si="0"/>
        <v>9.7999999999999976E-2</v>
      </c>
      <c r="G19" s="32" t="s">
        <v>5</v>
      </c>
      <c r="H19" s="42">
        <v>1.03</v>
      </c>
      <c r="I19" s="67">
        <f t="shared" si="1"/>
        <v>2.4225599999999998</v>
      </c>
      <c r="J19" s="57">
        <f t="shared" si="4"/>
        <v>2.0188000000000001</v>
      </c>
      <c r="K19" s="64">
        <f t="shared" si="5"/>
        <v>0.40375999999999967</v>
      </c>
      <c r="L19">
        <v>1.03</v>
      </c>
    </row>
    <row r="20" spans="1:12" ht="30">
      <c r="A20" s="28" t="s">
        <v>15</v>
      </c>
      <c r="B20" s="36" t="s">
        <v>29</v>
      </c>
      <c r="C20" s="56">
        <f t="shared" si="2"/>
        <v>0.30059999999999998</v>
      </c>
      <c r="D20" s="57">
        <f t="shared" si="3"/>
        <v>2.004</v>
      </c>
      <c r="E20" s="41">
        <v>1.67</v>
      </c>
      <c r="F20" s="41">
        <f t="shared" si="0"/>
        <v>0.33400000000000007</v>
      </c>
      <c r="G20" s="32"/>
      <c r="H20" s="42">
        <v>0.15</v>
      </c>
      <c r="I20" s="67">
        <f t="shared" si="1"/>
        <v>1.2023999999999999</v>
      </c>
      <c r="J20" s="57">
        <f t="shared" si="4"/>
        <v>1.002</v>
      </c>
      <c r="K20" s="64">
        <f t="shared" si="5"/>
        <v>0.20039999999999991</v>
      </c>
      <c r="L20">
        <v>0.15</v>
      </c>
    </row>
    <row r="21" spans="1:12">
      <c r="A21" s="28" t="s">
        <v>34</v>
      </c>
      <c r="B21" s="36" t="s">
        <v>35</v>
      </c>
      <c r="C21" s="56">
        <f t="shared" si="2"/>
        <v>0.42119999999999996</v>
      </c>
      <c r="D21" s="57">
        <f t="shared" si="3"/>
        <v>0.93599999999999994</v>
      </c>
      <c r="E21" s="41">
        <v>0.78</v>
      </c>
      <c r="F21" s="41">
        <f t="shared" si="0"/>
        <v>0.15599999999999992</v>
      </c>
      <c r="G21" s="32"/>
      <c r="H21" s="42">
        <v>0.45</v>
      </c>
      <c r="I21" s="67">
        <f t="shared" si="1"/>
        <v>1.6847999999999999</v>
      </c>
      <c r="J21" s="57">
        <f t="shared" si="4"/>
        <v>1.4040000000000001</v>
      </c>
      <c r="K21" s="64">
        <f t="shared" si="5"/>
        <v>0.28079999999999972</v>
      </c>
      <c r="L21">
        <v>0.45</v>
      </c>
    </row>
    <row r="22" spans="1:12">
      <c r="A22" s="28" t="s">
        <v>39</v>
      </c>
      <c r="B22" s="36" t="s">
        <v>40</v>
      </c>
      <c r="C22" s="56">
        <f t="shared" si="2"/>
        <v>0.59928000000000003</v>
      </c>
      <c r="D22" s="57">
        <f t="shared" si="3"/>
        <v>0.13200000000000001</v>
      </c>
      <c r="E22" s="41">
        <v>0.11</v>
      </c>
      <c r="F22" s="41">
        <f t="shared" si="0"/>
        <v>2.2000000000000006E-2</v>
      </c>
      <c r="G22" s="32"/>
      <c r="H22" s="42">
        <v>4.54</v>
      </c>
      <c r="I22" s="67">
        <f t="shared" si="1"/>
        <v>2.3971200000000001</v>
      </c>
      <c r="J22" s="57">
        <f t="shared" si="4"/>
        <v>1.9976</v>
      </c>
      <c r="K22" s="64">
        <f t="shared" si="5"/>
        <v>0.3995200000000001</v>
      </c>
      <c r="L22">
        <v>4.54</v>
      </c>
    </row>
    <row r="23" spans="1:12">
      <c r="A23" s="28" t="s">
        <v>43</v>
      </c>
      <c r="B23" s="36" t="s">
        <v>44</v>
      </c>
      <c r="C23" s="56">
        <f t="shared" si="2"/>
        <v>0.59950799999999993</v>
      </c>
      <c r="D23" s="57">
        <f t="shared" si="3"/>
        <v>1.4039999999999999</v>
      </c>
      <c r="E23" s="41">
        <v>1.17</v>
      </c>
      <c r="F23" s="41">
        <f t="shared" si="0"/>
        <v>0.23399999999999999</v>
      </c>
      <c r="G23" s="32"/>
      <c r="H23" s="42">
        <v>0.42699999999999999</v>
      </c>
      <c r="I23" s="67">
        <f t="shared" si="1"/>
        <v>2.3980319999999997</v>
      </c>
      <c r="J23" s="57">
        <f t="shared" si="4"/>
        <v>1.9983599999999999</v>
      </c>
      <c r="K23" s="64">
        <f t="shared" si="5"/>
        <v>0.39967199999999981</v>
      </c>
      <c r="L23">
        <v>0.42699999999999999</v>
      </c>
    </row>
    <row r="24" spans="1:12">
      <c r="H24" s="46" t="s">
        <v>54</v>
      </c>
      <c r="I24" s="13">
        <f>SUM(I4:I23)</f>
        <v>50.159991999999995</v>
      </c>
      <c r="J24" s="87">
        <f>SUM(J4:J23)</f>
        <v>41.799993333333333</v>
      </c>
      <c r="K24" s="66">
        <f>SUM(K4:K23)</f>
        <v>8.3599986666666606</v>
      </c>
    </row>
    <row r="25" spans="1:12">
      <c r="I25" s="75">
        <v>42.62</v>
      </c>
      <c r="K25" s="65">
        <f>K24/4</f>
        <v>2.0899996666666651</v>
      </c>
    </row>
  </sheetData>
  <autoFilter ref="A3:I24">
    <sortState ref="A4:I27">
      <sortCondition ref="G3:G27"/>
    </sortState>
  </autoFilter>
  <mergeCells count="1">
    <mergeCell ref="A2:K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I13" sqref="I13"/>
    </sheetView>
  </sheetViews>
  <sheetFormatPr baseColWidth="10" defaultRowHeight="15"/>
  <cols>
    <col min="1" max="1" width="23.7109375" customWidth="1"/>
    <col min="2" max="2" width="17.7109375" customWidth="1"/>
    <col min="3" max="3" width="14.140625" customWidth="1"/>
    <col min="4" max="4" width="12.7109375" bestFit="1" customWidth="1"/>
    <col min="5" max="7" width="11.5703125" bestFit="1" customWidth="1"/>
    <col min="8" max="8" width="15.5703125" customWidth="1"/>
    <col min="9" max="11" width="11.5703125" bestFit="1" customWidth="1"/>
  </cols>
  <sheetData>
    <row r="1" spans="1:11">
      <c r="A1" s="114" t="s">
        <v>98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75">
      <c r="A2" s="40" t="s">
        <v>0</v>
      </c>
      <c r="B2" s="48" t="s">
        <v>64</v>
      </c>
      <c r="C2" s="40" t="s">
        <v>47</v>
      </c>
      <c r="D2" s="40" t="s">
        <v>48</v>
      </c>
      <c r="E2" s="40" t="s">
        <v>3</v>
      </c>
      <c r="F2" s="40" t="s">
        <v>50</v>
      </c>
      <c r="G2" s="40" t="s">
        <v>51</v>
      </c>
      <c r="H2" s="40" t="s">
        <v>62</v>
      </c>
      <c r="I2" s="44" t="s">
        <v>53</v>
      </c>
      <c r="J2" s="62" t="s">
        <v>85</v>
      </c>
      <c r="K2" s="40" t="s">
        <v>86</v>
      </c>
    </row>
    <row r="3" spans="1:11">
      <c r="A3" s="47" t="s">
        <v>67</v>
      </c>
      <c r="B3" s="52" t="s">
        <v>82</v>
      </c>
      <c r="C3" s="56">
        <f>D3*H3</f>
        <v>0.60192000000000001</v>
      </c>
      <c r="D3" s="61">
        <f>E3*1.2</f>
        <v>0.52800000000000002</v>
      </c>
      <c r="E3" s="53">
        <v>0.44</v>
      </c>
      <c r="F3" s="54">
        <f>D3-E3</f>
        <v>8.8000000000000023E-2</v>
      </c>
      <c r="G3" s="52" t="s">
        <v>5</v>
      </c>
      <c r="H3" s="61">
        <v>1.1399999999999999</v>
      </c>
      <c r="I3" s="67">
        <f>H3*4*D3</f>
        <v>2.40768</v>
      </c>
      <c r="J3" s="56">
        <f>E3*H3*4</f>
        <v>2.0063999999999997</v>
      </c>
      <c r="K3" s="64">
        <f>I3-J3</f>
        <v>0.4012800000000003</v>
      </c>
    </row>
    <row r="4" spans="1:11">
      <c r="A4" s="47" t="s">
        <v>68</v>
      </c>
      <c r="B4" s="51" t="s">
        <v>26</v>
      </c>
      <c r="C4" s="56">
        <f t="shared" ref="C4:C12" si="0">D4*H4</f>
        <v>1.2</v>
      </c>
      <c r="D4" s="61">
        <f t="shared" ref="D4:D12" si="1">E4*1.2</f>
        <v>2.6666666666666665</v>
      </c>
      <c r="E4" s="53">
        <v>2.2222222222222223</v>
      </c>
      <c r="F4" s="54">
        <f>D4-E4</f>
        <v>0.4444444444444442</v>
      </c>
      <c r="G4" s="52" t="s">
        <v>5</v>
      </c>
      <c r="H4" s="60">
        <v>0.45</v>
      </c>
      <c r="I4" s="67">
        <f t="shared" ref="I4:I12" si="2">H4*4*D4</f>
        <v>4.8</v>
      </c>
      <c r="J4" s="56">
        <f>E4*H4*4</f>
        <v>4</v>
      </c>
      <c r="K4" s="64">
        <f>I4-J4</f>
        <v>0.79999999999999982</v>
      </c>
    </row>
    <row r="5" spans="1:11" s="55" customFormat="1" ht="15" customHeight="1">
      <c r="A5" s="57" t="s">
        <v>69</v>
      </c>
      <c r="B5" s="57" t="s">
        <v>77</v>
      </c>
      <c r="C5" s="56">
        <f t="shared" si="0"/>
        <v>1.1998800000000001</v>
      </c>
      <c r="D5" s="61">
        <f t="shared" si="1"/>
        <v>21.815999999999999</v>
      </c>
      <c r="E5" s="57">
        <v>18.18</v>
      </c>
      <c r="F5" s="57">
        <f>D5-E5</f>
        <v>3.6359999999999992</v>
      </c>
      <c r="G5" s="57" t="s">
        <v>5</v>
      </c>
      <c r="H5" s="10">
        <v>5.5E-2</v>
      </c>
      <c r="I5" s="67">
        <f t="shared" si="2"/>
        <v>4.7995200000000002</v>
      </c>
      <c r="J5" s="56">
        <f>E5*H5*4</f>
        <v>3.9996</v>
      </c>
      <c r="K5" s="64">
        <f>I5-J5</f>
        <v>0.79992000000000019</v>
      </c>
    </row>
    <row r="6" spans="1:11">
      <c r="A6" s="76" t="s">
        <v>70</v>
      </c>
      <c r="B6" s="49">
        <v>10</v>
      </c>
      <c r="C6" s="56">
        <f t="shared" si="0"/>
        <v>0.39671039999999991</v>
      </c>
      <c r="D6" s="61">
        <f t="shared" si="1"/>
        <v>0.10439747368421051</v>
      </c>
      <c r="E6" s="54">
        <v>8.6997894736842094E-2</v>
      </c>
      <c r="F6" s="54">
        <v>8.6997896631579082E-3</v>
      </c>
      <c r="G6" s="58" t="s">
        <v>5</v>
      </c>
      <c r="H6" s="61">
        <v>3.8</v>
      </c>
      <c r="I6" s="67">
        <f t="shared" si="2"/>
        <v>1.5868415999999996</v>
      </c>
      <c r="J6" s="56">
        <f t="shared" ref="J6:J8" si="3">E6*H6*4</f>
        <v>1.3223679999999998</v>
      </c>
      <c r="K6" s="64">
        <f t="shared" ref="K6:K8" si="4">I6-J6</f>
        <v>0.26447359999999986</v>
      </c>
    </row>
    <row r="7" spans="1:11">
      <c r="A7" s="73" t="s">
        <v>71</v>
      </c>
      <c r="B7" s="51" t="s">
        <v>78</v>
      </c>
      <c r="C7" s="56">
        <f t="shared" si="0"/>
        <v>1.7999999999999998</v>
      </c>
      <c r="D7" s="61">
        <f t="shared" si="1"/>
        <v>0.6</v>
      </c>
      <c r="E7" s="53">
        <v>0.5</v>
      </c>
      <c r="F7" s="54">
        <f>D7-E7</f>
        <v>9.9999999999999978E-2</v>
      </c>
      <c r="G7" s="52" t="s">
        <v>5</v>
      </c>
      <c r="H7" s="60">
        <v>3</v>
      </c>
      <c r="I7" s="67">
        <f t="shared" si="2"/>
        <v>7.1999999999999993</v>
      </c>
      <c r="J7" s="56">
        <f t="shared" si="3"/>
        <v>6</v>
      </c>
      <c r="K7" s="64">
        <f t="shared" si="4"/>
        <v>1.1999999999999993</v>
      </c>
    </row>
    <row r="8" spans="1:11">
      <c r="A8" s="73" t="s">
        <v>72</v>
      </c>
      <c r="B8" s="50" t="s">
        <v>79</v>
      </c>
      <c r="C8" s="56">
        <f t="shared" si="0"/>
        <v>1.2</v>
      </c>
      <c r="D8" s="61">
        <f t="shared" si="1"/>
        <v>2.6666666666666665</v>
      </c>
      <c r="E8" s="53">
        <v>2.2222222222222223</v>
      </c>
      <c r="F8" s="54">
        <f>D8-E8</f>
        <v>0.4444444444444442</v>
      </c>
      <c r="G8" s="52" t="s">
        <v>5</v>
      </c>
      <c r="H8" s="60">
        <v>0.45</v>
      </c>
      <c r="I8" s="67">
        <f t="shared" si="2"/>
        <v>4.8</v>
      </c>
      <c r="J8" s="56">
        <f t="shared" si="3"/>
        <v>4</v>
      </c>
      <c r="K8" s="64">
        <f t="shared" si="4"/>
        <v>0.79999999999999982</v>
      </c>
    </row>
    <row r="9" spans="1:11" ht="15" customHeight="1">
      <c r="A9" s="73" t="s">
        <v>73</v>
      </c>
      <c r="B9" s="50" t="s">
        <v>80</v>
      </c>
      <c r="C9" s="56">
        <f t="shared" si="0"/>
        <v>1.2</v>
      </c>
      <c r="D9" s="61">
        <f t="shared" si="1"/>
        <v>2.4</v>
      </c>
      <c r="E9" s="53">
        <v>2</v>
      </c>
      <c r="F9" s="54">
        <f>D9-E9</f>
        <v>0.39999999999999991</v>
      </c>
      <c r="G9" s="52" t="s">
        <v>5</v>
      </c>
      <c r="H9" s="60">
        <v>0.5</v>
      </c>
      <c r="I9" s="67">
        <f t="shared" si="2"/>
        <v>4.8</v>
      </c>
      <c r="J9" s="56">
        <f>E9*H9*4</f>
        <v>4</v>
      </c>
      <c r="K9" s="64">
        <f>I9-J9</f>
        <v>0.79999999999999982</v>
      </c>
    </row>
    <row r="10" spans="1:11">
      <c r="A10" s="58" t="s">
        <v>74</v>
      </c>
      <c r="B10" s="58">
        <v>10</v>
      </c>
      <c r="C10" s="56">
        <f t="shared" si="0"/>
        <v>0.19199999999999995</v>
      </c>
      <c r="D10" s="61">
        <f t="shared" si="1"/>
        <v>0.27428571428571424</v>
      </c>
      <c r="E10" s="53">
        <v>0.22857142857142854</v>
      </c>
      <c r="F10" s="54">
        <v>2.2857143028571426E-2</v>
      </c>
      <c r="G10" s="52"/>
      <c r="H10" s="60">
        <v>0.7</v>
      </c>
      <c r="I10" s="67">
        <f t="shared" si="2"/>
        <v>0.76799999999999979</v>
      </c>
      <c r="J10" s="56">
        <f>E10*H10*4</f>
        <v>0.6399999999999999</v>
      </c>
      <c r="K10" s="64">
        <f>I10-J10</f>
        <v>0.12799999999999989</v>
      </c>
    </row>
    <row r="11" spans="1:11" ht="15" customHeight="1">
      <c r="A11" s="47" t="s">
        <v>75</v>
      </c>
      <c r="B11" s="51">
        <v>5</v>
      </c>
      <c r="C11" s="56">
        <f t="shared" si="0"/>
        <v>1.2</v>
      </c>
      <c r="D11" s="61">
        <f t="shared" si="1"/>
        <v>1.2</v>
      </c>
      <c r="E11" s="53">
        <v>1</v>
      </c>
      <c r="F11" s="54">
        <f>D11-E11</f>
        <v>0.19999999999999996</v>
      </c>
      <c r="G11" s="52"/>
      <c r="H11" s="60">
        <v>1</v>
      </c>
      <c r="I11" s="67">
        <f t="shared" si="2"/>
        <v>4.8</v>
      </c>
      <c r="J11" s="56">
        <f>E11*H11*4</f>
        <v>4</v>
      </c>
      <c r="K11" s="64">
        <f>I11-J11</f>
        <v>0.79999999999999982</v>
      </c>
    </row>
    <row r="12" spans="1:11" ht="15" customHeight="1">
      <c r="A12" s="58" t="s">
        <v>76</v>
      </c>
      <c r="B12" s="58" t="s">
        <v>81</v>
      </c>
      <c r="C12" s="56">
        <f t="shared" si="0"/>
        <v>1.2</v>
      </c>
      <c r="D12" s="61">
        <f t="shared" si="1"/>
        <v>8</v>
      </c>
      <c r="E12" s="53">
        <v>6.666666666666667</v>
      </c>
      <c r="F12" s="54">
        <f>D12-E12</f>
        <v>1.333333333333333</v>
      </c>
      <c r="G12" s="52" t="s">
        <v>5</v>
      </c>
      <c r="H12" s="60">
        <v>0.15</v>
      </c>
      <c r="I12" s="67">
        <f t="shared" si="2"/>
        <v>4.8</v>
      </c>
      <c r="J12" s="56">
        <f t="shared" ref="J12" si="5">E12*H12*4</f>
        <v>4</v>
      </c>
      <c r="K12" s="64">
        <f>I12-J12</f>
        <v>0.79999999999999982</v>
      </c>
    </row>
    <row r="13" spans="1:11">
      <c r="C13" s="45"/>
      <c r="H13" s="74" t="s">
        <v>54</v>
      </c>
      <c r="I13" s="112">
        <f>SUM(I3:I12)</f>
        <v>40.762041599999996</v>
      </c>
      <c r="J13" s="101">
        <f>SUM(J3:J12)</f>
        <v>33.968367999999998</v>
      </c>
      <c r="K13">
        <f>SUBTOTAL(9,K3:K12)</f>
        <v>6.7936735999999991</v>
      </c>
    </row>
    <row r="14" spans="1:11">
      <c r="I14" s="75">
        <v>38.72</v>
      </c>
      <c r="K14">
        <f>K13/4</f>
        <v>1.6984183999999998</v>
      </c>
    </row>
    <row r="20" spans="4:9">
      <c r="D20" s="55"/>
      <c r="E20" s="55"/>
      <c r="F20" s="55"/>
      <c r="G20" s="55"/>
      <c r="H20" s="55"/>
      <c r="I20" s="55"/>
    </row>
  </sheetData>
  <autoFilter ref="A2:I14"/>
  <mergeCells count="1">
    <mergeCell ref="A1:K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I10" sqref="I10"/>
    </sheetView>
  </sheetViews>
  <sheetFormatPr baseColWidth="10" defaultRowHeight="15"/>
  <cols>
    <col min="1" max="1" width="15.85546875" customWidth="1"/>
    <col min="2" max="2" width="15.28515625" customWidth="1"/>
    <col min="8" max="8" width="14.140625" customWidth="1"/>
    <col min="9" max="10" width="11.5703125" bestFit="1" customWidth="1"/>
  </cols>
  <sheetData>
    <row r="1" spans="1:12">
      <c r="A1" s="114" t="s">
        <v>99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2" ht="75">
      <c r="A2" s="40" t="s">
        <v>0</v>
      </c>
      <c r="B2" s="68" t="s">
        <v>64</v>
      </c>
      <c r="C2" s="62" t="s">
        <v>47</v>
      </c>
      <c r="D2" s="62" t="s">
        <v>48</v>
      </c>
      <c r="E2" s="62" t="s">
        <v>3</v>
      </c>
      <c r="F2" s="62" t="s">
        <v>50</v>
      </c>
      <c r="G2" s="62" t="s">
        <v>51</v>
      </c>
      <c r="H2" s="62" t="s">
        <v>62</v>
      </c>
      <c r="I2" s="69" t="s">
        <v>53</v>
      </c>
      <c r="J2" s="62" t="s">
        <v>85</v>
      </c>
      <c r="K2" s="62" t="s">
        <v>86</v>
      </c>
      <c r="L2" s="103" t="s">
        <v>140</v>
      </c>
    </row>
    <row r="3" spans="1:12">
      <c r="A3" s="59" t="s">
        <v>87</v>
      </c>
      <c r="B3" s="59" t="s">
        <v>92</v>
      </c>
      <c r="C3" s="56">
        <f>D3*L3</f>
        <v>0.48</v>
      </c>
      <c r="D3" s="56">
        <f>E3*1.2</f>
        <v>1.0666666666666667</v>
      </c>
      <c r="E3" s="60">
        <v>0.88888888888888895</v>
      </c>
      <c r="F3" s="61">
        <f>(D3-E3)</f>
        <v>0.1777777777777777</v>
      </c>
      <c r="G3" s="58" t="s">
        <v>5</v>
      </c>
      <c r="H3" s="57">
        <v>3.18</v>
      </c>
      <c r="I3" s="67">
        <f>H3*D3*4</f>
        <v>13.568</v>
      </c>
      <c r="J3" s="56">
        <f>(E3*4*H3)</f>
        <v>11.306666666666668</v>
      </c>
      <c r="K3" s="56">
        <f>I3-J3</f>
        <v>2.2613333333333312</v>
      </c>
      <c r="L3">
        <v>0.45</v>
      </c>
    </row>
    <row r="4" spans="1:12">
      <c r="A4" s="59" t="s">
        <v>56</v>
      </c>
      <c r="B4" s="59" t="s">
        <v>92</v>
      </c>
      <c r="C4" s="56">
        <f t="shared" ref="C4:C9" si="0">D4*L4</f>
        <v>1.7999999999999998</v>
      </c>
      <c r="D4" s="56">
        <f t="shared" ref="D4:D9" si="1">E4*1.2</f>
        <v>3.9999999999999996</v>
      </c>
      <c r="E4" s="60">
        <v>3.333333333333333</v>
      </c>
      <c r="F4" s="61">
        <f t="shared" ref="F4:F9" si="2">(D4-E4)</f>
        <v>0.66666666666666652</v>
      </c>
      <c r="G4" s="58"/>
      <c r="H4" s="57">
        <v>0.45</v>
      </c>
      <c r="I4" s="67">
        <f t="shared" ref="I4:I9" si="3">H4*D4*4</f>
        <v>7.1999999999999993</v>
      </c>
      <c r="J4" s="56">
        <f t="shared" ref="J4:J9" si="4">(E4*4*H4)</f>
        <v>6</v>
      </c>
      <c r="K4" s="56">
        <f t="shared" ref="K4:K9" si="5">I4-J4</f>
        <v>1.1999999999999993</v>
      </c>
      <c r="L4">
        <v>0.45</v>
      </c>
    </row>
    <row r="5" spans="1:12" ht="30">
      <c r="A5" s="59" t="s">
        <v>88</v>
      </c>
      <c r="B5" s="59" t="s">
        <v>93</v>
      </c>
      <c r="C5" s="56">
        <f t="shared" si="0"/>
        <v>0.93576000000000004</v>
      </c>
      <c r="D5" s="56">
        <f t="shared" si="1"/>
        <v>1.8715200000000001</v>
      </c>
      <c r="E5" s="60">
        <v>1.5596000000000001</v>
      </c>
      <c r="F5" s="61">
        <f t="shared" si="2"/>
        <v>0.31191999999999998</v>
      </c>
      <c r="G5" s="58" t="s">
        <v>5</v>
      </c>
      <c r="H5" s="57">
        <v>0.5</v>
      </c>
      <c r="I5" s="67">
        <f t="shared" si="3"/>
        <v>3.7430400000000001</v>
      </c>
      <c r="J5" s="56">
        <f t="shared" si="4"/>
        <v>3.1192000000000002</v>
      </c>
      <c r="K5" s="56">
        <f t="shared" si="5"/>
        <v>0.62383999999999995</v>
      </c>
      <c r="L5">
        <v>0.5</v>
      </c>
    </row>
    <row r="6" spans="1:12">
      <c r="A6" s="59" t="s">
        <v>58</v>
      </c>
      <c r="B6" s="59" t="s">
        <v>26</v>
      </c>
      <c r="C6" s="56">
        <f t="shared" si="0"/>
        <v>0.84818399999999994</v>
      </c>
      <c r="D6" s="56">
        <f t="shared" si="1"/>
        <v>1.8848533333333333</v>
      </c>
      <c r="E6" s="60">
        <v>1.5707111111111112</v>
      </c>
      <c r="F6" s="61">
        <f t="shared" si="2"/>
        <v>0.3141422222222221</v>
      </c>
      <c r="G6" s="58" t="s">
        <v>5</v>
      </c>
      <c r="H6" s="57">
        <v>0.45</v>
      </c>
      <c r="I6" s="67">
        <f t="shared" si="3"/>
        <v>3.3927359999999998</v>
      </c>
      <c r="J6" s="56">
        <f t="shared" si="4"/>
        <v>2.82728</v>
      </c>
      <c r="K6" s="56">
        <f t="shared" si="5"/>
        <v>0.56545599999999974</v>
      </c>
      <c r="L6">
        <v>0.45</v>
      </c>
    </row>
    <row r="7" spans="1:12" ht="30">
      <c r="A7" s="59" t="s">
        <v>89</v>
      </c>
      <c r="B7" s="59" t="s">
        <v>94</v>
      </c>
      <c r="C7" s="56">
        <f t="shared" si="0"/>
        <v>0.6</v>
      </c>
      <c r="D7" s="56">
        <f t="shared" si="1"/>
        <v>1.3333333333333333</v>
      </c>
      <c r="E7" s="60">
        <v>1.1111111111111112</v>
      </c>
      <c r="F7" s="61">
        <f t="shared" si="2"/>
        <v>0.2222222222222221</v>
      </c>
      <c r="G7" s="58" t="s">
        <v>5</v>
      </c>
      <c r="H7" s="57">
        <v>0.45</v>
      </c>
      <c r="I7" s="67">
        <f t="shared" si="3"/>
        <v>2.4</v>
      </c>
      <c r="J7" s="56">
        <f t="shared" si="4"/>
        <v>2</v>
      </c>
      <c r="K7" s="56">
        <f t="shared" si="5"/>
        <v>0.39999999999999991</v>
      </c>
      <c r="L7">
        <v>0.45</v>
      </c>
    </row>
    <row r="8" spans="1:12">
      <c r="A8" s="59" t="s">
        <v>90</v>
      </c>
      <c r="B8" s="59" t="s">
        <v>26</v>
      </c>
      <c r="C8" s="56">
        <f t="shared" si="0"/>
        <v>0.57218400000000003</v>
      </c>
      <c r="D8" s="56">
        <f t="shared" si="1"/>
        <v>1.27152</v>
      </c>
      <c r="E8" s="60">
        <v>1.0596000000000001</v>
      </c>
      <c r="F8" s="61">
        <f t="shared" si="2"/>
        <v>0.21191999999999989</v>
      </c>
      <c r="G8" s="58" t="s">
        <v>5</v>
      </c>
      <c r="H8" s="57">
        <v>0.45</v>
      </c>
      <c r="I8" s="67">
        <f t="shared" si="3"/>
        <v>2.2887360000000001</v>
      </c>
      <c r="J8" s="56">
        <f t="shared" si="4"/>
        <v>1.9072800000000003</v>
      </c>
      <c r="K8" s="56">
        <f t="shared" si="5"/>
        <v>0.3814559999999998</v>
      </c>
      <c r="L8">
        <v>0.45</v>
      </c>
    </row>
    <row r="9" spans="1:12">
      <c r="A9" s="59" t="s">
        <v>91</v>
      </c>
      <c r="B9" s="59" t="s">
        <v>95</v>
      </c>
      <c r="C9" s="56">
        <f t="shared" si="0"/>
        <v>0.3</v>
      </c>
      <c r="D9" s="56">
        <f t="shared" si="1"/>
        <v>1.3043478260869563</v>
      </c>
      <c r="E9" s="60">
        <v>1.0869565217391304</v>
      </c>
      <c r="F9" s="61">
        <f t="shared" si="2"/>
        <v>0.21739130434782594</v>
      </c>
      <c r="G9" s="58" t="s">
        <v>5</v>
      </c>
      <c r="H9" s="57">
        <v>0.23</v>
      </c>
      <c r="I9" s="67">
        <f t="shared" si="3"/>
        <v>1.2</v>
      </c>
      <c r="J9" s="56">
        <f t="shared" si="4"/>
        <v>1</v>
      </c>
      <c r="K9" s="56">
        <f t="shared" si="5"/>
        <v>0.19999999999999996</v>
      </c>
      <c r="L9">
        <v>0.23</v>
      </c>
    </row>
    <row r="10" spans="1:12">
      <c r="C10" s="45"/>
      <c r="D10" s="45"/>
      <c r="H10" s="74" t="s">
        <v>54</v>
      </c>
      <c r="I10" s="112">
        <f>SUM(I3:I9)</f>
        <v>33.792512000000002</v>
      </c>
      <c r="J10" s="89">
        <f>SUM(J3:J9)</f>
        <v>28.160426666666666</v>
      </c>
      <c r="K10" s="66">
        <f>SUM(K3:K9)</f>
        <v>5.6320853333333298</v>
      </c>
    </row>
    <row r="11" spans="1:12">
      <c r="I11" s="75">
        <v>46.75</v>
      </c>
      <c r="K11" s="70">
        <f>K10/4</f>
        <v>1.4080213333333325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62"/>
  <sheetViews>
    <sheetView tabSelected="1" topLeftCell="A40" workbookViewId="0">
      <selection activeCell="E12" sqref="E12"/>
    </sheetView>
  </sheetViews>
  <sheetFormatPr baseColWidth="10" defaultRowHeight="15"/>
  <cols>
    <col min="2" max="2" width="52.7109375" customWidth="1"/>
    <col min="3" max="3" width="31.5703125" customWidth="1"/>
    <col min="4" max="4" width="17.28515625" customWidth="1"/>
    <col min="5" max="5" width="14.5703125" bestFit="1" customWidth="1"/>
  </cols>
  <sheetData>
    <row r="3" spans="2:4">
      <c r="B3" s="79" t="s">
        <v>100</v>
      </c>
      <c r="C3" s="79" t="s">
        <v>101</v>
      </c>
    </row>
    <row r="4" spans="2:4">
      <c r="B4" s="80" t="s">
        <v>102</v>
      </c>
      <c r="C4" s="81">
        <v>1.9E-2</v>
      </c>
    </row>
    <row r="5" spans="2:4">
      <c r="B5" s="80" t="s">
        <v>103</v>
      </c>
      <c r="C5" s="81">
        <v>0.112</v>
      </c>
    </row>
    <row r="6" spans="2:4">
      <c r="B6" s="80" t="s">
        <v>104</v>
      </c>
      <c r="C6" s="81">
        <v>0.22800000000000001</v>
      </c>
    </row>
    <row r="7" spans="2:4">
      <c r="B7" s="80" t="s">
        <v>105</v>
      </c>
      <c r="C7" s="81">
        <v>0.49299999999999999</v>
      </c>
    </row>
    <row r="8" spans="2:4">
      <c r="B8" s="80" t="s">
        <v>106</v>
      </c>
      <c r="C8" s="81">
        <v>0.14899999999999999</v>
      </c>
    </row>
    <row r="9" spans="2:4">
      <c r="B9" s="78" t="s">
        <v>107</v>
      </c>
    </row>
    <row r="11" spans="2:4" ht="15.75">
      <c r="B11" s="77"/>
    </row>
    <row r="12" spans="2:4" ht="28.5">
      <c r="B12" s="81" t="s">
        <v>108</v>
      </c>
      <c r="C12" s="104">
        <v>112998.81</v>
      </c>
      <c r="D12" t="s">
        <v>141</v>
      </c>
    </row>
    <row r="13" spans="2:4">
      <c r="B13" s="92" t="s">
        <v>109</v>
      </c>
      <c r="C13" s="92">
        <v>0.02</v>
      </c>
    </row>
    <row r="14" spans="2:4">
      <c r="B14" s="82" t="s">
        <v>110</v>
      </c>
      <c r="C14" s="105">
        <f>C12*C13</f>
        <v>2259.9762000000001</v>
      </c>
      <c r="D14" s="72" t="s">
        <v>142</v>
      </c>
    </row>
    <row r="15" spans="2:4">
      <c r="B15" s="72"/>
      <c r="C15" s="72"/>
    </row>
    <row r="16" spans="2:4" ht="28.5">
      <c r="B16" s="81" t="s">
        <v>113</v>
      </c>
      <c r="C16" s="83">
        <v>0.4103</v>
      </c>
    </row>
    <row r="17" spans="2:5" ht="28.5">
      <c r="B17" s="81" t="s">
        <v>114</v>
      </c>
      <c r="C17" s="83">
        <v>0.5897</v>
      </c>
    </row>
    <row r="18" spans="2:5" ht="30">
      <c r="B18" s="84" t="s">
        <v>112</v>
      </c>
      <c r="C18" s="85">
        <f>C14*C16</f>
        <v>927.26823486000001</v>
      </c>
      <c r="D18" t="s">
        <v>143</v>
      </c>
    </row>
    <row r="19" spans="2:5" ht="30">
      <c r="B19" s="84" t="s">
        <v>111</v>
      </c>
      <c r="C19" s="85">
        <f>C14*C17</f>
        <v>1332.7079651399999</v>
      </c>
      <c r="D19" t="s">
        <v>143</v>
      </c>
    </row>
    <row r="23" spans="2:5" ht="30">
      <c r="B23" s="95" t="s">
        <v>112</v>
      </c>
      <c r="C23" s="85">
        <f>C18</f>
        <v>927.26823486000001</v>
      </c>
      <c r="D23" t="s">
        <v>143</v>
      </c>
    </row>
    <row r="24" spans="2:5">
      <c r="B24" s="96" t="s">
        <v>134</v>
      </c>
      <c r="C24" s="97">
        <f>69/103</f>
        <v>0.66990291262135926</v>
      </c>
      <c r="D24" s="88">
        <f>$C$23*C24</f>
        <v>621.17969131398058</v>
      </c>
      <c r="E24" s="99" t="s">
        <v>137</v>
      </c>
    </row>
    <row r="25" spans="2:5">
      <c r="B25" s="96" t="s">
        <v>135</v>
      </c>
      <c r="C25" s="98">
        <f>22/103</f>
        <v>0.21359223300970873</v>
      </c>
      <c r="D25" s="88">
        <f>$C$23*C25</f>
        <v>198.05729288271843</v>
      </c>
      <c r="E25" s="99" t="s">
        <v>137</v>
      </c>
    </row>
    <row r="26" spans="2:5">
      <c r="D26" s="99"/>
      <c r="E26" s="99"/>
    </row>
    <row r="27" spans="2:5" ht="30">
      <c r="B27" s="84" t="s">
        <v>111</v>
      </c>
      <c r="C27" s="85">
        <f>C19</f>
        <v>1332.7079651399999</v>
      </c>
      <c r="D27" s="99" t="s">
        <v>143</v>
      </c>
      <c r="E27" s="99"/>
    </row>
    <row r="28" spans="2:5">
      <c r="B28" s="96" t="s">
        <v>134</v>
      </c>
      <c r="C28" s="97">
        <f>C24</f>
        <v>0.66990291262135926</v>
      </c>
      <c r="D28" s="88">
        <f>$C$27*C28</f>
        <v>892.78494752097083</v>
      </c>
      <c r="E28" s="99" t="s">
        <v>137</v>
      </c>
    </row>
    <row r="29" spans="2:5">
      <c r="B29" s="96" t="s">
        <v>135</v>
      </c>
      <c r="C29" s="97">
        <f>C25</f>
        <v>0.21359223300970873</v>
      </c>
      <c r="D29" s="88">
        <f t="shared" ref="D29" si="0">$C$27*C29</f>
        <v>284.65607022407767</v>
      </c>
      <c r="E29" s="99" t="s">
        <v>137</v>
      </c>
    </row>
    <row r="30" spans="2:5">
      <c r="B30" s="96" t="s">
        <v>136</v>
      </c>
      <c r="C30" s="97">
        <f>51/103</f>
        <v>0.49514563106796117</v>
      </c>
      <c r="D30" s="88">
        <f>$C$27*C30</f>
        <v>659.88452642854361</v>
      </c>
      <c r="E30" s="99" t="s">
        <v>137</v>
      </c>
    </row>
    <row r="32" spans="2:5">
      <c r="B32" s="115" t="s">
        <v>122</v>
      </c>
      <c r="C32" s="116"/>
    </row>
    <row r="33" spans="2:5">
      <c r="B33" s="57" t="s">
        <v>115</v>
      </c>
      <c r="C33" s="56">
        <f>'HORTALIZAS ORGANICAS'!I18</f>
        <v>49.329599999999999</v>
      </c>
    </row>
    <row r="34" spans="2:5">
      <c r="B34" s="57" t="s">
        <v>118</v>
      </c>
      <c r="C34" s="56">
        <f>'GRANOS Y CEREALES ORGANICOS'!I10</f>
        <v>52.401725938384772</v>
      </c>
    </row>
    <row r="35" spans="2:5">
      <c r="B35" s="94" t="s">
        <v>120</v>
      </c>
      <c r="C35" s="86">
        <f>($D$24*C33)+($D$25*C34)</f>
        <v>41021.089682380749</v>
      </c>
    </row>
    <row r="36" spans="2:5">
      <c r="B36" s="87" t="s">
        <v>121</v>
      </c>
      <c r="C36" s="86">
        <f>C35*12</f>
        <v>492253.07618856896</v>
      </c>
    </row>
    <row r="37" spans="2:5">
      <c r="B37" s="75"/>
      <c r="C37" s="75"/>
      <c r="E37" s="91"/>
    </row>
    <row r="38" spans="2:5">
      <c r="B38" s="115" t="s">
        <v>123</v>
      </c>
      <c r="C38" s="116"/>
      <c r="E38" s="91"/>
    </row>
    <row r="39" spans="2:5">
      <c r="B39" s="57" t="s">
        <v>116</v>
      </c>
      <c r="C39" s="56">
        <f>'HORTALIZAS AGROECOLOGICOS'!I24</f>
        <v>50.159991999999995</v>
      </c>
    </row>
    <row r="40" spans="2:5">
      <c r="B40" s="57" t="s">
        <v>119</v>
      </c>
      <c r="C40" s="56">
        <f>'GRANOS AGROECOLOGICOS'!I10</f>
        <v>33.792512000000002</v>
      </c>
    </row>
    <row r="41" spans="2:5">
      <c r="B41" s="57" t="s">
        <v>117</v>
      </c>
      <c r="C41" s="56">
        <f>'FRUTAS AGROECOLOGICAS'!I13</f>
        <v>40.762041599999996</v>
      </c>
      <c r="E41" s="91"/>
    </row>
    <row r="42" spans="2:5">
      <c r="B42" s="94" t="s">
        <v>120</v>
      </c>
      <c r="C42" s="86">
        <f>($D$28*C39)+(C40*$D$29)+($D$30*C41)</f>
        <v>81299.570011768898</v>
      </c>
    </row>
    <row r="43" spans="2:5">
      <c r="B43" s="87" t="s">
        <v>121</v>
      </c>
      <c r="C43" s="86">
        <f>C42*12</f>
        <v>975594.84014122677</v>
      </c>
    </row>
    <row r="44" spans="2:5">
      <c r="B44" s="75"/>
      <c r="C44" s="75"/>
    </row>
    <row r="45" spans="2:5">
      <c r="B45" s="94" t="s">
        <v>124</v>
      </c>
      <c r="C45" s="86">
        <f>C36+C43</f>
        <v>1467847.9163297957</v>
      </c>
      <c r="E45" s="91">
        <f>C45*0.7</f>
        <v>1027493.5414308569</v>
      </c>
    </row>
    <row r="46" spans="2:5">
      <c r="B46" s="72"/>
      <c r="C46" s="72"/>
    </row>
    <row r="47" spans="2:5" ht="30">
      <c r="B47" s="72"/>
      <c r="C47" s="72"/>
      <c r="D47" s="102" t="s">
        <v>139</v>
      </c>
      <c r="E47" s="91">
        <f>C45-C62</f>
        <v>244641.31938829925</v>
      </c>
    </row>
    <row r="48" spans="2:5">
      <c r="B48" s="72"/>
      <c r="C48" s="72"/>
    </row>
    <row r="49" spans="2:3">
      <c r="B49" s="115" t="s">
        <v>133</v>
      </c>
      <c r="C49" s="116"/>
    </row>
    <row r="50" spans="2:3">
      <c r="B50" s="57" t="s">
        <v>126</v>
      </c>
      <c r="C50" s="56">
        <f>'HORTALIZAS ORGANICAS'!J18</f>
        <v>41.108000000000004</v>
      </c>
    </row>
    <row r="51" spans="2:3">
      <c r="B51" s="57" t="s">
        <v>127</v>
      </c>
      <c r="C51" s="56">
        <f>'GRANOS Y CEREALES ORGANICOS'!J10</f>
        <v>43.668104948653976</v>
      </c>
    </row>
    <row r="52" spans="2:3">
      <c r="B52" s="94" t="s">
        <v>138</v>
      </c>
      <c r="C52" s="86">
        <f>($D$24*C50)+($D$25*C51)</f>
        <v>34184.241401983963</v>
      </c>
    </row>
    <row r="53" spans="2:3">
      <c r="B53" s="87" t="s">
        <v>131</v>
      </c>
      <c r="C53" s="90">
        <f>C52*12</f>
        <v>410210.89682380756</v>
      </c>
    </row>
    <row r="54" spans="2:3">
      <c r="B54" s="75"/>
      <c r="C54" s="75"/>
    </row>
    <row r="55" spans="2:3">
      <c r="B55" s="115" t="s">
        <v>125</v>
      </c>
      <c r="C55" s="116"/>
    </row>
    <row r="56" spans="2:3">
      <c r="B56" s="57" t="s">
        <v>128</v>
      </c>
      <c r="C56" s="56">
        <f>'HORTALIZAS AGROECOLOGICOS'!J24</f>
        <v>41.799993333333333</v>
      </c>
    </row>
    <row r="57" spans="2:3">
      <c r="B57" s="57" t="s">
        <v>129</v>
      </c>
      <c r="C57" s="56">
        <f>'GRANOS AGROECOLOGICOS'!J10</f>
        <v>28.160426666666666</v>
      </c>
    </row>
    <row r="58" spans="2:3">
      <c r="B58" s="57" t="s">
        <v>130</v>
      </c>
      <c r="C58" s="56">
        <f>'FRUTAS AGROECOLOGICAS'!J13</f>
        <v>33.968367999999998</v>
      </c>
    </row>
    <row r="59" spans="2:3">
      <c r="B59" s="94" t="s">
        <v>138</v>
      </c>
      <c r="C59" s="86">
        <f>($D$28*C56)+(C57*$D$29)+($D$30*C58)</f>
        <v>67749.641676474072</v>
      </c>
    </row>
    <row r="60" spans="2:3">
      <c r="B60" s="87" t="s">
        <v>131</v>
      </c>
      <c r="C60" s="90">
        <f>C59*12</f>
        <v>812995.70011768886</v>
      </c>
    </row>
    <row r="61" spans="2:3">
      <c r="B61" s="75"/>
      <c r="C61" s="75"/>
    </row>
    <row r="62" spans="2:3">
      <c r="B62" s="94" t="s">
        <v>132</v>
      </c>
      <c r="C62" s="86">
        <f>C53+C60</f>
        <v>1223206.5969414965</v>
      </c>
    </row>
  </sheetData>
  <mergeCells count="4">
    <mergeCell ref="B32:C32"/>
    <mergeCell ref="B38:C38"/>
    <mergeCell ref="B49:C49"/>
    <mergeCell ref="B55:C55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4:D11"/>
  <sheetViews>
    <sheetView workbookViewId="0">
      <selection activeCell="F22" sqref="F22"/>
    </sheetView>
  </sheetViews>
  <sheetFormatPr baseColWidth="10" defaultRowHeight="15"/>
  <cols>
    <col min="3" max="3" width="35.42578125" customWidth="1"/>
    <col min="4" max="4" width="24" customWidth="1"/>
  </cols>
  <sheetData>
    <row r="4" spans="3:4" ht="29.25">
      <c r="C4" s="106" t="s">
        <v>144</v>
      </c>
      <c r="D4" s="107">
        <f>'ESTIMACION DE DEMANDA'!C36</f>
        <v>492253.07618856896</v>
      </c>
    </row>
    <row r="5" spans="3:4" ht="29.25">
      <c r="C5" s="106" t="s">
        <v>145</v>
      </c>
      <c r="D5" s="107">
        <f>'ESTIMACION DE DEMANDA'!C43</f>
        <v>975594.84014122677</v>
      </c>
    </row>
    <row r="6" spans="3:4">
      <c r="C6" s="108" t="s">
        <v>149</v>
      </c>
      <c r="D6" s="109">
        <f>SUM(D4:D5)</f>
        <v>1467847.9163297957</v>
      </c>
    </row>
    <row r="9" spans="3:4" ht="29.25">
      <c r="C9" s="110" t="s">
        <v>146</v>
      </c>
      <c r="D9" s="110">
        <f>'ESTIMACION DE DEMANDA'!C53</f>
        <v>410210.89682380756</v>
      </c>
    </row>
    <row r="10" spans="3:4" ht="29.25">
      <c r="C10" s="110" t="s">
        <v>147</v>
      </c>
      <c r="D10" s="110">
        <f>'ESTIMACION DE DEMANDA'!C60</f>
        <v>812995.70011768886</v>
      </c>
    </row>
    <row r="11" spans="3:4">
      <c r="C11" s="111" t="s">
        <v>148</v>
      </c>
      <c r="D11" s="111">
        <f>SUM(D9:D10)</f>
        <v>1223206.5969414965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HORTALIZAS ORGANICAS</vt:lpstr>
      <vt:lpstr>GRANOS Y CEREALES ORGANICOS</vt:lpstr>
      <vt:lpstr>HORTALIZAS AGROECOLOGICOS</vt:lpstr>
      <vt:lpstr>FRUTAS AGROECOLOGICAS</vt:lpstr>
      <vt:lpstr>GRANOS AGROECOLOGICOS</vt:lpstr>
      <vt:lpstr>ESTIMACION DE DEMANDA</vt:lpstr>
      <vt:lpstr>VENTAS Y COSTOS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WinuE</cp:lastModifiedBy>
  <dcterms:created xsi:type="dcterms:W3CDTF">2012-04-18T19:16:44Z</dcterms:created>
  <dcterms:modified xsi:type="dcterms:W3CDTF">2012-05-03T22:08:32Z</dcterms:modified>
</cp:coreProperties>
</file>