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tabRatio="915" firstSheet="7" activeTab="18"/>
  </bookViews>
  <sheets>
    <sheet name="ANEXO 5.1" sheetId="1" r:id="rId1"/>
    <sheet name="ANEXO 5.2" sheetId="2" r:id="rId2"/>
    <sheet name="ANEXO 5.3" sheetId="3" r:id="rId3"/>
    <sheet name="5.3.1" sheetId="4" r:id="rId4"/>
    <sheet name="-" sheetId="5" r:id="rId5"/>
    <sheet name="5.3.2" sheetId="6" r:id="rId6"/>
    <sheet name="5.5 FLUJO INCREMENTAL" sheetId="7" r:id="rId7"/>
    <sheet name="5.5.1F.C." sheetId="8" r:id="rId8"/>
    <sheet name="--" sheetId="9" r:id="rId9"/>
    <sheet name="5.4" sheetId="10" r:id="rId10"/>
    <sheet name="5.4.1" sheetId="11" r:id="rId11"/>
    <sheet name="5.4.2" sheetId="12" r:id="rId12"/>
    <sheet name="---" sheetId="13" r:id="rId13"/>
    <sheet name="5.6.1" sheetId="14" r:id="rId14"/>
    <sheet name="5.6" sheetId="15" r:id="rId15"/>
    <sheet name="5.7" sheetId="16" r:id="rId16"/>
    <sheet name="5.8" sheetId="17" r:id="rId17"/>
    <sheet name="----" sheetId="18" r:id="rId18"/>
    <sheet name="SENSBLD" sheetId="19" r:id="rId19"/>
    <sheet name="GRÁFICO" sheetId="20" r:id="rId20"/>
  </sheets>
  <definedNames>
    <definedName name="_xlnm.Print_Area" localSheetId="3">'5.3.1'!$A$1:$O$18</definedName>
    <definedName name="_xlnm.Print_Area" localSheetId="9">'5.4'!$A$2:$P$78</definedName>
    <definedName name="_xlnm.Print_Area" localSheetId="11">'5.4.2'!$A$1:$I$77</definedName>
    <definedName name="_xlnm.Print_Area" localSheetId="6">'5.5 FLUJO INCREMENTAL'!$B$1:$I$26</definedName>
    <definedName name="_xlnm.Print_Area" localSheetId="7">'5.5.1F.C.'!$B$2:$D$34</definedName>
    <definedName name="_xlnm.Print_Area" localSheetId="14">'5.6'!$A$2:$G$21</definedName>
    <definedName name="_xlnm.Print_Area" localSheetId="13">'5.6.1'!$B$2:$M$20</definedName>
    <definedName name="_xlnm.Print_Area" localSheetId="15">'5.7'!$A$2:$M$18</definedName>
    <definedName name="_xlnm.Print_Area" localSheetId="16">'5.8'!$B$5:$N$41</definedName>
    <definedName name="_xlnm.Print_Area" localSheetId="0">'ANEXO 5.1'!$A$1:$M$42</definedName>
    <definedName name="_xlnm.Print_Area" localSheetId="1">'ANEXO 5.2'!$B$4:$F$35</definedName>
    <definedName name="_xlnm.Print_Area" localSheetId="2">'ANEXO 5.3'!$A$3:$P$78</definedName>
    <definedName name="_xlnm.Print_Area" localSheetId="19">'GRÁFICO'!$B$4:$G$34</definedName>
    <definedName name="_xlnm.Print_Area" localSheetId="18">'SENSBLD'!$B$4:$F$13</definedName>
  </definedNames>
  <calcPr fullCalcOnLoad="1"/>
</workbook>
</file>

<file path=xl/sharedStrings.xml><?xml version="1.0" encoding="utf-8"?>
<sst xmlns="http://schemas.openxmlformats.org/spreadsheetml/2006/main" count="752" uniqueCount="321">
  <si>
    <t>CUENTA</t>
  </si>
  <si>
    <t>EGRESOS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</si>
  <si>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</si>
  <si>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</si>
  <si>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</si>
  <si>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</si>
  <si>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</si>
  <si>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</si>
  <si>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</si>
  <si>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</si>
  <si>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</si>
  <si>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</si>
  <si>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</si>
  <si>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</si>
  <si>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**GASTOS ADMINISTRATIVOS**</t>
  </si>
  <si>
    <t>Papeleria y útiles de oficina</t>
  </si>
  <si>
    <t>Luz</t>
  </si>
  <si>
    <t>Alimentación / Movilizaciones</t>
  </si>
  <si>
    <t>Refrigerios</t>
  </si>
  <si>
    <t>Publicidad</t>
  </si>
  <si>
    <t>Correo</t>
  </si>
  <si>
    <t>Agua</t>
  </si>
  <si>
    <t>Gastos de viajes</t>
  </si>
  <si>
    <t>Seguros y reaseguros</t>
  </si>
  <si>
    <t>Gastos legales</t>
  </si>
  <si>
    <t>Mantenimiento de equipos</t>
  </si>
  <si>
    <t>A)</t>
  </si>
  <si>
    <t>Total de gastos administrativos</t>
  </si>
  <si>
    <t>**SUELDOS y BENEFICIOS SOCIALES**</t>
  </si>
  <si>
    <t>Sueldo completo</t>
  </si>
  <si>
    <t>Componente salarial en Proc. de Remuneración</t>
  </si>
  <si>
    <t>Décimo tercero</t>
  </si>
  <si>
    <t>Décimo cuarto</t>
  </si>
  <si>
    <t>Vacaciones</t>
  </si>
  <si>
    <t>Aporte patronal</t>
  </si>
  <si>
    <t>B)</t>
  </si>
  <si>
    <t>Total de gastos de Sueldos y beneficios sociales</t>
  </si>
  <si>
    <t>**GASTOS DE OPERACIÓN**</t>
  </si>
  <si>
    <t>Alquiler de sistema operativo</t>
  </si>
  <si>
    <t>Varios</t>
  </si>
  <si>
    <t>Alimentación</t>
  </si>
  <si>
    <t>Movilizaciones</t>
  </si>
  <si>
    <t>Materiales y accesorios</t>
  </si>
  <si>
    <t>Uniformes</t>
  </si>
  <si>
    <t>Copias</t>
  </si>
  <si>
    <t>Benemérito cuerpo de bomberos</t>
  </si>
  <si>
    <t>D)</t>
  </si>
  <si>
    <t>Total de gastos de Operación</t>
  </si>
  <si>
    <t>**Reparaciones y mantenimiento**</t>
  </si>
  <si>
    <t>Central Via al Sol</t>
  </si>
  <si>
    <t>E)</t>
  </si>
  <si>
    <t>Total de gastos de reparaciones y mantenimiento</t>
  </si>
  <si>
    <t>**Egresos varios**</t>
  </si>
  <si>
    <t>Egresos varios</t>
  </si>
  <si>
    <t>Guardiania</t>
  </si>
  <si>
    <t>Capacitación</t>
  </si>
  <si>
    <t>Viáticos, pasajes</t>
  </si>
  <si>
    <t>H)</t>
  </si>
  <si>
    <t>Total de egresos varios</t>
  </si>
  <si>
    <t>INGRESOS</t>
  </si>
  <si>
    <t>Central Portal al Sol</t>
  </si>
  <si>
    <t>Edificio Thalia Victoria</t>
  </si>
  <si>
    <t>Modelos</t>
  </si>
  <si>
    <t>TOTAL INGRESOS:</t>
  </si>
  <si>
    <t>FLUJO DE CAJA " THALIA VICTORIA"</t>
  </si>
  <si>
    <t>TOTAL EGRESOS:</t>
  </si>
  <si>
    <t>EFECTIVO ANTES DE IMPUESTOS</t>
  </si>
  <si>
    <t>Impuestos:</t>
  </si>
  <si>
    <t>Por Margen de Ventas:</t>
  </si>
  <si>
    <t>FLUJO EFECTIVO DE CAJA:</t>
  </si>
  <si>
    <t>FLUJO DE CAJA ACUMULADO:</t>
  </si>
  <si>
    <t>$/m2</t>
  </si>
  <si>
    <t>m2</t>
  </si>
  <si>
    <t>Costo Real de Propiedad</t>
  </si>
  <si>
    <t>Portal al Sol, tiene 387 casas de diferentes modelos</t>
  </si>
  <si>
    <t>Análisis de Sensibilidad</t>
  </si>
  <si>
    <t>Escenarios Propuestos</t>
  </si>
  <si>
    <t>Pesimista</t>
  </si>
  <si>
    <t>Conservador</t>
  </si>
  <si>
    <t>Conservador Optimista</t>
  </si>
  <si>
    <t>Optimista</t>
  </si>
  <si>
    <t>Ingresos Operacionales</t>
  </si>
  <si>
    <t>Costos Operacionales</t>
  </si>
  <si>
    <t>Ingresos Netos</t>
  </si>
  <si>
    <r>
      <t>Ingresos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Operacionales</t>
    </r>
    <r>
      <rPr>
        <b/>
        <sz val="12"/>
        <rFont val="Arial"/>
        <family val="2"/>
      </rPr>
      <t xml:space="preserve"> %</t>
    </r>
  </si>
  <si>
    <r>
      <t>Ingresos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Operacionales</t>
    </r>
  </si>
  <si>
    <r>
      <t>Costos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Operacionales</t>
    </r>
  </si>
  <si>
    <r>
      <t>Ingresos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Netos</t>
    </r>
  </si>
  <si>
    <t>GRÁFICO DE SENSIBILIDAD</t>
  </si>
  <si>
    <t>%</t>
  </si>
  <si>
    <t>GRÁFICO 5.1</t>
  </si>
  <si>
    <t>Adriana</t>
  </si>
  <si>
    <t>Bianca</t>
  </si>
  <si>
    <t>Camila</t>
  </si>
  <si>
    <t>Cristina</t>
  </si>
  <si>
    <t>Paula</t>
  </si>
  <si>
    <t>Paulina</t>
  </si>
  <si>
    <t>Estefany</t>
  </si>
  <si>
    <t>Letty</t>
  </si>
  <si>
    <t>Pili</t>
  </si>
  <si>
    <t>Tere</t>
  </si>
  <si>
    <t>$/ m2</t>
  </si>
  <si>
    <t>Acabado A</t>
  </si>
  <si>
    <t>Acabado B</t>
  </si>
  <si>
    <t>difΔ B</t>
  </si>
  <si>
    <t>difΔ A</t>
  </si>
  <si>
    <t>Área</t>
  </si>
  <si>
    <t>ELABORADO POR LOS AUTORES</t>
  </si>
  <si>
    <t>FUENTE: THALIA VICTORIA</t>
  </si>
  <si>
    <t>Valor Comercial de la casa</t>
  </si>
  <si>
    <t>Cuota de Entrada A</t>
  </si>
  <si>
    <t>Cuota de Entrada B</t>
  </si>
  <si>
    <t>Area del Terreno m2</t>
  </si>
  <si>
    <t>Margen Ganancia T.Vict.</t>
  </si>
  <si>
    <t>Margen de Utilidad</t>
  </si>
  <si>
    <t>MARGEN =</t>
  </si>
  <si>
    <t>ESPECIFICACIONES TÉCNICAS -  ECONÓMICAS DE THALIA VICTORIA</t>
  </si>
  <si>
    <t>N =</t>
  </si>
  <si>
    <t>Precio/ m2 Construcción</t>
  </si>
  <si>
    <t>N = 10 años</t>
  </si>
  <si>
    <t>n =12 meses</t>
  </si>
  <si>
    <t>Cargo x Intereses</t>
  </si>
  <si>
    <t>% CUOTA</t>
  </si>
  <si>
    <t>Saldo A</t>
  </si>
  <si>
    <t>Saldo B</t>
  </si>
  <si>
    <t>Total Deuda</t>
  </si>
  <si>
    <t>Cuota Mensual</t>
  </si>
  <si>
    <t>Terreno</t>
  </si>
  <si>
    <t>160.75 m2</t>
  </si>
  <si>
    <t>185.44 m2</t>
  </si>
  <si>
    <t>156.94 m2</t>
  </si>
  <si>
    <t>139.89 m2</t>
  </si>
  <si>
    <t>130.21 m2</t>
  </si>
  <si>
    <t>130.14 m2</t>
  </si>
  <si>
    <t>137.47 m2</t>
  </si>
  <si>
    <t>Estrefany</t>
  </si>
  <si>
    <t>107 m2</t>
  </si>
  <si>
    <t>101.34 m2</t>
  </si>
  <si>
    <t>100.33 m2</t>
  </si>
  <si>
    <t>104.6 m2</t>
  </si>
  <si>
    <t>En la proforma estan los modelos con sus respectivos precios y lo siguiente:</t>
  </si>
  <si>
    <t>Cuota de entrada (30%)</t>
  </si>
  <si>
    <t>Financiamiento</t>
  </si>
  <si>
    <t xml:space="preserve">Cuota de entrada de la casa </t>
  </si>
  <si>
    <t>xx</t>
  </si>
  <si>
    <t>Saldo a financiar</t>
  </si>
  <si>
    <t>30% Descuento (cuota de entrada)</t>
  </si>
  <si>
    <t>Saldo de cuota de entrada</t>
  </si>
  <si>
    <t>Total a financiar</t>
  </si>
  <si>
    <t>10 años plazo (10%)</t>
  </si>
  <si>
    <t>20 años plazo (10%)</t>
  </si>
  <si>
    <t>PORTAL AL SOL</t>
  </si>
  <si>
    <t>Impresoras</t>
  </si>
  <si>
    <t>Precio Casa</t>
  </si>
  <si>
    <t>Construcción</t>
  </si>
  <si>
    <t>Precios acabado B</t>
  </si>
  <si>
    <t>Precios acabado A</t>
  </si>
  <si>
    <t>Cuotas 24 meses, 0% interes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</si>
  <si>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</si>
  <si>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</si>
  <si>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</si>
  <si>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</si>
  <si>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</si>
  <si>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</si>
  <si>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</si>
  <si>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</si>
  <si>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</si>
  <si>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</si>
  <si>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</si>
  <si>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</si>
  <si>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RUBROS/MES</t>
  </si>
  <si>
    <t>Anuncios:</t>
  </si>
  <si>
    <t>El Universo</t>
  </si>
  <si>
    <t>Vistazo</t>
  </si>
  <si>
    <t>El Universo(esp.)</t>
  </si>
  <si>
    <t>Pagina Web</t>
  </si>
  <si>
    <t>Computadores</t>
  </si>
  <si>
    <t>Furgonetas:</t>
  </si>
  <si>
    <t>Valor:</t>
  </si>
  <si>
    <t>Entrada 30%</t>
  </si>
  <si>
    <t>Saldo</t>
  </si>
  <si>
    <t>n (Pagos)</t>
  </si>
  <si>
    <t>Saldo a 24 meses.</t>
  </si>
  <si>
    <t>Furgonetas Kia Preggio</t>
  </si>
  <si>
    <t>TOTAL:</t>
  </si>
  <si>
    <t>Anuncios clasificados El Universo</t>
  </si>
  <si>
    <t>Folletos, calendarios, etc</t>
  </si>
  <si>
    <t>Folleto, calendarios, etc</t>
  </si>
  <si>
    <t>Vehiculos</t>
  </si>
  <si>
    <t># semanas/mes</t>
  </si>
  <si>
    <t>Sueldos Dpto. MKT</t>
  </si>
  <si>
    <t>Promociones, equipos, costos adicionales, etc</t>
  </si>
  <si>
    <t>Gastos Varios =</t>
  </si>
  <si>
    <t>Gerente</t>
  </si>
  <si>
    <t>Asistente</t>
  </si>
  <si>
    <t>Ayudante</t>
  </si>
  <si>
    <t>Staff</t>
  </si>
  <si>
    <t>Sueldos dpto. MKT</t>
  </si>
  <si>
    <t>base + comisiones</t>
  </si>
  <si>
    <t>Letrero Publicitario:</t>
  </si>
  <si>
    <t>Capacitación Personal de Ventas &amp; Servicio al Cliente</t>
  </si>
  <si>
    <t>Capacitación Personal Ventas</t>
  </si>
  <si>
    <t>Material para planos arquitéctonicos y permisos Municipales</t>
  </si>
  <si>
    <t>FLUJO DE CAJA ANUAL</t>
  </si>
  <si>
    <t>TOTAL ANUAL</t>
  </si>
  <si>
    <t>RUBROS / AÑOS</t>
  </si>
  <si>
    <t>Por Cuotas de Venta:</t>
  </si>
  <si>
    <t>SITUACIÓN CON PROYECTO</t>
  </si>
  <si>
    <t>Gastos Operativos:</t>
  </si>
  <si>
    <t>Materiales de Oficina, adecuación completa, etc</t>
  </si>
  <si>
    <t>Total de ingresos</t>
  </si>
  <si>
    <t>Total gastos</t>
  </si>
  <si>
    <t>ESPECIFICACIONES TÉCNICAS -  ECONÓMICAS DE PORTAL AL SOL</t>
  </si>
  <si>
    <t>Peso asignado de Venta</t>
  </si>
  <si>
    <t>SITUACIÓN BASE</t>
  </si>
  <si>
    <t>TABLA DE INGRESOS</t>
  </si>
  <si>
    <t>n =</t>
  </si>
  <si>
    <t>Egresos Varios tiene el costo del estudio que realizaron los autores</t>
  </si>
  <si>
    <t>Gastos de Reparación &amp; Mantenimiento constan las personas del personal técnico capacitado</t>
  </si>
  <si>
    <t>Margen Entrada</t>
  </si>
  <si>
    <t>% Venta</t>
  </si>
  <si>
    <t>Q</t>
  </si>
  <si>
    <t>se tomará 6 como referencia</t>
  </si>
  <si>
    <t>Financiamiento (años)</t>
  </si>
  <si>
    <t>se estimó que se podrían vender entre 6 a 8 casas</t>
  </si>
  <si>
    <t>% Distribución</t>
  </si>
  <si>
    <t>Osea Adriana venderá 77 casas(60%) de las cuales 62 serán acabado A y 15 Acabado B y así para todos los casos.</t>
  </si>
  <si>
    <t>% Ventas sobre las Viviendas &amp; Acabado A</t>
  </si>
  <si>
    <t>% Ventas sobre las Viviendas &amp; Acabado B</t>
  </si>
  <si>
    <t>Impuestos</t>
  </si>
  <si>
    <t>Flujo Efectivo de Caja:</t>
  </si>
  <si>
    <t>Flujo de Caja Acumulado:</t>
  </si>
  <si>
    <t>Retorno sobre la Inversión:</t>
  </si>
  <si>
    <t>Reservación</t>
  </si>
  <si>
    <t>RET. SOBRE LA INVERSIÓN</t>
  </si>
  <si>
    <t>INVERSIÓN INICIAL</t>
  </si>
  <si>
    <t>SITUACIÓN SIN PROYECTO</t>
  </si>
  <si>
    <t>La cuenta publicidad va unida a la hoja de calculo"cta publicidad"</t>
  </si>
  <si>
    <t>FLUJO DE CAJA MENSUAL "SIN PROYECTO"</t>
  </si>
  <si>
    <t>Los valores se llenarán de acuerdo al modelo que se escoja y su acabado</t>
  </si>
  <si>
    <t>Elaborado por: Thalia Victoria</t>
  </si>
  <si>
    <t>Fuente: Thalia Victoria</t>
  </si>
  <si>
    <t>GASTOS DE CONSTRUCCIÓN</t>
  </si>
  <si>
    <t>Total Gastos Construcción</t>
  </si>
  <si>
    <t>Construcción de Vivienda:</t>
  </si>
  <si>
    <t>Cronograma de Desembolsos Cuenta Publicidad</t>
  </si>
  <si>
    <t>Creación Dept. Marketing</t>
  </si>
  <si>
    <t>Inversión Dept. Marketing</t>
  </si>
  <si>
    <t>Q (casas)</t>
  </si>
  <si>
    <t>Modelo de casa que más se vendiò, peso estimaciones, datos históricos otras urbanizaciones</t>
  </si>
  <si>
    <t>Distr. Viviendas</t>
  </si>
  <si>
    <t>I. I.</t>
  </si>
  <si>
    <t>ANEXOS 5.2</t>
  </si>
  <si>
    <t>ANEXOS 5.3</t>
  </si>
  <si>
    <t xml:space="preserve">RET. SOBRE LA INVERSIÓN: </t>
  </si>
  <si>
    <t>ANEXO 5.8</t>
  </si>
  <si>
    <t>ANEXO 5.7</t>
  </si>
  <si>
    <t>ANEXO 5.4.1</t>
  </si>
  <si>
    <t>ANEXO 5.4.2</t>
  </si>
  <si>
    <t>ANEXO 5.5</t>
  </si>
  <si>
    <t>ANEXO 5.6</t>
  </si>
  <si>
    <t>ANEXO 5.4</t>
  </si>
  <si>
    <t>ANEXO 5.3.2</t>
  </si>
  <si>
    <t>ANEXO 5.3.1</t>
  </si>
  <si>
    <t>ANEXO 5.2.B</t>
  </si>
  <si>
    <t>ANEXO 5.1</t>
  </si>
  <si>
    <t>V.A.N</t>
  </si>
  <si>
    <t>T.I.R.</t>
  </si>
  <si>
    <t>Material para planos arquitectonicos y permisos Municipales</t>
  </si>
  <si>
    <t>FLUJO DE CAJA</t>
  </si>
  <si>
    <t>Ingresos por Ventas:</t>
  </si>
  <si>
    <t>Por cuotas de Ventas:</t>
  </si>
  <si>
    <t>EGRESOS:</t>
  </si>
  <si>
    <t>UTILIDAD OPERATIVA:</t>
  </si>
  <si>
    <t>Gastos Administrativos</t>
  </si>
  <si>
    <t>INGRESOS OPERACIONALES:</t>
  </si>
  <si>
    <t>Sueldos de Personal</t>
  </si>
  <si>
    <t>Ventas</t>
  </si>
  <si>
    <t>Costo Operacional (Ventas)</t>
  </si>
  <si>
    <t>(-) Impuestos (25%)</t>
  </si>
  <si>
    <t>Utilidad Después de Impuestos</t>
  </si>
  <si>
    <t>(+) Gastos No Desembolsables</t>
  </si>
  <si>
    <t xml:space="preserve"> Inversión Inicial</t>
  </si>
  <si>
    <t>FACTOR DE DESCUENTO (P/F)</t>
  </si>
  <si>
    <t>FLUJO DE CAJA DESCONTADO</t>
  </si>
  <si>
    <t>FDC DESCONTADO ACUMULADO</t>
  </si>
  <si>
    <t>VAN</t>
  </si>
  <si>
    <t>TIR</t>
  </si>
  <si>
    <t>FLUJO DE CAJA BASE</t>
  </si>
  <si>
    <t>FLUJO DE CAJA/ PROYECTO</t>
  </si>
  <si>
    <t>FLUJO CAJA INCREMENTAL</t>
  </si>
  <si>
    <t>la depreciacion del carro es lineal a 5 años,</t>
  </si>
  <si>
    <t>para evitar tanto tanto trámite</t>
  </si>
  <si>
    <t>entonces el valor total de los carros $36000</t>
  </si>
  <si>
    <t>se lo divide para los 5 años q keremos depreciar</t>
  </si>
  <si>
    <t>Años</t>
  </si>
  <si>
    <t>Valor Total Carros</t>
  </si>
  <si>
    <t>Depr. Anual "2carros"</t>
  </si>
  <si>
    <t>RUBROS/AÑOS</t>
  </si>
  <si>
    <t>(=) Utilidad antes de Impuestos</t>
  </si>
  <si>
    <t>(=)  Utilidad Operacional</t>
  </si>
  <si>
    <t>No se muestra Depreciacion porq se supone que:</t>
  </si>
  <si>
    <t>los carros comprados son para el nuevo proyecto</t>
  </si>
  <si>
    <t>Costo de Ventas:</t>
  </si>
  <si>
    <t>(-)  Gastos Operativos:</t>
  </si>
  <si>
    <t>(-)  Gastos Administrativos</t>
  </si>
  <si>
    <t>(-)  Sueldos de Personal</t>
  </si>
  <si>
    <t>(-)  Gastos No Desembolsables</t>
  </si>
  <si>
    <t>DIFERENCIALES</t>
  </si>
  <si>
    <t>Inversión Publicidad</t>
  </si>
  <si>
    <t>Por cuotas de Entrada Venta 30%</t>
  </si>
  <si>
    <t>Por cuotas de Entrada Venta 70%</t>
  </si>
  <si>
    <t>Depreciación:</t>
  </si>
  <si>
    <t>TOTAL 1er año:</t>
  </si>
  <si>
    <t>TOTAL 2do año:</t>
  </si>
  <si>
    <t>(-)  Inversión Publicidad:</t>
  </si>
  <si>
    <t>Promedios:</t>
  </si>
  <si>
    <t>Elaborado por: Las Autoras</t>
  </si>
  <si>
    <t>Fuente: Las Autoras</t>
  </si>
  <si>
    <t>ELABORADO POR LAS AUTORAS</t>
  </si>
  <si>
    <t>ELABORADO POR: LAS AUTORAS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</si>
</sst>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€_-;\-* #,##0.0\ _€_-;_-* &quot;-&quot;??\ _€_-;_-@_-"/>
    <numFmt numFmtId="181" formatCode="0.00_ ;[Red]\-0.00\ "/>
    <numFmt numFmtId="182" formatCode="0.0"/>
    <numFmt numFmtId="183" formatCode="_(* #,##0.0_);_(* \(#,##0.0\);_(* &quot;-&quot;?_);_(@_)"/>
    <numFmt numFmtId="184" formatCode="#,##0.00_ ;[Red]\-#,##0.00\ "/>
    <numFmt numFmtId="185" formatCode="_-[$$-409]* #,##0.00_ ;_-[$$-409]* \-#,##0.00\ ;_-[$$-409]* &quot;-&quot;??_ ;_-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"/>
    <numFmt numFmtId="191" formatCode="0.0%"/>
    <numFmt numFmtId="192" formatCode="_-* #,##0.00_-;\-* #,##0.00_-;_-* &quot;-&quot;??_-;_-@_-"/>
    <numFmt numFmtId="193" formatCode="_-* #,##0.0\ _€_-;\-* #,##0.0\ _€_-;_-* &quot;-&quot;?\ _€_-;_-@_-"/>
    <numFmt numFmtId="194" formatCode="#,##0.000_ ;\-#,##0.000\ "/>
    <numFmt numFmtId="195" formatCode="0.000%"/>
    <numFmt numFmtId="196" formatCode="[$$-409]#,##0.0"/>
    <numFmt numFmtId="197" formatCode="[$$-409]#,##0.00"/>
    <numFmt numFmtId="198" formatCode="[$$-409]#,##0"/>
    <numFmt numFmtId="199" formatCode="#,##0.000"/>
    <numFmt numFmtId="200" formatCode="&quot;$&quot;\ #,##0.00"/>
    <numFmt numFmtId="201" formatCode="_-* #,##0.00\ _p_t_a_-;\-* #,##0.00\ _p_t_a_-;_-* &quot;-&quot;??\ _p_t_a_-;_-@_-"/>
    <numFmt numFmtId="202" formatCode="_ [$€-2]\ * #,##0.00_ ;_ [$€-2]\ * \-#,##0.00_ ;_ [$€-2]\ * &quot;-&quot;??_ "/>
    <numFmt numFmtId="203" formatCode="_ [$$-300A]\ * #,##0.000_ ;_ [$$-300A]\ * \-#,##0.000_ ;_ [$$-300A]\ * &quot;-&quot;???_ ;_ @_ "/>
    <numFmt numFmtId="204" formatCode="_ [$$-300A]\ * #,##0.00_ ;_ [$$-300A]\ * \-#,##0.00_ ;_ [$$-300A]\ * &quot;-&quot;??_ ;_ @_ "/>
    <numFmt numFmtId="205" formatCode="&quot;$&quot;\ #,##0.000"/>
  </numFmts>
  <fonts count="26">
    <font>
      <sz val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0"/>
    </font>
    <font>
      <b/>
      <sz val="12"/>
      <color indexed="18"/>
      <name val="Arial"/>
      <family val="0"/>
    </font>
    <font>
      <i/>
      <sz val="12"/>
      <name val="Monotype Corsiva"/>
      <family val="4"/>
    </font>
    <font>
      <i/>
      <sz val="9"/>
      <name val="Monotype Corsiva"/>
      <family val="4"/>
    </font>
    <font>
      <sz val="10"/>
      <color indexed="10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0"/>
    </font>
    <font>
      <b/>
      <u val="single"/>
      <sz val="12"/>
      <color indexed="12"/>
      <name val="Arial"/>
      <family val="0"/>
    </font>
    <font>
      <sz val="10"/>
      <name val="Lucida Sans Typewriter"/>
      <family val="3"/>
    </font>
    <font>
      <sz val="10"/>
      <name val="Lucida Bright"/>
      <family val="1"/>
    </font>
    <font>
      <b/>
      <sz val="12"/>
      <name val="Algerian"/>
      <family val="5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left" vertical="center"/>
    </xf>
    <xf numFmtId="9" fontId="3" fillId="0" borderId="24" xfId="0" applyNumberFormat="1" applyFont="1" applyBorder="1" applyAlignment="1">
      <alignment horizontal="left" vertical="center"/>
    </xf>
    <xf numFmtId="9" fontId="3" fillId="0" borderId="25" xfId="0" applyNumberFormat="1" applyFont="1" applyBorder="1" applyAlignment="1">
      <alignment horizontal="left" vertical="center"/>
    </xf>
    <xf numFmtId="4" fontId="1" fillId="0" borderId="9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right" vertical="center" wrapText="1"/>
    </xf>
    <xf numFmtId="190" fontId="2" fillId="3" borderId="26" xfId="0" applyNumberFormat="1" applyFont="1" applyFill="1" applyBorder="1" applyAlignment="1">
      <alignment horizontal="center" vertical="center" wrapText="1"/>
    </xf>
    <xf numFmtId="190" fontId="2" fillId="3" borderId="5" xfId="0" applyNumberFormat="1" applyFont="1" applyFill="1" applyBorder="1" applyAlignment="1">
      <alignment horizontal="center" vertical="center" wrapText="1"/>
    </xf>
    <xf numFmtId="190" fontId="2" fillId="3" borderId="6" xfId="0" applyNumberFormat="1" applyFont="1" applyFill="1" applyBorder="1" applyAlignment="1">
      <alignment horizontal="center" vertical="center" wrapText="1"/>
    </xf>
    <xf numFmtId="190" fontId="3" fillId="0" borderId="9" xfId="0" applyNumberFormat="1" applyFont="1" applyFill="1" applyBorder="1" applyAlignment="1">
      <alignment horizontal="right" vertical="center" wrapText="1"/>
    </xf>
    <xf numFmtId="190" fontId="3" fillId="0" borderId="9" xfId="0" applyNumberFormat="1" applyFont="1" applyBorder="1" applyAlignment="1">
      <alignment horizontal="right" vertical="center" wrapText="1"/>
    </xf>
    <xf numFmtId="190" fontId="3" fillId="2" borderId="22" xfId="19" applyNumberFormat="1" applyFont="1" applyFill="1" applyBorder="1" applyAlignment="1">
      <alignment horizontal="right" vertical="center" wrapText="1"/>
    </xf>
    <xf numFmtId="190" fontId="3" fillId="2" borderId="22" xfId="0" applyNumberFormat="1" applyFont="1" applyFill="1" applyBorder="1" applyAlignment="1">
      <alignment horizontal="right" vertical="center" wrapText="1"/>
    </xf>
    <xf numFmtId="190" fontId="3" fillId="0" borderId="27" xfId="0" applyNumberFormat="1" applyFont="1" applyFill="1" applyBorder="1" applyAlignment="1">
      <alignment horizontal="center" vertical="center" wrapText="1"/>
    </xf>
    <xf numFmtId="190" fontId="3" fillId="0" borderId="17" xfId="0" applyNumberFormat="1" applyFont="1" applyFill="1" applyBorder="1" applyAlignment="1">
      <alignment horizontal="right" vertical="center" wrapText="1"/>
    </xf>
    <xf numFmtId="190" fontId="3" fillId="2" borderId="0" xfId="19" applyNumberFormat="1" applyFont="1" applyFill="1" applyBorder="1" applyAlignment="1">
      <alignment horizontal="right" vertical="center" wrapText="1"/>
    </xf>
    <xf numFmtId="190" fontId="3" fillId="0" borderId="28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horizontal="right" vertical="center" wrapText="1"/>
    </xf>
    <xf numFmtId="190" fontId="3" fillId="0" borderId="29" xfId="0" applyNumberFormat="1" applyFont="1" applyFill="1" applyBorder="1" applyAlignment="1">
      <alignment horizontal="right" vertical="center" wrapText="1"/>
    </xf>
    <xf numFmtId="190" fontId="8" fillId="0" borderId="15" xfId="0" applyNumberFormat="1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left" vertical="center" wrapText="1"/>
    </xf>
    <xf numFmtId="190" fontId="8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left" vertical="center"/>
    </xf>
    <xf numFmtId="190" fontId="6" fillId="0" borderId="9" xfId="0" applyNumberFormat="1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3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9" fontId="3" fillId="0" borderId="3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0" borderId="9" xfId="0" applyNumberFormat="1" applyFont="1" applyBorder="1" applyAlignment="1">
      <alignment/>
    </xf>
    <xf numFmtId="4" fontId="1" fillId="3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3" fillId="0" borderId="3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191" fontId="3" fillId="0" borderId="0" xfId="0" applyNumberFormat="1" applyFont="1" applyAlignment="1">
      <alignment horizontal="center"/>
    </xf>
    <xf numFmtId="4" fontId="3" fillId="3" borderId="31" xfId="0" applyNumberFormat="1" applyFont="1" applyFill="1" applyBorder="1" applyAlignment="1">
      <alignment horizontal="right" vertical="center"/>
    </xf>
    <xf numFmtId="4" fontId="3" fillId="3" borderId="8" xfId="0" applyNumberFormat="1" applyFont="1" applyFill="1" applyBorder="1" applyAlignment="1">
      <alignment horizontal="right" vertical="center"/>
    </xf>
    <xf numFmtId="4" fontId="3" fillId="0" borderId="36" xfId="0" applyNumberFormat="1" applyFont="1" applyBorder="1" applyAlignment="1">
      <alignment/>
    </xf>
    <xf numFmtId="4" fontId="3" fillId="3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left" vertical="center" wrapText="1"/>
    </xf>
    <xf numFmtId="190" fontId="3" fillId="0" borderId="27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1" fillId="0" borderId="2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left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1" fillId="0" borderId="47" xfId="0" applyNumberFormat="1" applyFont="1" applyFill="1" applyBorder="1" applyAlignment="1">
      <alignment horizontal="left" vertical="center" wrapText="1"/>
    </xf>
    <xf numFmtId="190" fontId="2" fillId="3" borderId="48" xfId="0" applyNumberFormat="1" applyFont="1" applyFill="1" applyBorder="1" applyAlignment="1">
      <alignment horizontal="center" vertical="center" wrapText="1"/>
    </xf>
    <xf numFmtId="190" fontId="3" fillId="0" borderId="34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190" fontId="3" fillId="0" borderId="4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0" fontId="3" fillId="0" borderId="54" xfId="0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3" borderId="37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19" xfId="0" applyFont="1" applyFill="1" applyBorder="1" applyAlignment="1">
      <alignment horizontal="righ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191" fontId="3" fillId="0" borderId="21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191" fontId="3" fillId="0" borderId="56" xfId="0" applyNumberFormat="1" applyFont="1" applyBorder="1" applyAlignment="1">
      <alignment horizontal="right" vertical="center" wrapText="1"/>
    </xf>
    <xf numFmtId="191" fontId="3" fillId="0" borderId="28" xfId="0" applyNumberFormat="1" applyFont="1" applyBorder="1" applyAlignment="1">
      <alignment horizontal="right" vertical="center" wrapText="1"/>
    </xf>
    <xf numFmtId="191" fontId="3" fillId="0" borderId="52" xfId="0" applyNumberFormat="1" applyFont="1" applyBorder="1" applyAlignment="1">
      <alignment horizontal="right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10" fontId="3" fillId="0" borderId="4" xfId="0" applyNumberFormat="1" applyFont="1" applyBorder="1" applyAlignment="1">
      <alignment horizontal="right" vertical="center" wrapText="1"/>
    </xf>
    <xf numFmtId="10" fontId="3" fillId="0" borderId="47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10" fontId="3" fillId="0" borderId="26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61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43" fontId="3" fillId="0" borderId="9" xfId="19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180" fontId="8" fillId="0" borderId="36" xfId="0" applyNumberFormat="1" applyFont="1" applyFill="1" applyBorder="1" applyAlignment="1">
      <alignment horizontal="right" vertical="center" wrapText="1"/>
    </xf>
    <xf numFmtId="180" fontId="8" fillId="0" borderId="30" xfId="0" applyNumberFormat="1" applyFont="1" applyFill="1" applyBorder="1" applyAlignment="1">
      <alignment horizontal="right" vertical="center" wrapText="1"/>
    </xf>
    <xf numFmtId="193" fontId="3" fillId="0" borderId="9" xfId="0" applyNumberFormat="1" applyFont="1" applyFill="1" applyBorder="1" applyAlignment="1">
      <alignment horizontal="right" vertical="center" wrapText="1"/>
    </xf>
    <xf numFmtId="193" fontId="3" fillId="0" borderId="10" xfId="0" applyNumberFormat="1" applyFont="1" applyFill="1" applyBorder="1" applyAlignment="1">
      <alignment horizontal="right" vertical="center" wrapText="1"/>
    </xf>
    <xf numFmtId="193" fontId="3" fillId="0" borderId="13" xfId="0" applyNumberFormat="1" applyFont="1" applyFill="1" applyBorder="1" applyAlignment="1">
      <alignment horizontal="right" vertical="center" wrapText="1"/>
    </xf>
    <xf numFmtId="193" fontId="3" fillId="0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9" fontId="3" fillId="0" borderId="19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horizontal="right" vertical="center"/>
    </xf>
    <xf numFmtId="191" fontId="3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64" xfId="0" applyNumberFormat="1" applyFont="1" applyFill="1" applyBorder="1" applyAlignment="1">
      <alignment horizontal="right" vertical="center"/>
    </xf>
    <xf numFmtId="191" fontId="3" fillId="0" borderId="19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91" fontId="3" fillId="0" borderId="3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82" fontId="1" fillId="0" borderId="13" xfId="0" applyNumberFormat="1" applyFont="1" applyFill="1" applyBorder="1" applyAlignment="1">
      <alignment horizontal="right" vertical="center" wrapText="1"/>
    </xf>
    <xf numFmtId="180" fontId="1" fillId="0" borderId="13" xfId="19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180" fontId="3" fillId="0" borderId="0" xfId="19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Alignment="1">
      <alignment vertical="center" wrapText="1"/>
    </xf>
    <xf numFmtId="10" fontId="1" fillId="0" borderId="0" xfId="0" applyNumberFormat="1" applyFont="1" applyFill="1" applyAlignment="1">
      <alignment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196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3" fillId="0" borderId="5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46" xfId="0" applyNumberFormat="1" applyFont="1" applyFill="1" applyBorder="1" applyAlignment="1">
      <alignment horizontal="right" vertical="center"/>
    </xf>
    <xf numFmtId="9" fontId="3" fillId="0" borderId="61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/>
    </xf>
    <xf numFmtId="10" fontId="3" fillId="0" borderId="44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right" vertical="center"/>
    </xf>
    <xf numFmtId="10" fontId="3" fillId="0" borderId="45" xfId="0" applyNumberFormat="1" applyFont="1" applyFill="1" applyBorder="1" applyAlignment="1">
      <alignment horizontal="right" vertical="center"/>
    </xf>
    <xf numFmtId="4" fontId="3" fillId="0" borderId="65" xfId="0" applyNumberFormat="1" applyFont="1" applyFill="1" applyBorder="1" applyAlignment="1">
      <alignment horizontal="right" vertical="center"/>
    </xf>
    <xf numFmtId="10" fontId="3" fillId="0" borderId="66" xfId="0" applyNumberFormat="1" applyFont="1" applyFill="1" applyBorder="1" applyAlignment="1">
      <alignment horizontal="right" vertical="center"/>
    </xf>
    <xf numFmtId="10" fontId="3" fillId="0" borderId="67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68" xfId="0" applyNumberFormat="1" applyFont="1" applyFill="1" applyBorder="1" applyAlignment="1">
      <alignment vertical="center"/>
    </xf>
    <xf numFmtId="9" fontId="3" fillId="0" borderId="40" xfId="0" applyNumberFormat="1" applyFont="1" applyFill="1" applyBorder="1" applyAlignment="1">
      <alignment vertical="center"/>
    </xf>
    <xf numFmtId="9" fontId="3" fillId="0" borderId="4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41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56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90" fontId="8" fillId="0" borderId="28" xfId="0" applyNumberFormat="1" applyFont="1" applyFill="1" applyBorder="1" applyAlignment="1">
      <alignment horizontal="right" vertical="center" wrapText="1"/>
    </xf>
    <xf numFmtId="190" fontId="6" fillId="0" borderId="28" xfId="0" applyNumberFormat="1" applyFont="1" applyFill="1" applyBorder="1" applyAlignment="1">
      <alignment horizontal="right" vertical="center" wrapText="1"/>
    </xf>
    <xf numFmtId="190" fontId="8" fillId="0" borderId="2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197" fontId="3" fillId="0" borderId="0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right" vertical="center" wrapText="1"/>
    </xf>
    <xf numFmtId="0" fontId="2" fillId="0" borderId="48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right" vertical="center" wrapText="1"/>
    </xf>
    <xf numFmtId="43" fontId="3" fillId="0" borderId="19" xfId="0" applyNumberFormat="1" applyFont="1" applyFill="1" applyBorder="1" applyAlignment="1">
      <alignment horizontal="right" vertical="center" wrapText="1"/>
    </xf>
    <xf numFmtId="43" fontId="3" fillId="0" borderId="42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180" fontId="1" fillId="0" borderId="35" xfId="19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43" fontId="1" fillId="0" borderId="13" xfId="19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 horizontal="right" vertical="center"/>
    </xf>
    <xf numFmtId="190" fontId="1" fillId="2" borderId="13" xfId="19" applyNumberFormat="1" applyFont="1" applyFill="1" applyBorder="1" applyAlignment="1">
      <alignment horizontal="right" vertical="center" wrapText="1"/>
    </xf>
    <xf numFmtId="190" fontId="1" fillId="2" borderId="35" xfId="19" applyNumberFormat="1" applyFont="1" applyFill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190" fontId="1" fillId="2" borderId="46" xfId="19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180" fontId="1" fillId="0" borderId="46" xfId="19" applyNumberFormat="1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vertical="center" wrapText="1"/>
    </xf>
    <xf numFmtId="43" fontId="3" fillId="0" borderId="63" xfId="0" applyNumberFormat="1" applyFont="1" applyFill="1" applyBorder="1" applyAlignment="1">
      <alignment horizontal="right" vertical="center" wrapText="1"/>
    </xf>
    <xf numFmtId="0" fontId="3" fillId="0" borderId="44" xfId="0" applyFont="1" applyFill="1" applyBorder="1" applyAlignment="1">
      <alignment horizontal="center" vertical="center" wrapText="1"/>
    </xf>
    <xf numFmtId="43" fontId="3" fillId="0" borderId="69" xfId="0" applyNumberFormat="1" applyFont="1" applyFill="1" applyBorder="1" applyAlignment="1">
      <alignment horizontal="right" vertical="center" wrapText="1"/>
    </xf>
    <xf numFmtId="43" fontId="3" fillId="0" borderId="70" xfId="0" applyNumberFormat="1" applyFont="1" applyFill="1" applyBorder="1" applyAlignment="1">
      <alignment horizontal="right" vertical="center" wrapText="1"/>
    </xf>
    <xf numFmtId="4" fontId="1" fillId="0" borderId="46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9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191" fontId="3" fillId="0" borderId="34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4" fontId="3" fillId="0" borderId="71" xfId="0" applyNumberFormat="1" applyFont="1" applyFill="1" applyBorder="1" applyAlignment="1">
      <alignment horizontal="right" vertical="center"/>
    </xf>
    <xf numFmtId="4" fontId="3" fillId="0" borderId="72" xfId="0" applyNumberFormat="1" applyFont="1" applyFill="1" applyBorder="1" applyAlignment="1">
      <alignment horizontal="right" vertical="center"/>
    </xf>
    <xf numFmtId="4" fontId="3" fillId="0" borderId="51" xfId="0" applyNumberFormat="1" applyFont="1" applyFill="1" applyBorder="1" applyAlignment="1">
      <alignment horizontal="right" vertical="center"/>
    </xf>
    <xf numFmtId="0" fontId="1" fillId="3" borderId="5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7" fillId="3" borderId="4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1" fillId="0" borderId="37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 wrapText="1"/>
    </xf>
    <xf numFmtId="10" fontId="3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54" xfId="0" applyNumberFormat="1" applyFont="1" applyFill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190" fontId="1" fillId="0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/>
    </xf>
    <xf numFmtId="4" fontId="3" fillId="0" borderId="45" xfId="0" applyNumberFormat="1" applyFont="1" applyFill="1" applyBorder="1" applyAlignment="1">
      <alignment horizontal="right" vertical="center"/>
    </xf>
    <xf numFmtId="190" fontId="2" fillId="0" borderId="29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90" fontId="1" fillId="0" borderId="1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98" fontId="1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197" fontId="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43" fontId="3" fillId="0" borderId="73" xfId="0" applyNumberFormat="1" applyFont="1" applyFill="1" applyBorder="1" applyAlignment="1">
      <alignment horizontal="right" vertical="center" wrapText="1"/>
    </xf>
    <xf numFmtId="43" fontId="3" fillId="0" borderId="72" xfId="0" applyNumberFormat="1" applyFont="1" applyFill="1" applyBorder="1" applyAlignment="1">
      <alignment horizontal="right" vertical="center" wrapText="1"/>
    </xf>
    <xf numFmtId="43" fontId="1" fillId="0" borderId="51" xfId="0" applyNumberFormat="1" applyFont="1" applyFill="1" applyBorder="1" applyAlignment="1">
      <alignment horizontal="right" vertical="center" wrapText="1"/>
    </xf>
    <xf numFmtId="43" fontId="3" fillId="0" borderId="10" xfId="19" applyFont="1" applyFill="1" applyBorder="1" applyAlignment="1">
      <alignment horizontal="right" vertical="center" wrapText="1"/>
    </xf>
    <xf numFmtId="43" fontId="1" fillId="0" borderId="14" xfId="19" applyFont="1" applyFill="1" applyBorder="1" applyAlignment="1">
      <alignment horizontal="right" vertical="center" wrapText="1"/>
    </xf>
    <xf numFmtId="43" fontId="3" fillId="0" borderId="4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80" fontId="1" fillId="0" borderId="21" xfId="0" applyNumberFormat="1" applyFont="1" applyFill="1" applyBorder="1" applyAlignment="1">
      <alignment horizontal="right" vertical="center" wrapText="1"/>
    </xf>
    <xf numFmtId="180" fontId="1" fillId="0" borderId="15" xfId="0" applyNumberFormat="1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90" fontId="3" fillId="0" borderId="9" xfId="19" applyNumberFormat="1" applyFont="1" applyFill="1" applyBorder="1" applyAlignment="1">
      <alignment horizontal="right" vertical="center" wrapText="1"/>
    </xf>
    <xf numFmtId="190" fontId="3" fillId="0" borderId="36" xfId="19" applyNumberFormat="1" applyFont="1" applyFill="1" applyBorder="1" applyAlignment="1">
      <alignment horizontal="right" vertical="center" wrapText="1"/>
    </xf>
    <xf numFmtId="190" fontId="1" fillId="0" borderId="13" xfId="19" applyNumberFormat="1" applyFont="1" applyFill="1" applyBorder="1" applyAlignment="1">
      <alignment horizontal="right" vertical="center" wrapText="1"/>
    </xf>
    <xf numFmtId="190" fontId="1" fillId="0" borderId="14" xfId="19" applyNumberFormat="1" applyFont="1" applyFill="1" applyBorder="1" applyAlignment="1">
      <alignment horizontal="right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67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3" fillId="0" borderId="58" xfId="0" applyFont="1" applyFill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/>
    </xf>
    <xf numFmtId="0" fontId="1" fillId="0" borderId="6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horizontal="left" vertical="center" wrapText="1"/>
    </xf>
    <xf numFmtId="4" fontId="1" fillId="0" borderId="28" xfId="0" applyNumberFormat="1" applyFont="1" applyFill="1" applyBorder="1" applyAlignment="1">
      <alignment horizontal="left" vertical="center" wrapText="1"/>
    </xf>
    <xf numFmtId="190" fontId="1" fillId="0" borderId="0" xfId="0" applyNumberFormat="1" applyFont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93" fontId="3" fillId="0" borderId="12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right" vertical="center" wrapText="1"/>
    </xf>
    <xf numFmtId="4" fontId="1" fillId="0" borderId="43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left" vertical="center" wrapText="1"/>
    </xf>
    <xf numFmtId="4" fontId="5" fillId="2" borderId="64" xfId="0" applyNumberFormat="1" applyFont="1" applyFill="1" applyBorder="1" applyAlignment="1">
      <alignment horizontal="center" vertical="center" wrapText="1"/>
    </xf>
    <xf numFmtId="4" fontId="3" fillId="0" borderId="75" xfId="0" applyNumberFormat="1" applyFont="1" applyFill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right" vertical="center"/>
    </xf>
    <xf numFmtId="4" fontId="1" fillId="0" borderId="38" xfId="0" applyNumberFormat="1" applyFont="1" applyBorder="1" applyAlignment="1">
      <alignment horizontal="right" vertical="center"/>
    </xf>
    <xf numFmtId="4" fontId="1" fillId="0" borderId="76" xfId="0" applyNumberFormat="1" applyFont="1" applyFill="1" applyBorder="1" applyAlignment="1">
      <alignment horizontal="left" vertical="center" wrapText="1"/>
    </xf>
    <xf numFmtId="4" fontId="3" fillId="0" borderId="76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3" fillId="0" borderId="55" xfId="0" applyNumberFormat="1" applyFont="1" applyBorder="1" applyAlignment="1">
      <alignment horizontal="right" vertical="center"/>
    </xf>
    <xf numFmtId="4" fontId="1" fillId="0" borderId="76" xfId="0" applyNumberFormat="1" applyFont="1" applyBorder="1" applyAlignment="1">
      <alignment horizontal="left" vertical="center" wrapText="1"/>
    </xf>
    <xf numFmtId="4" fontId="1" fillId="0" borderId="54" xfId="0" applyNumberFormat="1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76" xfId="0" applyNumberFormat="1" applyFont="1" applyBorder="1" applyAlignment="1">
      <alignment horizontal="right" vertical="center"/>
    </xf>
    <xf numFmtId="4" fontId="1" fillId="0" borderId="54" xfId="0" applyNumberFormat="1" applyFont="1" applyBorder="1" applyAlignment="1">
      <alignment horizontal="right" vertical="center"/>
    </xf>
    <xf numFmtId="43" fontId="3" fillId="0" borderId="56" xfId="19" applyFont="1" applyFill="1" applyBorder="1" applyAlignment="1">
      <alignment horizontal="right" vertical="center" wrapText="1"/>
    </xf>
    <xf numFmtId="43" fontId="3" fillId="0" borderId="28" xfId="19" applyFont="1" applyFill="1" applyBorder="1" applyAlignment="1">
      <alignment horizontal="right" vertical="center" wrapText="1"/>
    </xf>
    <xf numFmtId="43" fontId="1" fillId="0" borderId="46" xfId="19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1" fillId="0" borderId="46" xfId="0" applyNumberFormat="1" applyFont="1" applyFill="1" applyBorder="1" applyAlignment="1">
      <alignment horizontal="right" vertical="center" wrapText="1"/>
    </xf>
    <xf numFmtId="4" fontId="5" fillId="0" borderId="54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0" fontId="3" fillId="3" borderId="9" xfId="0" applyNumberFormat="1" applyFont="1" applyFill="1" applyBorder="1" applyAlignment="1">
      <alignment horizontal="right" vertical="center" wrapText="1"/>
    </xf>
    <xf numFmtId="3" fontId="3" fillId="3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4" borderId="6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4" borderId="47" xfId="0" applyFont="1" applyFill="1" applyBorder="1" applyAlignment="1">
      <alignment horizontal="right" vertical="center" wrapText="1"/>
    </xf>
    <xf numFmtId="0" fontId="0" fillId="0" borderId="76" xfId="0" applyFont="1" applyFill="1" applyBorder="1" applyAlignment="1">
      <alignment horizontal="right" vertical="center" wrapText="1"/>
    </xf>
    <xf numFmtId="0" fontId="11" fillId="2" borderId="54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5" fillId="2" borderId="54" xfId="0" applyFont="1" applyFill="1" applyBorder="1" applyAlignment="1">
      <alignment horizontal="left" vertical="center" wrapText="1"/>
    </xf>
    <xf numFmtId="190" fontId="3" fillId="0" borderId="39" xfId="0" applyNumberFormat="1" applyFont="1" applyFill="1" applyBorder="1" applyAlignment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190" fontId="3" fillId="0" borderId="28" xfId="0" applyNumberFormat="1" applyFont="1" applyFill="1" applyBorder="1" applyAlignment="1">
      <alignment horizontal="center" vertical="center" wrapText="1"/>
    </xf>
    <xf numFmtId="190" fontId="1" fillId="0" borderId="46" xfId="0" applyNumberFormat="1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left" vertical="center" wrapText="1"/>
    </xf>
    <xf numFmtId="190" fontId="3" fillId="0" borderId="56" xfId="19" applyNumberFormat="1" applyFont="1" applyFill="1" applyBorder="1" applyAlignment="1">
      <alignment horizontal="right" vertical="center" wrapText="1"/>
    </xf>
    <xf numFmtId="190" fontId="3" fillId="0" borderId="28" xfId="19" applyNumberFormat="1" applyFont="1" applyFill="1" applyBorder="1" applyAlignment="1">
      <alignment horizontal="right" vertical="center" wrapText="1"/>
    </xf>
    <xf numFmtId="190" fontId="1" fillId="0" borderId="46" xfId="19" applyNumberFormat="1" applyFont="1" applyFill="1" applyBorder="1" applyAlignment="1">
      <alignment horizontal="right" vertical="center" wrapText="1"/>
    </xf>
    <xf numFmtId="4" fontId="3" fillId="0" borderId="76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22" fillId="0" borderId="3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3" fillId="0" borderId="6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63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vertical="center" wrapText="1"/>
    </xf>
    <xf numFmtId="4" fontId="3" fillId="0" borderId="45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vertical="center" wrapText="1"/>
    </xf>
    <xf numFmtId="4" fontId="3" fillId="0" borderId="29" xfId="0" applyNumberFormat="1" applyFont="1" applyBorder="1" applyAlignment="1">
      <alignment vertical="center" wrapText="1"/>
    </xf>
    <xf numFmtId="4" fontId="3" fillId="0" borderId="44" xfId="0" applyNumberFormat="1" applyFont="1" applyBorder="1" applyAlignment="1">
      <alignment vertical="center" wrapText="1"/>
    </xf>
    <xf numFmtId="4" fontId="3" fillId="0" borderId="6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67" xfId="0" applyNumberFormat="1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horizontal="right" vertical="center" wrapText="1"/>
    </xf>
    <xf numFmtId="193" fontId="3" fillId="0" borderId="57" xfId="0" applyNumberFormat="1" applyFont="1" applyFill="1" applyBorder="1" applyAlignment="1">
      <alignment horizontal="right" vertical="center" wrapText="1"/>
    </xf>
    <xf numFmtId="193" fontId="3" fillId="0" borderId="5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98" fontId="1" fillId="0" borderId="29" xfId="0" applyNumberFormat="1" applyFont="1" applyFill="1" applyBorder="1" applyAlignment="1">
      <alignment horizontal="left" vertical="center" wrapText="1"/>
    </xf>
    <xf numFmtId="198" fontId="1" fillId="0" borderId="0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180" fontId="8" fillId="0" borderId="31" xfId="0" applyNumberFormat="1" applyFont="1" applyFill="1" applyBorder="1" applyAlignment="1">
      <alignment horizontal="right" vertical="center" wrapText="1"/>
    </xf>
    <xf numFmtId="193" fontId="3" fillId="0" borderId="8" xfId="0" applyNumberFormat="1" applyFont="1" applyFill="1" applyBorder="1" applyAlignment="1">
      <alignment horizontal="right" vertical="center" wrapText="1"/>
    </xf>
    <xf numFmtId="193" fontId="3" fillId="0" borderId="60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64" xfId="0" applyNumberFormat="1" applyFont="1" applyBorder="1" applyAlignment="1">
      <alignment vertical="center" wrapText="1"/>
    </xf>
    <xf numFmtId="3" fontId="1" fillId="3" borderId="0" xfId="0" applyNumberFormat="1" applyFont="1" applyFill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3" borderId="63" xfId="0" applyNumberFormat="1" applyFont="1" applyFill="1" applyBorder="1" applyAlignment="1">
      <alignment vertical="center" wrapText="1"/>
    </xf>
    <xf numFmtId="4" fontId="1" fillId="3" borderId="61" xfId="0" applyNumberFormat="1" applyFont="1" applyFill="1" applyBorder="1" applyAlignment="1">
      <alignment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97" fontId="1" fillId="0" borderId="0" xfId="0" applyNumberFormat="1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 wrapText="1"/>
    </xf>
    <xf numFmtId="0" fontId="11" fillId="2" borderId="75" xfId="0" applyFont="1" applyFill="1" applyBorder="1" applyAlignment="1">
      <alignment horizontal="right" vertical="center" wrapText="1"/>
    </xf>
    <xf numFmtId="0" fontId="5" fillId="2" borderId="75" xfId="0" applyFont="1" applyFill="1" applyBorder="1" applyAlignment="1">
      <alignment horizontal="left" vertical="center" wrapText="1"/>
    </xf>
    <xf numFmtId="0" fontId="5" fillId="2" borderId="76" xfId="0" applyFont="1" applyFill="1" applyBorder="1" applyAlignment="1">
      <alignment horizontal="left" vertical="center" wrapText="1"/>
    </xf>
    <xf numFmtId="190" fontId="1" fillId="2" borderId="52" xfId="19" applyNumberFormat="1" applyFont="1" applyFill="1" applyBorder="1" applyAlignment="1">
      <alignment horizontal="right" vertical="center" wrapText="1"/>
    </xf>
    <xf numFmtId="190" fontId="1" fillId="2" borderId="57" xfId="19" applyNumberFormat="1" applyFont="1" applyFill="1" applyBorder="1" applyAlignment="1">
      <alignment horizontal="right" vertical="center" wrapText="1"/>
    </xf>
    <xf numFmtId="190" fontId="1" fillId="2" borderId="58" xfId="19" applyNumberFormat="1" applyFont="1" applyFill="1" applyBorder="1" applyAlignment="1">
      <alignment horizontal="right" vertical="center" wrapText="1"/>
    </xf>
    <xf numFmtId="4" fontId="1" fillId="0" borderId="77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vertical="center" wrapText="1"/>
    </xf>
    <xf numFmtId="4" fontId="3" fillId="3" borderId="45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90" fontId="1" fillId="0" borderId="0" xfId="19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98" fontId="1" fillId="0" borderId="1" xfId="0" applyNumberFormat="1" applyFont="1" applyBorder="1" applyAlignment="1">
      <alignment horizontal="right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" fontId="5" fillId="0" borderId="32" xfId="0" applyNumberFormat="1" applyFont="1" applyFill="1" applyBorder="1" applyAlignment="1">
      <alignment horizontal="left" vertical="center" wrapText="1"/>
    </xf>
    <xf numFmtId="4" fontId="1" fillId="0" borderId="4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1" fillId="3" borderId="37" xfId="0" applyNumberFormat="1" applyFont="1" applyFill="1" applyBorder="1" applyAlignment="1">
      <alignment horizontal="left" vertical="center" wrapText="1"/>
    </xf>
    <xf numFmtId="4" fontId="1" fillId="3" borderId="56" xfId="0" applyNumberFormat="1" applyFont="1" applyFill="1" applyBorder="1" applyAlignment="1">
      <alignment horizontal="right" vertical="center"/>
    </xf>
    <xf numFmtId="4" fontId="1" fillId="3" borderId="36" xfId="0" applyNumberFormat="1" applyFont="1" applyFill="1" applyBorder="1" applyAlignment="1">
      <alignment horizontal="right" vertical="center"/>
    </xf>
    <xf numFmtId="4" fontId="1" fillId="3" borderId="30" xfId="0" applyNumberFormat="1" applyFont="1" applyFill="1" applyBorder="1" applyAlignment="1">
      <alignment horizontal="right" vertical="center"/>
    </xf>
    <xf numFmtId="4" fontId="1" fillId="3" borderId="19" xfId="0" applyNumberFormat="1" applyFont="1" applyFill="1" applyBorder="1" applyAlignment="1">
      <alignment horizontal="left" vertical="center" wrapText="1"/>
    </xf>
    <xf numFmtId="4" fontId="3" fillId="3" borderId="46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horizontal="left" vertical="center" wrapText="1"/>
    </xf>
    <xf numFmtId="4" fontId="5" fillId="2" borderId="32" xfId="0" applyNumberFormat="1" applyFont="1" applyFill="1" applyBorder="1" applyAlignment="1">
      <alignment horizontal="left" vertical="center" wrapText="1"/>
    </xf>
    <xf numFmtId="4" fontId="5" fillId="2" borderId="63" xfId="0" applyNumberFormat="1" applyFont="1" applyFill="1" applyBorder="1" applyAlignment="1">
      <alignment horizontal="left" vertical="center" wrapText="1"/>
    </xf>
    <xf numFmtId="4" fontId="1" fillId="0" borderId="63" xfId="0" applyNumberFormat="1" applyFont="1" applyFill="1" applyBorder="1" applyAlignment="1">
      <alignment horizontal="center" vertical="center" wrapText="1"/>
    </xf>
    <xf numFmtId="4" fontId="3" fillId="0" borderId="63" xfId="0" applyNumberFormat="1" applyFont="1" applyBorder="1" applyAlignment="1">
      <alignment horizontal="right" vertical="center"/>
    </xf>
    <xf numFmtId="4" fontId="5" fillId="0" borderId="64" xfId="0" applyNumberFormat="1" applyFont="1" applyFill="1" applyBorder="1" applyAlignment="1">
      <alignment horizontal="center" vertical="center" wrapText="1"/>
    </xf>
    <xf numFmtId="4" fontId="5" fillId="0" borderId="54" xfId="0" applyNumberFormat="1" applyFont="1" applyFill="1" applyBorder="1" applyAlignment="1">
      <alignment horizontal="center" vertical="center" wrapText="1"/>
    </xf>
    <xf numFmtId="4" fontId="1" fillId="3" borderId="64" xfId="0" applyNumberFormat="1" applyFont="1" applyFill="1" applyBorder="1" applyAlignment="1">
      <alignment vertical="center" wrapText="1"/>
    </xf>
    <xf numFmtId="4" fontId="3" fillId="0" borderId="76" xfId="0" applyNumberFormat="1" applyFont="1" applyBorder="1" applyAlignment="1">
      <alignment vertical="center"/>
    </xf>
    <xf numFmtId="4" fontId="3" fillId="0" borderId="76" xfId="0" applyNumberFormat="1" applyFont="1" applyBorder="1" applyAlignment="1">
      <alignment vertical="center" wrapText="1"/>
    </xf>
    <xf numFmtId="4" fontId="3" fillId="0" borderId="54" xfId="0" applyNumberFormat="1" applyFont="1" applyBorder="1" applyAlignment="1">
      <alignment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3" fillId="0" borderId="78" xfId="0" applyNumberFormat="1" applyFont="1" applyBorder="1" applyAlignment="1">
      <alignment vertical="center" wrapText="1"/>
    </xf>
    <xf numFmtId="4" fontId="3" fillId="0" borderId="79" xfId="0" applyNumberFormat="1" applyFont="1" applyBorder="1" applyAlignment="1">
      <alignment vertical="center" wrapText="1"/>
    </xf>
    <xf numFmtId="4" fontId="3" fillId="0" borderId="80" xfId="0" applyNumberFormat="1" applyFont="1" applyBorder="1" applyAlignment="1">
      <alignment vertical="center" wrapText="1"/>
    </xf>
    <xf numFmtId="4" fontId="1" fillId="0" borderId="47" xfId="0" applyNumberFormat="1" applyFont="1" applyBorder="1" applyAlignment="1">
      <alignment vertical="center" wrapText="1"/>
    </xf>
    <xf numFmtId="4" fontId="1" fillId="0" borderId="54" xfId="0" applyNumberFormat="1" applyFont="1" applyBorder="1" applyAlignment="1">
      <alignment vertical="center" wrapText="1"/>
    </xf>
    <xf numFmtId="190" fontId="3" fillId="0" borderId="22" xfId="19" applyNumberFormat="1" applyFont="1" applyFill="1" applyBorder="1" applyAlignment="1">
      <alignment horizontal="right" vertical="center" wrapText="1"/>
    </xf>
    <xf numFmtId="198" fontId="1" fillId="0" borderId="1" xfId="0" applyNumberFormat="1" applyFont="1" applyBorder="1" applyAlignment="1">
      <alignment horizontal="left" vertical="center" wrapText="1"/>
    </xf>
    <xf numFmtId="43" fontId="1" fillId="0" borderId="61" xfId="0" applyNumberFormat="1" applyFont="1" applyFill="1" applyBorder="1" applyAlignment="1">
      <alignment horizontal="righ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203" fontId="3" fillId="0" borderId="9" xfId="15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204" fontId="3" fillId="0" borderId="9" xfId="15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8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204" fontId="3" fillId="0" borderId="34" xfId="15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3" borderId="2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63" xfId="0" applyNumberFormat="1" applyFont="1" applyFill="1" applyBorder="1" applyAlignment="1">
      <alignment horizontal="center" vertical="center"/>
    </xf>
    <xf numFmtId="4" fontId="1" fillId="3" borderId="61" xfId="0" applyNumberFormat="1" applyFont="1" applyFill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0" borderId="6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9">
    <cellStyle name="Normal" xfId="0"/>
    <cellStyle name="Euro" xfId="15"/>
    <cellStyle name="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SENSIBILIDAD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GRÁFICO!$D$8</c:f>
              <c:strCache>
                <c:ptCount val="1"/>
                <c:pt idx="0">
                  <c:v>Ingresos Operacionales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GRÁFICO!$D$9:$D$12</c:f>
              <c:numCache/>
            </c:numRef>
          </c:val>
          <c:smooth val="0"/>
        </c:ser>
        <c:ser>
          <c:idx val="1"/>
          <c:order val="1"/>
          <c:tx>
            <c:strRef>
              <c:f>GRÁFICO!$E$8</c:f>
              <c:strCache>
                <c:ptCount val="1"/>
                <c:pt idx="0">
                  <c:v>Costos Operacionales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GRÁFICO!$E$9:$E$12</c:f>
              <c:numCache/>
            </c:numRef>
          </c:val>
          <c:smooth val="0"/>
        </c:ser>
        <c:ser>
          <c:idx val="2"/>
          <c:order val="2"/>
          <c:tx>
            <c:strRef>
              <c:f>GRÁFICO!$F$8</c:f>
              <c:strCache>
                <c:ptCount val="1"/>
                <c:pt idx="0">
                  <c:v>Ingresos Netos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GRÁFICO!$F$9:$F$12</c:f>
              <c:numCache/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ESCENARIOS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13</xdr:row>
      <xdr:rowOff>142875</xdr:rowOff>
    </xdr:from>
    <xdr:to>
      <xdr:col>6</xdr:col>
      <xdr:colOff>504825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095375" y="3200400"/>
        <a:ext cx="5600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F9" sqref="F9"/>
    </sheetView>
  </sheetViews>
  <sheetFormatPr defaultColWidth="11.421875" defaultRowHeight="12.75"/>
  <cols>
    <col min="1" max="1" width="20.57421875" style="125" bestFit="1" customWidth="1"/>
    <col min="2" max="2" width="13.28125" style="124" bestFit="1" customWidth="1"/>
    <col min="3" max="3" width="11.57421875" style="124" bestFit="1" customWidth="1"/>
    <col min="4" max="4" width="13.140625" style="124" bestFit="1" customWidth="1"/>
    <col min="5" max="5" width="11.00390625" style="124" bestFit="1" customWidth="1"/>
    <col min="6" max="6" width="11.421875" style="124" bestFit="1" customWidth="1"/>
    <col min="7" max="8" width="10.140625" style="124" bestFit="1" customWidth="1"/>
    <col min="9" max="9" width="13.00390625" style="124" bestFit="1" customWidth="1"/>
    <col min="10" max="10" width="10.140625" style="124" bestFit="1" customWidth="1"/>
    <col min="11" max="11" width="12.140625" style="124" bestFit="1" customWidth="1"/>
    <col min="12" max="12" width="11.7109375" style="124" bestFit="1" customWidth="1"/>
    <col min="13" max="13" width="10.140625" style="124" bestFit="1" customWidth="1"/>
    <col min="14" max="15" width="12.7109375" style="124" bestFit="1" customWidth="1"/>
    <col min="16" max="16384" width="11.421875" style="124" customWidth="1"/>
  </cols>
  <sheetData>
    <row r="1" ht="16.5" thickBot="1">
      <c r="A1" s="138" t="s">
        <v>265</v>
      </c>
    </row>
    <row r="2" spans="1:13" ht="16.5" thickBot="1">
      <c r="A2" s="764" t="s">
        <v>245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6"/>
    </row>
    <row r="3" spans="1:13" s="17" customFormat="1" ht="16.5" thickBot="1">
      <c r="A3" s="140" t="s">
        <v>170</v>
      </c>
      <c r="B3" s="120" t="s">
        <v>159</v>
      </c>
      <c r="C3" s="136" t="s">
        <v>160</v>
      </c>
      <c r="D3" s="136" t="s">
        <v>161</v>
      </c>
      <c r="E3" s="136" t="s">
        <v>162</v>
      </c>
      <c r="F3" s="136" t="s">
        <v>163</v>
      </c>
      <c r="G3" s="136" t="s">
        <v>164</v>
      </c>
      <c r="H3" s="136" t="s">
        <v>165</v>
      </c>
      <c r="I3" s="136" t="s">
        <v>166</v>
      </c>
      <c r="J3" s="136" t="s">
        <v>167</v>
      </c>
      <c r="K3" s="136" t="s">
        <v>168</v>
      </c>
      <c r="L3" s="136" t="s">
        <v>169</v>
      </c>
      <c r="M3" s="137" t="s">
        <v>158</v>
      </c>
    </row>
    <row r="4" spans="1:13" s="118" customFormat="1" ht="31.5">
      <c r="A4" s="141" t="s">
        <v>246</v>
      </c>
      <c r="B4" s="121">
        <v>4000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s="118" customFormat="1" ht="30">
      <c r="A5" s="15" t="s">
        <v>190</v>
      </c>
      <c r="B5" s="74">
        <v>4000</v>
      </c>
      <c r="C5" s="26">
        <f>B5</f>
        <v>4000</v>
      </c>
      <c r="D5" s="26">
        <f aca="true" t="shared" si="0" ref="D5:L5">C5</f>
        <v>4000</v>
      </c>
      <c r="E5" s="26">
        <f t="shared" si="0"/>
        <v>4000</v>
      </c>
      <c r="F5" s="26">
        <f t="shared" si="0"/>
        <v>4000</v>
      </c>
      <c r="G5" s="26">
        <f t="shared" si="0"/>
        <v>4000</v>
      </c>
      <c r="H5" s="26">
        <f t="shared" si="0"/>
        <v>4000</v>
      </c>
      <c r="I5" s="26">
        <f t="shared" si="0"/>
        <v>4000</v>
      </c>
      <c r="J5" s="26">
        <f t="shared" si="0"/>
        <v>4000</v>
      </c>
      <c r="K5" s="26">
        <f t="shared" si="0"/>
        <v>4000</v>
      </c>
      <c r="L5" s="26">
        <f t="shared" si="0"/>
        <v>4000</v>
      </c>
      <c r="M5" s="27">
        <f>L5</f>
        <v>4000</v>
      </c>
    </row>
    <row r="6" spans="1:13" s="118" customFormat="1" ht="30">
      <c r="A6" s="15" t="s">
        <v>201</v>
      </c>
      <c r="B6" s="74"/>
      <c r="C6" s="26">
        <f>600</f>
        <v>600</v>
      </c>
      <c r="D6" s="26"/>
      <c r="E6" s="26"/>
      <c r="F6" s="26">
        <f>600</f>
        <v>600</v>
      </c>
      <c r="G6" s="26"/>
      <c r="H6" s="26"/>
      <c r="I6" s="26"/>
      <c r="J6" s="26">
        <f>600</f>
        <v>600</v>
      </c>
      <c r="K6" s="26"/>
      <c r="L6" s="26"/>
      <c r="M6" s="27">
        <f>600</f>
        <v>600</v>
      </c>
    </row>
    <row r="7" spans="1:13" s="118" customFormat="1" ht="31.5">
      <c r="A7" s="142" t="s">
        <v>247</v>
      </c>
      <c r="B7" s="74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1:13" s="123" customFormat="1" ht="15">
      <c r="A8" s="143" t="s">
        <v>171</v>
      </c>
      <c r="B8" s="12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</row>
    <row r="9" spans="1:13" s="123" customFormat="1" ht="15">
      <c r="A9" s="144" t="s">
        <v>172</v>
      </c>
      <c r="B9" s="122"/>
      <c r="C9" s="132">
        <f>136.57*5</f>
        <v>682.8499999999999</v>
      </c>
      <c r="D9" s="132">
        <f>136.57*4</f>
        <v>546.28</v>
      </c>
      <c r="E9" s="132">
        <f>136.57*4</f>
        <v>546.28</v>
      </c>
      <c r="F9" s="132">
        <f>136.57*5</f>
        <v>682.8499999999999</v>
      </c>
      <c r="G9" s="132">
        <f aca="true" t="shared" si="1" ref="G9:M9">136.57*4</f>
        <v>546.28</v>
      </c>
      <c r="H9" s="132">
        <f t="shared" si="1"/>
        <v>546.28</v>
      </c>
      <c r="I9" s="132">
        <f>136.57*5</f>
        <v>682.8499999999999</v>
      </c>
      <c r="J9" s="132">
        <f t="shared" si="1"/>
        <v>546.28</v>
      </c>
      <c r="K9" s="132">
        <f t="shared" si="1"/>
        <v>546.28</v>
      </c>
      <c r="L9" s="132">
        <f>136.57*5</f>
        <v>682.8499999999999</v>
      </c>
      <c r="M9" s="133">
        <f t="shared" si="1"/>
        <v>546.28</v>
      </c>
    </row>
    <row r="10" spans="1:13" s="123" customFormat="1" ht="15">
      <c r="A10" s="144" t="s">
        <v>174</v>
      </c>
      <c r="B10" s="122"/>
      <c r="C10" s="132"/>
      <c r="D10" s="132"/>
      <c r="E10" s="132"/>
      <c r="F10" s="132">
        <f>2074.96</f>
        <v>2074.96</v>
      </c>
      <c r="G10" s="132"/>
      <c r="H10" s="132"/>
      <c r="I10" s="132">
        <f>2074.96</f>
        <v>2074.96</v>
      </c>
      <c r="J10" s="132"/>
      <c r="K10" s="132"/>
      <c r="L10" s="132"/>
      <c r="M10" s="133"/>
    </row>
    <row r="11" spans="1:13" s="123" customFormat="1" ht="15">
      <c r="A11" s="144" t="s">
        <v>173</v>
      </c>
      <c r="B11" s="122"/>
      <c r="C11" s="132"/>
      <c r="D11" s="132"/>
      <c r="E11" s="132"/>
      <c r="F11" s="132">
        <v>1567</v>
      </c>
      <c r="G11" s="132"/>
      <c r="H11" s="132"/>
      <c r="I11" s="132">
        <v>1567</v>
      </c>
      <c r="J11" s="132"/>
      <c r="K11" s="132"/>
      <c r="L11" s="132"/>
      <c r="M11" s="133"/>
    </row>
    <row r="12" spans="1:13" s="123" customFormat="1" ht="30">
      <c r="A12" s="144" t="s">
        <v>199</v>
      </c>
      <c r="B12" s="122"/>
      <c r="C12" s="132">
        <v>1000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3"/>
    </row>
    <row r="13" spans="1:13" s="123" customFormat="1" ht="15">
      <c r="A13" s="144" t="s">
        <v>175</v>
      </c>
      <c r="B13" s="122"/>
      <c r="C13" s="132"/>
      <c r="D13" s="132">
        <v>4300</v>
      </c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s="123" customFormat="1" ht="30">
      <c r="A14" s="144" t="s">
        <v>187</v>
      </c>
      <c r="B14" s="122"/>
      <c r="C14" s="132"/>
      <c r="D14" s="132"/>
      <c r="E14" s="132">
        <f>D30</f>
        <v>1600</v>
      </c>
      <c r="F14" s="132"/>
      <c r="G14" s="132"/>
      <c r="H14" s="132"/>
      <c r="I14" s="132"/>
      <c r="J14" s="132"/>
      <c r="K14" s="132">
        <f>D30</f>
        <v>1600</v>
      </c>
      <c r="L14" s="132"/>
      <c r="M14" s="133"/>
    </row>
    <row r="15" spans="1:13" s="123" customFormat="1" ht="15">
      <c r="A15" s="144" t="s">
        <v>176</v>
      </c>
      <c r="B15" s="122">
        <f>D31</f>
        <v>1500</v>
      </c>
      <c r="C15" s="132"/>
      <c r="D15" s="132">
        <f>D31</f>
        <v>1500</v>
      </c>
      <c r="E15" s="132"/>
      <c r="F15" s="132"/>
      <c r="G15" s="132"/>
      <c r="H15" s="132"/>
      <c r="I15" s="132"/>
      <c r="J15" s="132"/>
      <c r="K15" s="132"/>
      <c r="L15" s="132"/>
      <c r="M15" s="133"/>
    </row>
    <row r="16" spans="1:13" s="123" customFormat="1" ht="15">
      <c r="A16" s="144" t="s">
        <v>152</v>
      </c>
      <c r="B16" s="122">
        <f>D32</f>
        <v>500</v>
      </c>
      <c r="C16" s="132"/>
      <c r="D16" s="132">
        <f>D32</f>
        <v>500</v>
      </c>
      <c r="E16" s="132"/>
      <c r="F16" s="132"/>
      <c r="G16" s="132"/>
      <c r="H16" s="132"/>
      <c r="I16" s="132"/>
      <c r="J16" s="132"/>
      <c r="K16" s="132"/>
      <c r="L16" s="132"/>
      <c r="M16" s="133"/>
    </row>
    <row r="17" spans="1:13" s="123" customFormat="1" ht="15" customHeight="1">
      <c r="A17" s="144" t="s">
        <v>208</v>
      </c>
      <c r="B17" s="122">
        <f>2200</f>
        <v>2200</v>
      </c>
      <c r="C17" s="132">
        <f>B17</f>
        <v>2200</v>
      </c>
      <c r="D17" s="132">
        <f aca="true" t="shared" si="2" ref="D17:L17">C17</f>
        <v>2200</v>
      </c>
      <c r="E17" s="132">
        <f t="shared" si="2"/>
        <v>2200</v>
      </c>
      <c r="F17" s="132">
        <f t="shared" si="2"/>
        <v>2200</v>
      </c>
      <c r="G17" s="132">
        <f t="shared" si="2"/>
        <v>2200</v>
      </c>
      <c r="H17" s="132">
        <f t="shared" si="2"/>
        <v>2200</v>
      </c>
      <c r="I17" s="132">
        <f t="shared" si="2"/>
        <v>2200</v>
      </c>
      <c r="J17" s="132">
        <f t="shared" si="2"/>
        <v>2200</v>
      </c>
      <c r="K17" s="132">
        <f t="shared" si="2"/>
        <v>2200</v>
      </c>
      <c r="L17" s="132">
        <f t="shared" si="2"/>
        <v>2200</v>
      </c>
      <c r="M17" s="133">
        <f>L17</f>
        <v>2200</v>
      </c>
    </row>
    <row r="18" spans="1:14" s="123" customFormat="1" ht="30">
      <c r="A18" s="144" t="s">
        <v>183</v>
      </c>
      <c r="B18" s="122">
        <f>C25</f>
        <v>10800</v>
      </c>
      <c r="C18" s="132">
        <f>E25</f>
        <v>1050</v>
      </c>
      <c r="D18" s="132">
        <f aca="true" t="shared" si="3" ref="D18:M18">C18</f>
        <v>1050</v>
      </c>
      <c r="E18" s="132">
        <f t="shared" si="3"/>
        <v>1050</v>
      </c>
      <c r="F18" s="132">
        <f t="shared" si="3"/>
        <v>1050</v>
      </c>
      <c r="G18" s="132">
        <f t="shared" si="3"/>
        <v>1050</v>
      </c>
      <c r="H18" s="132">
        <f t="shared" si="3"/>
        <v>1050</v>
      </c>
      <c r="I18" s="132">
        <f t="shared" si="3"/>
        <v>1050</v>
      </c>
      <c r="J18" s="132">
        <f t="shared" si="3"/>
        <v>1050</v>
      </c>
      <c r="K18" s="132">
        <f t="shared" si="3"/>
        <v>1050</v>
      </c>
      <c r="L18" s="132">
        <f t="shared" si="3"/>
        <v>1050</v>
      </c>
      <c r="M18" s="133">
        <f t="shared" si="3"/>
        <v>1050</v>
      </c>
      <c r="N18" s="123">
        <f>SUM(B18:M18)</f>
        <v>22350</v>
      </c>
    </row>
    <row r="19" spans="1:13" s="123" customFormat="1" ht="15">
      <c r="A19" s="144"/>
      <c r="B19" s="12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</row>
    <row r="20" spans="1:14" s="436" customFormat="1" ht="16.5" thickBot="1">
      <c r="A20" s="145" t="s">
        <v>313</v>
      </c>
      <c r="B20" s="433">
        <f>SUM(B4:B19)</f>
        <v>23000</v>
      </c>
      <c r="C20" s="434">
        <f aca="true" t="shared" si="4" ref="C20:M20">SUM(C4:C19)</f>
        <v>9532.85</v>
      </c>
      <c r="D20" s="434">
        <f t="shared" si="4"/>
        <v>14096.279999999999</v>
      </c>
      <c r="E20" s="434">
        <f t="shared" si="4"/>
        <v>9396.279999999999</v>
      </c>
      <c r="F20" s="434">
        <f t="shared" si="4"/>
        <v>12174.810000000001</v>
      </c>
      <c r="G20" s="434">
        <f t="shared" si="4"/>
        <v>7796.28</v>
      </c>
      <c r="H20" s="434">
        <f t="shared" si="4"/>
        <v>7796.28</v>
      </c>
      <c r="I20" s="434">
        <f t="shared" si="4"/>
        <v>11574.810000000001</v>
      </c>
      <c r="J20" s="434">
        <f t="shared" si="4"/>
        <v>8396.279999999999</v>
      </c>
      <c r="K20" s="434">
        <f t="shared" si="4"/>
        <v>9396.279999999999</v>
      </c>
      <c r="L20" s="434">
        <f t="shared" si="4"/>
        <v>7932.85</v>
      </c>
      <c r="M20" s="435">
        <f t="shared" si="4"/>
        <v>8396.279999999999</v>
      </c>
      <c r="N20" s="436">
        <f>SUM(B20:M20)-N18</f>
        <v>107139.28</v>
      </c>
    </row>
    <row r="21" spans="1:14" s="123" customFormat="1" ht="16.5" thickBot="1">
      <c r="A21" s="145" t="s">
        <v>314</v>
      </c>
      <c r="B21" s="123">
        <f>B20-B15-B18-B16</f>
        <v>10200</v>
      </c>
      <c r="C21" s="123">
        <f aca="true" t="shared" si="5" ref="C21:M21">C20-C15-C18-C16</f>
        <v>8482.85</v>
      </c>
      <c r="D21" s="123">
        <f t="shared" si="5"/>
        <v>11046.279999999999</v>
      </c>
      <c r="E21" s="123">
        <f t="shared" si="5"/>
        <v>8346.279999999999</v>
      </c>
      <c r="F21" s="123">
        <f t="shared" si="5"/>
        <v>11124.810000000001</v>
      </c>
      <c r="G21" s="123">
        <f t="shared" si="5"/>
        <v>6746.28</v>
      </c>
      <c r="H21" s="123">
        <f t="shared" si="5"/>
        <v>6746.28</v>
      </c>
      <c r="I21" s="123">
        <f t="shared" si="5"/>
        <v>10524.810000000001</v>
      </c>
      <c r="J21" s="123">
        <f t="shared" si="5"/>
        <v>7346.279999999999</v>
      </c>
      <c r="K21" s="123">
        <f t="shared" si="5"/>
        <v>8346.279999999999</v>
      </c>
      <c r="L21" s="123">
        <f t="shared" si="5"/>
        <v>6882.85</v>
      </c>
      <c r="M21" s="123">
        <f t="shared" si="5"/>
        <v>7346.279999999999</v>
      </c>
      <c r="N21" s="123">
        <f>SUM(B21:M21)</f>
        <v>103139.28</v>
      </c>
    </row>
    <row r="22" spans="1:3" s="123" customFormat="1" ht="15">
      <c r="A22" s="757" t="s">
        <v>108</v>
      </c>
      <c r="B22" s="757"/>
      <c r="C22" s="757"/>
    </row>
    <row r="23" spans="1:3" ht="15">
      <c r="A23" s="757" t="s">
        <v>320</v>
      </c>
      <c r="B23" s="757"/>
      <c r="C23" s="757"/>
    </row>
    <row r="24" spans="1:5" s="127" customFormat="1" ht="30">
      <c r="A24" s="130" t="s">
        <v>188</v>
      </c>
      <c r="B24" s="129" t="s">
        <v>178</v>
      </c>
      <c r="C24" s="129" t="s">
        <v>179</v>
      </c>
      <c r="D24" s="129" t="s">
        <v>180</v>
      </c>
      <c r="E24" s="129" t="s">
        <v>181</v>
      </c>
    </row>
    <row r="25" spans="1:5" ht="15">
      <c r="A25" s="128" t="s">
        <v>177</v>
      </c>
      <c r="B25" s="26">
        <f>36000</f>
        <v>36000</v>
      </c>
      <c r="C25" s="26">
        <f>B25*30%</f>
        <v>10800</v>
      </c>
      <c r="D25" s="26">
        <f>B25-C25</f>
        <v>25200</v>
      </c>
      <c r="E25" s="26">
        <f>D25/24</f>
        <v>1050</v>
      </c>
    </row>
    <row r="26" spans="1:6" ht="15">
      <c r="A26" s="131" t="s">
        <v>179</v>
      </c>
      <c r="B26" s="75"/>
      <c r="C26" s="75"/>
      <c r="D26" s="75"/>
      <c r="E26" s="75"/>
      <c r="F26" s="75"/>
    </row>
    <row r="27" spans="1:6" ht="15">
      <c r="A27" s="131" t="s">
        <v>182</v>
      </c>
      <c r="B27" s="75"/>
      <c r="C27" s="75"/>
      <c r="D27" s="75"/>
      <c r="E27" s="75"/>
      <c r="F27" s="75"/>
    </row>
    <row r="28" spans="1:6" s="126" customFormat="1" ht="15">
      <c r="A28" s="125"/>
      <c r="B28" s="123"/>
      <c r="C28" s="123"/>
      <c r="D28" s="123"/>
      <c r="E28" s="123"/>
      <c r="F28" s="123"/>
    </row>
    <row r="29" spans="1:5" s="126" customFormat="1" ht="47.25">
      <c r="A29" s="741" t="s">
        <v>185</v>
      </c>
      <c r="B29" s="742">
        <v>136.57</v>
      </c>
      <c r="C29" s="129" t="s">
        <v>189</v>
      </c>
      <c r="D29" s="743"/>
      <c r="E29" s="743"/>
    </row>
    <row r="30" spans="1:5" s="126" customFormat="1" ht="31.5">
      <c r="A30" s="740" t="s">
        <v>186</v>
      </c>
      <c r="B30" s="744">
        <v>3200</v>
      </c>
      <c r="C30" s="744">
        <v>2</v>
      </c>
      <c r="D30" s="744">
        <f>B30/C30</f>
        <v>1600</v>
      </c>
      <c r="E30" s="743"/>
    </row>
    <row r="31" spans="1:5" s="126" customFormat="1" ht="15.75">
      <c r="A31" s="740" t="s">
        <v>176</v>
      </c>
      <c r="B31" s="744">
        <f>3000</f>
        <v>3000</v>
      </c>
      <c r="C31" s="744">
        <v>2</v>
      </c>
      <c r="D31" s="744">
        <f>B31/C31</f>
        <v>1500</v>
      </c>
      <c r="E31" s="743"/>
    </row>
    <row r="32" spans="1:5" s="126" customFormat="1" ht="15.75">
      <c r="A32" s="740" t="s">
        <v>152</v>
      </c>
      <c r="B32" s="744">
        <v>1000</v>
      </c>
      <c r="C32" s="744">
        <v>2</v>
      </c>
      <c r="D32" s="744">
        <f>B32/C32</f>
        <v>500</v>
      </c>
      <c r="E32" s="743"/>
    </row>
    <row r="33" spans="1:5" ht="15.75">
      <c r="A33" s="740" t="s">
        <v>192</v>
      </c>
      <c r="B33" s="762" t="s">
        <v>191</v>
      </c>
      <c r="C33" s="762"/>
      <c r="D33" s="762"/>
      <c r="E33" s="762"/>
    </row>
    <row r="34" ht="15" customHeight="1">
      <c r="E34" s="139"/>
    </row>
    <row r="35" spans="1:6" ht="31.5">
      <c r="A35" s="740" t="s">
        <v>197</v>
      </c>
      <c r="B35" s="750"/>
      <c r="C35" s="751"/>
      <c r="D35" s="746"/>
      <c r="E35" s="746"/>
      <c r="F35" s="747"/>
    </row>
    <row r="36" spans="1:6" ht="15">
      <c r="A36" s="128" t="s">
        <v>193</v>
      </c>
      <c r="B36" s="754">
        <v>1500</v>
      </c>
      <c r="C36" s="752"/>
      <c r="D36" s="72"/>
      <c r="E36" s="72"/>
      <c r="F36" s="748"/>
    </row>
    <row r="37" spans="1:6" ht="15">
      <c r="A37" s="128" t="s">
        <v>194</v>
      </c>
      <c r="B37" s="754">
        <v>500</v>
      </c>
      <c r="C37" s="752"/>
      <c r="D37" s="72"/>
      <c r="E37" s="72"/>
      <c r="F37" s="748"/>
    </row>
    <row r="38" spans="1:6" ht="15">
      <c r="A38" s="128" t="s">
        <v>195</v>
      </c>
      <c r="B38" s="754">
        <v>250</v>
      </c>
      <c r="C38" s="753"/>
      <c r="D38" s="72"/>
      <c r="E38" s="72"/>
      <c r="F38" s="748"/>
    </row>
    <row r="39" spans="1:6" ht="15">
      <c r="A39" s="128" t="s">
        <v>196</v>
      </c>
      <c r="B39" s="767" t="s">
        <v>198</v>
      </c>
      <c r="C39" s="768"/>
      <c r="D39" s="745"/>
      <c r="E39" s="72"/>
      <c r="F39" s="748"/>
    </row>
    <row r="40" spans="1:6" ht="15" customHeight="1">
      <c r="A40" s="769" t="s">
        <v>200</v>
      </c>
      <c r="B40" s="769"/>
      <c r="C40" s="769"/>
      <c r="D40" s="770"/>
      <c r="E40" s="771"/>
      <c r="F40" s="748"/>
    </row>
    <row r="41" spans="1:6" ht="31.5">
      <c r="A41" s="740" t="s">
        <v>208</v>
      </c>
      <c r="B41" s="762" t="s">
        <v>209</v>
      </c>
      <c r="C41" s="762"/>
      <c r="D41" s="762"/>
      <c r="E41" s="763"/>
      <c r="F41" s="749"/>
    </row>
  </sheetData>
  <mergeCells count="7">
    <mergeCell ref="B41:E41"/>
    <mergeCell ref="A2:M2"/>
    <mergeCell ref="B33:E33"/>
    <mergeCell ref="B39:C39"/>
    <mergeCell ref="A40:E40"/>
    <mergeCell ref="A22:C22"/>
    <mergeCell ref="A23:C23"/>
  </mergeCells>
  <printOptions horizontalCentered="1" verticalCentered="1"/>
  <pageMargins left="1.5748031496062993" right="0.9448818897637796" top="1.5748031496062993" bottom="1.3779527559055118" header="0" footer="0"/>
  <pageSetup fitToHeight="2" horizontalDpi="300" verticalDpi="300" orientation="landscape" paperSize="9" scale="70" r:id="rId1"/>
  <rowBreaks count="1" manualBreakCount="1">
    <brk id="23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Q78"/>
  <sheetViews>
    <sheetView workbookViewId="0" topLeftCell="D1">
      <selection activeCell="J76" sqref="J76"/>
    </sheetView>
  </sheetViews>
  <sheetFormatPr defaultColWidth="11.421875" defaultRowHeight="12.75"/>
  <cols>
    <col min="1" max="1" width="15.28125" style="589" bestFit="1" customWidth="1"/>
    <col min="2" max="2" width="45.7109375" style="6" bestFit="1" customWidth="1"/>
    <col min="3" max="3" width="16.7109375" style="6" bestFit="1" customWidth="1"/>
    <col min="4" max="4" width="13.28125" style="51" bestFit="1" customWidth="1"/>
    <col min="5" max="5" width="14.00390625" style="51" bestFit="1" customWidth="1"/>
    <col min="6" max="7" width="13.28125" style="51" bestFit="1" customWidth="1"/>
    <col min="8" max="8" width="15.28125" style="51" bestFit="1" customWidth="1"/>
    <col min="9" max="11" width="13.28125" style="51" bestFit="1" customWidth="1"/>
    <col min="12" max="12" width="15.8515625" style="51" bestFit="1" customWidth="1"/>
    <col min="13" max="13" width="14.57421875" style="51" bestFit="1" customWidth="1"/>
    <col min="14" max="14" width="14.7109375" style="51" bestFit="1" customWidth="1"/>
    <col min="15" max="15" width="14.57421875" style="51" bestFit="1" customWidth="1"/>
    <col min="16" max="16" width="15.8515625" style="12" bestFit="1" customWidth="1"/>
    <col min="17" max="16384" width="11.421875" style="2" customWidth="1"/>
  </cols>
  <sheetData>
    <row r="2" spans="2:15" ht="18">
      <c r="B2" s="8" t="s">
        <v>261</v>
      </c>
      <c r="C2" s="8"/>
      <c r="D2" s="786" t="s">
        <v>64</v>
      </c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</row>
    <row r="3" ht="15.75" thickBot="1"/>
    <row r="4" spans="1:16" s="7" customFormat="1" ht="32.25" thickBot="1">
      <c r="A4" s="590" t="s">
        <v>0</v>
      </c>
      <c r="B4" s="10" t="s">
        <v>59</v>
      </c>
      <c r="C4" s="488">
        <v>0</v>
      </c>
      <c r="D4" s="52" t="s">
        <v>2</v>
      </c>
      <c r="E4" s="53" t="s">
        <v>3</v>
      </c>
      <c r="F4" s="53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53" t="s">
        <v>9</v>
      </c>
      <c r="L4" s="53" t="s">
        <v>10</v>
      </c>
      <c r="M4" s="53" t="s">
        <v>11</v>
      </c>
      <c r="N4" s="53" t="s">
        <v>12</v>
      </c>
      <c r="O4" s="54" t="s">
        <v>13</v>
      </c>
      <c r="P4" s="530" t="s">
        <v>204</v>
      </c>
    </row>
    <row r="5" spans="1:16" s="12" customFormat="1" ht="15">
      <c r="A5" s="591"/>
      <c r="B5" s="512"/>
      <c r="C5" s="575"/>
      <c r="D5" s="620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181"/>
    </row>
    <row r="6" spans="1:16" s="12" customFormat="1" ht="15">
      <c r="A6" s="591"/>
      <c r="B6" s="147" t="s">
        <v>310</v>
      </c>
      <c r="C6" s="561"/>
      <c r="D6" s="621">
        <f>'5.4.1'!D15*45</f>
        <v>99626.90624999999</v>
      </c>
      <c r="E6" s="526">
        <f aca="true" t="shared" si="0" ref="E6:O6">D6</f>
        <v>99626.90624999999</v>
      </c>
      <c r="F6" s="526">
        <f t="shared" si="0"/>
        <v>99626.90624999999</v>
      </c>
      <c r="G6" s="526">
        <f t="shared" si="0"/>
        <v>99626.90624999999</v>
      </c>
      <c r="H6" s="526">
        <f t="shared" si="0"/>
        <v>99626.90624999999</v>
      </c>
      <c r="I6" s="526">
        <f t="shared" si="0"/>
        <v>99626.90624999999</v>
      </c>
      <c r="J6" s="526">
        <f t="shared" si="0"/>
        <v>99626.90624999999</v>
      </c>
      <c r="K6" s="526">
        <f t="shared" si="0"/>
        <v>99626.90624999999</v>
      </c>
      <c r="L6" s="526">
        <f t="shared" si="0"/>
        <v>99626.90624999999</v>
      </c>
      <c r="M6" s="526">
        <f t="shared" si="0"/>
        <v>99626.90624999999</v>
      </c>
      <c r="N6" s="526">
        <f t="shared" si="0"/>
        <v>99626.90624999999</v>
      </c>
      <c r="O6" s="526">
        <f t="shared" si="0"/>
        <v>99626.90624999999</v>
      </c>
      <c r="P6" s="182">
        <f>SUM(D6:O6)</f>
        <v>1195522.8749999998</v>
      </c>
    </row>
    <row r="7" spans="1:16" s="12" customFormat="1" ht="15.75" thickBot="1">
      <c r="A7" s="591"/>
      <c r="B7" s="147" t="s">
        <v>311</v>
      </c>
      <c r="C7" s="623"/>
      <c r="D7" s="621">
        <v>0</v>
      </c>
      <c r="E7" s="526">
        <v>0</v>
      </c>
      <c r="F7" s="526">
        <f>E7</f>
        <v>0</v>
      </c>
      <c r="G7" s="526">
        <f aca="true" t="shared" si="1" ref="G7:O7">F7</f>
        <v>0</v>
      </c>
      <c r="H7" s="526">
        <f t="shared" si="1"/>
        <v>0</v>
      </c>
      <c r="I7" s="526">
        <f t="shared" si="1"/>
        <v>0</v>
      </c>
      <c r="J7" s="526">
        <f t="shared" si="1"/>
        <v>0</v>
      </c>
      <c r="K7" s="526">
        <f t="shared" si="1"/>
        <v>0</v>
      </c>
      <c r="L7" s="526">
        <f t="shared" si="1"/>
        <v>0</v>
      </c>
      <c r="M7" s="526">
        <f t="shared" si="1"/>
        <v>0</v>
      </c>
      <c r="N7" s="526">
        <f>'5.4.1'!G15*45</f>
        <v>127854.5296875</v>
      </c>
      <c r="O7" s="526">
        <f t="shared" si="1"/>
        <v>127854.5296875</v>
      </c>
      <c r="P7" s="532">
        <f>SUM(D7:O7)</f>
        <v>255709.059375</v>
      </c>
    </row>
    <row r="8" spans="1:16" s="400" customFormat="1" ht="16.5" thickBot="1">
      <c r="A8" s="591"/>
      <c r="B8" s="525" t="s">
        <v>63</v>
      </c>
      <c r="C8" s="567"/>
      <c r="D8" s="622">
        <f>SUM(D5:D7)</f>
        <v>99626.90624999999</v>
      </c>
      <c r="E8" s="528">
        <f aca="true" t="shared" si="2" ref="E8:O8">SUM(E5:E7)</f>
        <v>99626.90624999999</v>
      </c>
      <c r="F8" s="528">
        <f t="shared" si="2"/>
        <v>99626.90624999999</v>
      </c>
      <c r="G8" s="528">
        <f t="shared" si="2"/>
        <v>99626.90624999999</v>
      </c>
      <c r="H8" s="528">
        <f t="shared" si="2"/>
        <v>99626.90624999999</v>
      </c>
      <c r="I8" s="528">
        <f t="shared" si="2"/>
        <v>99626.90624999999</v>
      </c>
      <c r="J8" s="528">
        <f t="shared" si="2"/>
        <v>99626.90624999999</v>
      </c>
      <c r="K8" s="528">
        <f t="shared" si="2"/>
        <v>99626.90624999999</v>
      </c>
      <c r="L8" s="528">
        <f t="shared" si="2"/>
        <v>99626.90624999999</v>
      </c>
      <c r="M8" s="528">
        <f t="shared" si="2"/>
        <v>99626.90624999999</v>
      </c>
      <c r="N8" s="528">
        <f t="shared" si="2"/>
        <v>227481.43593749998</v>
      </c>
      <c r="O8" s="529">
        <f t="shared" si="2"/>
        <v>227481.43593749998</v>
      </c>
      <c r="P8" s="531">
        <f>SUM(P5:P7)</f>
        <v>1451231.9343749997</v>
      </c>
    </row>
    <row r="9" ht="15.75" thickBot="1"/>
    <row r="10" spans="1:16" s="7" customFormat="1" ht="16.5" customHeight="1" thickBot="1">
      <c r="A10" s="590" t="s">
        <v>0</v>
      </c>
      <c r="B10" s="616" t="s">
        <v>1</v>
      </c>
      <c r="C10" s="10"/>
      <c r="D10" s="52" t="s">
        <v>2</v>
      </c>
      <c r="E10" s="53" t="s">
        <v>3</v>
      </c>
      <c r="F10" s="53" t="s">
        <v>4</v>
      </c>
      <c r="G10" s="53" t="s">
        <v>5</v>
      </c>
      <c r="H10" s="53" t="s">
        <v>6</v>
      </c>
      <c r="I10" s="53" t="s">
        <v>7</v>
      </c>
      <c r="J10" s="53" t="s">
        <v>8</v>
      </c>
      <c r="K10" s="53" t="s">
        <v>9</v>
      </c>
      <c r="L10" s="53" t="s">
        <v>10</v>
      </c>
      <c r="M10" s="53" t="s">
        <v>11</v>
      </c>
      <c r="N10" s="53" t="s">
        <v>12</v>
      </c>
      <c r="O10" s="179" t="s">
        <v>13</v>
      </c>
      <c r="P10" s="489"/>
    </row>
    <row r="11" spans="1:16" s="487" customFormat="1" ht="16.5" customHeight="1">
      <c r="A11" s="592"/>
      <c r="B11" s="493" t="s">
        <v>242</v>
      </c>
      <c r="C11" s="619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7"/>
    </row>
    <row r="12" spans="1:16" s="487" customFormat="1" ht="16.5" customHeight="1">
      <c r="A12" s="592"/>
      <c r="B12" s="146" t="s">
        <v>244</v>
      </c>
      <c r="C12" s="561"/>
      <c r="D12" s="617">
        <v>0</v>
      </c>
      <c r="E12" s="617">
        <f>D12</f>
        <v>0</v>
      </c>
      <c r="F12" s="617">
        <f aca="true" t="shared" si="3" ref="F12:O12">E12</f>
        <v>0</v>
      </c>
      <c r="G12" s="617">
        <f t="shared" si="3"/>
        <v>0</v>
      </c>
      <c r="H12" s="617">
        <f t="shared" si="3"/>
        <v>0</v>
      </c>
      <c r="I12" s="617">
        <f t="shared" si="3"/>
        <v>0</v>
      </c>
      <c r="J12" s="617">
        <f t="shared" si="3"/>
        <v>0</v>
      </c>
      <c r="K12" s="617">
        <f t="shared" si="3"/>
        <v>0</v>
      </c>
      <c r="L12" s="617">
        <v>0</v>
      </c>
      <c r="M12" s="617">
        <f t="shared" si="3"/>
        <v>0</v>
      </c>
      <c r="N12" s="617">
        <f>'5.6.1'!I18*45</f>
        <v>400564.6875</v>
      </c>
      <c r="O12" s="617">
        <f t="shared" si="3"/>
        <v>400564.6875</v>
      </c>
      <c r="P12" s="498">
        <f>SUM(D12:O12)</f>
        <v>801129.375</v>
      </c>
    </row>
    <row r="13" spans="1:16" s="491" customFormat="1" ht="16.5" customHeight="1" thickBot="1">
      <c r="A13" s="592"/>
      <c r="B13" s="492" t="s">
        <v>243</v>
      </c>
      <c r="C13" s="580"/>
      <c r="D13" s="618">
        <f>SUM(D12)</f>
        <v>0</v>
      </c>
      <c r="E13" s="499">
        <f aca="true" t="shared" si="4" ref="E13:O13">SUM(E12)</f>
        <v>0</v>
      </c>
      <c r="F13" s="499">
        <f t="shared" si="4"/>
        <v>0</v>
      </c>
      <c r="G13" s="499">
        <f t="shared" si="4"/>
        <v>0</v>
      </c>
      <c r="H13" s="499">
        <f t="shared" si="4"/>
        <v>0</v>
      </c>
      <c r="I13" s="499">
        <f t="shared" si="4"/>
        <v>0</v>
      </c>
      <c r="J13" s="499">
        <f>SUM(J12)</f>
        <v>0</v>
      </c>
      <c r="K13" s="499">
        <f t="shared" si="4"/>
        <v>0</v>
      </c>
      <c r="L13" s="499">
        <f t="shared" si="4"/>
        <v>0</v>
      </c>
      <c r="M13" s="499">
        <f t="shared" si="4"/>
        <v>0</v>
      </c>
      <c r="N13" s="499">
        <f t="shared" si="4"/>
        <v>400564.6875</v>
      </c>
      <c r="O13" s="499">
        <f t="shared" si="4"/>
        <v>400564.6875</v>
      </c>
      <c r="P13" s="484">
        <f>SUM(D13:O13)</f>
        <v>801129.375</v>
      </c>
    </row>
    <row r="14" spans="1:16" s="487" customFormat="1" ht="16.5" customHeight="1" thickBot="1">
      <c r="A14" s="593"/>
      <c r="B14" s="500"/>
      <c r="C14" s="615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2"/>
    </row>
    <row r="15" spans="1:16" ht="15.75">
      <c r="A15" s="594">
        <v>5103000000</v>
      </c>
      <c r="B15" s="541" t="s">
        <v>14</v>
      </c>
      <c r="C15" s="609"/>
      <c r="D15" s="612"/>
      <c r="E15" s="490"/>
      <c r="F15" s="490"/>
      <c r="G15" s="60"/>
      <c r="H15" s="60"/>
      <c r="I15" s="60"/>
      <c r="J15" s="60"/>
      <c r="K15" s="60"/>
      <c r="L15" s="60"/>
      <c r="M15" s="60"/>
      <c r="N15" s="60"/>
      <c r="O15" s="183"/>
      <c r="P15" s="486"/>
    </row>
    <row r="16" spans="1:16" ht="15">
      <c r="A16" s="595">
        <v>5103005000</v>
      </c>
      <c r="B16" s="542" t="s">
        <v>15</v>
      </c>
      <c r="C16" s="610"/>
      <c r="D16" s="62">
        <f>158+(158*0.03)</f>
        <v>162.74</v>
      </c>
      <c r="E16" s="55">
        <f>D16</f>
        <v>162.74</v>
      </c>
      <c r="F16" s="55">
        <f aca="true" t="shared" si="5" ref="F16:O16">E16</f>
        <v>162.74</v>
      </c>
      <c r="G16" s="55">
        <f t="shared" si="5"/>
        <v>162.74</v>
      </c>
      <c r="H16" s="55">
        <f t="shared" si="5"/>
        <v>162.74</v>
      </c>
      <c r="I16" s="55">
        <f t="shared" si="5"/>
        <v>162.74</v>
      </c>
      <c r="J16" s="55">
        <f t="shared" si="5"/>
        <v>162.74</v>
      </c>
      <c r="K16" s="55">
        <f t="shared" si="5"/>
        <v>162.74</v>
      </c>
      <c r="L16" s="55">
        <f t="shared" si="5"/>
        <v>162.74</v>
      </c>
      <c r="M16" s="55">
        <f t="shared" si="5"/>
        <v>162.74</v>
      </c>
      <c r="N16" s="55">
        <f t="shared" si="5"/>
        <v>162.74</v>
      </c>
      <c r="O16" s="180">
        <f t="shared" si="5"/>
        <v>162.74</v>
      </c>
      <c r="P16" s="182">
        <f aca="true" t="shared" si="6" ref="P16:P28">SUM(D16:O16)</f>
        <v>1952.88</v>
      </c>
    </row>
    <row r="17" spans="1:16" ht="15">
      <c r="A17" s="595">
        <v>5103003000</v>
      </c>
      <c r="B17" s="542" t="s">
        <v>16</v>
      </c>
      <c r="C17" s="610"/>
      <c r="D17" s="62">
        <f>582+(582*0.03)</f>
        <v>599.46</v>
      </c>
      <c r="E17" s="55">
        <f>D17</f>
        <v>599.46</v>
      </c>
      <c r="F17" s="55">
        <f aca="true" t="shared" si="7" ref="F17:O17">E17</f>
        <v>599.46</v>
      </c>
      <c r="G17" s="55">
        <f t="shared" si="7"/>
        <v>599.46</v>
      </c>
      <c r="H17" s="55">
        <f t="shared" si="7"/>
        <v>599.46</v>
      </c>
      <c r="I17" s="55">
        <f t="shared" si="7"/>
        <v>599.46</v>
      </c>
      <c r="J17" s="55">
        <f t="shared" si="7"/>
        <v>599.46</v>
      </c>
      <c r="K17" s="55">
        <f t="shared" si="7"/>
        <v>599.46</v>
      </c>
      <c r="L17" s="55">
        <f t="shared" si="7"/>
        <v>599.46</v>
      </c>
      <c r="M17" s="55">
        <f t="shared" si="7"/>
        <v>599.46</v>
      </c>
      <c r="N17" s="55">
        <f t="shared" si="7"/>
        <v>599.46</v>
      </c>
      <c r="O17" s="180">
        <f t="shared" si="7"/>
        <v>599.46</v>
      </c>
      <c r="P17" s="182">
        <f t="shared" si="6"/>
        <v>7193.52</v>
      </c>
    </row>
    <row r="18" spans="1:16" ht="15">
      <c r="A18" s="595">
        <v>5103007000</v>
      </c>
      <c r="B18" s="542" t="s">
        <v>17</v>
      </c>
      <c r="C18" s="610"/>
      <c r="D18" s="62">
        <f>130</f>
        <v>130</v>
      </c>
      <c r="E18" s="55">
        <f>D18</f>
        <v>130</v>
      </c>
      <c r="F18" s="55">
        <f aca="true" t="shared" si="8" ref="F18:O18">E18</f>
        <v>130</v>
      </c>
      <c r="G18" s="55">
        <f t="shared" si="8"/>
        <v>130</v>
      </c>
      <c r="H18" s="55">
        <f t="shared" si="8"/>
        <v>130</v>
      </c>
      <c r="I18" s="55">
        <f t="shared" si="8"/>
        <v>130</v>
      </c>
      <c r="J18" s="55">
        <f t="shared" si="8"/>
        <v>130</v>
      </c>
      <c r="K18" s="55">
        <f t="shared" si="8"/>
        <v>130</v>
      </c>
      <c r="L18" s="55">
        <f t="shared" si="8"/>
        <v>130</v>
      </c>
      <c r="M18" s="55">
        <f t="shared" si="8"/>
        <v>130</v>
      </c>
      <c r="N18" s="55">
        <f t="shared" si="8"/>
        <v>130</v>
      </c>
      <c r="O18" s="180">
        <f t="shared" si="8"/>
        <v>130</v>
      </c>
      <c r="P18" s="182">
        <f t="shared" si="6"/>
        <v>1560</v>
      </c>
    </row>
    <row r="19" spans="1:16" ht="15">
      <c r="A19" s="595">
        <v>5103008000</v>
      </c>
      <c r="B19" s="542" t="s">
        <v>18</v>
      </c>
      <c r="C19" s="610"/>
      <c r="D19" s="62">
        <v>10</v>
      </c>
      <c r="E19" s="55">
        <f>D19</f>
        <v>10</v>
      </c>
      <c r="F19" s="55">
        <f aca="true" t="shared" si="9" ref="F19:O19">E19</f>
        <v>10</v>
      </c>
      <c r="G19" s="55">
        <f t="shared" si="9"/>
        <v>10</v>
      </c>
      <c r="H19" s="55">
        <f t="shared" si="9"/>
        <v>10</v>
      </c>
      <c r="I19" s="55">
        <f t="shared" si="9"/>
        <v>10</v>
      </c>
      <c r="J19" s="55">
        <f t="shared" si="9"/>
        <v>10</v>
      </c>
      <c r="K19" s="55">
        <f t="shared" si="9"/>
        <v>10</v>
      </c>
      <c r="L19" s="55">
        <f t="shared" si="9"/>
        <v>10</v>
      </c>
      <c r="M19" s="55">
        <f t="shared" si="9"/>
        <v>10</v>
      </c>
      <c r="N19" s="55">
        <f t="shared" si="9"/>
        <v>10</v>
      </c>
      <c r="O19" s="180">
        <f t="shared" si="9"/>
        <v>10</v>
      </c>
      <c r="P19" s="182">
        <f t="shared" si="6"/>
        <v>120</v>
      </c>
    </row>
    <row r="20" spans="1:16" ht="15">
      <c r="A20" s="595">
        <v>5103010000</v>
      </c>
      <c r="B20" s="542" t="s">
        <v>19</v>
      </c>
      <c r="C20" s="610"/>
      <c r="D20" s="62">
        <f>'ANEXO 5.1'!B20</f>
        <v>23000</v>
      </c>
      <c r="E20" s="62">
        <f>'ANEXO 5.1'!C20</f>
        <v>9532.85</v>
      </c>
      <c r="F20" s="62">
        <f>'ANEXO 5.1'!D20</f>
        <v>14096.279999999999</v>
      </c>
      <c r="G20" s="62">
        <f>'ANEXO 5.1'!E20</f>
        <v>9396.279999999999</v>
      </c>
      <c r="H20" s="62">
        <f>'ANEXO 5.1'!F20</f>
        <v>12174.810000000001</v>
      </c>
      <c r="I20" s="62">
        <f>'ANEXO 5.1'!G20</f>
        <v>7796.28</v>
      </c>
      <c r="J20" s="62">
        <f>'ANEXO 5.1'!H20</f>
        <v>7796.28</v>
      </c>
      <c r="K20" s="62">
        <f>'ANEXO 5.1'!I20</f>
        <v>11574.810000000001</v>
      </c>
      <c r="L20" s="62">
        <f>'ANEXO 5.1'!J20</f>
        <v>8396.279999999999</v>
      </c>
      <c r="M20" s="62">
        <f>'ANEXO 5.1'!K20</f>
        <v>9396.279999999999</v>
      </c>
      <c r="N20" s="62">
        <f>'ANEXO 5.1'!L20</f>
        <v>7932.85</v>
      </c>
      <c r="O20" s="62">
        <f>'ANEXO 5.1'!M20</f>
        <v>8396.279999999999</v>
      </c>
      <c r="P20" s="182">
        <f>SUM(D20:O20)-'ANEXO 5.1'!N18</f>
        <v>107139.28</v>
      </c>
    </row>
    <row r="21" spans="1:16" ht="15">
      <c r="A21" s="595">
        <v>5103012000</v>
      </c>
      <c r="B21" s="542" t="s">
        <v>20</v>
      </c>
      <c r="C21" s="610"/>
      <c r="D21" s="62">
        <v>10</v>
      </c>
      <c r="E21" s="55">
        <f aca="true" t="shared" si="10" ref="E21:E26">D21</f>
        <v>10</v>
      </c>
      <c r="F21" s="55">
        <f aca="true" t="shared" si="11" ref="F21:O21">E21</f>
        <v>10</v>
      </c>
      <c r="G21" s="55">
        <f t="shared" si="11"/>
        <v>10</v>
      </c>
      <c r="H21" s="55">
        <f t="shared" si="11"/>
        <v>10</v>
      </c>
      <c r="I21" s="55">
        <f t="shared" si="11"/>
        <v>10</v>
      </c>
      <c r="J21" s="55">
        <f t="shared" si="11"/>
        <v>10</v>
      </c>
      <c r="K21" s="55">
        <f t="shared" si="11"/>
        <v>10</v>
      </c>
      <c r="L21" s="55">
        <f t="shared" si="11"/>
        <v>10</v>
      </c>
      <c r="M21" s="55">
        <f t="shared" si="11"/>
        <v>10</v>
      </c>
      <c r="N21" s="55">
        <f t="shared" si="11"/>
        <v>10</v>
      </c>
      <c r="O21" s="180">
        <f t="shared" si="11"/>
        <v>10</v>
      </c>
      <c r="P21" s="182">
        <f t="shared" si="6"/>
        <v>120</v>
      </c>
    </row>
    <row r="22" spans="1:16" ht="15">
      <c r="A22" s="595">
        <v>5103013000</v>
      </c>
      <c r="B22" s="542" t="s">
        <v>21</v>
      </c>
      <c r="C22" s="610"/>
      <c r="D22" s="62">
        <v>19</v>
      </c>
      <c r="E22" s="55">
        <f t="shared" si="10"/>
        <v>19</v>
      </c>
      <c r="F22" s="55">
        <f aca="true" t="shared" si="12" ref="F22:O22">E22</f>
        <v>19</v>
      </c>
      <c r="G22" s="55">
        <f t="shared" si="12"/>
        <v>19</v>
      </c>
      <c r="H22" s="55">
        <f t="shared" si="12"/>
        <v>19</v>
      </c>
      <c r="I22" s="55">
        <f t="shared" si="12"/>
        <v>19</v>
      </c>
      <c r="J22" s="55">
        <f t="shared" si="12"/>
        <v>19</v>
      </c>
      <c r="K22" s="55">
        <f t="shared" si="12"/>
        <v>19</v>
      </c>
      <c r="L22" s="55">
        <f t="shared" si="12"/>
        <v>19</v>
      </c>
      <c r="M22" s="55">
        <f t="shared" si="12"/>
        <v>19</v>
      </c>
      <c r="N22" s="55">
        <f t="shared" si="12"/>
        <v>19</v>
      </c>
      <c r="O22" s="180">
        <f t="shared" si="12"/>
        <v>19</v>
      </c>
      <c r="P22" s="182">
        <f t="shared" si="6"/>
        <v>228</v>
      </c>
    </row>
    <row r="23" spans="1:16" ht="15">
      <c r="A23" s="595">
        <v>5103014000</v>
      </c>
      <c r="B23" s="542" t="s">
        <v>22</v>
      </c>
      <c r="C23" s="610"/>
      <c r="D23" s="62">
        <v>734</v>
      </c>
      <c r="E23" s="55">
        <f t="shared" si="10"/>
        <v>734</v>
      </c>
      <c r="F23" s="55">
        <f aca="true" t="shared" si="13" ref="F23:O23">E23</f>
        <v>734</v>
      </c>
      <c r="G23" s="55">
        <f t="shared" si="13"/>
        <v>734</v>
      </c>
      <c r="H23" s="55">
        <f t="shared" si="13"/>
        <v>734</v>
      </c>
      <c r="I23" s="55">
        <f t="shared" si="13"/>
        <v>734</v>
      </c>
      <c r="J23" s="55">
        <f t="shared" si="13"/>
        <v>734</v>
      </c>
      <c r="K23" s="55">
        <f t="shared" si="13"/>
        <v>734</v>
      </c>
      <c r="L23" s="55">
        <f t="shared" si="13"/>
        <v>734</v>
      </c>
      <c r="M23" s="55">
        <f t="shared" si="13"/>
        <v>734</v>
      </c>
      <c r="N23" s="55">
        <f t="shared" si="13"/>
        <v>734</v>
      </c>
      <c r="O23" s="180">
        <f t="shared" si="13"/>
        <v>734</v>
      </c>
      <c r="P23" s="182">
        <f t="shared" si="6"/>
        <v>8808</v>
      </c>
    </row>
    <row r="24" spans="1:16" ht="15">
      <c r="A24" s="595">
        <v>5103017000</v>
      </c>
      <c r="B24" s="542" t="s">
        <v>23</v>
      </c>
      <c r="C24" s="610"/>
      <c r="D24" s="62">
        <v>904</v>
      </c>
      <c r="E24" s="55">
        <f t="shared" si="10"/>
        <v>904</v>
      </c>
      <c r="F24" s="55">
        <f aca="true" t="shared" si="14" ref="F24:O24">E24</f>
        <v>904</v>
      </c>
      <c r="G24" s="55">
        <f t="shared" si="14"/>
        <v>904</v>
      </c>
      <c r="H24" s="55">
        <f t="shared" si="14"/>
        <v>904</v>
      </c>
      <c r="I24" s="55">
        <f t="shared" si="14"/>
        <v>904</v>
      </c>
      <c r="J24" s="55">
        <f t="shared" si="14"/>
        <v>904</v>
      </c>
      <c r="K24" s="55">
        <f t="shared" si="14"/>
        <v>904</v>
      </c>
      <c r="L24" s="55">
        <f t="shared" si="14"/>
        <v>904</v>
      </c>
      <c r="M24" s="55">
        <f t="shared" si="14"/>
        <v>904</v>
      </c>
      <c r="N24" s="55">
        <f t="shared" si="14"/>
        <v>904</v>
      </c>
      <c r="O24" s="180">
        <f t="shared" si="14"/>
        <v>904</v>
      </c>
      <c r="P24" s="182">
        <f t="shared" si="6"/>
        <v>10848</v>
      </c>
    </row>
    <row r="25" spans="1:16" ht="15">
      <c r="A25" s="595">
        <v>5103018000</v>
      </c>
      <c r="B25" s="542" t="s">
        <v>24</v>
      </c>
      <c r="C25" s="610"/>
      <c r="D25" s="62">
        <v>2400</v>
      </c>
      <c r="E25" s="55">
        <f t="shared" si="10"/>
        <v>2400</v>
      </c>
      <c r="F25" s="55">
        <f aca="true" t="shared" si="15" ref="F25:O25">E25</f>
        <v>2400</v>
      </c>
      <c r="G25" s="55">
        <f t="shared" si="15"/>
        <v>2400</v>
      </c>
      <c r="H25" s="55">
        <f t="shared" si="15"/>
        <v>2400</v>
      </c>
      <c r="I25" s="55">
        <f t="shared" si="15"/>
        <v>2400</v>
      </c>
      <c r="J25" s="55">
        <f t="shared" si="15"/>
        <v>2400</v>
      </c>
      <c r="K25" s="55">
        <f t="shared" si="15"/>
        <v>2400</v>
      </c>
      <c r="L25" s="55">
        <f t="shared" si="15"/>
        <v>2400</v>
      </c>
      <c r="M25" s="55">
        <f t="shared" si="15"/>
        <v>2400</v>
      </c>
      <c r="N25" s="55">
        <f t="shared" si="15"/>
        <v>2400</v>
      </c>
      <c r="O25" s="180">
        <f t="shared" si="15"/>
        <v>2400</v>
      </c>
      <c r="P25" s="182">
        <f t="shared" si="6"/>
        <v>28800</v>
      </c>
    </row>
    <row r="26" spans="1:16" ht="15">
      <c r="A26" s="595">
        <v>5103021000</v>
      </c>
      <c r="B26" s="542" t="s">
        <v>25</v>
      </c>
      <c r="C26" s="610"/>
      <c r="D26" s="62">
        <v>41</v>
      </c>
      <c r="E26" s="55">
        <f t="shared" si="10"/>
        <v>41</v>
      </c>
      <c r="F26" s="55">
        <f aca="true" t="shared" si="16" ref="F26:O26">E26</f>
        <v>41</v>
      </c>
      <c r="G26" s="55">
        <f t="shared" si="16"/>
        <v>41</v>
      </c>
      <c r="H26" s="55">
        <f t="shared" si="16"/>
        <v>41</v>
      </c>
      <c r="I26" s="55">
        <f t="shared" si="16"/>
        <v>41</v>
      </c>
      <c r="J26" s="55">
        <f t="shared" si="16"/>
        <v>41</v>
      </c>
      <c r="K26" s="55">
        <f t="shared" si="16"/>
        <v>41</v>
      </c>
      <c r="L26" s="55">
        <f t="shared" si="16"/>
        <v>41</v>
      </c>
      <c r="M26" s="55">
        <f t="shared" si="16"/>
        <v>41</v>
      </c>
      <c r="N26" s="55">
        <f t="shared" si="16"/>
        <v>41</v>
      </c>
      <c r="O26" s="180">
        <f t="shared" si="16"/>
        <v>41</v>
      </c>
      <c r="P26" s="182">
        <f t="shared" si="6"/>
        <v>492</v>
      </c>
    </row>
    <row r="27" spans="1:16" ht="30">
      <c r="A27" s="595">
        <v>5103022000</v>
      </c>
      <c r="B27" s="542" t="s">
        <v>202</v>
      </c>
      <c r="C27" s="610"/>
      <c r="D27" s="62">
        <v>1000</v>
      </c>
      <c r="E27" s="56"/>
      <c r="F27" s="56"/>
      <c r="G27" s="56"/>
      <c r="H27" s="56"/>
      <c r="I27" s="55">
        <v>1000</v>
      </c>
      <c r="J27" s="55"/>
      <c r="K27" s="55"/>
      <c r="L27" s="55"/>
      <c r="M27" s="55"/>
      <c r="N27" s="55"/>
      <c r="O27" s="180"/>
      <c r="P27" s="182">
        <f t="shared" si="6"/>
        <v>2000</v>
      </c>
    </row>
    <row r="28" spans="1:16" s="420" customFormat="1" ht="16.5" thickBot="1">
      <c r="A28" s="596" t="s">
        <v>26</v>
      </c>
      <c r="B28" s="543" t="s">
        <v>27</v>
      </c>
      <c r="C28" s="611"/>
      <c r="D28" s="421">
        <f>SUM(D16:D27)</f>
        <v>29010.2</v>
      </c>
      <c r="E28" s="417">
        <f aca="true" t="shared" si="17" ref="E28:O28">SUM(E16:E27)</f>
        <v>14543.050000000001</v>
      </c>
      <c r="F28" s="417">
        <f t="shared" si="17"/>
        <v>19106.48</v>
      </c>
      <c r="G28" s="417">
        <f t="shared" si="17"/>
        <v>14406.48</v>
      </c>
      <c r="H28" s="417">
        <f t="shared" si="17"/>
        <v>17185.010000000002</v>
      </c>
      <c r="I28" s="417">
        <f t="shared" si="17"/>
        <v>13806.48</v>
      </c>
      <c r="J28" s="417">
        <f t="shared" si="17"/>
        <v>12806.48</v>
      </c>
      <c r="K28" s="417">
        <f t="shared" si="17"/>
        <v>16585.010000000002</v>
      </c>
      <c r="L28" s="417">
        <f t="shared" si="17"/>
        <v>13406.48</v>
      </c>
      <c r="M28" s="417">
        <f t="shared" si="17"/>
        <v>14406.48</v>
      </c>
      <c r="N28" s="417">
        <f t="shared" si="17"/>
        <v>12943.050000000001</v>
      </c>
      <c r="O28" s="418">
        <f t="shared" si="17"/>
        <v>13406.48</v>
      </c>
      <c r="P28" s="419">
        <f t="shared" si="6"/>
        <v>191611.68000000002</v>
      </c>
    </row>
    <row r="29" spans="1:15" ht="15.75" thickBot="1">
      <c r="A29" s="605"/>
      <c r="B29" s="691"/>
      <c r="C29" s="691"/>
      <c r="D29" s="731"/>
      <c r="E29" s="58"/>
      <c r="F29" s="58"/>
      <c r="G29" s="58"/>
      <c r="H29" s="58"/>
      <c r="I29" s="57"/>
      <c r="J29" s="57"/>
      <c r="K29" s="57"/>
      <c r="L29" s="57"/>
      <c r="M29" s="57"/>
      <c r="N29" s="57"/>
      <c r="O29" s="57"/>
    </row>
    <row r="30" spans="1:16" s="7" customFormat="1" ht="16.5" thickBot="1">
      <c r="A30" s="598" t="s">
        <v>0</v>
      </c>
      <c r="B30" s="9" t="s">
        <v>28</v>
      </c>
      <c r="C30" s="61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81"/>
    </row>
    <row r="31" spans="1:16" ht="15.75">
      <c r="A31" s="595">
        <v>5204200001</v>
      </c>
      <c r="B31" s="541" t="s">
        <v>29</v>
      </c>
      <c r="C31" s="614"/>
      <c r="D31" s="612">
        <v>1902</v>
      </c>
      <c r="E31" s="60">
        <v>1902</v>
      </c>
      <c r="F31" s="60">
        <v>1902</v>
      </c>
      <c r="G31" s="60">
        <v>1902</v>
      </c>
      <c r="H31" s="60">
        <v>1902</v>
      </c>
      <c r="I31" s="60">
        <v>1902</v>
      </c>
      <c r="J31" s="60">
        <v>1902</v>
      </c>
      <c r="K31" s="60">
        <v>1902</v>
      </c>
      <c r="L31" s="60">
        <v>1902</v>
      </c>
      <c r="M31" s="60">
        <v>1902</v>
      </c>
      <c r="N31" s="60">
        <v>1902</v>
      </c>
      <c r="O31" s="183">
        <v>1902</v>
      </c>
      <c r="P31" s="182">
        <f aca="true" t="shared" si="18" ref="P31:P37">SUM(D31:O31)</f>
        <v>22824</v>
      </c>
    </row>
    <row r="32" spans="1:16" ht="30">
      <c r="A32" s="595">
        <v>5204200002</v>
      </c>
      <c r="B32" s="542" t="s">
        <v>30</v>
      </c>
      <c r="C32" s="610"/>
      <c r="D32" s="62">
        <v>435</v>
      </c>
      <c r="E32" s="55">
        <v>435</v>
      </c>
      <c r="F32" s="55">
        <v>435</v>
      </c>
      <c r="G32" s="55">
        <v>435</v>
      </c>
      <c r="H32" s="55">
        <v>435</v>
      </c>
      <c r="I32" s="55">
        <v>435</v>
      </c>
      <c r="J32" s="55">
        <v>435</v>
      </c>
      <c r="K32" s="55">
        <v>435</v>
      </c>
      <c r="L32" s="55">
        <v>435</v>
      </c>
      <c r="M32" s="55">
        <v>435</v>
      </c>
      <c r="N32" s="55">
        <v>435</v>
      </c>
      <c r="O32" s="180">
        <v>435</v>
      </c>
      <c r="P32" s="182">
        <f t="shared" si="18"/>
        <v>5220</v>
      </c>
    </row>
    <row r="33" spans="1:16" ht="15">
      <c r="A33" s="595">
        <v>5204200003</v>
      </c>
      <c r="B33" s="542" t="s">
        <v>31</v>
      </c>
      <c r="C33" s="610"/>
      <c r="D33" s="62">
        <v>1902</v>
      </c>
      <c r="E33" s="55">
        <v>1902</v>
      </c>
      <c r="F33" s="55">
        <v>1902</v>
      </c>
      <c r="G33" s="55">
        <v>1902</v>
      </c>
      <c r="H33" s="55">
        <v>1902</v>
      </c>
      <c r="I33" s="55">
        <v>1902</v>
      </c>
      <c r="J33" s="55">
        <v>1902</v>
      </c>
      <c r="K33" s="55">
        <v>1902</v>
      </c>
      <c r="L33" s="55">
        <v>1902</v>
      </c>
      <c r="M33" s="55">
        <v>1902</v>
      </c>
      <c r="N33" s="55">
        <v>1902</v>
      </c>
      <c r="O33" s="180">
        <v>1902</v>
      </c>
      <c r="P33" s="182">
        <f t="shared" si="18"/>
        <v>22824</v>
      </c>
    </row>
    <row r="34" spans="1:16" ht="15">
      <c r="A34" s="595">
        <v>5204200004</v>
      </c>
      <c r="B34" s="542" t="s">
        <v>32</v>
      </c>
      <c r="C34" s="610"/>
      <c r="D34" s="62"/>
      <c r="E34" s="55"/>
      <c r="F34" s="55"/>
      <c r="G34" s="55">
        <v>2297.92</v>
      </c>
      <c r="H34" s="55"/>
      <c r="I34" s="55"/>
      <c r="J34" s="55"/>
      <c r="K34" s="55"/>
      <c r="L34" s="55"/>
      <c r="M34" s="55"/>
      <c r="N34" s="55"/>
      <c r="O34" s="180"/>
      <c r="P34" s="182">
        <f t="shared" si="18"/>
        <v>2297.92</v>
      </c>
    </row>
    <row r="35" spans="1:16" ht="15">
      <c r="A35" s="595">
        <v>5204200005</v>
      </c>
      <c r="B35" s="542" t="s">
        <v>33</v>
      </c>
      <c r="C35" s="610"/>
      <c r="D35" s="62"/>
      <c r="E35" s="55"/>
      <c r="F35" s="55"/>
      <c r="G35" s="55"/>
      <c r="H35" s="55">
        <v>60</v>
      </c>
      <c r="I35" s="55">
        <v>60</v>
      </c>
      <c r="J35" s="55">
        <v>60</v>
      </c>
      <c r="K35" s="55"/>
      <c r="L35" s="55"/>
      <c r="M35" s="55"/>
      <c r="N35" s="55"/>
      <c r="O35" s="180"/>
      <c r="P35" s="182">
        <f t="shared" si="18"/>
        <v>180</v>
      </c>
    </row>
    <row r="36" spans="1:16" ht="15">
      <c r="A36" s="595">
        <v>5204200006</v>
      </c>
      <c r="B36" s="542" t="s">
        <v>34</v>
      </c>
      <c r="C36" s="610"/>
      <c r="D36" s="62">
        <v>212.073</v>
      </c>
      <c r="E36" s="55">
        <v>212.073</v>
      </c>
      <c r="F36" s="55">
        <v>212.073</v>
      </c>
      <c r="G36" s="55">
        <v>212.073</v>
      </c>
      <c r="H36" s="55">
        <v>212.073</v>
      </c>
      <c r="I36" s="55">
        <v>212.073</v>
      </c>
      <c r="J36" s="55">
        <v>212.073</v>
      </c>
      <c r="K36" s="55">
        <v>212.073</v>
      </c>
      <c r="L36" s="55">
        <v>212.073</v>
      </c>
      <c r="M36" s="55">
        <v>212.073</v>
      </c>
      <c r="N36" s="55">
        <v>212.073</v>
      </c>
      <c r="O36" s="180">
        <v>212.073</v>
      </c>
      <c r="P36" s="182">
        <f t="shared" si="18"/>
        <v>2544.876</v>
      </c>
    </row>
    <row r="37" spans="1:16" s="420" customFormat="1" ht="30.75" thickBot="1">
      <c r="A37" s="596" t="s">
        <v>35</v>
      </c>
      <c r="B37" s="543" t="s">
        <v>36</v>
      </c>
      <c r="C37" s="611"/>
      <c r="D37" s="421">
        <f aca="true" t="shared" si="19" ref="D37:O37">SUM(D31:D36)</f>
        <v>4451.073</v>
      </c>
      <c r="E37" s="417">
        <f t="shared" si="19"/>
        <v>4451.073</v>
      </c>
      <c r="F37" s="417">
        <f t="shared" si="19"/>
        <v>4451.073</v>
      </c>
      <c r="G37" s="417">
        <f t="shared" si="19"/>
        <v>6748.993</v>
      </c>
      <c r="H37" s="417">
        <f t="shared" si="19"/>
        <v>4511.073</v>
      </c>
      <c r="I37" s="417">
        <f t="shared" si="19"/>
        <v>4511.073</v>
      </c>
      <c r="J37" s="417">
        <f t="shared" si="19"/>
        <v>4511.073</v>
      </c>
      <c r="K37" s="417">
        <f t="shared" si="19"/>
        <v>4451.073</v>
      </c>
      <c r="L37" s="417">
        <f t="shared" si="19"/>
        <v>4451.073</v>
      </c>
      <c r="M37" s="417">
        <f t="shared" si="19"/>
        <v>4451.073</v>
      </c>
      <c r="N37" s="417">
        <f t="shared" si="19"/>
        <v>4451.073</v>
      </c>
      <c r="O37" s="418">
        <f t="shared" si="19"/>
        <v>4451.073</v>
      </c>
      <c r="P37" s="419">
        <f t="shared" si="18"/>
        <v>55890.79600000002</v>
      </c>
    </row>
    <row r="38" spans="1:16" s="693" customFormat="1" ht="16.5" thickBot="1">
      <c r="A38" s="688"/>
      <c r="B38" s="691"/>
      <c r="C38" s="691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482"/>
    </row>
    <row r="39" spans="1:16" s="7" customFormat="1" ht="16.5" thickBot="1">
      <c r="A39" s="600"/>
      <c r="B39" s="9" t="s">
        <v>37</v>
      </c>
      <c r="C39" s="613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181"/>
    </row>
    <row r="40" spans="1:16" ht="15">
      <c r="A40" s="599">
        <v>5204030016</v>
      </c>
      <c r="B40" s="512" t="s">
        <v>38</v>
      </c>
      <c r="C40" s="610"/>
      <c r="D40" s="62">
        <f>130</f>
        <v>130</v>
      </c>
      <c r="E40" s="55">
        <f aca="true" t="shared" si="20" ref="E40:G48">D40</f>
        <v>130</v>
      </c>
      <c r="F40" s="55">
        <f t="shared" si="20"/>
        <v>130</v>
      </c>
      <c r="G40" s="55">
        <f t="shared" si="20"/>
        <v>130</v>
      </c>
      <c r="H40" s="55">
        <f aca="true" t="shared" si="21" ref="H40:O40">G40</f>
        <v>130</v>
      </c>
      <c r="I40" s="55">
        <f t="shared" si="21"/>
        <v>130</v>
      </c>
      <c r="J40" s="55">
        <f t="shared" si="21"/>
        <v>130</v>
      </c>
      <c r="K40" s="55">
        <f t="shared" si="21"/>
        <v>130</v>
      </c>
      <c r="L40" s="55">
        <f t="shared" si="21"/>
        <v>130</v>
      </c>
      <c r="M40" s="55">
        <f t="shared" si="21"/>
        <v>130</v>
      </c>
      <c r="N40" s="55">
        <f t="shared" si="21"/>
        <v>130</v>
      </c>
      <c r="O40" s="180">
        <f t="shared" si="21"/>
        <v>130</v>
      </c>
      <c r="P40" s="182">
        <f aca="true" t="shared" si="22" ref="P40:P53">SUM(D40:O40)</f>
        <v>1560</v>
      </c>
    </row>
    <row r="41" spans="1:16" ht="15">
      <c r="A41" s="595">
        <v>5204200099</v>
      </c>
      <c r="B41" s="542" t="s">
        <v>39</v>
      </c>
      <c r="C41" s="610"/>
      <c r="D41" s="62">
        <f>22</f>
        <v>22</v>
      </c>
      <c r="E41" s="55">
        <f t="shared" si="20"/>
        <v>22</v>
      </c>
      <c r="F41" s="55">
        <f t="shared" si="20"/>
        <v>22</v>
      </c>
      <c r="G41" s="55">
        <f t="shared" si="20"/>
        <v>22</v>
      </c>
      <c r="H41" s="55">
        <f aca="true" t="shared" si="23" ref="H41:O41">G41</f>
        <v>22</v>
      </c>
      <c r="I41" s="55">
        <f t="shared" si="23"/>
        <v>22</v>
      </c>
      <c r="J41" s="55">
        <f t="shared" si="23"/>
        <v>22</v>
      </c>
      <c r="K41" s="55">
        <f t="shared" si="23"/>
        <v>22</v>
      </c>
      <c r="L41" s="55">
        <f t="shared" si="23"/>
        <v>22</v>
      </c>
      <c r="M41" s="55">
        <f t="shared" si="23"/>
        <v>22</v>
      </c>
      <c r="N41" s="55">
        <f t="shared" si="23"/>
        <v>22</v>
      </c>
      <c r="O41" s="180">
        <f t="shared" si="23"/>
        <v>22</v>
      </c>
      <c r="P41" s="182">
        <f t="shared" si="22"/>
        <v>264</v>
      </c>
    </row>
    <row r="42" spans="1:16" ht="15">
      <c r="A42" s="595">
        <v>5204300010</v>
      </c>
      <c r="B42" s="542" t="s">
        <v>40</v>
      </c>
      <c r="C42" s="610"/>
      <c r="D42" s="62">
        <v>30</v>
      </c>
      <c r="E42" s="55">
        <f t="shared" si="20"/>
        <v>30</v>
      </c>
      <c r="F42" s="55">
        <f t="shared" si="20"/>
        <v>30</v>
      </c>
      <c r="G42" s="55">
        <f t="shared" si="20"/>
        <v>30</v>
      </c>
      <c r="H42" s="55">
        <f aca="true" t="shared" si="24" ref="H42:O42">G42</f>
        <v>30</v>
      </c>
      <c r="I42" s="55">
        <f t="shared" si="24"/>
        <v>30</v>
      </c>
      <c r="J42" s="55">
        <f t="shared" si="24"/>
        <v>30</v>
      </c>
      <c r="K42" s="55">
        <f t="shared" si="24"/>
        <v>30</v>
      </c>
      <c r="L42" s="55">
        <f t="shared" si="24"/>
        <v>30</v>
      </c>
      <c r="M42" s="55">
        <f t="shared" si="24"/>
        <v>30</v>
      </c>
      <c r="N42" s="55">
        <f t="shared" si="24"/>
        <v>30</v>
      </c>
      <c r="O42" s="180">
        <f t="shared" si="24"/>
        <v>30</v>
      </c>
      <c r="P42" s="182">
        <f t="shared" si="22"/>
        <v>360</v>
      </c>
    </row>
    <row r="43" spans="1:16" ht="15">
      <c r="A43" s="595">
        <v>5204300019</v>
      </c>
      <c r="B43" s="542" t="s">
        <v>16</v>
      </c>
      <c r="C43" s="610"/>
      <c r="D43" s="62">
        <v>15</v>
      </c>
      <c r="E43" s="55">
        <f t="shared" si="20"/>
        <v>15</v>
      </c>
      <c r="F43" s="55">
        <f t="shared" si="20"/>
        <v>15</v>
      </c>
      <c r="G43" s="55">
        <f t="shared" si="20"/>
        <v>15</v>
      </c>
      <c r="H43" s="55">
        <f aca="true" t="shared" si="25" ref="H43:O43">G43</f>
        <v>15</v>
      </c>
      <c r="I43" s="55">
        <f t="shared" si="25"/>
        <v>15</v>
      </c>
      <c r="J43" s="55">
        <f t="shared" si="25"/>
        <v>15</v>
      </c>
      <c r="K43" s="55">
        <f t="shared" si="25"/>
        <v>15</v>
      </c>
      <c r="L43" s="55">
        <f t="shared" si="25"/>
        <v>15</v>
      </c>
      <c r="M43" s="55">
        <f t="shared" si="25"/>
        <v>15</v>
      </c>
      <c r="N43" s="55">
        <f t="shared" si="25"/>
        <v>15</v>
      </c>
      <c r="O43" s="180">
        <f t="shared" si="25"/>
        <v>15</v>
      </c>
      <c r="P43" s="182">
        <f t="shared" si="22"/>
        <v>180</v>
      </c>
    </row>
    <row r="44" spans="1:16" ht="15">
      <c r="A44" s="595">
        <v>5204400011</v>
      </c>
      <c r="B44" s="542" t="s">
        <v>18</v>
      </c>
      <c r="C44" s="610"/>
      <c r="D44" s="62">
        <v>5</v>
      </c>
      <c r="E44" s="55">
        <f t="shared" si="20"/>
        <v>5</v>
      </c>
      <c r="F44" s="55">
        <f t="shared" si="20"/>
        <v>5</v>
      </c>
      <c r="G44" s="55">
        <f t="shared" si="20"/>
        <v>5</v>
      </c>
      <c r="H44" s="55">
        <f aca="true" t="shared" si="26" ref="H44:O44">G44</f>
        <v>5</v>
      </c>
      <c r="I44" s="55">
        <f t="shared" si="26"/>
        <v>5</v>
      </c>
      <c r="J44" s="55">
        <f t="shared" si="26"/>
        <v>5</v>
      </c>
      <c r="K44" s="55">
        <f t="shared" si="26"/>
        <v>5</v>
      </c>
      <c r="L44" s="55">
        <f t="shared" si="26"/>
        <v>5</v>
      </c>
      <c r="M44" s="55">
        <f t="shared" si="26"/>
        <v>5</v>
      </c>
      <c r="N44" s="55">
        <f t="shared" si="26"/>
        <v>5</v>
      </c>
      <c r="O44" s="180">
        <f t="shared" si="26"/>
        <v>5</v>
      </c>
      <c r="P44" s="182">
        <f t="shared" si="22"/>
        <v>60</v>
      </c>
    </row>
    <row r="45" spans="1:16" ht="15">
      <c r="A45" s="595">
        <v>5204500013</v>
      </c>
      <c r="B45" s="542" t="s">
        <v>41</v>
      </c>
      <c r="C45" s="610"/>
      <c r="D45" s="62">
        <v>163</v>
      </c>
      <c r="E45" s="55">
        <f t="shared" si="20"/>
        <v>163</v>
      </c>
      <c r="F45" s="55">
        <f t="shared" si="20"/>
        <v>163</v>
      </c>
      <c r="G45" s="55">
        <f t="shared" si="20"/>
        <v>163</v>
      </c>
      <c r="H45" s="55">
        <f aca="true" t="shared" si="27" ref="H45:O45">G45</f>
        <v>163</v>
      </c>
      <c r="I45" s="55">
        <f t="shared" si="27"/>
        <v>163</v>
      </c>
      <c r="J45" s="55">
        <f t="shared" si="27"/>
        <v>163</v>
      </c>
      <c r="K45" s="55">
        <f t="shared" si="27"/>
        <v>163</v>
      </c>
      <c r="L45" s="55">
        <f t="shared" si="27"/>
        <v>163</v>
      </c>
      <c r="M45" s="55">
        <f t="shared" si="27"/>
        <v>163</v>
      </c>
      <c r="N45" s="55">
        <f t="shared" si="27"/>
        <v>163</v>
      </c>
      <c r="O45" s="180">
        <f t="shared" si="27"/>
        <v>163</v>
      </c>
      <c r="P45" s="182">
        <f t="shared" si="22"/>
        <v>1956</v>
      </c>
    </row>
    <row r="46" spans="1:16" ht="15">
      <c r="A46" s="595">
        <v>5204500016</v>
      </c>
      <c r="B46" s="542" t="s">
        <v>24</v>
      </c>
      <c r="C46" s="610"/>
      <c r="D46" s="62">
        <v>4</v>
      </c>
      <c r="E46" s="55">
        <f t="shared" si="20"/>
        <v>4</v>
      </c>
      <c r="F46" s="55">
        <f t="shared" si="20"/>
        <v>4</v>
      </c>
      <c r="G46" s="55">
        <f t="shared" si="20"/>
        <v>4</v>
      </c>
      <c r="H46" s="55">
        <f aca="true" t="shared" si="28" ref="H46:O46">G46</f>
        <v>4</v>
      </c>
      <c r="I46" s="55">
        <f t="shared" si="28"/>
        <v>4</v>
      </c>
      <c r="J46" s="55">
        <f t="shared" si="28"/>
        <v>4</v>
      </c>
      <c r="K46" s="55">
        <f t="shared" si="28"/>
        <v>4</v>
      </c>
      <c r="L46" s="55">
        <f t="shared" si="28"/>
        <v>4</v>
      </c>
      <c r="M46" s="55">
        <f t="shared" si="28"/>
        <v>4</v>
      </c>
      <c r="N46" s="55">
        <f t="shared" si="28"/>
        <v>4</v>
      </c>
      <c r="O46" s="180">
        <f t="shared" si="28"/>
        <v>4</v>
      </c>
      <c r="P46" s="182">
        <f t="shared" si="22"/>
        <v>48</v>
      </c>
    </row>
    <row r="47" spans="1:16" ht="15">
      <c r="A47" s="595">
        <v>5204500017</v>
      </c>
      <c r="B47" s="542" t="s">
        <v>15</v>
      </c>
      <c r="C47" s="610"/>
      <c r="D47" s="62">
        <v>97</v>
      </c>
      <c r="E47" s="55">
        <f t="shared" si="20"/>
        <v>97</v>
      </c>
      <c r="F47" s="55">
        <f t="shared" si="20"/>
        <v>97</v>
      </c>
      <c r="G47" s="55">
        <f t="shared" si="20"/>
        <v>97</v>
      </c>
      <c r="H47" s="55">
        <f aca="true" t="shared" si="29" ref="H47:O47">G47</f>
        <v>97</v>
      </c>
      <c r="I47" s="55">
        <f t="shared" si="29"/>
        <v>97</v>
      </c>
      <c r="J47" s="55">
        <f t="shared" si="29"/>
        <v>97</v>
      </c>
      <c r="K47" s="55">
        <f t="shared" si="29"/>
        <v>97</v>
      </c>
      <c r="L47" s="55">
        <f t="shared" si="29"/>
        <v>97</v>
      </c>
      <c r="M47" s="55">
        <f t="shared" si="29"/>
        <v>97</v>
      </c>
      <c r="N47" s="55">
        <f t="shared" si="29"/>
        <v>97</v>
      </c>
      <c r="O47" s="180">
        <f t="shared" si="29"/>
        <v>97</v>
      </c>
      <c r="P47" s="182">
        <f t="shared" si="22"/>
        <v>1164</v>
      </c>
    </row>
    <row r="48" spans="1:16" ht="15">
      <c r="A48" s="595">
        <v>5204500020</v>
      </c>
      <c r="B48" s="542" t="s">
        <v>42</v>
      </c>
      <c r="C48" s="610"/>
      <c r="D48" s="62">
        <v>78</v>
      </c>
      <c r="E48" s="55">
        <f t="shared" si="20"/>
        <v>78</v>
      </c>
      <c r="F48" s="55">
        <f t="shared" si="20"/>
        <v>78</v>
      </c>
      <c r="G48" s="55">
        <f t="shared" si="20"/>
        <v>78</v>
      </c>
      <c r="H48" s="55">
        <f aca="true" t="shared" si="30" ref="H48:O48">G48</f>
        <v>78</v>
      </c>
      <c r="I48" s="55">
        <f t="shared" si="30"/>
        <v>78</v>
      </c>
      <c r="J48" s="55">
        <f t="shared" si="30"/>
        <v>78</v>
      </c>
      <c r="K48" s="55">
        <f t="shared" si="30"/>
        <v>78</v>
      </c>
      <c r="L48" s="55">
        <f t="shared" si="30"/>
        <v>78</v>
      </c>
      <c r="M48" s="55">
        <f t="shared" si="30"/>
        <v>78</v>
      </c>
      <c r="N48" s="55">
        <f t="shared" si="30"/>
        <v>78</v>
      </c>
      <c r="O48" s="180">
        <f t="shared" si="30"/>
        <v>78</v>
      </c>
      <c r="P48" s="182">
        <f t="shared" si="22"/>
        <v>936</v>
      </c>
    </row>
    <row r="49" spans="1:16" ht="15">
      <c r="A49" s="595">
        <v>5204500022</v>
      </c>
      <c r="B49" s="542" t="s">
        <v>43</v>
      </c>
      <c r="C49" s="610"/>
      <c r="D49" s="62"/>
      <c r="E49" s="55"/>
      <c r="F49" s="55"/>
      <c r="G49" s="55"/>
      <c r="H49" s="55">
        <f>80</f>
        <v>80</v>
      </c>
      <c r="I49" s="55"/>
      <c r="J49" s="55"/>
      <c r="K49" s="55"/>
      <c r="L49" s="55"/>
      <c r="M49" s="55"/>
      <c r="N49" s="55"/>
      <c r="O49" s="180"/>
      <c r="P49" s="182">
        <f t="shared" si="22"/>
        <v>80</v>
      </c>
    </row>
    <row r="50" spans="1:16" ht="15">
      <c r="A50" s="595">
        <v>5204500023</v>
      </c>
      <c r="B50" s="542" t="s">
        <v>44</v>
      </c>
      <c r="C50" s="610"/>
      <c r="D50" s="62">
        <v>31</v>
      </c>
      <c r="E50" s="55">
        <f aca="true" t="shared" si="31" ref="E50:G52">D50</f>
        <v>31</v>
      </c>
      <c r="F50" s="55">
        <f t="shared" si="31"/>
        <v>31</v>
      </c>
      <c r="G50" s="55">
        <f t="shared" si="31"/>
        <v>31</v>
      </c>
      <c r="H50" s="55">
        <f aca="true" t="shared" si="32" ref="H50:O50">G50</f>
        <v>31</v>
      </c>
      <c r="I50" s="55">
        <f t="shared" si="32"/>
        <v>31</v>
      </c>
      <c r="J50" s="55">
        <f t="shared" si="32"/>
        <v>31</v>
      </c>
      <c r="K50" s="55">
        <f t="shared" si="32"/>
        <v>31</v>
      </c>
      <c r="L50" s="55">
        <f t="shared" si="32"/>
        <v>31</v>
      </c>
      <c r="M50" s="55">
        <f t="shared" si="32"/>
        <v>31</v>
      </c>
      <c r="N50" s="55">
        <f t="shared" si="32"/>
        <v>31</v>
      </c>
      <c r="O50" s="180">
        <f t="shared" si="32"/>
        <v>31</v>
      </c>
      <c r="P50" s="182">
        <f t="shared" si="22"/>
        <v>372</v>
      </c>
    </row>
    <row r="51" spans="1:16" ht="15">
      <c r="A51" s="595">
        <v>5204500024</v>
      </c>
      <c r="B51" s="542" t="s">
        <v>45</v>
      </c>
      <c r="C51" s="610"/>
      <c r="D51" s="62">
        <v>111</v>
      </c>
      <c r="E51" s="55">
        <f t="shared" si="31"/>
        <v>111</v>
      </c>
      <c r="F51" s="55">
        <f t="shared" si="31"/>
        <v>111</v>
      </c>
      <c r="G51" s="55">
        <f t="shared" si="31"/>
        <v>111</v>
      </c>
      <c r="H51" s="55">
        <f aca="true" t="shared" si="33" ref="H51:O51">G51</f>
        <v>111</v>
      </c>
      <c r="I51" s="55">
        <f t="shared" si="33"/>
        <v>111</v>
      </c>
      <c r="J51" s="55">
        <f t="shared" si="33"/>
        <v>111</v>
      </c>
      <c r="K51" s="55">
        <f t="shared" si="33"/>
        <v>111</v>
      </c>
      <c r="L51" s="55">
        <f t="shared" si="33"/>
        <v>111</v>
      </c>
      <c r="M51" s="55">
        <f t="shared" si="33"/>
        <v>111</v>
      </c>
      <c r="N51" s="55">
        <f t="shared" si="33"/>
        <v>111</v>
      </c>
      <c r="O51" s="180">
        <f t="shared" si="33"/>
        <v>111</v>
      </c>
      <c r="P51" s="182">
        <f t="shared" si="22"/>
        <v>1332</v>
      </c>
    </row>
    <row r="52" spans="1:16" ht="15">
      <c r="A52" s="595">
        <v>5204500099</v>
      </c>
      <c r="B52" s="542" t="s">
        <v>39</v>
      </c>
      <c r="C52" s="610"/>
      <c r="D52" s="62">
        <v>20</v>
      </c>
      <c r="E52" s="55">
        <f t="shared" si="31"/>
        <v>20</v>
      </c>
      <c r="F52" s="55">
        <f t="shared" si="31"/>
        <v>20</v>
      </c>
      <c r="G52" s="55">
        <f t="shared" si="31"/>
        <v>20</v>
      </c>
      <c r="H52" s="55">
        <f aca="true" t="shared" si="34" ref="H52:O52">G52</f>
        <v>20</v>
      </c>
      <c r="I52" s="55">
        <f t="shared" si="34"/>
        <v>20</v>
      </c>
      <c r="J52" s="55">
        <f t="shared" si="34"/>
        <v>20</v>
      </c>
      <c r="K52" s="55">
        <f t="shared" si="34"/>
        <v>20</v>
      </c>
      <c r="L52" s="55">
        <f t="shared" si="34"/>
        <v>20</v>
      </c>
      <c r="M52" s="55">
        <f t="shared" si="34"/>
        <v>20</v>
      </c>
      <c r="N52" s="55">
        <f t="shared" si="34"/>
        <v>20</v>
      </c>
      <c r="O52" s="180">
        <f t="shared" si="34"/>
        <v>20</v>
      </c>
      <c r="P52" s="182">
        <f t="shared" si="22"/>
        <v>240</v>
      </c>
    </row>
    <row r="53" spans="1:16" s="420" customFormat="1" ht="16.5" thickBot="1">
      <c r="A53" s="596" t="s">
        <v>46</v>
      </c>
      <c r="B53" s="543" t="s">
        <v>47</v>
      </c>
      <c r="C53" s="611"/>
      <c r="D53" s="421">
        <f aca="true" t="shared" si="35" ref="D53:O53">SUM(D40:D52)</f>
        <v>706</v>
      </c>
      <c r="E53" s="417">
        <f t="shared" si="35"/>
        <v>706</v>
      </c>
      <c r="F53" s="417">
        <f t="shared" si="35"/>
        <v>706</v>
      </c>
      <c r="G53" s="417">
        <f t="shared" si="35"/>
        <v>706</v>
      </c>
      <c r="H53" s="417">
        <f t="shared" si="35"/>
        <v>786</v>
      </c>
      <c r="I53" s="417">
        <f t="shared" si="35"/>
        <v>706</v>
      </c>
      <c r="J53" s="417">
        <f t="shared" si="35"/>
        <v>706</v>
      </c>
      <c r="K53" s="417">
        <f t="shared" si="35"/>
        <v>706</v>
      </c>
      <c r="L53" s="417">
        <f t="shared" si="35"/>
        <v>706</v>
      </c>
      <c r="M53" s="417">
        <f t="shared" si="35"/>
        <v>706</v>
      </c>
      <c r="N53" s="417">
        <f t="shared" si="35"/>
        <v>706</v>
      </c>
      <c r="O53" s="418">
        <f t="shared" si="35"/>
        <v>706</v>
      </c>
      <c r="P53" s="419">
        <f t="shared" si="22"/>
        <v>8552</v>
      </c>
    </row>
    <row r="54" spans="1:15" ht="15.75" thickBot="1">
      <c r="A54" s="597"/>
      <c r="B54" s="5"/>
      <c r="C54" s="5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6" ht="16.5" thickBot="1">
      <c r="A55" s="601"/>
      <c r="B55" s="680" t="s">
        <v>48</v>
      </c>
      <c r="C55" s="609"/>
      <c r="D55" s="148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181"/>
    </row>
    <row r="56" spans="1:16" ht="15">
      <c r="A56" s="599">
        <v>5214110001</v>
      </c>
      <c r="B56" s="542" t="s">
        <v>49</v>
      </c>
      <c r="C56" s="610"/>
      <c r="D56" s="612">
        <f>784*2</f>
        <v>1568</v>
      </c>
      <c r="E56" s="55">
        <f>D56</f>
        <v>1568</v>
      </c>
      <c r="F56" s="55">
        <f aca="true" t="shared" si="36" ref="F56:O56">E56</f>
        <v>1568</v>
      </c>
      <c r="G56" s="55">
        <f t="shared" si="36"/>
        <v>1568</v>
      </c>
      <c r="H56" s="55">
        <f t="shared" si="36"/>
        <v>1568</v>
      </c>
      <c r="I56" s="55">
        <f t="shared" si="36"/>
        <v>1568</v>
      </c>
      <c r="J56" s="55">
        <f>I56+(I56*0.02)</f>
        <v>1599.36</v>
      </c>
      <c r="K56" s="55">
        <f t="shared" si="36"/>
        <v>1599.36</v>
      </c>
      <c r="L56" s="55">
        <f t="shared" si="36"/>
        <v>1599.36</v>
      </c>
      <c r="M56" s="55">
        <f t="shared" si="36"/>
        <v>1599.36</v>
      </c>
      <c r="N56" s="55">
        <f t="shared" si="36"/>
        <v>1599.36</v>
      </c>
      <c r="O56" s="180">
        <f t="shared" si="36"/>
        <v>1599.36</v>
      </c>
      <c r="P56" s="182">
        <f>SUM(D56:O56)</f>
        <v>19004.160000000003</v>
      </c>
    </row>
    <row r="57" spans="1:16" ht="15">
      <c r="A57" s="595">
        <v>5214110002</v>
      </c>
      <c r="B57" s="542" t="s">
        <v>60</v>
      </c>
      <c r="C57" s="610"/>
      <c r="D57" s="612">
        <f>784*2</f>
        <v>1568</v>
      </c>
      <c r="E57" s="55">
        <f>D57</f>
        <v>1568</v>
      </c>
      <c r="F57" s="55">
        <f aca="true" t="shared" si="37" ref="F57:O57">E57</f>
        <v>1568</v>
      </c>
      <c r="G57" s="55">
        <f t="shared" si="37"/>
        <v>1568</v>
      </c>
      <c r="H57" s="55">
        <f t="shared" si="37"/>
        <v>1568</v>
      </c>
      <c r="I57" s="55">
        <f t="shared" si="37"/>
        <v>1568</v>
      </c>
      <c r="J57" s="55">
        <f>I57+(I57*0.02)</f>
        <v>1599.36</v>
      </c>
      <c r="K57" s="55">
        <f t="shared" si="37"/>
        <v>1599.36</v>
      </c>
      <c r="L57" s="55">
        <f t="shared" si="37"/>
        <v>1599.36</v>
      </c>
      <c r="M57" s="55">
        <f t="shared" si="37"/>
        <v>1599.36</v>
      </c>
      <c r="N57" s="55">
        <f t="shared" si="37"/>
        <v>1599.36</v>
      </c>
      <c r="O57" s="180">
        <f t="shared" si="37"/>
        <v>1599.36</v>
      </c>
      <c r="P57" s="182">
        <f>SUM(D57:O57)</f>
        <v>19004.160000000003</v>
      </c>
    </row>
    <row r="58" spans="1:16" ht="15">
      <c r="A58" s="595">
        <v>5214110005</v>
      </c>
      <c r="B58" s="542" t="s">
        <v>61</v>
      </c>
      <c r="C58" s="610"/>
      <c r="D58" s="62">
        <f>656.85*2</f>
        <v>1313.7</v>
      </c>
      <c r="E58" s="55">
        <f>D58</f>
        <v>1313.7</v>
      </c>
      <c r="F58" s="55">
        <f aca="true" t="shared" si="38" ref="F58:O58">E58</f>
        <v>1313.7</v>
      </c>
      <c r="G58" s="55">
        <f t="shared" si="38"/>
        <v>1313.7</v>
      </c>
      <c r="H58" s="55">
        <f t="shared" si="38"/>
        <v>1313.7</v>
      </c>
      <c r="I58" s="55">
        <f t="shared" si="38"/>
        <v>1313.7</v>
      </c>
      <c r="J58" s="55">
        <f t="shared" si="38"/>
        <v>1313.7</v>
      </c>
      <c r="K58" s="55">
        <f t="shared" si="38"/>
        <v>1313.7</v>
      </c>
      <c r="L58" s="55">
        <f t="shared" si="38"/>
        <v>1313.7</v>
      </c>
      <c r="M58" s="55">
        <f t="shared" si="38"/>
        <v>1313.7</v>
      </c>
      <c r="N58" s="55">
        <f t="shared" si="38"/>
        <v>1313.7</v>
      </c>
      <c r="O58" s="180">
        <f t="shared" si="38"/>
        <v>1313.7</v>
      </c>
      <c r="P58" s="182">
        <f>SUM(D58:O58)</f>
        <v>15764.400000000003</v>
      </c>
    </row>
    <row r="59" spans="1:16" s="420" customFormat="1" ht="30.75" thickBot="1">
      <c r="A59" s="681" t="s">
        <v>50</v>
      </c>
      <c r="B59" s="682" t="s">
        <v>51</v>
      </c>
      <c r="C59" s="683"/>
      <c r="D59" s="684">
        <f aca="true" t="shared" si="39" ref="D59:O59">SUM(D56:D58)</f>
        <v>4449.7</v>
      </c>
      <c r="E59" s="685">
        <f t="shared" si="39"/>
        <v>4449.7</v>
      </c>
      <c r="F59" s="685">
        <f t="shared" si="39"/>
        <v>4449.7</v>
      </c>
      <c r="G59" s="685">
        <f t="shared" si="39"/>
        <v>4449.7</v>
      </c>
      <c r="H59" s="685">
        <f t="shared" si="39"/>
        <v>4449.7</v>
      </c>
      <c r="I59" s="685">
        <f t="shared" si="39"/>
        <v>4449.7</v>
      </c>
      <c r="J59" s="685">
        <f t="shared" si="39"/>
        <v>4512.42</v>
      </c>
      <c r="K59" s="685">
        <f t="shared" si="39"/>
        <v>4512.42</v>
      </c>
      <c r="L59" s="685">
        <f t="shared" si="39"/>
        <v>4512.42</v>
      </c>
      <c r="M59" s="685">
        <f t="shared" si="39"/>
        <v>4512.42</v>
      </c>
      <c r="N59" s="685">
        <f t="shared" si="39"/>
        <v>4512.42</v>
      </c>
      <c r="O59" s="686">
        <f t="shared" si="39"/>
        <v>4512.42</v>
      </c>
      <c r="P59" s="687">
        <f>SUM(D59:O59)</f>
        <v>53772.719999999994</v>
      </c>
    </row>
    <row r="60" spans="1:16" ht="16.5" thickBot="1">
      <c r="A60" s="601"/>
      <c r="B60" s="396" t="s">
        <v>52</v>
      </c>
      <c r="C60" s="609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181"/>
    </row>
    <row r="61" spans="1:16" ht="15">
      <c r="A61" s="602">
        <v>5501000000</v>
      </c>
      <c r="B61" s="544" t="s">
        <v>53</v>
      </c>
      <c r="C61" s="610"/>
      <c r="D61" s="62">
        <v>6000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180"/>
      <c r="P61" s="182">
        <f>SUM(D61:O61)</f>
        <v>6000</v>
      </c>
    </row>
    <row r="62" spans="1:16" ht="15">
      <c r="A62" s="603"/>
      <c r="B62" s="545" t="s">
        <v>54</v>
      </c>
      <c r="C62" s="610"/>
      <c r="D62" s="62">
        <v>180</v>
      </c>
      <c r="E62" s="55">
        <v>180</v>
      </c>
      <c r="F62" s="55">
        <v>180</v>
      </c>
      <c r="G62" s="55">
        <v>180</v>
      </c>
      <c r="H62" s="55">
        <v>180</v>
      </c>
      <c r="I62" s="55">
        <v>180</v>
      </c>
      <c r="J62" s="55">
        <v>180</v>
      </c>
      <c r="K62" s="55">
        <v>180</v>
      </c>
      <c r="L62" s="55">
        <v>180</v>
      </c>
      <c r="M62" s="55">
        <v>180</v>
      </c>
      <c r="N62" s="55">
        <v>180</v>
      </c>
      <c r="O62" s="180">
        <v>180</v>
      </c>
      <c r="P62" s="182">
        <f>SUM(D62:O62)</f>
        <v>2160</v>
      </c>
    </row>
    <row r="63" spans="1:16" ht="15">
      <c r="A63" s="603"/>
      <c r="B63" s="545" t="s">
        <v>55</v>
      </c>
      <c r="C63" s="610"/>
      <c r="D63" s="62"/>
      <c r="E63" s="55">
        <v>600</v>
      </c>
      <c r="F63" s="55"/>
      <c r="G63" s="55"/>
      <c r="H63" s="55"/>
      <c r="I63" s="55"/>
      <c r="J63" s="55">
        <v>300</v>
      </c>
      <c r="K63" s="55"/>
      <c r="L63" s="55"/>
      <c r="M63" s="55"/>
      <c r="N63" s="55"/>
      <c r="O63" s="180">
        <v>300</v>
      </c>
      <c r="P63" s="182">
        <f>SUM(D63:O63)</f>
        <v>1200</v>
      </c>
    </row>
    <row r="64" spans="1:16" ht="15">
      <c r="A64" s="603"/>
      <c r="B64" s="545" t="s">
        <v>56</v>
      </c>
      <c r="C64" s="610"/>
      <c r="D64" s="62">
        <v>390</v>
      </c>
      <c r="E64" s="55">
        <v>390</v>
      </c>
      <c r="F64" s="55">
        <v>390</v>
      </c>
      <c r="G64" s="55">
        <v>390</v>
      </c>
      <c r="H64" s="55">
        <v>390</v>
      </c>
      <c r="I64" s="55">
        <v>390</v>
      </c>
      <c r="J64" s="55">
        <v>390</v>
      </c>
      <c r="K64" s="55">
        <v>390</v>
      </c>
      <c r="L64" s="55">
        <v>390</v>
      </c>
      <c r="M64" s="55">
        <v>390</v>
      </c>
      <c r="N64" s="55">
        <v>390</v>
      </c>
      <c r="O64" s="180">
        <v>390</v>
      </c>
      <c r="P64" s="182">
        <f>SUM(D64:O64)</f>
        <v>4680</v>
      </c>
    </row>
    <row r="65" spans="1:16" s="420" customFormat="1" ht="16.5" thickBot="1">
      <c r="A65" s="604" t="s">
        <v>57</v>
      </c>
      <c r="B65" s="546" t="s">
        <v>58</v>
      </c>
      <c r="C65" s="611"/>
      <c r="D65" s="421">
        <f>SUM(D61:D64)</f>
        <v>6570</v>
      </c>
      <c r="E65" s="417">
        <f aca="true" t="shared" si="40" ref="E65:O65">SUM(E62:E64)</f>
        <v>1170</v>
      </c>
      <c r="F65" s="417">
        <f t="shared" si="40"/>
        <v>570</v>
      </c>
      <c r="G65" s="417">
        <f t="shared" si="40"/>
        <v>570</v>
      </c>
      <c r="H65" s="417">
        <f t="shared" si="40"/>
        <v>570</v>
      </c>
      <c r="I65" s="417">
        <f t="shared" si="40"/>
        <v>570</v>
      </c>
      <c r="J65" s="417">
        <f t="shared" si="40"/>
        <v>870</v>
      </c>
      <c r="K65" s="417">
        <f t="shared" si="40"/>
        <v>570</v>
      </c>
      <c r="L65" s="417">
        <f t="shared" si="40"/>
        <v>570</v>
      </c>
      <c r="M65" s="417">
        <f t="shared" si="40"/>
        <v>570</v>
      </c>
      <c r="N65" s="417">
        <f t="shared" si="40"/>
        <v>570</v>
      </c>
      <c r="O65" s="418">
        <f t="shared" si="40"/>
        <v>870</v>
      </c>
      <c r="P65" s="419">
        <f>SUM(D65:O65)</f>
        <v>14040</v>
      </c>
    </row>
    <row r="66" spans="1:15" ht="15.75" thickBot="1">
      <c r="A66" s="597"/>
      <c r="B66" s="5"/>
      <c r="C66" s="5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1:17" ht="16.5" thickBot="1">
      <c r="A67" s="605"/>
      <c r="B67" s="396" t="s">
        <v>65</v>
      </c>
      <c r="C67" s="694">
        <f>25588600+23350</f>
        <v>25611950</v>
      </c>
      <c r="D67" s="399">
        <f>D13+D28+D37+D53+D59+D65</f>
        <v>45186.973</v>
      </c>
      <c r="E67" s="65">
        <f aca="true" t="shared" si="41" ref="E67:P67">E13+E28+E37+E53+E59+E65</f>
        <v>25319.823</v>
      </c>
      <c r="F67" s="65">
        <f t="shared" si="41"/>
        <v>29283.253</v>
      </c>
      <c r="G67" s="65">
        <f t="shared" si="41"/>
        <v>26881.173</v>
      </c>
      <c r="H67" s="65">
        <f t="shared" si="41"/>
        <v>27501.783000000003</v>
      </c>
      <c r="I67" s="65">
        <f t="shared" si="41"/>
        <v>24043.253</v>
      </c>
      <c r="J67" s="65">
        <f t="shared" si="41"/>
        <v>23405.972999999998</v>
      </c>
      <c r="K67" s="65">
        <f t="shared" si="41"/>
        <v>26824.503000000004</v>
      </c>
      <c r="L67" s="65">
        <f t="shared" si="41"/>
        <v>23645.972999999998</v>
      </c>
      <c r="M67" s="65">
        <f t="shared" si="41"/>
        <v>24645.972999999998</v>
      </c>
      <c r="N67" s="65">
        <f t="shared" si="41"/>
        <v>423747.23049999995</v>
      </c>
      <c r="O67" s="65">
        <f t="shared" si="41"/>
        <v>424510.66049999994</v>
      </c>
      <c r="P67" s="503">
        <f t="shared" si="41"/>
        <v>1124996.571</v>
      </c>
      <c r="Q67" s="51"/>
    </row>
    <row r="68" spans="1:15" ht="15.75">
      <c r="A68" s="605"/>
      <c r="B68" s="4"/>
      <c r="C68" s="4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1:15" s="12" customFormat="1" ht="15.75">
      <c r="A69" s="606"/>
      <c r="B69" s="67" t="s">
        <v>66</v>
      </c>
      <c r="C69" s="547">
        <f aca="true" t="shared" si="42" ref="C69:O69">C8-C67</f>
        <v>-25611950</v>
      </c>
      <c r="D69" s="397">
        <f t="shared" si="42"/>
        <v>54439.93324999999</v>
      </c>
      <c r="E69" s="68">
        <f t="shared" si="42"/>
        <v>74307.08324999998</v>
      </c>
      <c r="F69" s="68">
        <f t="shared" si="42"/>
        <v>70343.65324999999</v>
      </c>
      <c r="G69" s="68">
        <f t="shared" si="42"/>
        <v>72745.73324999999</v>
      </c>
      <c r="H69" s="68">
        <f t="shared" si="42"/>
        <v>72125.12324999998</v>
      </c>
      <c r="I69" s="68">
        <f t="shared" si="42"/>
        <v>75583.65324999999</v>
      </c>
      <c r="J69" s="68">
        <f t="shared" si="42"/>
        <v>76220.93324999999</v>
      </c>
      <c r="K69" s="68">
        <f t="shared" si="42"/>
        <v>72802.40324999997</v>
      </c>
      <c r="L69" s="68">
        <f t="shared" si="42"/>
        <v>75980.93324999999</v>
      </c>
      <c r="M69" s="68">
        <f t="shared" si="42"/>
        <v>74980.93324999999</v>
      </c>
      <c r="N69" s="68">
        <f t="shared" si="42"/>
        <v>-196265.79456249997</v>
      </c>
      <c r="O69" s="68">
        <f t="shared" si="42"/>
        <v>-197029.22456249996</v>
      </c>
    </row>
    <row r="70" spans="1:15" s="12" customFormat="1" ht="15.75">
      <c r="A70" s="606"/>
      <c r="B70" s="69" t="s">
        <v>67</v>
      </c>
      <c r="C70" s="397"/>
      <c r="D70" s="397">
        <f>D69*25%</f>
        <v>13609.983312499997</v>
      </c>
      <c r="E70" s="68">
        <f aca="true" t="shared" si="43" ref="E70:O70">E69*25%</f>
        <v>18576.770812499995</v>
      </c>
      <c r="F70" s="68">
        <f t="shared" si="43"/>
        <v>17585.913312499997</v>
      </c>
      <c r="G70" s="68">
        <f t="shared" si="43"/>
        <v>18186.433312499998</v>
      </c>
      <c r="H70" s="68">
        <f t="shared" si="43"/>
        <v>18031.280812499994</v>
      </c>
      <c r="I70" s="68">
        <f t="shared" si="43"/>
        <v>18895.913312499997</v>
      </c>
      <c r="J70" s="68">
        <f t="shared" si="43"/>
        <v>19055.233312499997</v>
      </c>
      <c r="K70" s="68">
        <f t="shared" si="43"/>
        <v>18200.600812499993</v>
      </c>
      <c r="L70" s="68">
        <f t="shared" si="43"/>
        <v>18995.233312499997</v>
      </c>
      <c r="M70" s="68">
        <f t="shared" si="43"/>
        <v>18745.233312499997</v>
      </c>
      <c r="N70" s="68">
        <f t="shared" si="43"/>
        <v>-49066.44864062499</v>
      </c>
      <c r="O70" s="68">
        <f t="shared" si="43"/>
        <v>-49257.30614062499</v>
      </c>
    </row>
    <row r="71" spans="1:15" s="12" customFormat="1" ht="15.75">
      <c r="A71" s="606"/>
      <c r="B71" s="50" t="s">
        <v>69</v>
      </c>
      <c r="C71" s="548">
        <f>C69</f>
        <v>-25611950</v>
      </c>
      <c r="D71" s="398">
        <f>D69-D70</f>
        <v>40829.94993749999</v>
      </c>
      <c r="E71" s="70">
        <f aca="true" t="shared" si="44" ref="E71:O71">E69-E70</f>
        <v>55730.31243749999</v>
      </c>
      <c r="F71" s="70">
        <f t="shared" si="44"/>
        <v>52757.739937499995</v>
      </c>
      <c r="G71" s="70">
        <f t="shared" si="44"/>
        <v>54559.29993749999</v>
      </c>
      <c r="H71" s="70">
        <f t="shared" si="44"/>
        <v>54093.84243749998</v>
      </c>
      <c r="I71" s="70">
        <f t="shared" si="44"/>
        <v>56687.739937499995</v>
      </c>
      <c r="J71" s="70">
        <f t="shared" si="44"/>
        <v>57165.69993749999</v>
      </c>
      <c r="K71" s="70">
        <f t="shared" si="44"/>
        <v>54601.80243749998</v>
      </c>
      <c r="L71" s="70">
        <f t="shared" si="44"/>
        <v>56985.69993749999</v>
      </c>
      <c r="M71" s="70">
        <f t="shared" si="44"/>
        <v>56235.69993749999</v>
      </c>
      <c r="N71" s="70">
        <f t="shared" si="44"/>
        <v>-147199.34592187498</v>
      </c>
      <c r="O71" s="70">
        <f t="shared" si="44"/>
        <v>-147771.918421875</v>
      </c>
    </row>
    <row r="72" spans="1:15" s="12" customFormat="1" ht="15" customHeight="1">
      <c r="A72" s="607"/>
      <c r="B72" s="50" t="s">
        <v>70</v>
      </c>
      <c r="C72" s="548"/>
      <c r="D72" s="397">
        <f>D71</f>
        <v>40829.94993749999</v>
      </c>
      <c r="E72" s="68">
        <f>D72+E71</f>
        <v>96560.26237499998</v>
      </c>
      <c r="F72" s="68">
        <f>E72+F71</f>
        <v>149318.00231249997</v>
      </c>
      <c r="G72" s="68">
        <f aca="true" t="shared" si="45" ref="G72:O72">F72+G71</f>
        <v>203877.30224999995</v>
      </c>
      <c r="H72" s="68">
        <f t="shared" si="45"/>
        <v>257971.14468749994</v>
      </c>
      <c r="I72" s="68">
        <f t="shared" si="45"/>
        <v>314658.88462499995</v>
      </c>
      <c r="J72" s="68">
        <f t="shared" si="45"/>
        <v>371824.58456249995</v>
      </c>
      <c r="K72" s="68">
        <f t="shared" si="45"/>
        <v>426426.38699999993</v>
      </c>
      <c r="L72" s="68">
        <f t="shared" si="45"/>
        <v>483412.08693749993</v>
      </c>
      <c r="M72" s="68">
        <f t="shared" si="45"/>
        <v>539647.7868749999</v>
      </c>
      <c r="N72" s="68">
        <f t="shared" si="45"/>
        <v>392448.4409531249</v>
      </c>
      <c r="O72" s="68">
        <f t="shared" si="45"/>
        <v>244676.5225312499</v>
      </c>
    </row>
    <row r="73" spans="1:15" s="524" customFormat="1" ht="15" customHeight="1">
      <c r="A73" s="608"/>
      <c r="B73" s="522" t="s">
        <v>232</v>
      </c>
      <c r="C73" s="522"/>
      <c r="D73" s="523">
        <f>D71/$E$75</f>
        <v>0.001594175763169145</v>
      </c>
      <c r="E73" s="523">
        <f aca="true" t="shared" si="46" ref="E73:O73">E71/$E$75</f>
        <v>0.002175949603114952</v>
      </c>
      <c r="F73" s="523">
        <f t="shared" si="46"/>
        <v>0.0020598876671827017</v>
      </c>
      <c r="G73" s="523">
        <f t="shared" si="46"/>
        <v>0.0021302282699091632</v>
      </c>
      <c r="H73" s="523">
        <f t="shared" si="46"/>
        <v>0.002112054819625213</v>
      </c>
      <c r="I73" s="523">
        <f t="shared" si="46"/>
        <v>0.0022133316650040312</v>
      </c>
      <c r="J73" s="523">
        <f t="shared" si="46"/>
        <v>0.002231993266326851</v>
      </c>
      <c r="K73" s="523">
        <f t="shared" si="46"/>
        <v>0.002131887749175677</v>
      </c>
      <c r="L73" s="523">
        <f t="shared" si="46"/>
        <v>0.0022249652969609885</v>
      </c>
      <c r="M73" s="523">
        <f t="shared" si="46"/>
        <v>0.002195682091269895</v>
      </c>
      <c r="N73" s="523">
        <f t="shared" si="46"/>
        <v>-0.00574729163229957</v>
      </c>
      <c r="O73" s="523">
        <f t="shared" si="46"/>
        <v>-0.005769647310020322</v>
      </c>
    </row>
    <row r="74" spans="1:15" ht="15" customHeight="1">
      <c r="A74" s="605"/>
      <c r="B74" s="739" t="s">
        <v>108</v>
      </c>
      <c r="C74" s="184"/>
      <c r="D74" s="184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0" ht="17.25">
      <c r="A75" s="605"/>
      <c r="B75" s="739" t="s">
        <v>107</v>
      </c>
      <c r="C75" s="184"/>
      <c r="D75" s="507" t="s">
        <v>251</v>
      </c>
      <c r="E75" s="504">
        <f>25588600+23350</f>
        <v>25611950</v>
      </c>
      <c r="G75" s="549" t="s">
        <v>266</v>
      </c>
      <c r="H75" s="549">
        <f>NPV(J75,C71,D72:O72)</f>
        <v>-19246713.18401459</v>
      </c>
      <c r="J75" s="524">
        <v>0.3</v>
      </c>
    </row>
    <row r="76" spans="2:10" ht="15.75">
      <c r="B76" s="8"/>
      <c r="C76" s="8"/>
      <c r="G76" s="549" t="s">
        <v>267</v>
      </c>
      <c r="H76" s="549"/>
      <c r="J76" s="524"/>
    </row>
    <row r="77" spans="2:8" ht="30">
      <c r="B77" s="6" t="s">
        <v>217</v>
      </c>
      <c r="D77" s="787" t="s">
        <v>237</v>
      </c>
      <c r="E77" s="787"/>
      <c r="F77" s="787"/>
      <c r="G77" s="787"/>
      <c r="H77" s="787"/>
    </row>
    <row r="78" ht="45">
      <c r="B78" s="6" t="s">
        <v>218</v>
      </c>
    </row>
  </sheetData>
  <mergeCells count="2">
    <mergeCell ref="D2:O2"/>
    <mergeCell ref="D77:H77"/>
  </mergeCells>
  <printOptions horizontalCentered="1" verticalCentered="1"/>
  <pageMargins left="1.5748031496062993" right="0.9448818897637796" top="1.5748031496062993" bottom="1.3779527559055118" header="0" footer="0"/>
  <pageSetup blackAndWhite="1" fitToHeight="2" horizontalDpi="300" verticalDpi="300" orientation="landscape" scale="42" r:id="rId1"/>
  <rowBreaks count="1" manualBreakCount="1">
    <brk id="3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C1">
      <selection activeCell="A17" sqref="A17:B18"/>
    </sheetView>
  </sheetViews>
  <sheetFormatPr defaultColWidth="11.421875" defaultRowHeight="12.75"/>
  <cols>
    <col min="1" max="1" width="15.00390625" style="289" bestFit="1" customWidth="1"/>
    <col min="2" max="4" width="12.7109375" style="289" bestFit="1" customWidth="1"/>
    <col min="5" max="10" width="14.57421875" style="289" bestFit="1" customWidth="1"/>
    <col min="11" max="11" width="12.7109375" style="289" bestFit="1" customWidth="1"/>
    <col min="12" max="12" width="12.140625" style="289" bestFit="1" customWidth="1"/>
    <col min="13" max="13" width="11.7109375" style="289" bestFit="1" customWidth="1"/>
    <col min="14" max="14" width="11.00390625" style="289" customWidth="1"/>
    <col min="15" max="15" width="5.140625" style="289" bestFit="1" customWidth="1"/>
    <col min="16" max="16384" width="11.421875" style="289" customWidth="1"/>
  </cols>
  <sheetData>
    <row r="1" spans="1:5" ht="16.5" thickBot="1">
      <c r="A1" s="307" t="s">
        <v>257</v>
      </c>
      <c r="B1" s="789" t="s">
        <v>207</v>
      </c>
      <c r="C1" s="790"/>
      <c r="D1" s="790"/>
      <c r="E1" s="791"/>
    </row>
    <row r="2" spans="2:7" ht="15.75" thickBot="1">
      <c r="B2" s="788" t="s">
        <v>215</v>
      </c>
      <c r="C2" s="788"/>
      <c r="D2" s="788"/>
      <c r="E2" s="788"/>
      <c r="F2" s="788"/>
      <c r="G2" s="788"/>
    </row>
    <row r="3" spans="1:14" ht="48" thickBot="1">
      <c r="A3" s="383" t="s">
        <v>213</v>
      </c>
      <c r="B3" s="441" t="s">
        <v>62</v>
      </c>
      <c r="C3" s="71" t="s">
        <v>102</v>
      </c>
      <c r="D3" s="454" t="s">
        <v>110</v>
      </c>
      <c r="E3" s="454" t="s">
        <v>123</v>
      </c>
      <c r="F3" s="454" t="s">
        <v>121</v>
      </c>
      <c r="G3" s="454" t="s">
        <v>125</v>
      </c>
      <c r="H3" s="460" t="s">
        <v>126</v>
      </c>
      <c r="I3" s="71" t="s">
        <v>103</v>
      </c>
      <c r="J3" s="454" t="s">
        <v>110</v>
      </c>
      <c r="K3" s="454" t="s">
        <v>123</v>
      </c>
      <c r="L3" s="454" t="s">
        <v>121</v>
      </c>
      <c r="M3" s="454" t="s">
        <v>125</v>
      </c>
      <c r="N3" s="459" t="s">
        <v>126</v>
      </c>
    </row>
    <row r="4" spans="1:14" ht="15.75" thickBot="1">
      <c r="A4" s="316"/>
      <c r="B4" s="112"/>
      <c r="C4" s="81"/>
      <c r="F4" s="443">
        <v>0.1</v>
      </c>
      <c r="H4" s="289">
        <f>96</f>
        <v>96</v>
      </c>
      <c r="I4" s="81"/>
      <c r="L4" s="443">
        <v>0.1</v>
      </c>
      <c r="N4" s="289">
        <f>96</f>
        <v>96</v>
      </c>
    </row>
    <row r="5" spans="1:14" ht="15.75">
      <c r="A5" s="317">
        <v>0.2</v>
      </c>
      <c r="B5" s="278" t="s">
        <v>91</v>
      </c>
      <c r="C5" s="92">
        <f>91577</f>
        <v>91577</v>
      </c>
      <c r="D5" s="449">
        <f>(C5*$K$16)</f>
        <v>27473.1</v>
      </c>
      <c r="E5" s="449">
        <f aca="true" t="shared" si="0" ref="E5:E14">C5-D5</f>
        <v>64103.9</v>
      </c>
      <c r="F5" s="449">
        <f aca="true" t="shared" si="1" ref="F5:F14">E5*$F$4</f>
        <v>6410.39</v>
      </c>
      <c r="G5" s="449">
        <f aca="true" t="shared" si="2" ref="G5:G14">E5+F5</f>
        <v>70514.29000000001</v>
      </c>
      <c r="H5" s="347">
        <f aca="true" t="shared" si="3" ref="H5:H14">G5/$H$4</f>
        <v>734.5238541666668</v>
      </c>
      <c r="I5" s="92">
        <v>80697</v>
      </c>
      <c r="J5" s="449">
        <f>(I5*$K$16)</f>
        <v>24209.1</v>
      </c>
      <c r="K5" s="449">
        <f aca="true" t="shared" si="4" ref="K5:K14">I5-J5</f>
        <v>56487.9</v>
      </c>
      <c r="L5" s="449">
        <f>K5*$L$4</f>
        <v>5648.790000000001</v>
      </c>
      <c r="M5" s="449">
        <f aca="true" t="shared" si="5" ref="M5:M14">K5+L5</f>
        <v>62136.69</v>
      </c>
      <c r="N5" s="347">
        <f>M5/$N$4</f>
        <v>647.2571875</v>
      </c>
    </row>
    <row r="6" spans="1:14" ht="15.75">
      <c r="A6" s="297">
        <v>0.3</v>
      </c>
      <c r="B6" s="298" t="s">
        <v>92</v>
      </c>
      <c r="C6" s="93">
        <v>101559</v>
      </c>
      <c r="D6" s="440">
        <f aca="true" t="shared" si="6" ref="D6:D14">(C6*$K$16)</f>
        <v>30467.699999999997</v>
      </c>
      <c r="E6" s="440">
        <f t="shared" si="0"/>
        <v>71091.3</v>
      </c>
      <c r="F6" s="440">
        <f t="shared" si="1"/>
        <v>7109.130000000001</v>
      </c>
      <c r="G6" s="440">
        <f t="shared" si="2"/>
        <v>78200.43000000001</v>
      </c>
      <c r="H6" s="354">
        <f t="shared" si="3"/>
        <v>814.5878125</v>
      </c>
      <c r="I6" s="93">
        <v>91600</v>
      </c>
      <c r="J6" s="440">
        <f aca="true" t="shared" si="7" ref="J6:J14">(I6*$K$16)</f>
        <v>27480</v>
      </c>
      <c r="K6" s="440">
        <f t="shared" si="4"/>
        <v>64120</v>
      </c>
      <c r="L6" s="440">
        <f aca="true" t="shared" si="8" ref="L6:L14">K6*$L$4</f>
        <v>6412</v>
      </c>
      <c r="M6" s="440">
        <f t="shared" si="5"/>
        <v>70532</v>
      </c>
      <c r="N6" s="354">
        <f aca="true" t="shared" si="9" ref="N6:N14">M6/$N$4</f>
        <v>734.7083333333334</v>
      </c>
    </row>
    <row r="7" spans="1:14" ht="15.75">
      <c r="A7" s="297">
        <v>0.15</v>
      </c>
      <c r="B7" s="298" t="s">
        <v>93</v>
      </c>
      <c r="C7" s="93">
        <v>82585</v>
      </c>
      <c r="D7" s="440">
        <f t="shared" si="6"/>
        <v>24775.5</v>
      </c>
      <c r="E7" s="440">
        <f t="shared" si="0"/>
        <v>57809.5</v>
      </c>
      <c r="F7" s="440">
        <f t="shared" si="1"/>
        <v>5780.950000000001</v>
      </c>
      <c r="G7" s="440">
        <f t="shared" si="2"/>
        <v>63590.45</v>
      </c>
      <c r="H7" s="354">
        <f t="shared" si="3"/>
        <v>662.4005208333333</v>
      </c>
      <c r="I7" s="93">
        <v>73748</v>
      </c>
      <c r="J7" s="440">
        <f t="shared" si="7"/>
        <v>22124.399999999998</v>
      </c>
      <c r="K7" s="440">
        <f t="shared" si="4"/>
        <v>51623.600000000006</v>
      </c>
      <c r="L7" s="440">
        <f t="shared" si="8"/>
        <v>5162.360000000001</v>
      </c>
      <c r="M7" s="440">
        <f t="shared" si="5"/>
        <v>56785.96000000001</v>
      </c>
      <c r="N7" s="354">
        <f t="shared" si="9"/>
        <v>591.5204166666667</v>
      </c>
    </row>
    <row r="8" spans="1:14" ht="15.75">
      <c r="A8" s="297">
        <v>0.06</v>
      </c>
      <c r="B8" s="298" t="s">
        <v>94</v>
      </c>
      <c r="C8" s="93">
        <v>78730</v>
      </c>
      <c r="D8" s="440">
        <f t="shared" si="6"/>
        <v>23619</v>
      </c>
      <c r="E8" s="440">
        <f t="shared" si="0"/>
        <v>55111</v>
      </c>
      <c r="F8" s="440">
        <f t="shared" si="1"/>
        <v>5511.1</v>
      </c>
      <c r="G8" s="440">
        <f t="shared" si="2"/>
        <v>60622.1</v>
      </c>
      <c r="H8" s="354">
        <f t="shared" si="3"/>
        <v>631.4802083333333</v>
      </c>
      <c r="I8" s="93">
        <v>69894</v>
      </c>
      <c r="J8" s="440">
        <f t="shared" si="7"/>
        <v>20968.2</v>
      </c>
      <c r="K8" s="440">
        <f t="shared" si="4"/>
        <v>48925.8</v>
      </c>
      <c r="L8" s="440">
        <f t="shared" si="8"/>
        <v>4892.580000000001</v>
      </c>
      <c r="M8" s="440">
        <f t="shared" si="5"/>
        <v>53818.380000000005</v>
      </c>
      <c r="N8" s="354">
        <f t="shared" si="9"/>
        <v>560.6081250000001</v>
      </c>
    </row>
    <row r="9" spans="1:14" ht="15.75">
      <c r="A9" s="297">
        <v>0.07</v>
      </c>
      <c r="B9" s="298" t="s">
        <v>95</v>
      </c>
      <c r="C9" s="93">
        <v>79350</v>
      </c>
      <c r="D9" s="440">
        <f t="shared" si="6"/>
        <v>23805</v>
      </c>
      <c r="E9" s="440">
        <f t="shared" si="0"/>
        <v>55545</v>
      </c>
      <c r="F9" s="440">
        <f t="shared" si="1"/>
        <v>5554.5</v>
      </c>
      <c r="G9" s="440">
        <f t="shared" si="2"/>
        <v>61099.5</v>
      </c>
      <c r="H9" s="354">
        <f t="shared" si="3"/>
        <v>636.453125</v>
      </c>
      <c r="I9" s="93">
        <v>70581</v>
      </c>
      <c r="J9" s="440">
        <f t="shared" si="7"/>
        <v>21174.3</v>
      </c>
      <c r="K9" s="440">
        <f t="shared" si="4"/>
        <v>49406.7</v>
      </c>
      <c r="L9" s="440">
        <f t="shared" si="8"/>
        <v>4940.67</v>
      </c>
      <c r="M9" s="440">
        <f t="shared" si="5"/>
        <v>54347.369999999995</v>
      </c>
      <c r="N9" s="354">
        <f t="shared" si="9"/>
        <v>566.1184374999999</v>
      </c>
    </row>
    <row r="10" spans="1:14" ht="15.75">
      <c r="A10" s="297">
        <v>0.08</v>
      </c>
      <c r="B10" s="298" t="s">
        <v>96</v>
      </c>
      <c r="C10" s="93">
        <v>81743</v>
      </c>
      <c r="D10" s="440">
        <f t="shared" si="6"/>
        <v>24522.899999999998</v>
      </c>
      <c r="E10" s="440">
        <f t="shared" si="0"/>
        <v>57220.100000000006</v>
      </c>
      <c r="F10" s="440">
        <f t="shared" si="1"/>
        <v>5722.010000000001</v>
      </c>
      <c r="G10" s="440">
        <f t="shared" si="2"/>
        <v>62942.11000000001</v>
      </c>
      <c r="H10" s="354">
        <f t="shared" si="3"/>
        <v>655.6469791666667</v>
      </c>
      <c r="I10" s="93">
        <v>72591</v>
      </c>
      <c r="J10" s="440">
        <f t="shared" si="7"/>
        <v>21777.3</v>
      </c>
      <c r="K10" s="440">
        <f t="shared" si="4"/>
        <v>50813.7</v>
      </c>
      <c r="L10" s="440">
        <f t="shared" si="8"/>
        <v>5081.37</v>
      </c>
      <c r="M10" s="440">
        <f t="shared" si="5"/>
        <v>55895.07</v>
      </c>
      <c r="N10" s="354">
        <f t="shared" si="9"/>
        <v>582.2403125</v>
      </c>
    </row>
    <row r="11" spans="1:14" ht="15.75">
      <c r="A11" s="297">
        <v>0.05</v>
      </c>
      <c r="B11" s="298" t="s">
        <v>97</v>
      </c>
      <c r="C11" s="93">
        <v>78799</v>
      </c>
      <c r="D11" s="440">
        <f t="shared" si="6"/>
        <v>23639.7</v>
      </c>
      <c r="E11" s="440">
        <f t="shared" si="0"/>
        <v>55159.3</v>
      </c>
      <c r="F11" s="440">
        <f t="shared" si="1"/>
        <v>5515.93</v>
      </c>
      <c r="G11" s="440">
        <f t="shared" si="2"/>
        <v>60675.23</v>
      </c>
      <c r="H11" s="354">
        <f t="shared" si="3"/>
        <v>632.0336458333334</v>
      </c>
      <c r="I11" s="93">
        <v>70049</v>
      </c>
      <c r="J11" s="440">
        <f t="shared" si="7"/>
        <v>21014.7</v>
      </c>
      <c r="K11" s="440">
        <f t="shared" si="4"/>
        <v>49034.3</v>
      </c>
      <c r="L11" s="440">
        <f t="shared" si="8"/>
        <v>4903.43</v>
      </c>
      <c r="M11" s="440">
        <f t="shared" si="5"/>
        <v>53937.73</v>
      </c>
      <c r="N11" s="354">
        <f t="shared" si="9"/>
        <v>561.8513541666667</v>
      </c>
    </row>
    <row r="12" spans="1:14" ht="15.75">
      <c r="A12" s="297">
        <v>0.04</v>
      </c>
      <c r="B12" s="298" t="s">
        <v>98</v>
      </c>
      <c r="C12" s="93">
        <v>75415</v>
      </c>
      <c r="D12" s="440">
        <f t="shared" si="6"/>
        <v>22624.5</v>
      </c>
      <c r="E12" s="440">
        <f t="shared" si="0"/>
        <v>52790.5</v>
      </c>
      <c r="F12" s="440">
        <f t="shared" si="1"/>
        <v>5279.05</v>
      </c>
      <c r="G12" s="440">
        <f t="shared" si="2"/>
        <v>58069.55</v>
      </c>
      <c r="H12" s="354">
        <f t="shared" si="3"/>
        <v>604.8911458333333</v>
      </c>
      <c r="I12" s="93">
        <v>66679</v>
      </c>
      <c r="J12" s="440">
        <f t="shared" si="7"/>
        <v>20003.7</v>
      </c>
      <c r="K12" s="440">
        <f t="shared" si="4"/>
        <v>46675.3</v>
      </c>
      <c r="L12" s="440">
        <f t="shared" si="8"/>
        <v>4667.530000000001</v>
      </c>
      <c r="M12" s="440">
        <f t="shared" si="5"/>
        <v>51342.83</v>
      </c>
      <c r="N12" s="354">
        <f t="shared" si="9"/>
        <v>534.8211458333334</v>
      </c>
    </row>
    <row r="13" spans="1:14" ht="15.75">
      <c r="A13" s="297">
        <v>0.02</v>
      </c>
      <c r="B13" s="298" t="s">
        <v>99</v>
      </c>
      <c r="C13" s="93">
        <v>70743</v>
      </c>
      <c r="D13" s="440">
        <f t="shared" si="6"/>
        <v>21222.899999999998</v>
      </c>
      <c r="E13" s="440">
        <f t="shared" si="0"/>
        <v>49520.100000000006</v>
      </c>
      <c r="F13" s="440">
        <f t="shared" si="1"/>
        <v>4952.010000000001</v>
      </c>
      <c r="G13" s="440">
        <f t="shared" si="2"/>
        <v>54472.11000000001</v>
      </c>
      <c r="H13" s="354">
        <f t="shared" si="3"/>
        <v>567.4178125000001</v>
      </c>
      <c r="I13" s="93">
        <v>68993</v>
      </c>
      <c r="J13" s="440">
        <f t="shared" si="7"/>
        <v>20697.899999999998</v>
      </c>
      <c r="K13" s="440">
        <f t="shared" si="4"/>
        <v>48295.100000000006</v>
      </c>
      <c r="L13" s="440">
        <f t="shared" si="8"/>
        <v>4829.510000000001</v>
      </c>
      <c r="M13" s="440">
        <f t="shared" si="5"/>
        <v>53124.61000000001</v>
      </c>
      <c r="N13" s="354">
        <f t="shared" si="9"/>
        <v>553.3813541666667</v>
      </c>
    </row>
    <row r="14" spans="1:14" ht="16.5" thickBot="1">
      <c r="A14" s="305">
        <v>0.03</v>
      </c>
      <c r="B14" s="301" t="s">
        <v>100</v>
      </c>
      <c r="C14" s="94">
        <v>73414</v>
      </c>
      <c r="D14" s="452">
        <f t="shared" si="6"/>
        <v>22024.2</v>
      </c>
      <c r="E14" s="452">
        <f t="shared" si="0"/>
        <v>51389.8</v>
      </c>
      <c r="F14" s="452">
        <f t="shared" si="1"/>
        <v>5138.9800000000005</v>
      </c>
      <c r="G14" s="452">
        <f t="shared" si="2"/>
        <v>56528.780000000006</v>
      </c>
      <c r="H14" s="361">
        <f t="shared" si="3"/>
        <v>588.8414583333334</v>
      </c>
      <c r="I14" s="94">
        <v>64678</v>
      </c>
      <c r="J14" s="452">
        <f t="shared" si="7"/>
        <v>19403.399999999998</v>
      </c>
      <c r="K14" s="452">
        <f t="shared" si="4"/>
        <v>45274.600000000006</v>
      </c>
      <c r="L14" s="452">
        <f t="shared" si="8"/>
        <v>4527.460000000001</v>
      </c>
      <c r="M14" s="452">
        <f t="shared" si="5"/>
        <v>49802.060000000005</v>
      </c>
      <c r="N14" s="361">
        <f t="shared" si="9"/>
        <v>518.7714583333334</v>
      </c>
    </row>
    <row r="15" spans="3:11" ht="32.25" thickBot="1">
      <c r="C15" s="306">
        <f>AVERAGE(C5,C6,C9,C10)</f>
        <v>88557.25</v>
      </c>
      <c r="D15" s="306">
        <f>(AVERAGE(D5,D6,D9,D10))/12</f>
        <v>2213.9312499999996</v>
      </c>
      <c r="G15" s="306">
        <f>(AVERAGE(G5,G6,G9,G10))/24</f>
        <v>2841.2117708333335</v>
      </c>
      <c r="H15" s="306">
        <f>AVERAGE(H5,H6,H9,H10)</f>
        <v>710.3029427083334</v>
      </c>
      <c r="I15" s="461" t="s">
        <v>102</v>
      </c>
      <c r="J15" s="462" t="s">
        <v>103</v>
      </c>
      <c r="K15" s="463" t="s">
        <v>219</v>
      </c>
    </row>
    <row r="16" spans="9:11" ht="15.75" thickBot="1">
      <c r="I16" s="380">
        <f>80%</f>
        <v>0.8</v>
      </c>
      <c r="J16" s="381">
        <v>0.2</v>
      </c>
      <c r="K16" s="382">
        <v>0.3</v>
      </c>
    </row>
    <row r="17" spans="1:2" ht="15">
      <c r="A17" s="782" t="s">
        <v>108</v>
      </c>
      <c r="B17" s="782"/>
    </row>
    <row r="18" spans="1:2" ht="15">
      <c r="A18" s="782" t="s">
        <v>107</v>
      </c>
      <c r="B18" s="782"/>
    </row>
  </sheetData>
  <mergeCells count="4">
    <mergeCell ref="A18:B18"/>
    <mergeCell ref="B2:G2"/>
    <mergeCell ref="B1:E1"/>
    <mergeCell ref="A17:B17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workbookViewId="0" topLeftCell="D1">
      <selection activeCell="A1" sqref="A1"/>
    </sheetView>
  </sheetViews>
  <sheetFormatPr defaultColWidth="11.421875" defaultRowHeight="12.75"/>
  <cols>
    <col min="1" max="1" width="36.8515625" style="158" bestFit="1" customWidth="1"/>
    <col min="2" max="2" width="17.57421875" style="75" bestFit="1" customWidth="1"/>
    <col min="3" max="8" width="16.140625" style="75" bestFit="1" customWidth="1"/>
    <col min="9" max="9" width="15.8515625" style="75" bestFit="1" customWidth="1"/>
    <col min="10" max="16384" width="11.421875" style="118" customWidth="1"/>
  </cols>
  <sheetData>
    <row r="1" spans="1:5" ht="15.75">
      <c r="A1" s="212" t="s">
        <v>258</v>
      </c>
      <c r="B1" s="780" t="s">
        <v>207</v>
      </c>
      <c r="C1" s="780"/>
      <c r="D1" s="780"/>
      <c r="E1" s="780"/>
    </row>
    <row r="2" spans="1:9" ht="16.5" thickBot="1">
      <c r="A2" s="118"/>
      <c r="B2" s="780" t="s">
        <v>203</v>
      </c>
      <c r="C2" s="780"/>
      <c r="D2" s="780"/>
      <c r="E2" s="780"/>
      <c r="F2" s="780"/>
      <c r="G2" s="780"/>
      <c r="H2" s="780"/>
      <c r="I2" s="780"/>
    </row>
    <row r="3" spans="1:9" s="119" customFormat="1" ht="16.5" thickBot="1">
      <c r="A3" s="161" t="s">
        <v>205</v>
      </c>
      <c r="B3" s="159">
        <v>1</v>
      </c>
      <c r="C3" s="159">
        <v>2</v>
      </c>
      <c r="D3" s="159">
        <v>3</v>
      </c>
      <c r="E3" s="159">
        <v>4</v>
      </c>
      <c r="F3" s="159">
        <v>5</v>
      </c>
      <c r="G3" s="159">
        <v>6</v>
      </c>
      <c r="H3" s="159">
        <v>7</v>
      </c>
      <c r="I3" s="160">
        <v>8</v>
      </c>
    </row>
    <row r="4" spans="1:9" ht="16.5" thickBot="1">
      <c r="A4" s="163" t="s">
        <v>59</v>
      </c>
      <c r="B4" s="164"/>
      <c r="C4" s="83"/>
      <c r="D4" s="83"/>
      <c r="E4" s="83"/>
      <c r="F4" s="83"/>
      <c r="G4" s="83"/>
      <c r="H4" s="83"/>
      <c r="I4" s="165"/>
    </row>
    <row r="5" spans="1:9" ht="15">
      <c r="A5" s="512"/>
      <c r="B5" s="167"/>
      <c r="C5" s="26"/>
      <c r="D5" s="26"/>
      <c r="E5" s="26"/>
      <c r="F5" s="26"/>
      <c r="G5" s="26"/>
      <c r="H5" s="26"/>
      <c r="I5" s="27"/>
    </row>
    <row r="6" spans="1:9" ht="15">
      <c r="A6" s="146" t="s">
        <v>68</v>
      </c>
      <c r="B6" s="167">
        <f>'5.4'!P6</f>
        <v>1195522.8749999998</v>
      </c>
      <c r="C6" s="155">
        <f>B6</f>
        <v>1195522.8749999998</v>
      </c>
      <c r="D6" s="155">
        <f aca="true" t="shared" si="0" ref="D6:I6">C6</f>
        <v>1195522.8749999998</v>
      </c>
      <c r="E6" s="155">
        <f t="shared" si="0"/>
        <v>1195522.8749999998</v>
      </c>
      <c r="F6" s="155">
        <f t="shared" si="0"/>
        <v>1195522.8749999998</v>
      </c>
      <c r="G6" s="155">
        <f t="shared" si="0"/>
        <v>1195522.8749999998</v>
      </c>
      <c r="H6" s="155">
        <f t="shared" si="0"/>
        <v>1195522.8749999998</v>
      </c>
      <c r="I6" s="175">
        <f t="shared" si="0"/>
        <v>1195522.8749999998</v>
      </c>
    </row>
    <row r="7" spans="1:9" ht="15">
      <c r="A7" s="147" t="s">
        <v>206</v>
      </c>
      <c r="B7" s="167">
        <f>'5.4'!P7</f>
        <v>255709.059375</v>
      </c>
      <c r="C7" s="155">
        <f>B7</f>
        <v>255709.059375</v>
      </c>
      <c r="D7" s="155">
        <f aca="true" t="shared" si="1" ref="D7:I7">C7</f>
        <v>255709.059375</v>
      </c>
      <c r="E7" s="155">
        <f t="shared" si="1"/>
        <v>255709.059375</v>
      </c>
      <c r="F7" s="155">
        <f t="shared" si="1"/>
        <v>255709.059375</v>
      </c>
      <c r="G7" s="155">
        <f t="shared" si="1"/>
        <v>255709.059375</v>
      </c>
      <c r="H7" s="155">
        <f t="shared" si="1"/>
        <v>255709.059375</v>
      </c>
      <c r="I7" s="175">
        <f t="shared" si="1"/>
        <v>255709.059375</v>
      </c>
    </row>
    <row r="8" spans="1:9" ht="16.5" thickBot="1">
      <c r="A8" s="162" t="s">
        <v>63</v>
      </c>
      <c r="B8" s="168">
        <f>SUM(B5:B7)</f>
        <v>1451231.9343749997</v>
      </c>
      <c r="C8" s="169">
        <f aca="true" t="shared" si="2" ref="C8:I8">SUM(C6:C7)</f>
        <v>1451231.9343749997</v>
      </c>
      <c r="D8" s="169">
        <f t="shared" si="2"/>
        <v>1451231.9343749997</v>
      </c>
      <c r="E8" s="169">
        <f t="shared" si="2"/>
        <v>1451231.9343749997</v>
      </c>
      <c r="F8" s="169">
        <f t="shared" si="2"/>
        <v>1451231.9343749997</v>
      </c>
      <c r="G8" s="169">
        <f t="shared" si="2"/>
        <v>1451231.9343749997</v>
      </c>
      <c r="H8" s="169">
        <f t="shared" si="2"/>
        <v>1451231.9343749997</v>
      </c>
      <c r="I8" s="170">
        <f t="shared" si="2"/>
        <v>1451231.9343749997</v>
      </c>
    </row>
    <row r="9" spans="1:9" s="75" customFormat="1" ht="16.5" thickBot="1">
      <c r="A9" s="711"/>
      <c r="B9" s="152"/>
      <c r="C9" s="152"/>
      <c r="D9" s="152"/>
      <c r="E9" s="152"/>
      <c r="F9" s="152"/>
      <c r="G9" s="152"/>
      <c r="H9" s="152"/>
      <c r="I9" s="152"/>
    </row>
    <row r="10" spans="1:9" ht="16.5" thickBot="1">
      <c r="A10" s="466" t="s">
        <v>1</v>
      </c>
      <c r="B10" s="164"/>
      <c r="C10" s="83"/>
      <c r="D10" s="83"/>
      <c r="E10" s="83"/>
      <c r="F10" s="83"/>
      <c r="G10" s="83"/>
      <c r="H10" s="83"/>
      <c r="I10" s="165"/>
    </row>
    <row r="11" spans="1:9" s="81" customFormat="1" ht="15.75">
      <c r="A11" s="493" t="s">
        <v>242</v>
      </c>
      <c r="B11" s="494"/>
      <c r="I11" s="495"/>
    </row>
    <row r="12" spans="1:9" s="81" customFormat="1" ht="15">
      <c r="A12" s="146" t="s">
        <v>244</v>
      </c>
      <c r="B12" s="471">
        <f>'5.4'!P13</f>
        <v>801129.375</v>
      </c>
      <c r="C12" s="440">
        <f>B12</f>
        <v>801129.375</v>
      </c>
      <c r="D12" s="440">
        <f aca="true" t="shared" si="3" ref="D12:I12">C12</f>
        <v>801129.375</v>
      </c>
      <c r="E12" s="440">
        <f t="shared" si="3"/>
        <v>801129.375</v>
      </c>
      <c r="F12" s="440">
        <f t="shared" si="3"/>
        <v>801129.375</v>
      </c>
      <c r="G12" s="440">
        <f t="shared" si="3"/>
        <v>801129.375</v>
      </c>
      <c r="H12" s="440">
        <f t="shared" si="3"/>
        <v>801129.375</v>
      </c>
      <c r="I12" s="354">
        <f t="shared" si="3"/>
        <v>801129.375</v>
      </c>
    </row>
    <row r="13" spans="1:9" s="508" customFormat="1" ht="16.5" thickBot="1">
      <c r="A13" s="492" t="s">
        <v>243</v>
      </c>
      <c r="B13" s="478">
        <f>SUM(B12)</f>
        <v>801129.375</v>
      </c>
      <c r="C13" s="479">
        <f aca="true" t="shared" si="4" ref="C13:I13">SUM(C12)</f>
        <v>801129.375</v>
      </c>
      <c r="D13" s="479">
        <f t="shared" si="4"/>
        <v>801129.375</v>
      </c>
      <c r="E13" s="479">
        <f t="shared" si="4"/>
        <v>801129.375</v>
      </c>
      <c r="F13" s="479">
        <f t="shared" si="4"/>
        <v>801129.375</v>
      </c>
      <c r="G13" s="479">
        <f t="shared" si="4"/>
        <v>801129.375</v>
      </c>
      <c r="H13" s="479">
        <f t="shared" si="4"/>
        <v>801129.375</v>
      </c>
      <c r="I13" s="480">
        <f t="shared" si="4"/>
        <v>801129.375</v>
      </c>
    </row>
    <row r="14" spans="1:9" s="508" customFormat="1" ht="16.5" thickBot="1">
      <c r="A14" s="700"/>
      <c r="I14" s="701"/>
    </row>
    <row r="15" spans="1:9" ht="15.75">
      <c r="A15" s="157" t="s">
        <v>14</v>
      </c>
      <c r="B15" s="164"/>
      <c r="C15" s="83"/>
      <c r="D15" s="83"/>
      <c r="E15" s="83"/>
      <c r="F15" s="83"/>
      <c r="G15" s="83"/>
      <c r="H15" s="83"/>
      <c r="I15" s="165"/>
    </row>
    <row r="16" spans="1:9" ht="15">
      <c r="A16" s="146" t="s">
        <v>15</v>
      </c>
      <c r="B16" s="167">
        <f>'5.4'!P16</f>
        <v>1952.88</v>
      </c>
      <c r="C16" s="26">
        <f aca="true" t="shared" si="5" ref="C16:C24">B16+(B16*3%)</f>
        <v>2011.4664</v>
      </c>
      <c r="D16" s="26">
        <f aca="true" t="shared" si="6" ref="D16:I16">C16+(C16*3%)</f>
        <v>2071.810392</v>
      </c>
      <c r="E16" s="26">
        <f t="shared" si="6"/>
        <v>2133.96470376</v>
      </c>
      <c r="F16" s="26">
        <f t="shared" si="6"/>
        <v>2197.9836448727997</v>
      </c>
      <c r="G16" s="26">
        <f t="shared" si="6"/>
        <v>2263.9231542189837</v>
      </c>
      <c r="H16" s="26">
        <f t="shared" si="6"/>
        <v>2331.840848845553</v>
      </c>
      <c r="I16" s="27">
        <f t="shared" si="6"/>
        <v>2401.7960743109197</v>
      </c>
    </row>
    <row r="17" spans="1:9" ht="15">
      <c r="A17" s="146" t="s">
        <v>16</v>
      </c>
      <c r="B17" s="167">
        <f>'5.4'!P17</f>
        <v>7193.52</v>
      </c>
      <c r="C17" s="26">
        <f t="shared" si="5"/>
        <v>7409.3256</v>
      </c>
      <c r="D17" s="26">
        <f aca="true" t="shared" si="7" ref="D17:I24">C17+(C17*3%)</f>
        <v>7631.605368</v>
      </c>
      <c r="E17" s="26">
        <f t="shared" si="7"/>
        <v>7860.55352904</v>
      </c>
      <c r="F17" s="26">
        <f t="shared" si="7"/>
        <v>8096.370134911201</v>
      </c>
      <c r="G17" s="26">
        <f t="shared" si="7"/>
        <v>8339.261238958537</v>
      </c>
      <c r="H17" s="26">
        <f t="shared" si="7"/>
        <v>8589.439076127293</v>
      </c>
      <c r="I17" s="27">
        <f t="shared" si="7"/>
        <v>8847.122248411113</v>
      </c>
    </row>
    <row r="18" spans="1:9" ht="15">
      <c r="A18" s="146" t="s">
        <v>17</v>
      </c>
      <c r="B18" s="167">
        <f>'5.4'!P18</f>
        <v>1560</v>
      </c>
      <c r="C18" s="26">
        <f t="shared" si="5"/>
        <v>1606.8</v>
      </c>
      <c r="D18" s="26">
        <f t="shared" si="7"/>
        <v>1655.004</v>
      </c>
      <c r="E18" s="26">
        <f t="shared" si="7"/>
        <v>1704.65412</v>
      </c>
      <c r="F18" s="26">
        <f t="shared" si="7"/>
        <v>1755.7937436</v>
      </c>
      <c r="G18" s="26">
        <f t="shared" si="7"/>
        <v>1808.467555908</v>
      </c>
      <c r="H18" s="26">
        <f t="shared" si="7"/>
        <v>1862.72158258524</v>
      </c>
      <c r="I18" s="27">
        <f t="shared" si="7"/>
        <v>1918.6032300627971</v>
      </c>
    </row>
    <row r="19" spans="1:9" ht="15">
      <c r="A19" s="146" t="s">
        <v>18</v>
      </c>
      <c r="B19" s="167">
        <f>'5.4'!P19</f>
        <v>120</v>
      </c>
      <c r="C19" s="26">
        <f t="shared" si="5"/>
        <v>123.6</v>
      </c>
      <c r="D19" s="26">
        <f t="shared" si="7"/>
        <v>127.30799999999999</v>
      </c>
      <c r="E19" s="26">
        <f t="shared" si="7"/>
        <v>131.12724</v>
      </c>
      <c r="F19" s="26">
        <f t="shared" si="7"/>
        <v>135.0610572</v>
      </c>
      <c r="G19" s="26">
        <f t="shared" si="7"/>
        <v>139.112888916</v>
      </c>
      <c r="H19" s="26">
        <f t="shared" si="7"/>
        <v>143.28627558348</v>
      </c>
      <c r="I19" s="27">
        <f t="shared" si="7"/>
        <v>147.5848638509844</v>
      </c>
    </row>
    <row r="20" spans="1:9" ht="15">
      <c r="A20" s="146" t="s">
        <v>19</v>
      </c>
      <c r="B20" s="167">
        <f>'5.4'!P20</f>
        <v>107139.28</v>
      </c>
      <c r="C20" s="26">
        <f>'ANEXO 5.1'!N21</f>
        <v>103139.28</v>
      </c>
      <c r="D20" s="26">
        <f t="shared" si="7"/>
        <v>106233.4584</v>
      </c>
      <c r="E20" s="26">
        <f t="shared" si="7"/>
        <v>109420.46215200001</v>
      </c>
      <c r="F20" s="26">
        <f t="shared" si="7"/>
        <v>112703.07601656001</v>
      </c>
      <c r="G20" s="26">
        <f t="shared" si="7"/>
        <v>116084.1682970568</v>
      </c>
      <c r="H20" s="26">
        <f t="shared" si="7"/>
        <v>119566.69334596851</v>
      </c>
      <c r="I20" s="27">
        <f t="shared" si="7"/>
        <v>123153.69414634757</v>
      </c>
    </row>
    <row r="21" spans="1:9" ht="15">
      <c r="A21" s="146" t="s">
        <v>20</v>
      </c>
      <c r="B21" s="167">
        <f>'5.4'!P21</f>
        <v>120</v>
      </c>
      <c r="C21" s="26">
        <f t="shared" si="5"/>
        <v>123.6</v>
      </c>
      <c r="D21" s="26">
        <f t="shared" si="7"/>
        <v>127.30799999999999</v>
      </c>
      <c r="E21" s="26">
        <f t="shared" si="7"/>
        <v>131.12724</v>
      </c>
      <c r="F21" s="26">
        <f t="shared" si="7"/>
        <v>135.0610572</v>
      </c>
      <c r="G21" s="26">
        <f t="shared" si="7"/>
        <v>139.112888916</v>
      </c>
      <c r="H21" s="26">
        <f t="shared" si="7"/>
        <v>143.28627558348</v>
      </c>
      <c r="I21" s="27">
        <f t="shared" si="7"/>
        <v>147.5848638509844</v>
      </c>
    </row>
    <row r="22" spans="1:9" ht="15">
      <c r="A22" s="146" t="s">
        <v>21</v>
      </c>
      <c r="B22" s="167">
        <f>'5.4'!P22</f>
        <v>228</v>
      </c>
      <c r="C22" s="26">
        <f t="shared" si="5"/>
        <v>234.84</v>
      </c>
      <c r="D22" s="26">
        <f t="shared" si="7"/>
        <v>241.8852</v>
      </c>
      <c r="E22" s="26">
        <f t="shared" si="7"/>
        <v>249.141756</v>
      </c>
      <c r="F22" s="26">
        <f t="shared" si="7"/>
        <v>256.61600868</v>
      </c>
      <c r="G22" s="26">
        <f t="shared" si="7"/>
        <v>264.3144889404</v>
      </c>
      <c r="H22" s="26">
        <f t="shared" si="7"/>
        <v>272.243923608612</v>
      </c>
      <c r="I22" s="27">
        <f t="shared" si="7"/>
        <v>280.41124131687036</v>
      </c>
    </row>
    <row r="23" spans="1:9" ht="15">
      <c r="A23" s="146" t="s">
        <v>22</v>
      </c>
      <c r="B23" s="167">
        <f>'5.4'!P23</f>
        <v>8808</v>
      </c>
      <c r="C23" s="26">
        <f t="shared" si="5"/>
        <v>9072.24</v>
      </c>
      <c r="D23" s="26">
        <f t="shared" si="7"/>
        <v>9344.4072</v>
      </c>
      <c r="E23" s="26">
        <f t="shared" si="7"/>
        <v>9624.739416</v>
      </c>
      <c r="F23" s="26">
        <f t="shared" si="7"/>
        <v>9913.48159848</v>
      </c>
      <c r="G23" s="26">
        <f t="shared" si="7"/>
        <v>10210.8860464344</v>
      </c>
      <c r="H23" s="26">
        <f t="shared" si="7"/>
        <v>10517.212627827432</v>
      </c>
      <c r="I23" s="27">
        <f t="shared" si="7"/>
        <v>10832.729006662255</v>
      </c>
    </row>
    <row r="24" spans="1:9" ht="15">
      <c r="A24" s="146" t="s">
        <v>23</v>
      </c>
      <c r="B24" s="167">
        <f>'5.4'!P24</f>
        <v>10848</v>
      </c>
      <c r="C24" s="26">
        <f t="shared" si="5"/>
        <v>11173.44</v>
      </c>
      <c r="D24" s="26">
        <f t="shared" si="7"/>
        <v>11508.6432</v>
      </c>
      <c r="E24" s="26">
        <f t="shared" si="7"/>
        <v>11853.902496</v>
      </c>
      <c r="F24" s="26">
        <f t="shared" si="7"/>
        <v>12209.51957088</v>
      </c>
      <c r="G24" s="26">
        <f t="shared" si="7"/>
        <v>12575.8051580064</v>
      </c>
      <c r="H24" s="26">
        <f t="shared" si="7"/>
        <v>12953.079312746591</v>
      </c>
      <c r="I24" s="27">
        <f t="shared" si="7"/>
        <v>13341.67169212899</v>
      </c>
    </row>
    <row r="25" spans="1:9" ht="15">
      <c r="A25" s="146" t="s">
        <v>24</v>
      </c>
      <c r="B25" s="167">
        <f>'5.4'!P25</f>
        <v>28800</v>
      </c>
      <c r="C25" s="26">
        <f aca="true" t="shared" si="8" ref="C25:I25">B25+(B25*3%)</f>
        <v>29664</v>
      </c>
      <c r="D25" s="26">
        <f t="shared" si="8"/>
        <v>30553.92</v>
      </c>
      <c r="E25" s="26">
        <f t="shared" si="8"/>
        <v>31470.5376</v>
      </c>
      <c r="F25" s="26">
        <f t="shared" si="8"/>
        <v>32414.653728</v>
      </c>
      <c r="G25" s="26">
        <f t="shared" si="8"/>
        <v>33387.09333984</v>
      </c>
      <c r="H25" s="26">
        <f t="shared" si="8"/>
        <v>34388.7061400352</v>
      </c>
      <c r="I25" s="27">
        <f t="shared" si="8"/>
        <v>35420.36732423626</v>
      </c>
    </row>
    <row r="26" spans="1:9" ht="15">
      <c r="A26" s="146" t="s">
        <v>25</v>
      </c>
      <c r="B26" s="167">
        <f>'5.4'!P26</f>
        <v>492</v>
      </c>
      <c r="C26" s="26">
        <f aca="true" t="shared" si="9" ref="C26:I27">B26+(B26*3%)</f>
        <v>506.76</v>
      </c>
      <c r="D26" s="26">
        <f t="shared" si="9"/>
        <v>521.9628</v>
      </c>
      <c r="E26" s="26">
        <f t="shared" si="9"/>
        <v>537.621684</v>
      </c>
      <c r="F26" s="26">
        <f t="shared" si="9"/>
        <v>553.7503345199999</v>
      </c>
      <c r="G26" s="26">
        <f t="shared" si="9"/>
        <v>570.3628445555998</v>
      </c>
      <c r="H26" s="26">
        <f t="shared" si="9"/>
        <v>587.4737298922679</v>
      </c>
      <c r="I26" s="27">
        <f t="shared" si="9"/>
        <v>605.097941789036</v>
      </c>
    </row>
    <row r="27" spans="1:9" ht="45">
      <c r="A27" s="146" t="s">
        <v>202</v>
      </c>
      <c r="B27" s="167">
        <f>'5.4'!P27</f>
        <v>2000</v>
      </c>
      <c r="C27" s="26">
        <f t="shared" si="9"/>
        <v>2060</v>
      </c>
      <c r="D27" s="26">
        <f t="shared" si="9"/>
        <v>2121.8</v>
      </c>
      <c r="E27" s="26">
        <f t="shared" si="9"/>
        <v>2185.454</v>
      </c>
      <c r="F27" s="26">
        <f t="shared" si="9"/>
        <v>2251.01762</v>
      </c>
      <c r="G27" s="26">
        <f t="shared" si="9"/>
        <v>2318.5481486</v>
      </c>
      <c r="H27" s="26">
        <f t="shared" si="9"/>
        <v>2388.104593058</v>
      </c>
      <c r="I27" s="27">
        <f t="shared" si="9"/>
        <v>2459.74773084974</v>
      </c>
    </row>
    <row r="28" spans="1:9" s="388" customFormat="1" ht="16.5" thickBot="1">
      <c r="A28" s="153" t="s">
        <v>27</v>
      </c>
      <c r="B28" s="168">
        <f>SUM(B16:B27)</f>
        <v>169261.68</v>
      </c>
      <c r="C28" s="169">
        <f aca="true" t="shared" si="10" ref="C28:I28">B28</f>
        <v>169261.68</v>
      </c>
      <c r="D28" s="169">
        <f t="shared" si="10"/>
        <v>169261.68</v>
      </c>
      <c r="E28" s="169">
        <f t="shared" si="10"/>
        <v>169261.68</v>
      </c>
      <c r="F28" s="169">
        <f t="shared" si="10"/>
        <v>169261.68</v>
      </c>
      <c r="G28" s="169">
        <f t="shared" si="10"/>
        <v>169261.68</v>
      </c>
      <c r="H28" s="169">
        <f t="shared" si="10"/>
        <v>169261.68</v>
      </c>
      <c r="I28" s="170">
        <f t="shared" si="10"/>
        <v>169261.68</v>
      </c>
    </row>
    <row r="29" spans="1:9" s="152" customFormat="1" ht="16.5" thickBot="1">
      <c r="A29" s="712"/>
      <c r="I29" s="696"/>
    </row>
    <row r="30" spans="1:9" ht="31.5">
      <c r="A30" s="157" t="s">
        <v>28</v>
      </c>
      <c r="B30" s="164"/>
      <c r="C30" s="83"/>
      <c r="D30" s="83"/>
      <c r="E30" s="83"/>
      <c r="F30" s="83"/>
      <c r="G30" s="83"/>
      <c r="H30" s="83"/>
      <c r="I30" s="165"/>
    </row>
    <row r="31" spans="1:9" ht="15.75">
      <c r="A31" s="172" t="s">
        <v>29</v>
      </c>
      <c r="B31" s="167">
        <f>'5.4'!P31</f>
        <v>22824</v>
      </c>
      <c r="C31" s="26">
        <f>B31+(B31*3%)</f>
        <v>23508.72</v>
      </c>
      <c r="D31" s="26">
        <f aca="true" t="shared" si="11" ref="D31:I31">C31+(C31*3%)</f>
        <v>24213.981600000003</v>
      </c>
      <c r="E31" s="26">
        <f t="shared" si="11"/>
        <v>24940.401048000003</v>
      </c>
      <c r="F31" s="26">
        <f t="shared" si="11"/>
        <v>25688.613079440005</v>
      </c>
      <c r="G31" s="26">
        <f t="shared" si="11"/>
        <v>26459.271471823206</v>
      </c>
      <c r="H31" s="26">
        <f t="shared" si="11"/>
        <v>27253.049615977903</v>
      </c>
      <c r="I31" s="27">
        <f t="shared" si="11"/>
        <v>28070.64110445724</v>
      </c>
    </row>
    <row r="32" spans="1:9" ht="30">
      <c r="A32" s="146" t="s">
        <v>30</v>
      </c>
      <c r="B32" s="167">
        <f>'5.4'!P32</f>
        <v>5220</v>
      </c>
      <c r="C32" s="26">
        <f>B32+(B32*3%)</f>
        <v>5376.6</v>
      </c>
      <c r="D32" s="26">
        <f aca="true" t="shared" si="12" ref="D32:I34">C32+(C32*3%)</f>
        <v>5537.898</v>
      </c>
      <c r="E32" s="26">
        <f t="shared" si="12"/>
        <v>5704.0349400000005</v>
      </c>
      <c r="F32" s="26">
        <f t="shared" si="12"/>
        <v>5875.1559882</v>
      </c>
      <c r="G32" s="26">
        <f t="shared" si="12"/>
        <v>6051.410667846</v>
      </c>
      <c r="H32" s="26">
        <f t="shared" si="12"/>
        <v>6232.95298788138</v>
      </c>
      <c r="I32" s="27">
        <f t="shared" si="12"/>
        <v>6419.941577517821</v>
      </c>
    </row>
    <row r="33" spans="1:9" ht="15">
      <c r="A33" s="146" t="s">
        <v>31</v>
      </c>
      <c r="B33" s="167">
        <f>'5.4'!P33</f>
        <v>22824</v>
      </c>
      <c r="C33" s="26">
        <f>B33+(B33*3%)</f>
        <v>23508.72</v>
      </c>
      <c r="D33" s="26">
        <f t="shared" si="12"/>
        <v>24213.981600000003</v>
      </c>
      <c r="E33" s="26">
        <f t="shared" si="12"/>
        <v>24940.401048000003</v>
      </c>
      <c r="F33" s="26">
        <f t="shared" si="12"/>
        <v>25688.613079440005</v>
      </c>
      <c r="G33" s="26">
        <f t="shared" si="12"/>
        <v>26459.271471823206</v>
      </c>
      <c r="H33" s="26">
        <f t="shared" si="12"/>
        <v>27253.049615977903</v>
      </c>
      <c r="I33" s="27">
        <f t="shared" si="12"/>
        <v>28070.64110445724</v>
      </c>
    </row>
    <row r="34" spans="1:9" ht="15">
      <c r="A34" s="146" t="s">
        <v>32</v>
      </c>
      <c r="B34" s="167">
        <f>'5.4'!P34</f>
        <v>2297.92</v>
      </c>
      <c r="C34" s="26">
        <f>B34+(B34*3%)</f>
        <v>2366.8576000000003</v>
      </c>
      <c r="D34" s="26">
        <f t="shared" si="12"/>
        <v>2437.8633280000004</v>
      </c>
      <c r="E34" s="26">
        <f t="shared" si="12"/>
        <v>2510.9992278400005</v>
      </c>
      <c r="F34" s="26">
        <f t="shared" si="12"/>
        <v>2586.3292046752003</v>
      </c>
      <c r="G34" s="26">
        <f t="shared" si="12"/>
        <v>2663.9190808154563</v>
      </c>
      <c r="H34" s="26">
        <f t="shared" si="12"/>
        <v>2743.83665323992</v>
      </c>
      <c r="I34" s="27">
        <f t="shared" si="12"/>
        <v>2826.151752837118</v>
      </c>
    </row>
    <row r="35" spans="1:9" ht="15">
      <c r="A35" s="146" t="s">
        <v>33</v>
      </c>
      <c r="B35" s="167">
        <f>'5.4'!P35</f>
        <v>180</v>
      </c>
      <c r="C35" s="26">
        <f aca="true" t="shared" si="13" ref="C35:I35">B35+(B35*3%)</f>
        <v>185.4</v>
      </c>
      <c r="D35" s="26">
        <f t="shared" si="13"/>
        <v>190.96200000000002</v>
      </c>
      <c r="E35" s="26">
        <f t="shared" si="13"/>
        <v>196.69086000000001</v>
      </c>
      <c r="F35" s="26">
        <f t="shared" si="13"/>
        <v>202.59158580000002</v>
      </c>
      <c r="G35" s="26">
        <f t="shared" si="13"/>
        <v>208.66933337400002</v>
      </c>
      <c r="H35" s="26">
        <f t="shared" si="13"/>
        <v>214.92941337522</v>
      </c>
      <c r="I35" s="27">
        <f t="shared" si="13"/>
        <v>221.37729577647661</v>
      </c>
    </row>
    <row r="36" spans="1:9" ht="15">
      <c r="A36" s="146" t="s">
        <v>34</v>
      </c>
      <c r="B36" s="167">
        <f>'5.4'!P36</f>
        <v>2544.876</v>
      </c>
      <c r="C36" s="26">
        <f aca="true" t="shared" si="14" ref="C36:I36">B36+(B36*3%)</f>
        <v>2621.2222800000004</v>
      </c>
      <c r="D36" s="26">
        <f t="shared" si="14"/>
        <v>2699.8589484000004</v>
      </c>
      <c r="E36" s="26">
        <f t="shared" si="14"/>
        <v>2780.8547168520004</v>
      </c>
      <c r="F36" s="26">
        <f t="shared" si="14"/>
        <v>2864.2803583575605</v>
      </c>
      <c r="G36" s="26">
        <f t="shared" si="14"/>
        <v>2950.2087691082875</v>
      </c>
      <c r="H36" s="26">
        <f t="shared" si="14"/>
        <v>3038.715032181536</v>
      </c>
      <c r="I36" s="27">
        <f t="shared" si="14"/>
        <v>3129.876483146982</v>
      </c>
    </row>
    <row r="37" spans="1:9" ht="30.75" thickBot="1">
      <c r="A37" s="153" t="s">
        <v>36</v>
      </c>
      <c r="B37" s="168">
        <f>SUM(B31:B36)</f>
        <v>55890.796</v>
      </c>
      <c r="C37" s="169">
        <f aca="true" t="shared" si="15" ref="C37:I37">SUM(C31:C36)</f>
        <v>57567.51988000001</v>
      </c>
      <c r="D37" s="169">
        <f t="shared" si="15"/>
        <v>59294.5454764</v>
      </c>
      <c r="E37" s="169">
        <f t="shared" si="15"/>
        <v>61073.38184069202</v>
      </c>
      <c r="F37" s="169">
        <f t="shared" si="15"/>
        <v>62905.58329591277</v>
      </c>
      <c r="G37" s="169">
        <f t="shared" si="15"/>
        <v>64792.75079479015</v>
      </c>
      <c r="H37" s="169">
        <f t="shared" si="15"/>
        <v>66736.53331863387</v>
      </c>
      <c r="I37" s="170">
        <f t="shared" si="15"/>
        <v>68738.62931819289</v>
      </c>
    </row>
    <row r="38" spans="1:9" s="81" customFormat="1" ht="16.5" thickBot="1">
      <c r="A38" s="712"/>
      <c r="B38" s="508"/>
      <c r="C38" s="508"/>
      <c r="D38" s="508"/>
      <c r="E38" s="508"/>
      <c r="F38" s="508"/>
      <c r="G38" s="508"/>
      <c r="H38" s="508"/>
      <c r="I38" s="701"/>
    </row>
    <row r="39" spans="1:9" ht="15.75">
      <c r="A39" s="157" t="s">
        <v>37</v>
      </c>
      <c r="B39" s="164"/>
      <c r="C39" s="83"/>
      <c r="D39" s="83"/>
      <c r="E39" s="83"/>
      <c r="F39" s="83"/>
      <c r="G39" s="83"/>
      <c r="H39" s="83"/>
      <c r="I39" s="165"/>
    </row>
    <row r="40" spans="1:9" ht="15">
      <c r="A40" s="146" t="s">
        <v>38</v>
      </c>
      <c r="B40" s="167">
        <f>'5.4'!P40</f>
        <v>1560</v>
      </c>
      <c r="C40" s="26">
        <f aca="true" t="shared" si="16" ref="C40:I50">B40+(B40*3%)</f>
        <v>1606.8</v>
      </c>
      <c r="D40" s="26">
        <f t="shared" si="16"/>
        <v>1655.004</v>
      </c>
      <c r="E40" s="26">
        <f t="shared" si="16"/>
        <v>1704.65412</v>
      </c>
      <c r="F40" s="26">
        <f t="shared" si="16"/>
        <v>1755.7937436</v>
      </c>
      <c r="G40" s="26">
        <f t="shared" si="16"/>
        <v>1808.467555908</v>
      </c>
      <c r="H40" s="26">
        <f t="shared" si="16"/>
        <v>1862.72158258524</v>
      </c>
      <c r="I40" s="27">
        <f t="shared" si="16"/>
        <v>1918.6032300627971</v>
      </c>
    </row>
    <row r="41" spans="1:9" ht="15">
      <c r="A41" s="146" t="s">
        <v>39</v>
      </c>
      <c r="B41" s="167">
        <f>'5.4'!P41</f>
        <v>264</v>
      </c>
      <c r="C41" s="26">
        <f t="shared" si="16"/>
        <v>271.92</v>
      </c>
      <c r="D41" s="26">
        <f t="shared" si="16"/>
        <v>280.0776</v>
      </c>
      <c r="E41" s="26">
        <f t="shared" si="16"/>
        <v>288.47992800000003</v>
      </c>
      <c r="F41" s="26">
        <f t="shared" si="16"/>
        <v>297.13432584000003</v>
      </c>
      <c r="G41" s="26">
        <f t="shared" si="16"/>
        <v>306.0483556152</v>
      </c>
      <c r="H41" s="26">
        <f t="shared" si="16"/>
        <v>315.22980628365605</v>
      </c>
      <c r="I41" s="27">
        <f t="shared" si="16"/>
        <v>324.68670047216574</v>
      </c>
    </row>
    <row r="42" spans="1:9" ht="15">
      <c r="A42" s="146" t="s">
        <v>40</v>
      </c>
      <c r="B42" s="167">
        <f>'5.4'!P42</f>
        <v>360</v>
      </c>
      <c r="C42" s="26">
        <f t="shared" si="16"/>
        <v>370.8</v>
      </c>
      <c r="D42" s="26">
        <f t="shared" si="16"/>
        <v>381.92400000000004</v>
      </c>
      <c r="E42" s="26">
        <f t="shared" si="16"/>
        <v>393.38172000000003</v>
      </c>
      <c r="F42" s="26">
        <f t="shared" si="16"/>
        <v>405.18317160000004</v>
      </c>
      <c r="G42" s="26">
        <f t="shared" si="16"/>
        <v>417.33866674800004</v>
      </c>
      <c r="H42" s="26">
        <f t="shared" si="16"/>
        <v>429.85882675044</v>
      </c>
      <c r="I42" s="27">
        <f t="shared" si="16"/>
        <v>442.75459155295323</v>
      </c>
    </row>
    <row r="43" spans="1:9" ht="15">
      <c r="A43" s="146" t="s">
        <v>16</v>
      </c>
      <c r="B43" s="167">
        <f>'5.4'!P43</f>
        <v>180</v>
      </c>
      <c r="C43" s="26">
        <f t="shared" si="16"/>
        <v>185.4</v>
      </c>
      <c r="D43" s="26">
        <f t="shared" si="16"/>
        <v>190.96200000000002</v>
      </c>
      <c r="E43" s="26">
        <f t="shared" si="16"/>
        <v>196.69086000000001</v>
      </c>
      <c r="F43" s="26">
        <f t="shared" si="16"/>
        <v>202.59158580000002</v>
      </c>
      <c r="G43" s="26">
        <f t="shared" si="16"/>
        <v>208.66933337400002</v>
      </c>
      <c r="H43" s="26">
        <f t="shared" si="16"/>
        <v>214.92941337522</v>
      </c>
      <c r="I43" s="27">
        <f t="shared" si="16"/>
        <v>221.37729577647661</v>
      </c>
    </row>
    <row r="44" spans="1:9" ht="15">
      <c r="A44" s="146" t="s">
        <v>18</v>
      </c>
      <c r="B44" s="167">
        <f>'5.4'!P44</f>
        <v>60</v>
      </c>
      <c r="C44" s="26">
        <f t="shared" si="16"/>
        <v>61.8</v>
      </c>
      <c r="D44" s="26">
        <f t="shared" si="16"/>
        <v>63.653999999999996</v>
      </c>
      <c r="E44" s="26">
        <f t="shared" si="16"/>
        <v>65.56362</v>
      </c>
      <c r="F44" s="26">
        <f t="shared" si="16"/>
        <v>67.5305286</v>
      </c>
      <c r="G44" s="26">
        <f t="shared" si="16"/>
        <v>69.556444458</v>
      </c>
      <c r="H44" s="26">
        <f t="shared" si="16"/>
        <v>71.64313779174</v>
      </c>
      <c r="I44" s="27">
        <f t="shared" si="16"/>
        <v>73.7924319254922</v>
      </c>
    </row>
    <row r="45" spans="1:9" ht="15">
      <c r="A45" s="146" t="s">
        <v>41</v>
      </c>
      <c r="B45" s="167">
        <f>'5.4'!P45</f>
        <v>1956</v>
      </c>
      <c r="C45" s="26">
        <f t="shared" si="16"/>
        <v>2014.68</v>
      </c>
      <c r="D45" s="26">
        <f t="shared" si="16"/>
        <v>2075.1204000000002</v>
      </c>
      <c r="E45" s="26">
        <f t="shared" si="16"/>
        <v>2137.374012</v>
      </c>
      <c r="F45" s="26">
        <f t="shared" si="16"/>
        <v>2201.49523236</v>
      </c>
      <c r="G45" s="26">
        <f t="shared" si="16"/>
        <v>2267.5400893308</v>
      </c>
      <c r="H45" s="26">
        <f t="shared" si="16"/>
        <v>2335.5662920107243</v>
      </c>
      <c r="I45" s="27">
        <f t="shared" si="16"/>
        <v>2405.633280771046</v>
      </c>
    </row>
    <row r="46" spans="1:9" ht="15">
      <c r="A46" s="146" t="s">
        <v>24</v>
      </c>
      <c r="B46" s="167">
        <f>'5.4'!P46</f>
        <v>48</v>
      </c>
      <c r="C46" s="26">
        <f t="shared" si="16"/>
        <v>49.44</v>
      </c>
      <c r="D46" s="26">
        <f t="shared" si="16"/>
        <v>50.923199999999994</v>
      </c>
      <c r="E46" s="26">
        <f t="shared" si="16"/>
        <v>52.45089599999999</v>
      </c>
      <c r="F46" s="26">
        <f t="shared" si="16"/>
        <v>54.024422879999996</v>
      </c>
      <c r="G46" s="26">
        <f t="shared" si="16"/>
        <v>55.64515556639999</v>
      </c>
      <c r="H46" s="26">
        <f t="shared" si="16"/>
        <v>57.31451023339199</v>
      </c>
      <c r="I46" s="27">
        <f t="shared" si="16"/>
        <v>59.03394554039375</v>
      </c>
    </row>
    <row r="47" spans="1:9" ht="15">
      <c r="A47" s="146" t="s">
        <v>15</v>
      </c>
      <c r="B47" s="167">
        <f>'5.4'!P47</f>
        <v>1164</v>
      </c>
      <c r="C47" s="26">
        <f t="shared" si="16"/>
        <v>1198.92</v>
      </c>
      <c r="D47" s="26">
        <f t="shared" si="16"/>
        <v>1234.8876</v>
      </c>
      <c r="E47" s="26">
        <f t="shared" si="16"/>
        <v>1271.934228</v>
      </c>
      <c r="F47" s="26">
        <f t="shared" si="16"/>
        <v>1310.0922548400001</v>
      </c>
      <c r="G47" s="26">
        <f t="shared" si="16"/>
        <v>1349.3950224852001</v>
      </c>
      <c r="H47" s="26">
        <f t="shared" si="16"/>
        <v>1389.876873159756</v>
      </c>
      <c r="I47" s="27">
        <f t="shared" si="16"/>
        <v>1431.5731793545488</v>
      </c>
    </row>
    <row r="48" spans="1:9" ht="15">
      <c r="A48" s="146" t="s">
        <v>42</v>
      </c>
      <c r="B48" s="167">
        <f>'5.4'!P48</f>
        <v>936</v>
      </c>
      <c r="C48" s="26">
        <f t="shared" si="16"/>
        <v>964.08</v>
      </c>
      <c r="D48" s="26">
        <f t="shared" si="16"/>
        <v>993.0024000000001</v>
      </c>
      <c r="E48" s="26">
        <f t="shared" si="16"/>
        <v>1022.7924720000001</v>
      </c>
      <c r="F48" s="26">
        <f t="shared" si="16"/>
        <v>1053.47624616</v>
      </c>
      <c r="G48" s="26">
        <f t="shared" si="16"/>
        <v>1085.0805335448001</v>
      </c>
      <c r="H48" s="26">
        <f t="shared" si="16"/>
        <v>1117.632949551144</v>
      </c>
      <c r="I48" s="27">
        <f t="shared" si="16"/>
        <v>1151.1619380376783</v>
      </c>
    </row>
    <row r="49" spans="1:9" ht="15">
      <c r="A49" s="146" t="s">
        <v>43</v>
      </c>
      <c r="B49" s="167">
        <f>'5.4'!P49</f>
        <v>80</v>
      </c>
      <c r="C49" s="26">
        <f t="shared" si="16"/>
        <v>82.4</v>
      </c>
      <c r="D49" s="26">
        <f t="shared" si="16"/>
        <v>84.872</v>
      </c>
      <c r="E49" s="26">
        <f t="shared" si="16"/>
        <v>87.41816</v>
      </c>
      <c r="F49" s="26">
        <f t="shared" si="16"/>
        <v>90.0407048</v>
      </c>
      <c r="G49" s="26">
        <f t="shared" si="16"/>
        <v>92.741925944</v>
      </c>
      <c r="H49" s="26">
        <f t="shared" si="16"/>
        <v>95.52418372232</v>
      </c>
      <c r="I49" s="27">
        <f t="shared" si="16"/>
        <v>98.3899092339896</v>
      </c>
    </row>
    <row r="50" spans="1:9" ht="15">
      <c r="A50" s="146" t="s">
        <v>44</v>
      </c>
      <c r="B50" s="167">
        <f>'5.4'!P50</f>
        <v>372</v>
      </c>
      <c r="C50" s="26">
        <f t="shared" si="16"/>
        <v>383.16</v>
      </c>
      <c r="D50" s="26">
        <f t="shared" si="16"/>
        <v>394.6548</v>
      </c>
      <c r="E50" s="26">
        <f t="shared" si="16"/>
        <v>406.49444400000004</v>
      </c>
      <c r="F50" s="26">
        <f t="shared" si="16"/>
        <v>418.68927732000003</v>
      </c>
      <c r="G50" s="26">
        <f t="shared" si="16"/>
        <v>431.24995563960005</v>
      </c>
      <c r="H50" s="26">
        <f t="shared" si="16"/>
        <v>444.18745430878806</v>
      </c>
      <c r="I50" s="27">
        <f t="shared" si="16"/>
        <v>457.5130779380517</v>
      </c>
    </row>
    <row r="51" spans="1:9" ht="15">
      <c r="A51" s="146" t="s">
        <v>45</v>
      </c>
      <c r="B51" s="167">
        <f>'5.4'!P51</f>
        <v>1332</v>
      </c>
      <c r="C51" s="26">
        <f aca="true" t="shared" si="17" ref="C51:I51">B51+(B51*3%)</f>
        <v>1371.96</v>
      </c>
      <c r="D51" s="26">
        <f t="shared" si="17"/>
        <v>1413.1188</v>
      </c>
      <c r="E51" s="26">
        <f t="shared" si="17"/>
        <v>1455.512364</v>
      </c>
      <c r="F51" s="26">
        <f t="shared" si="17"/>
        <v>1499.17773492</v>
      </c>
      <c r="G51" s="26">
        <f t="shared" si="17"/>
        <v>1544.1530669676</v>
      </c>
      <c r="H51" s="26">
        <f t="shared" si="17"/>
        <v>1590.477658976628</v>
      </c>
      <c r="I51" s="27">
        <f t="shared" si="17"/>
        <v>1638.1919887459267</v>
      </c>
    </row>
    <row r="52" spans="1:9" ht="15">
      <c r="A52" s="146" t="s">
        <v>39</v>
      </c>
      <c r="B52" s="167">
        <f>'5.4'!P52</f>
        <v>240</v>
      </c>
      <c r="C52" s="26">
        <f aca="true" t="shared" si="18" ref="C52:I52">B52+(B52*3%)</f>
        <v>247.2</v>
      </c>
      <c r="D52" s="26">
        <f t="shared" si="18"/>
        <v>254.61599999999999</v>
      </c>
      <c r="E52" s="26">
        <f t="shared" si="18"/>
        <v>262.25448</v>
      </c>
      <c r="F52" s="26">
        <f t="shared" si="18"/>
        <v>270.1221144</v>
      </c>
      <c r="G52" s="26">
        <f t="shared" si="18"/>
        <v>278.225777832</v>
      </c>
      <c r="H52" s="26">
        <f t="shared" si="18"/>
        <v>286.57255116696</v>
      </c>
      <c r="I52" s="27">
        <f t="shared" si="18"/>
        <v>295.1697277019688</v>
      </c>
    </row>
    <row r="53" spans="1:9" ht="16.5" thickBot="1">
      <c r="A53" s="153" t="s">
        <v>47</v>
      </c>
      <c r="B53" s="168">
        <f>SUM(B40:B52)</f>
        <v>8552</v>
      </c>
      <c r="C53" s="169">
        <f aca="true" t="shared" si="19" ref="C53:I53">SUM(C40:C52)</f>
        <v>8808.560000000001</v>
      </c>
      <c r="D53" s="169">
        <f t="shared" si="19"/>
        <v>9072.8168</v>
      </c>
      <c r="E53" s="169">
        <f t="shared" si="19"/>
        <v>9345.001304</v>
      </c>
      <c r="F53" s="169">
        <f t="shared" si="19"/>
        <v>9625.351343119999</v>
      </c>
      <c r="G53" s="169">
        <f t="shared" si="19"/>
        <v>9914.111883413601</v>
      </c>
      <c r="H53" s="169">
        <f t="shared" si="19"/>
        <v>10211.535239916011</v>
      </c>
      <c r="I53" s="170">
        <f t="shared" si="19"/>
        <v>10517.881297113487</v>
      </c>
    </row>
    <row r="54" spans="1:9" s="75" customFormat="1" ht="16.5" thickBot="1">
      <c r="A54" s="695"/>
      <c r="B54" s="152"/>
      <c r="C54" s="152"/>
      <c r="D54" s="152"/>
      <c r="E54" s="152"/>
      <c r="F54" s="152"/>
      <c r="G54" s="152"/>
      <c r="H54" s="152"/>
      <c r="I54" s="696"/>
    </row>
    <row r="55" spans="1:9" ht="31.5">
      <c r="A55" s="157" t="s">
        <v>48</v>
      </c>
      <c r="B55" s="164"/>
      <c r="C55" s="83"/>
      <c r="D55" s="83"/>
      <c r="E55" s="83"/>
      <c r="F55" s="83"/>
      <c r="G55" s="83"/>
      <c r="H55" s="83"/>
      <c r="I55" s="165"/>
    </row>
    <row r="56" spans="1:9" ht="15">
      <c r="A56" s="146" t="s">
        <v>49</v>
      </c>
      <c r="B56" s="167">
        <f>'5.4'!P56</f>
        <v>19004.160000000003</v>
      </c>
      <c r="C56" s="26">
        <f aca="true" t="shared" si="20" ref="C56:I56">B56+(B56*3%)</f>
        <v>19574.284800000005</v>
      </c>
      <c r="D56" s="26">
        <f t="shared" si="20"/>
        <v>20161.513344000006</v>
      </c>
      <c r="E56" s="26">
        <f t="shared" si="20"/>
        <v>20766.358744320005</v>
      </c>
      <c r="F56" s="26">
        <f t="shared" si="20"/>
        <v>21389.349506649603</v>
      </c>
      <c r="G56" s="26">
        <f t="shared" si="20"/>
        <v>22031.029991849093</v>
      </c>
      <c r="H56" s="26">
        <f t="shared" si="20"/>
        <v>22691.960891604565</v>
      </c>
      <c r="I56" s="27">
        <f t="shared" si="20"/>
        <v>23372.719718352702</v>
      </c>
    </row>
    <row r="57" spans="1:9" ht="15">
      <c r="A57" s="146" t="s">
        <v>60</v>
      </c>
      <c r="B57" s="167">
        <f>'5.4'!P57</f>
        <v>19004.160000000003</v>
      </c>
      <c r="C57" s="26">
        <f aca="true" t="shared" si="21" ref="C57:I57">B57+(B57*3%)</f>
        <v>19574.284800000005</v>
      </c>
      <c r="D57" s="26">
        <f t="shared" si="21"/>
        <v>20161.513344000006</v>
      </c>
      <c r="E57" s="26">
        <f t="shared" si="21"/>
        <v>20766.358744320005</v>
      </c>
      <c r="F57" s="26">
        <f t="shared" si="21"/>
        <v>21389.349506649603</v>
      </c>
      <c r="G57" s="26">
        <f t="shared" si="21"/>
        <v>22031.029991849093</v>
      </c>
      <c r="H57" s="26">
        <f t="shared" si="21"/>
        <v>22691.960891604565</v>
      </c>
      <c r="I57" s="27">
        <f t="shared" si="21"/>
        <v>23372.719718352702</v>
      </c>
    </row>
    <row r="58" spans="1:9" ht="15">
      <c r="A58" s="146" t="s">
        <v>61</v>
      </c>
      <c r="B58" s="167">
        <f>'5.4'!P58</f>
        <v>15764.400000000003</v>
      </c>
      <c r="C58" s="26">
        <f aca="true" t="shared" si="22" ref="C58:I58">B58+(B58*3%)</f>
        <v>16237.332000000004</v>
      </c>
      <c r="D58" s="26">
        <f t="shared" si="22"/>
        <v>16724.451960000006</v>
      </c>
      <c r="E58" s="26">
        <f t="shared" si="22"/>
        <v>17226.185518800005</v>
      </c>
      <c r="F58" s="26">
        <f t="shared" si="22"/>
        <v>17742.971084364006</v>
      </c>
      <c r="G58" s="26">
        <f t="shared" si="22"/>
        <v>18275.260216894927</v>
      </c>
      <c r="H58" s="26">
        <f t="shared" si="22"/>
        <v>18823.518023401775</v>
      </c>
      <c r="I58" s="27">
        <f t="shared" si="22"/>
        <v>19388.223564103828</v>
      </c>
    </row>
    <row r="59" spans="1:9" ht="30.75" thickBot="1">
      <c r="A59" s="153" t="s">
        <v>51</v>
      </c>
      <c r="B59" s="168">
        <f>SUM(B56:B58)</f>
        <v>53772.72000000001</v>
      </c>
      <c r="C59" s="169">
        <f aca="true" t="shared" si="23" ref="C59:I59">SUM(C56:C58)</f>
        <v>55385.90160000001</v>
      </c>
      <c r="D59" s="169">
        <f t="shared" si="23"/>
        <v>57047.47864800002</v>
      </c>
      <c r="E59" s="169">
        <f t="shared" si="23"/>
        <v>58758.903007440014</v>
      </c>
      <c r="F59" s="169">
        <f t="shared" si="23"/>
        <v>60521.67009766321</v>
      </c>
      <c r="G59" s="169">
        <f t="shared" si="23"/>
        <v>62337.32020059311</v>
      </c>
      <c r="H59" s="169">
        <f t="shared" si="23"/>
        <v>64207.439806610906</v>
      </c>
      <c r="I59" s="170">
        <f t="shared" si="23"/>
        <v>66133.66300080923</v>
      </c>
    </row>
    <row r="60" spans="1:9" s="75" customFormat="1" ht="16.5" thickBot="1">
      <c r="A60" s="712"/>
      <c r="B60" s="152"/>
      <c r="C60" s="152"/>
      <c r="D60" s="152"/>
      <c r="E60" s="152"/>
      <c r="F60" s="152"/>
      <c r="G60" s="152"/>
      <c r="H60" s="152"/>
      <c r="I60" s="696"/>
    </row>
    <row r="61" spans="1:9" ht="15.75">
      <c r="A61" s="157" t="s">
        <v>52</v>
      </c>
      <c r="B61" s="164"/>
      <c r="C61" s="83"/>
      <c r="D61" s="83"/>
      <c r="E61" s="83"/>
      <c r="F61" s="83"/>
      <c r="G61" s="83"/>
      <c r="H61" s="83"/>
      <c r="I61" s="165"/>
    </row>
    <row r="62" spans="1:9" ht="15">
      <c r="A62" s="146" t="s">
        <v>53</v>
      </c>
      <c r="B62" s="167">
        <f>'5.4'!P61</f>
        <v>6000</v>
      </c>
      <c r="C62" s="26"/>
      <c r="D62" s="26"/>
      <c r="E62" s="26"/>
      <c r="F62" s="26"/>
      <c r="G62" s="26"/>
      <c r="H62" s="26"/>
      <c r="I62" s="27"/>
    </row>
    <row r="63" spans="1:9" ht="15">
      <c r="A63" s="146" t="s">
        <v>54</v>
      </c>
      <c r="B63" s="167">
        <f>'5.4'!P62</f>
        <v>2160</v>
      </c>
      <c r="C63" s="26">
        <f aca="true" t="shared" si="24" ref="C63:I65">B63+(B63*3%)</f>
        <v>2224.8</v>
      </c>
      <c r="D63" s="26">
        <f t="shared" si="24"/>
        <v>2291.5440000000003</v>
      </c>
      <c r="E63" s="26">
        <f t="shared" si="24"/>
        <v>2360.2903200000005</v>
      </c>
      <c r="F63" s="26">
        <f t="shared" si="24"/>
        <v>2431.0990296000004</v>
      </c>
      <c r="G63" s="26">
        <f t="shared" si="24"/>
        <v>2504.0320004880004</v>
      </c>
      <c r="H63" s="26">
        <f t="shared" si="24"/>
        <v>2579.1529605026403</v>
      </c>
      <c r="I63" s="27">
        <f t="shared" si="24"/>
        <v>2656.5275493177196</v>
      </c>
    </row>
    <row r="64" spans="1:9" ht="15">
      <c r="A64" s="146" t="s">
        <v>55</v>
      </c>
      <c r="B64" s="167">
        <f>'5.4'!P63</f>
        <v>1200</v>
      </c>
      <c r="C64" s="26">
        <f t="shared" si="24"/>
        <v>1236</v>
      </c>
      <c r="D64" s="26">
        <f t="shared" si="24"/>
        <v>1273.08</v>
      </c>
      <c r="E64" s="26">
        <f t="shared" si="24"/>
        <v>1311.2723999999998</v>
      </c>
      <c r="F64" s="26">
        <f t="shared" si="24"/>
        <v>1350.6105719999998</v>
      </c>
      <c r="G64" s="26">
        <f t="shared" si="24"/>
        <v>1391.1288891599997</v>
      </c>
      <c r="H64" s="26">
        <f t="shared" si="24"/>
        <v>1432.8627558347998</v>
      </c>
      <c r="I64" s="27">
        <f t="shared" si="24"/>
        <v>1475.8486385098438</v>
      </c>
    </row>
    <row r="65" spans="1:9" ht="15">
      <c r="A65" s="146" t="s">
        <v>56</v>
      </c>
      <c r="B65" s="167">
        <f>'5.4'!P64</f>
        <v>4680</v>
      </c>
      <c r="C65" s="26">
        <f t="shared" si="24"/>
        <v>4820.4</v>
      </c>
      <c r="D65" s="26">
        <f t="shared" si="24"/>
        <v>4965.012</v>
      </c>
      <c r="E65" s="26">
        <f t="shared" si="24"/>
        <v>5113.9623599999995</v>
      </c>
      <c r="F65" s="26">
        <f t="shared" si="24"/>
        <v>5267.3812308</v>
      </c>
      <c r="G65" s="26">
        <f t="shared" si="24"/>
        <v>5425.402667724</v>
      </c>
      <c r="H65" s="26">
        <f t="shared" si="24"/>
        <v>5588.16474775572</v>
      </c>
      <c r="I65" s="27">
        <f t="shared" si="24"/>
        <v>5755.809690188392</v>
      </c>
    </row>
    <row r="66" spans="1:9" ht="16.5" thickBot="1">
      <c r="A66" s="153" t="s">
        <v>58</v>
      </c>
      <c r="B66" s="168">
        <f>SUM(B62:B65)</f>
        <v>14040</v>
      </c>
      <c r="C66" s="169">
        <f>SUM(C62:C65)</f>
        <v>8281.2</v>
      </c>
      <c r="D66" s="169">
        <f aca="true" t="shared" si="25" ref="D66:I66">SUM(D62:D65)</f>
        <v>8529.636</v>
      </c>
      <c r="E66" s="169">
        <f t="shared" si="25"/>
        <v>8785.52508</v>
      </c>
      <c r="F66" s="169">
        <f t="shared" si="25"/>
        <v>9049.090832400001</v>
      </c>
      <c r="G66" s="169">
        <f t="shared" si="25"/>
        <v>9320.563557372</v>
      </c>
      <c r="H66" s="169">
        <f t="shared" si="25"/>
        <v>9600.18046409316</v>
      </c>
      <c r="I66" s="170">
        <f t="shared" si="25"/>
        <v>9888.185878015956</v>
      </c>
    </row>
    <row r="67" spans="1:9" ht="16.5" thickBot="1">
      <c r="A67" s="538" t="s">
        <v>65</v>
      </c>
      <c r="B67" s="156">
        <f>B13+B28+B37+B53+B59+B66</f>
        <v>1102646.571</v>
      </c>
      <c r="C67" s="156">
        <f aca="true" t="shared" si="26" ref="C67:I67">C13+C28+C37+C53+C59+C66</f>
        <v>1100434.23648</v>
      </c>
      <c r="D67" s="156">
        <f t="shared" si="26"/>
        <v>1104335.5319244</v>
      </c>
      <c r="E67" s="156">
        <f t="shared" si="26"/>
        <v>1108353.866232132</v>
      </c>
      <c r="F67" s="156">
        <f t="shared" si="26"/>
        <v>1112492.7505690958</v>
      </c>
      <c r="G67" s="156">
        <f t="shared" si="26"/>
        <v>1116755.8014361688</v>
      </c>
      <c r="H67" s="156">
        <f t="shared" si="26"/>
        <v>1121146.7438292538</v>
      </c>
      <c r="I67" s="699">
        <f t="shared" si="26"/>
        <v>1125669.4144941315</v>
      </c>
    </row>
    <row r="68" spans="1:2" ht="16.5" thickBot="1">
      <c r="A68" s="537"/>
      <c r="B68" s="149"/>
    </row>
    <row r="69" spans="1:9" s="388" customFormat="1" ht="31.5">
      <c r="A69" s="703" t="s">
        <v>66</v>
      </c>
      <c r="B69" s="704">
        <f aca="true" t="shared" si="27" ref="B69:I69">B8-B67</f>
        <v>348585.3633749997</v>
      </c>
      <c r="C69" s="705">
        <f t="shared" si="27"/>
        <v>350797.69789499976</v>
      </c>
      <c r="D69" s="705">
        <f t="shared" si="27"/>
        <v>346896.4024505997</v>
      </c>
      <c r="E69" s="705">
        <f t="shared" si="27"/>
        <v>342878.06814286765</v>
      </c>
      <c r="F69" s="705">
        <f t="shared" si="27"/>
        <v>338739.1838059039</v>
      </c>
      <c r="G69" s="705">
        <f t="shared" si="27"/>
        <v>334476.1329388309</v>
      </c>
      <c r="H69" s="705">
        <f t="shared" si="27"/>
        <v>330085.1905457459</v>
      </c>
      <c r="I69" s="706">
        <f t="shared" si="27"/>
        <v>325562.51988086826</v>
      </c>
    </row>
    <row r="70" spans="1:9" ht="15.75">
      <c r="A70" s="142" t="s">
        <v>67</v>
      </c>
      <c r="B70" s="176">
        <f>B69*25%</f>
        <v>87146.34084374993</v>
      </c>
      <c r="C70" s="155">
        <f>C69*25%</f>
        <v>87699.42447374994</v>
      </c>
      <c r="D70" s="155">
        <f aca="true" t="shared" si="28" ref="D70:I70">D69*25%</f>
        <v>86724.10061264993</v>
      </c>
      <c r="E70" s="155">
        <f t="shared" si="28"/>
        <v>85719.51703571691</v>
      </c>
      <c r="F70" s="155">
        <f t="shared" si="28"/>
        <v>84684.79595147597</v>
      </c>
      <c r="G70" s="155">
        <f t="shared" si="28"/>
        <v>83619.03323470772</v>
      </c>
      <c r="H70" s="155">
        <f t="shared" si="28"/>
        <v>82521.29763643647</v>
      </c>
      <c r="I70" s="175">
        <f t="shared" si="28"/>
        <v>81390.62997021707</v>
      </c>
    </row>
    <row r="71" spans="1:9" s="388" customFormat="1" ht="15.75">
      <c r="A71" s="171" t="s">
        <v>69</v>
      </c>
      <c r="B71" s="389">
        <f>B69-B70</f>
        <v>261439.0225312498</v>
      </c>
      <c r="C71" s="384">
        <f>C69-C70</f>
        <v>263098.2734212498</v>
      </c>
      <c r="D71" s="384">
        <f aca="true" t="shared" si="29" ref="D71:I71">D69-D70</f>
        <v>260172.30183794978</v>
      </c>
      <c r="E71" s="384">
        <f t="shared" si="29"/>
        <v>257158.55110715074</v>
      </c>
      <c r="F71" s="384">
        <f t="shared" si="29"/>
        <v>254054.3878544279</v>
      </c>
      <c r="G71" s="384">
        <f t="shared" si="29"/>
        <v>250857.09970412316</v>
      </c>
      <c r="H71" s="384">
        <f t="shared" si="29"/>
        <v>247563.89290930942</v>
      </c>
      <c r="I71" s="390">
        <f t="shared" si="29"/>
        <v>244171.8899106512</v>
      </c>
    </row>
    <row r="72" spans="1:9" ht="16.5" thickBot="1">
      <c r="A72" s="707" t="s">
        <v>70</v>
      </c>
      <c r="B72" s="708">
        <f>B71</f>
        <v>261439.0225312498</v>
      </c>
      <c r="C72" s="709">
        <f>B72+C71</f>
        <v>524537.2959524996</v>
      </c>
      <c r="D72" s="709">
        <f aca="true" t="shared" si="30" ref="D72:I72">C72+D71</f>
        <v>784709.5977904494</v>
      </c>
      <c r="E72" s="709">
        <f t="shared" si="30"/>
        <v>1041868.1488976001</v>
      </c>
      <c r="F72" s="709">
        <f t="shared" si="30"/>
        <v>1295922.536752028</v>
      </c>
      <c r="G72" s="709">
        <f t="shared" si="30"/>
        <v>1546779.636456151</v>
      </c>
      <c r="H72" s="709">
        <f t="shared" si="30"/>
        <v>1794343.5293654604</v>
      </c>
      <c r="I72" s="710">
        <f t="shared" si="30"/>
        <v>2038515.4192761115</v>
      </c>
    </row>
    <row r="73" spans="1:9" s="395" customFormat="1" ht="15.75">
      <c r="A73" s="402" t="s">
        <v>254</v>
      </c>
      <c r="B73" s="394">
        <f>B72/$B$75</f>
        <v>0.010208095464293585</v>
      </c>
      <c r="C73" s="394">
        <f aca="true" t="shared" si="31" ref="C73:I73">C72/$B$75</f>
        <v>0.0204809777049465</v>
      </c>
      <c r="D73" s="394">
        <f t="shared" si="31"/>
        <v>0.03063961304795212</v>
      </c>
      <c r="E73" s="394">
        <f t="shared" si="31"/>
        <v>0.040680574086381024</v>
      </c>
      <c r="F73" s="394">
        <f t="shared" si="31"/>
        <v>0.050600330591095914</v>
      </c>
      <c r="G73" s="394">
        <f t="shared" si="31"/>
        <v>0.06039524642608537</v>
      </c>
      <c r="H73" s="394">
        <f t="shared" si="31"/>
        <v>0.07006157637125762</v>
      </c>
      <c r="I73" s="394">
        <f t="shared" si="31"/>
        <v>0.07959546284991816</v>
      </c>
    </row>
    <row r="74" spans="2:3" ht="15">
      <c r="B74" s="184"/>
      <c r="C74" s="184"/>
    </row>
    <row r="75" spans="1:9" ht="15.75">
      <c r="A75" s="400" t="s">
        <v>235</v>
      </c>
      <c r="B75" s="506">
        <f>25588600+22350</f>
        <v>25610950</v>
      </c>
      <c r="C75" s="698"/>
      <c r="D75" s="698"/>
      <c r="E75" s="698"/>
      <c r="F75" s="698"/>
      <c r="G75" s="698"/>
      <c r="H75" s="698"/>
      <c r="I75" s="698"/>
    </row>
    <row r="76" spans="1:9" ht="15">
      <c r="A76" s="739" t="s">
        <v>108</v>
      </c>
      <c r="C76" s="505"/>
      <c r="D76" s="505"/>
      <c r="E76" s="505"/>
      <c r="F76" s="505"/>
      <c r="G76" s="505"/>
      <c r="H76" s="505"/>
      <c r="I76" s="505"/>
    </row>
    <row r="77" spans="1:9" ht="15">
      <c r="A77" s="739" t="s">
        <v>107</v>
      </c>
      <c r="D77" s="505"/>
      <c r="E77" s="505"/>
      <c r="F77" s="505"/>
      <c r="G77" s="505"/>
      <c r="H77" s="505"/>
      <c r="I77" s="505"/>
    </row>
    <row r="78" spans="3:9" ht="15">
      <c r="C78" s="505"/>
      <c r="D78" s="505"/>
      <c r="E78" s="505"/>
      <c r="F78" s="505"/>
      <c r="G78" s="505"/>
      <c r="H78" s="505"/>
      <c r="I78" s="505"/>
    </row>
    <row r="79" spans="3:9" ht="15">
      <c r="C79" s="505"/>
      <c r="D79" s="505"/>
      <c r="E79" s="505"/>
      <c r="F79" s="505"/>
      <c r="G79" s="505"/>
      <c r="H79" s="505"/>
      <c r="I79" s="505"/>
    </row>
  </sheetData>
  <mergeCells count="2">
    <mergeCell ref="B2:I2"/>
    <mergeCell ref="B1:E1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2"/>
  <sheetViews>
    <sheetView workbookViewId="0" topLeftCell="A1">
      <selection activeCell="B19" sqref="B19:D20"/>
    </sheetView>
  </sheetViews>
  <sheetFormatPr defaultColWidth="11.421875" defaultRowHeight="12.75"/>
  <cols>
    <col min="1" max="1" width="1.7109375" style="79" customWidth="1"/>
    <col min="2" max="2" width="15.140625" style="112" bestFit="1" customWidth="1"/>
    <col min="3" max="3" width="8.28125" style="79" bestFit="1" customWidth="1"/>
    <col min="4" max="4" width="4.421875" style="112" bestFit="1" customWidth="1"/>
    <col min="5" max="5" width="10.140625" style="79" bestFit="1" customWidth="1"/>
    <col min="6" max="6" width="4.421875" style="309" bestFit="1" customWidth="1"/>
    <col min="7" max="7" width="16.140625" style="79" bestFit="1" customWidth="1"/>
    <col min="8" max="8" width="6.8515625" style="309" bestFit="1" customWidth="1"/>
    <col min="9" max="9" width="13.28125" style="314" bestFit="1" customWidth="1"/>
    <col min="10" max="10" width="12.7109375" style="309" bestFit="1" customWidth="1"/>
    <col min="11" max="11" width="12.28125" style="79" bestFit="1" customWidth="1"/>
    <col min="12" max="12" width="11.57421875" style="79" bestFit="1" customWidth="1"/>
    <col min="13" max="13" width="9.57421875" style="79" bestFit="1" customWidth="1"/>
    <col min="14" max="14" width="2.7109375" style="79" customWidth="1"/>
    <col min="15" max="15" width="17.28125" style="81" bestFit="1" customWidth="1"/>
    <col min="16" max="16" width="11.421875" style="81" bestFit="1" customWidth="1"/>
    <col min="17" max="17" width="10.28125" style="81" bestFit="1" customWidth="1"/>
    <col min="18" max="18" width="17.28125" style="81" bestFit="1" customWidth="1"/>
    <col min="19" max="19" width="11.421875" style="79" customWidth="1"/>
    <col min="20" max="20" width="9.57421875" style="79" bestFit="1" customWidth="1"/>
    <col min="21" max="21" width="12.7109375" style="81" bestFit="1" customWidth="1"/>
    <col min="22" max="22" width="12.7109375" style="79" customWidth="1"/>
    <col min="23" max="16384" width="11.421875" style="79" customWidth="1"/>
  </cols>
  <sheetData>
    <row r="2" spans="2:22" ht="15.75">
      <c r="B2" s="337" t="s">
        <v>259</v>
      </c>
      <c r="C2" s="793" t="s">
        <v>116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307"/>
      <c r="O2" s="307"/>
      <c r="P2" s="307"/>
      <c r="Q2" s="307"/>
      <c r="R2" s="307"/>
      <c r="S2" s="307"/>
      <c r="T2" s="307"/>
      <c r="U2" s="307"/>
      <c r="V2" s="307"/>
    </row>
    <row r="4" spans="2:26" ht="15.75">
      <c r="B4" s="792" t="s">
        <v>74</v>
      </c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84"/>
      <c r="O4" s="79"/>
      <c r="P4" s="79"/>
      <c r="Q4" s="79"/>
      <c r="R4" s="79"/>
      <c r="U4" s="79"/>
      <c r="W4" s="84"/>
      <c r="X4" s="84"/>
      <c r="Y4" s="84"/>
      <c r="Z4" s="84"/>
    </row>
    <row r="5" spans="12:13" ht="15.75" thickBot="1">
      <c r="L5" s="338"/>
      <c r="M5" s="338"/>
    </row>
    <row r="6" spans="2:14" s="316" customFormat="1" ht="48" thickBot="1">
      <c r="B6" s="290" t="s">
        <v>62</v>
      </c>
      <c r="C6" s="339" t="s">
        <v>106</v>
      </c>
      <c r="D6" s="339" t="s">
        <v>72</v>
      </c>
      <c r="E6" s="340" t="s">
        <v>112</v>
      </c>
      <c r="F6" s="339" t="s">
        <v>72</v>
      </c>
      <c r="G6" s="340" t="s">
        <v>118</v>
      </c>
      <c r="H6" s="341" t="s">
        <v>101</v>
      </c>
      <c r="I6" s="291" t="s">
        <v>73</v>
      </c>
      <c r="J6" s="308" t="s">
        <v>153</v>
      </c>
      <c r="K6" s="367" t="s">
        <v>109</v>
      </c>
      <c r="L6" s="292" t="s">
        <v>113</v>
      </c>
      <c r="M6" s="340" t="s">
        <v>114</v>
      </c>
      <c r="N6" s="82"/>
    </row>
    <row r="7" spans="9:13" ht="15.75" thickBot="1">
      <c r="I7" s="309"/>
      <c r="J7" s="314"/>
      <c r="L7" s="85"/>
      <c r="M7" s="85"/>
    </row>
    <row r="8" spans="2:14" ht="15.75">
      <c r="B8" s="342" t="s">
        <v>91</v>
      </c>
      <c r="C8" s="92">
        <v>160.75</v>
      </c>
      <c r="D8" s="343" t="s">
        <v>72</v>
      </c>
      <c r="E8" s="344">
        <v>185.44</v>
      </c>
      <c r="F8" s="345" t="s">
        <v>72</v>
      </c>
      <c r="G8" s="346">
        <v>365</v>
      </c>
      <c r="H8" s="343" t="s">
        <v>101</v>
      </c>
      <c r="I8" s="92">
        <f aca="true" t="shared" si="0" ref="I8:I17">C8*G8</f>
        <v>58673.75</v>
      </c>
      <c r="J8" s="89">
        <f aca="true" t="shared" si="1" ref="J8:J17">E8*G8</f>
        <v>67685.6</v>
      </c>
      <c r="K8" s="347">
        <f aca="true" t="shared" si="2" ref="K8:K18">I8+(I8*$J$19)</f>
        <v>76275.875</v>
      </c>
      <c r="L8" s="348">
        <f aca="true" t="shared" si="3" ref="L8:L18">K8-I8</f>
        <v>17602.125</v>
      </c>
      <c r="M8" s="86">
        <f aca="true" t="shared" si="4" ref="M8:M18">(K8/I8)-1</f>
        <v>0.30000000000000004</v>
      </c>
      <c r="N8" s="81"/>
    </row>
    <row r="9" spans="2:14" ht="15.75">
      <c r="B9" s="349" t="s">
        <v>92</v>
      </c>
      <c r="C9" s="93">
        <v>156.94</v>
      </c>
      <c r="D9" s="350" t="s">
        <v>72</v>
      </c>
      <c r="E9" s="351">
        <v>185.44</v>
      </c>
      <c r="F9" s="352" t="s">
        <v>72</v>
      </c>
      <c r="G9" s="353">
        <v>365</v>
      </c>
      <c r="H9" s="350" t="s">
        <v>71</v>
      </c>
      <c r="I9" s="93">
        <f t="shared" si="0"/>
        <v>57283.1</v>
      </c>
      <c r="J9" s="90">
        <f t="shared" si="1"/>
        <v>67685.6</v>
      </c>
      <c r="K9" s="354">
        <f t="shared" si="2"/>
        <v>74468.03</v>
      </c>
      <c r="L9" s="355">
        <f t="shared" si="3"/>
        <v>17184.93</v>
      </c>
      <c r="M9" s="87">
        <f t="shared" si="4"/>
        <v>0.30000000000000004</v>
      </c>
      <c r="N9" s="81"/>
    </row>
    <row r="10" spans="2:14" ht="15.75">
      <c r="B10" s="349" t="s">
        <v>93</v>
      </c>
      <c r="C10" s="93">
        <v>139.89</v>
      </c>
      <c r="D10" s="350" t="s">
        <v>72</v>
      </c>
      <c r="E10" s="351">
        <v>185.44</v>
      </c>
      <c r="F10" s="352" t="s">
        <v>72</v>
      </c>
      <c r="G10" s="353">
        <v>365</v>
      </c>
      <c r="H10" s="350" t="s">
        <v>71</v>
      </c>
      <c r="I10" s="93">
        <f t="shared" si="0"/>
        <v>51059.85</v>
      </c>
      <c r="J10" s="90">
        <f t="shared" si="1"/>
        <v>67685.6</v>
      </c>
      <c r="K10" s="354">
        <f t="shared" si="2"/>
        <v>66377.805</v>
      </c>
      <c r="L10" s="355">
        <f t="shared" si="3"/>
        <v>15317.954999999994</v>
      </c>
      <c r="M10" s="87">
        <f t="shared" si="4"/>
        <v>0.2999999999999998</v>
      </c>
      <c r="N10" s="81"/>
    </row>
    <row r="11" spans="2:14" ht="15.75">
      <c r="B11" s="349" t="s">
        <v>94</v>
      </c>
      <c r="C11" s="93">
        <v>130.21</v>
      </c>
      <c r="D11" s="350" t="s">
        <v>72</v>
      </c>
      <c r="E11" s="351">
        <v>185.44</v>
      </c>
      <c r="F11" s="352" t="s">
        <v>72</v>
      </c>
      <c r="G11" s="353">
        <v>365</v>
      </c>
      <c r="H11" s="350" t="s">
        <v>71</v>
      </c>
      <c r="I11" s="93">
        <f t="shared" si="0"/>
        <v>47526.65</v>
      </c>
      <c r="J11" s="90">
        <f t="shared" si="1"/>
        <v>67685.6</v>
      </c>
      <c r="K11" s="354">
        <f t="shared" si="2"/>
        <v>61784.645000000004</v>
      </c>
      <c r="L11" s="355">
        <f t="shared" si="3"/>
        <v>14257.995000000003</v>
      </c>
      <c r="M11" s="87">
        <f t="shared" si="4"/>
        <v>0.30000000000000004</v>
      </c>
      <c r="N11" s="81"/>
    </row>
    <row r="12" spans="2:14" ht="15.75">
      <c r="B12" s="349" t="s">
        <v>95</v>
      </c>
      <c r="C12" s="93">
        <v>130.14</v>
      </c>
      <c r="D12" s="350" t="s">
        <v>72</v>
      </c>
      <c r="E12" s="351">
        <v>185.44</v>
      </c>
      <c r="F12" s="352" t="s">
        <v>72</v>
      </c>
      <c r="G12" s="353">
        <v>365</v>
      </c>
      <c r="H12" s="350" t="s">
        <v>71</v>
      </c>
      <c r="I12" s="93">
        <f t="shared" si="0"/>
        <v>47501.1</v>
      </c>
      <c r="J12" s="90">
        <f t="shared" si="1"/>
        <v>67685.6</v>
      </c>
      <c r="K12" s="354">
        <f t="shared" si="2"/>
        <v>61751.43</v>
      </c>
      <c r="L12" s="355">
        <f t="shared" si="3"/>
        <v>14250.330000000002</v>
      </c>
      <c r="M12" s="87">
        <f t="shared" si="4"/>
        <v>0.30000000000000004</v>
      </c>
      <c r="N12" s="81"/>
    </row>
    <row r="13" spans="2:14" ht="15.75">
      <c r="B13" s="349" t="s">
        <v>96</v>
      </c>
      <c r="C13" s="93">
        <v>137.47</v>
      </c>
      <c r="D13" s="350" t="s">
        <v>72</v>
      </c>
      <c r="E13" s="351">
        <v>185.44</v>
      </c>
      <c r="F13" s="352" t="s">
        <v>72</v>
      </c>
      <c r="G13" s="353">
        <v>365</v>
      </c>
      <c r="H13" s="350" t="s">
        <v>71</v>
      </c>
      <c r="I13" s="93">
        <f t="shared" si="0"/>
        <v>50176.55</v>
      </c>
      <c r="J13" s="90">
        <f t="shared" si="1"/>
        <v>67685.6</v>
      </c>
      <c r="K13" s="354">
        <f t="shared" si="2"/>
        <v>65229.515</v>
      </c>
      <c r="L13" s="355">
        <f t="shared" si="3"/>
        <v>15052.964999999997</v>
      </c>
      <c r="M13" s="87">
        <f t="shared" si="4"/>
        <v>0.2999999999999998</v>
      </c>
      <c r="N13" s="81"/>
    </row>
    <row r="14" spans="2:14" ht="15.75">
      <c r="B14" s="349" t="s">
        <v>97</v>
      </c>
      <c r="C14" s="93">
        <v>107</v>
      </c>
      <c r="D14" s="350" t="s">
        <v>72</v>
      </c>
      <c r="E14" s="351">
        <v>185.44</v>
      </c>
      <c r="F14" s="352" t="s">
        <v>72</v>
      </c>
      <c r="G14" s="353">
        <v>365</v>
      </c>
      <c r="H14" s="350" t="s">
        <v>71</v>
      </c>
      <c r="I14" s="93">
        <f t="shared" si="0"/>
        <v>39055</v>
      </c>
      <c r="J14" s="90">
        <f t="shared" si="1"/>
        <v>67685.6</v>
      </c>
      <c r="K14" s="354">
        <f t="shared" si="2"/>
        <v>50771.5</v>
      </c>
      <c r="L14" s="355">
        <f t="shared" si="3"/>
        <v>11716.5</v>
      </c>
      <c r="M14" s="87">
        <f t="shared" si="4"/>
        <v>0.30000000000000004</v>
      </c>
      <c r="N14" s="81"/>
    </row>
    <row r="15" spans="2:14" ht="15.75">
      <c r="B15" s="349" t="s">
        <v>98</v>
      </c>
      <c r="C15" s="93">
        <v>101.34</v>
      </c>
      <c r="D15" s="350" t="s">
        <v>72</v>
      </c>
      <c r="E15" s="351">
        <v>185.44</v>
      </c>
      <c r="F15" s="352" t="s">
        <v>72</v>
      </c>
      <c r="G15" s="353">
        <v>365</v>
      </c>
      <c r="H15" s="350" t="s">
        <v>71</v>
      </c>
      <c r="I15" s="93">
        <f t="shared" si="0"/>
        <v>36989.1</v>
      </c>
      <c r="J15" s="90">
        <f t="shared" si="1"/>
        <v>67685.6</v>
      </c>
      <c r="K15" s="354">
        <f t="shared" si="2"/>
        <v>48085.83</v>
      </c>
      <c r="L15" s="355">
        <f t="shared" si="3"/>
        <v>11096.730000000003</v>
      </c>
      <c r="M15" s="87">
        <f t="shared" si="4"/>
        <v>0.30000000000000004</v>
      </c>
      <c r="N15" s="81"/>
    </row>
    <row r="16" spans="2:14" ht="15.75">
      <c r="B16" s="349" t="s">
        <v>99</v>
      </c>
      <c r="C16" s="93">
        <v>100.33</v>
      </c>
      <c r="D16" s="350" t="s">
        <v>72</v>
      </c>
      <c r="E16" s="351">
        <v>185.44</v>
      </c>
      <c r="F16" s="352" t="s">
        <v>72</v>
      </c>
      <c r="G16" s="353">
        <v>365</v>
      </c>
      <c r="H16" s="350" t="s">
        <v>71</v>
      </c>
      <c r="I16" s="93">
        <f t="shared" si="0"/>
        <v>36620.45</v>
      </c>
      <c r="J16" s="90">
        <f t="shared" si="1"/>
        <v>67685.6</v>
      </c>
      <c r="K16" s="354">
        <f t="shared" si="2"/>
        <v>47606.58499999999</v>
      </c>
      <c r="L16" s="355">
        <f t="shared" si="3"/>
        <v>10986.134999999995</v>
      </c>
      <c r="M16" s="87">
        <f t="shared" si="4"/>
        <v>0.2999999999999998</v>
      </c>
      <c r="N16" s="81"/>
    </row>
    <row r="17" spans="2:14" ht="16.5" thickBot="1">
      <c r="B17" s="356" t="s">
        <v>100</v>
      </c>
      <c r="C17" s="94">
        <v>104.6</v>
      </c>
      <c r="D17" s="357" t="s">
        <v>72</v>
      </c>
      <c r="E17" s="358">
        <v>185.44</v>
      </c>
      <c r="F17" s="359" t="s">
        <v>72</v>
      </c>
      <c r="G17" s="360">
        <v>365</v>
      </c>
      <c r="H17" s="357" t="s">
        <v>71</v>
      </c>
      <c r="I17" s="94">
        <f t="shared" si="0"/>
        <v>38179</v>
      </c>
      <c r="J17" s="91">
        <f t="shared" si="1"/>
        <v>67685.6</v>
      </c>
      <c r="K17" s="361">
        <f t="shared" si="2"/>
        <v>49632.7</v>
      </c>
      <c r="L17" s="362">
        <f t="shared" si="3"/>
        <v>11453.699999999997</v>
      </c>
      <c r="M17" s="88">
        <f t="shared" si="4"/>
        <v>0.2999999999999998</v>
      </c>
      <c r="N17" s="81"/>
    </row>
    <row r="18" spans="2:13" s="81" customFormat="1" ht="15.75" thickBot="1">
      <c r="B18" s="651"/>
      <c r="D18" s="651"/>
      <c r="F18" s="314"/>
      <c r="H18" s="314"/>
      <c r="I18" s="81">
        <f>(AVERAGE(I8,I9,I12,I13))/6</f>
        <v>8901.4375</v>
      </c>
      <c r="K18" s="81">
        <f t="shared" si="2"/>
        <v>11571.86875</v>
      </c>
      <c r="L18" s="81">
        <f t="shared" si="3"/>
        <v>2670.4312499999996</v>
      </c>
      <c r="M18" s="444">
        <f t="shared" si="4"/>
        <v>0.30000000000000004</v>
      </c>
    </row>
    <row r="19" spans="2:14" ht="16.5" thickBot="1">
      <c r="B19" s="782" t="s">
        <v>108</v>
      </c>
      <c r="C19" s="782"/>
      <c r="D19" s="782"/>
      <c r="H19" s="776" t="s">
        <v>115</v>
      </c>
      <c r="I19" s="777"/>
      <c r="J19" s="363">
        <v>0.3</v>
      </c>
      <c r="K19" s="79" t="s">
        <v>117</v>
      </c>
      <c r="L19" s="112">
        <v>387</v>
      </c>
      <c r="M19" s="81"/>
      <c r="N19" s="81"/>
    </row>
    <row r="20" spans="2:4" ht="15">
      <c r="B20" s="782" t="s">
        <v>320</v>
      </c>
      <c r="C20" s="782"/>
      <c r="D20" s="782"/>
    </row>
    <row r="21" ht="15">
      <c r="J21" s="314"/>
    </row>
    <row r="22" spans="10:15" ht="15">
      <c r="J22" s="314"/>
      <c r="O22" s="364"/>
    </row>
  </sheetData>
  <mergeCells count="5">
    <mergeCell ref="B20:D20"/>
    <mergeCell ref="B4:M4"/>
    <mergeCell ref="C2:M2"/>
    <mergeCell ref="H19:I19"/>
    <mergeCell ref="B19:D19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1"/>
  <sheetViews>
    <sheetView workbookViewId="0" topLeftCell="A1">
      <selection activeCell="D22" sqref="D22"/>
    </sheetView>
  </sheetViews>
  <sheetFormatPr defaultColWidth="11.421875" defaultRowHeight="12.75"/>
  <cols>
    <col min="1" max="1" width="15.140625" style="365" bestFit="1" customWidth="1"/>
    <col min="2" max="2" width="17.28125" style="365" bestFit="1" customWidth="1"/>
    <col min="3" max="3" width="11.421875" style="365" customWidth="1"/>
    <col min="4" max="4" width="12.7109375" style="365" bestFit="1" customWidth="1"/>
    <col min="5" max="5" width="17.28125" style="365" bestFit="1" customWidth="1"/>
    <col min="6" max="6" width="12.28125" style="365" bestFit="1" customWidth="1"/>
    <col min="7" max="7" width="14.140625" style="365" bestFit="1" customWidth="1"/>
    <col min="8" max="9" width="12.7109375" style="365" bestFit="1" customWidth="1"/>
    <col min="10" max="10" width="11.421875" style="366" customWidth="1"/>
    <col min="11" max="11" width="11.28125" style="366" bestFit="1" customWidth="1"/>
    <col min="12" max="12" width="14.57421875" style="366" bestFit="1" customWidth="1"/>
    <col min="13" max="13" width="12.7109375" style="366" bestFit="1" customWidth="1"/>
    <col min="14" max="16384" width="11.421875" style="365" customWidth="1"/>
  </cols>
  <sheetData>
    <row r="2" spans="1:13" s="117" customFormat="1" ht="15.75">
      <c r="A2" s="337" t="s">
        <v>260</v>
      </c>
      <c r="B2" s="793" t="s">
        <v>212</v>
      </c>
      <c r="C2" s="793"/>
      <c r="D2" s="793"/>
      <c r="E2" s="793"/>
      <c r="F2" s="793"/>
      <c r="G2" s="793"/>
      <c r="H2" s="307"/>
      <c r="I2" s="307"/>
      <c r="J2" s="313"/>
      <c r="K2" s="313"/>
      <c r="L2" s="313"/>
      <c r="M2" s="313"/>
    </row>
    <row r="3" spans="2:13" ht="15.75">
      <c r="B3" s="337"/>
      <c r="C3" s="324"/>
      <c r="D3" s="324"/>
      <c r="E3" s="324"/>
      <c r="F3" s="324"/>
      <c r="G3" s="324"/>
      <c r="H3" s="324"/>
      <c r="I3" s="324"/>
      <c r="J3" s="313"/>
      <c r="K3" s="313"/>
      <c r="L3" s="313"/>
      <c r="M3" s="313"/>
    </row>
    <row r="4" spans="1:13" s="117" customFormat="1" ht="15" customHeight="1">
      <c r="A4" s="792" t="s">
        <v>74</v>
      </c>
      <c r="B4" s="792"/>
      <c r="C4" s="792"/>
      <c r="D4" s="792"/>
      <c r="E4" s="792"/>
      <c r="F4" s="792"/>
      <c r="G4" s="792"/>
      <c r="H4" s="84"/>
      <c r="I4" s="84"/>
      <c r="J4" s="84"/>
      <c r="K4" s="84"/>
      <c r="L4" s="84"/>
      <c r="M4" s="84"/>
    </row>
    <row r="5" spans="2:9" ht="15.75" thickBot="1">
      <c r="B5" s="81"/>
      <c r="C5" s="81"/>
      <c r="D5" s="81"/>
      <c r="E5" s="81"/>
      <c r="F5" s="79"/>
      <c r="G5" s="79"/>
      <c r="H5" s="81"/>
      <c r="I5" s="79"/>
    </row>
    <row r="6" spans="1:8" ht="32.25" thickBot="1">
      <c r="A6" s="291" t="s">
        <v>62</v>
      </c>
      <c r="B6" s="291" t="s">
        <v>102</v>
      </c>
      <c r="C6" s="340" t="s">
        <v>105</v>
      </c>
      <c r="D6" s="367" t="s">
        <v>114</v>
      </c>
      <c r="E6" s="292" t="s">
        <v>103</v>
      </c>
      <c r="F6" s="341" t="s">
        <v>104</v>
      </c>
      <c r="G6" s="367" t="s">
        <v>114</v>
      </c>
      <c r="H6" s="368"/>
    </row>
    <row r="7" spans="1:7" ht="15.75" thickBot="1">
      <c r="A7" s="112"/>
      <c r="B7" s="81"/>
      <c r="C7" s="81"/>
      <c r="D7" s="81"/>
      <c r="E7" s="81"/>
      <c r="F7" s="79"/>
      <c r="G7" s="79"/>
    </row>
    <row r="8" spans="1:7" ht="15.75">
      <c r="A8" s="342" t="s">
        <v>91</v>
      </c>
      <c r="B8" s="294">
        <f>91577</f>
        <v>91577</v>
      </c>
      <c r="C8" s="294">
        <f>B8-'5.6.1'!K8</f>
        <v>15301.125</v>
      </c>
      <c r="D8" s="369">
        <f>(B8/'5.6.1'!I8)-1</f>
        <v>0.5607831440806152</v>
      </c>
      <c r="E8" s="296">
        <v>80697</v>
      </c>
      <c r="F8" s="370">
        <f>E8-'5.6.1'!K8</f>
        <v>4421.125</v>
      </c>
      <c r="G8" s="371">
        <f>(E8/'5.6.1'!I8)-1</f>
        <v>0.37535098745179907</v>
      </c>
    </row>
    <row r="9" spans="1:7" ht="15.75">
      <c r="A9" s="349" t="s">
        <v>92</v>
      </c>
      <c r="B9" s="81">
        <v>101559</v>
      </c>
      <c r="C9" s="81">
        <f>B9-'5.6.1'!K9</f>
        <v>27090.97</v>
      </c>
      <c r="D9" s="372">
        <f>(B9/'5.6.1'!I9)-1</f>
        <v>0.7729312833977211</v>
      </c>
      <c r="E9" s="300">
        <v>91600</v>
      </c>
      <c r="F9" s="373">
        <f>E9-'5.6.1'!K9</f>
        <v>17131.97</v>
      </c>
      <c r="G9" s="374">
        <f>(E9/'5.6.1'!I9)-1</f>
        <v>0.5990754690301328</v>
      </c>
    </row>
    <row r="10" spans="1:7" ht="15.75">
      <c r="A10" s="349" t="s">
        <v>93</v>
      </c>
      <c r="B10" s="81">
        <v>82585</v>
      </c>
      <c r="C10" s="81">
        <f>B10-'5.6.1'!K10</f>
        <v>16207.195000000007</v>
      </c>
      <c r="D10" s="372">
        <f>(B10/'5.6.1'!I10)-1</f>
        <v>0.6174156406648277</v>
      </c>
      <c r="E10" s="300">
        <v>73748</v>
      </c>
      <c r="F10" s="373">
        <f>E10-'5.6.1'!K10</f>
        <v>7370.195000000007</v>
      </c>
      <c r="G10" s="374">
        <f>(E10/'5.6.1'!I10)-1</f>
        <v>0.44434423524550115</v>
      </c>
    </row>
    <row r="11" spans="1:7" ht="15.75">
      <c r="A11" s="349" t="s">
        <v>94</v>
      </c>
      <c r="B11" s="81">
        <v>78730</v>
      </c>
      <c r="C11" s="81">
        <f>B11-'5.6.1'!K11</f>
        <v>16945.354999999996</v>
      </c>
      <c r="D11" s="372">
        <f>(B11/'5.6.1'!I11)-1</f>
        <v>0.6565442756853259</v>
      </c>
      <c r="E11" s="300">
        <v>69894</v>
      </c>
      <c r="F11" s="373">
        <f>E11-'5.6.1'!K11</f>
        <v>8109.354999999996</v>
      </c>
      <c r="G11" s="374">
        <f>(E11/'5.6.1'!I11)-1</f>
        <v>0.47062753213197217</v>
      </c>
    </row>
    <row r="12" spans="1:7" ht="15.75">
      <c r="A12" s="349" t="s">
        <v>95</v>
      </c>
      <c r="B12" s="81">
        <v>79350</v>
      </c>
      <c r="C12" s="81">
        <f>B12-'5.6.1'!K12</f>
        <v>17598.57</v>
      </c>
      <c r="D12" s="372">
        <f>(B12/'5.6.1'!I12)-1</f>
        <v>0.6704876308127601</v>
      </c>
      <c r="E12" s="300">
        <v>70581</v>
      </c>
      <c r="F12" s="373">
        <f>E12-'5.6.1'!K12</f>
        <v>8829.57</v>
      </c>
      <c r="G12" s="374">
        <f>(E12/'5.6.1'!I12)-1</f>
        <v>0.4858813795891044</v>
      </c>
    </row>
    <row r="13" spans="1:7" ht="15.75">
      <c r="A13" s="349" t="s">
        <v>96</v>
      </c>
      <c r="B13" s="81">
        <v>81743</v>
      </c>
      <c r="C13" s="81">
        <f>B13-'5.6.1'!K13</f>
        <v>16513.485</v>
      </c>
      <c r="D13" s="372">
        <f>(B13/'5.6.1'!I13)-1</f>
        <v>0.6291076209902833</v>
      </c>
      <c r="E13" s="300">
        <v>72591</v>
      </c>
      <c r="F13" s="373">
        <f>E13-'5.6.1'!K13</f>
        <v>7361.485000000001</v>
      </c>
      <c r="G13" s="374">
        <f>(E13/'5.6.1'!I13)-1</f>
        <v>0.44671166112456917</v>
      </c>
    </row>
    <row r="14" spans="1:7" ht="15.75">
      <c r="A14" s="349" t="s">
        <v>97</v>
      </c>
      <c r="B14" s="81">
        <v>78799</v>
      </c>
      <c r="C14" s="81">
        <f>B14-'5.6.1'!K14</f>
        <v>28027.5</v>
      </c>
      <c r="D14" s="372">
        <f>(B14/'5.6.1'!I14)-1</f>
        <v>1.017641787223147</v>
      </c>
      <c r="E14" s="300">
        <v>70049</v>
      </c>
      <c r="F14" s="373">
        <f>E14-'5.6.1'!K14</f>
        <v>19277.5</v>
      </c>
      <c r="G14" s="374">
        <f>(E14/'5.6.1'!I14)-1</f>
        <v>0.7935987709640251</v>
      </c>
    </row>
    <row r="15" spans="1:7" ht="15.75">
      <c r="A15" s="349" t="s">
        <v>98</v>
      </c>
      <c r="B15" s="81">
        <v>75415</v>
      </c>
      <c r="C15" s="81">
        <f>B15-'5.6.1'!K15</f>
        <v>27329.17</v>
      </c>
      <c r="D15" s="372">
        <f>(B15/'5.6.1'!I15)-1</f>
        <v>1.0388438756282259</v>
      </c>
      <c r="E15" s="300">
        <v>66679</v>
      </c>
      <c r="F15" s="373">
        <f>E15-'5.6.1'!K15</f>
        <v>18593.17</v>
      </c>
      <c r="G15" s="374">
        <f>(E15/'5.6.1'!I15)-1</f>
        <v>0.8026661908508184</v>
      </c>
    </row>
    <row r="16" spans="1:7" ht="15.75">
      <c r="A16" s="349" t="s">
        <v>99</v>
      </c>
      <c r="B16" s="81">
        <v>70743</v>
      </c>
      <c r="C16" s="81">
        <f>B16-'5.6.1'!K16</f>
        <v>23136.415000000008</v>
      </c>
      <c r="D16" s="372">
        <f>(B16/'5.6.1'!I16)-1</f>
        <v>0.9317894782833092</v>
      </c>
      <c r="E16" s="300">
        <v>68993</v>
      </c>
      <c r="F16" s="373">
        <f>E16-'5.6.1'!K16</f>
        <v>21386.415000000008</v>
      </c>
      <c r="G16" s="374">
        <f>(E16/'5.6.1'!I16)-1</f>
        <v>0.8840019715759913</v>
      </c>
    </row>
    <row r="17" spans="1:7" ht="16.5" thickBot="1">
      <c r="A17" s="356" t="s">
        <v>100</v>
      </c>
      <c r="B17" s="304">
        <v>73414</v>
      </c>
      <c r="C17" s="302">
        <f>B17-'5.6.1'!K17</f>
        <v>23781.300000000003</v>
      </c>
      <c r="D17" s="375">
        <f>(B17/'5.6.1'!I17)-1</f>
        <v>0.9228895466093927</v>
      </c>
      <c r="E17" s="304">
        <v>64678</v>
      </c>
      <c r="F17" s="376">
        <f>E17-'5.6.1'!K17</f>
        <v>15045.300000000003</v>
      </c>
      <c r="G17" s="377">
        <f>(E17/'5.6.1'!I17)-1</f>
        <v>0.6940726577437859</v>
      </c>
    </row>
    <row r="18" spans="2:7" ht="15">
      <c r="B18" s="81"/>
      <c r="C18" s="81"/>
      <c r="D18" s="81"/>
      <c r="E18" s="81"/>
      <c r="F18" s="79"/>
      <c r="G18" s="79"/>
    </row>
    <row r="19" spans="2:9" ht="15.75">
      <c r="B19" s="81"/>
      <c r="C19" s="81"/>
      <c r="D19" s="81"/>
      <c r="E19" s="81"/>
      <c r="F19" s="539" t="s">
        <v>122</v>
      </c>
      <c r="G19" s="540">
        <v>0.3</v>
      </c>
      <c r="H19" s="81"/>
      <c r="I19" s="79"/>
    </row>
    <row r="20" spans="1:8" ht="15.75">
      <c r="A20" s="794" t="s">
        <v>108</v>
      </c>
      <c r="B20" s="794"/>
      <c r="C20" s="378"/>
      <c r="D20" s="378"/>
      <c r="E20" s="81"/>
      <c r="F20" s="79"/>
      <c r="G20" s="112" t="s">
        <v>119</v>
      </c>
      <c r="H20" s="81"/>
    </row>
    <row r="21" spans="1:7" ht="15.75">
      <c r="A21" s="794" t="s">
        <v>320</v>
      </c>
      <c r="B21" s="794"/>
      <c r="C21" s="378"/>
      <c r="D21" s="378"/>
      <c r="G21" s="379" t="s">
        <v>120</v>
      </c>
    </row>
  </sheetData>
  <mergeCells count="4">
    <mergeCell ref="B2:G2"/>
    <mergeCell ref="A4:G4"/>
    <mergeCell ref="A20:B20"/>
    <mergeCell ref="A21:B21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workbookViewId="0" topLeftCell="B1">
      <selection activeCell="G17" sqref="G17"/>
    </sheetView>
  </sheetViews>
  <sheetFormatPr defaultColWidth="11.421875" defaultRowHeight="12.75"/>
  <cols>
    <col min="1" max="1" width="10.8515625" style="117" bestFit="1" customWidth="1"/>
    <col min="2" max="2" width="2.28125" style="117" customWidth="1"/>
    <col min="3" max="3" width="12.7109375" style="77" bestFit="1" customWidth="1"/>
    <col min="4" max="4" width="11.421875" style="77" bestFit="1" customWidth="1"/>
    <col min="5" max="5" width="11.28125" style="77" bestFit="1" customWidth="1"/>
    <col min="6" max="6" width="12.7109375" style="77" bestFit="1" customWidth="1"/>
    <col min="7" max="7" width="10.421875" style="77" customWidth="1"/>
    <col min="8" max="8" width="3.7109375" style="117" customWidth="1"/>
    <col min="9" max="9" width="12.7109375" style="77" bestFit="1" customWidth="1"/>
    <col min="10" max="10" width="11.421875" style="77" bestFit="1" customWidth="1"/>
    <col min="11" max="11" width="11.28125" style="77" bestFit="1" customWidth="1"/>
    <col min="12" max="12" width="12.7109375" style="77" bestFit="1" customWidth="1"/>
    <col min="13" max="13" width="10.421875" style="77" bestFit="1" customWidth="1"/>
    <col min="14" max="16384" width="12.8515625" style="77" customWidth="1"/>
  </cols>
  <sheetData>
    <row r="2" spans="2:13" ht="15.75">
      <c r="B2" s="795" t="s">
        <v>256</v>
      </c>
      <c r="C2" s="795"/>
      <c r="D2" s="795" t="s">
        <v>212</v>
      </c>
      <c r="E2" s="795"/>
      <c r="F2" s="795"/>
      <c r="G2" s="795"/>
      <c r="H2" s="795"/>
      <c r="I2" s="795"/>
      <c r="J2" s="795"/>
      <c r="K2" s="795"/>
      <c r="L2" s="795"/>
      <c r="M2" s="795"/>
    </row>
    <row r="3" ht="15.75" thickBot="1"/>
    <row r="4" spans="1:13" ht="32.25" thickBot="1">
      <c r="A4" s="95" t="s">
        <v>62</v>
      </c>
      <c r="B4" s="80"/>
      <c r="C4" s="71" t="s">
        <v>110</v>
      </c>
      <c r="D4" s="76" t="s">
        <v>123</v>
      </c>
      <c r="E4" s="76" t="s">
        <v>121</v>
      </c>
      <c r="F4" s="76" t="s">
        <v>125</v>
      </c>
      <c r="G4" s="98" t="s">
        <v>126</v>
      </c>
      <c r="H4" s="109"/>
      <c r="I4" s="71" t="s">
        <v>111</v>
      </c>
      <c r="J4" s="76" t="s">
        <v>124</v>
      </c>
      <c r="K4" s="76" t="s">
        <v>121</v>
      </c>
      <c r="L4" s="76" t="s">
        <v>125</v>
      </c>
      <c r="M4" s="98" t="s">
        <v>126</v>
      </c>
    </row>
    <row r="5" spans="1:13" ht="15.75" thickBot="1">
      <c r="A5" s="112"/>
      <c r="B5" s="112"/>
      <c r="C5" s="75"/>
      <c r="D5" s="96"/>
      <c r="E5" s="103">
        <v>0.1</v>
      </c>
      <c r="F5" s="99"/>
      <c r="G5" s="99">
        <v>96</v>
      </c>
      <c r="H5" s="110"/>
      <c r="I5" s="72"/>
      <c r="J5" s="96"/>
      <c r="K5" s="103">
        <v>0.1</v>
      </c>
      <c r="L5" s="99"/>
      <c r="M5" s="99">
        <v>96</v>
      </c>
    </row>
    <row r="6" spans="1:13" ht="15.75">
      <c r="A6" s="114" t="s">
        <v>91</v>
      </c>
      <c r="B6" s="113"/>
      <c r="C6" s="104">
        <f>'5.6'!B8*'5.6'!$G$19</f>
        <v>27473.1</v>
      </c>
      <c r="D6" s="106">
        <f>'5.6'!B8-'5.7'!C6</f>
        <v>64103.9</v>
      </c>
      <c r="E6" s="106">
        <f aca="true" t="shared" si="0" ref="E6:E15">D6*$E$5</f>
        <v>6410.39</v>
      </c>
      <c r="F6" s="106">
        <f aca="true" t="shared" si="1" ref="F6:F15">D6+E6</f>
        <v>70514.29000000001</v>
      </c>
      <c r="G6" s="100">
        <f>F6/$G$5</f>
        <v>734.5238541666668</v>
      </c>
      <c r="H6" s="111"/>
      <c r="I6" s="104">
        <f>'5.6'!E8*'5.6'!$G$19</f>
        <v>24209.1</v>
      </c>
      <c r="J6" s="106">
        <f>'5.6'!E8-'5.7'!I6</f>
        <v>56487.9</v>
      </c>
      <c r="K6" s="106">
        <f aca="true" t="shared" si="2" ref="K6:K15">J6*$E$5</f>
        <v>5648.790000000001</v>
      </c>
      <c r="L6" s="106">
        <f aca="true" t="shared" si="3" ref="L6:L15">J6+K6</f>
        <v>62136.69</v>
      </c>
      <c r="M6" s="100">
        <f>L6/$M$5</f>
        <v>647.2571875</v>
      </c>
    </row>
    <row r="7" spans="1:13" ht="15.75">
      <c r="A7" s="115" t="s">
        <v>92</v>
      </c>
      <c r="B7" s="113"/>
      <c r="C7" s="105">
        <f>'5.6'!B9*'5.6'!$G$19</f>
        <v>30467.699999999997</v>
      </c>
      <c r="D7" s="97">
        <f>'5.6'!B9-'5.7'!C7</f>
        <v>71091.3</v>
      </c>
      <c r="E7" s="97">
        <f t="shared" si="0"/>
        <v>7109.130000000001</v>
      </c>
      <c r="F7" s="97">
        <f t="shared" si="1"/>
        <v>78200.43000000001</v>
      </c>
      <c r="G7" s="101">
        <f aca="true" t="shared" si="4" ref="G7:G15">F7/$G$5</f>
        <v>814.5878125</v>
      </c>
      <c r="H7" s="111"/>
      <c r="I7" s="105">
        <f>'5.6'!E9*'5.6'!$G$19</f>
        <v>27480</v>
      </c>
      <c r="J7" s="97">
        <f>'5.6'!E9-'5.7'!I7</f>
        <v>64120</v>
      </c>
      <c r="K7" s="97">
        <f t="shared" si="2"/>
        <v>6412</v>
      </c>
      <c r="L7" s="97">
        <f t="shared" si="3"/>
        <v>70532</v>
      </c>
      <c r="M7" s="101">
        <f aca="true" t="shared" si="5" ref="M7:M15">L7/$M$5</f>
        <v>734.7083333333334</v>
      </c>
    </row>
    <row r="8" spans="1:13" ht="15.75">
      <c r="A8" s="115" t="s">
        <v>93</v>
      </c>
      <c r="B8" s="113"/>
      <c r="C8" s="105">
        <f>'5.6'!B10*'5.6'!$G$19</f>
        <v>24775.5</v>
      </c>
      <c r="D8" s="97">
        <f>'5.6'!B10-'5.7'!C8</f>
        <v>57809.5</v>
      </c>
      <c r="E8" s="97">
        <f t="shared" si="0"/>
        <v>5780.950000000001</v>
      </c>
      <c r="F8" s="97">
        <f t="shared" si="1"/>
        <v>63590.45</v>
      </c>
      <c r="G8" s="101">
        <f t="shared" si="4"/>
        <v>662.4005208333333</v>
      </c>
      <c r="H8" s="111"/>
      <c r="I8" s="105">
        <f>'5.6'!E10*'5.6'!$G$19</f>
        <v>22124.399999999998</v>
      </c>
      <c r="J8" s="97">
        <f>'5.6'!E10-'5.7'!I8</f>
        <v>51623.600000000006</v>
      </c>
      <c r="K8" s="97">
        <f t="shared" si="2"/>
        <v>5162.360000000001</v>
      </c>
      <c r="L8" s="97">
        <f t="shared" si="3"/>
        <v>56785.96000000001</v>
      </c>
      <c r="M8" s="101">
        <f t="shared" si="5"/>
        <v>591.5204166666667</v>
      </c>
    </row>
    <row r="9" spans="1:13" ht="15.75">
      <c r="A9" s="115" t="s">
        <v>94</v>
      </c>
      <c r="B9" s="113"/>
      <c r="C9" s="105">
        <f>'5.6'!B11*'5.6'!$G$19</f>
        <v>23619</v>
      </c>
      <c r="D9" s="97">
        <f>'5.6'!B11-'5.7'!C9</f>
        <v>55111</v>
      </c>
      <c r="E9" s="97">
        <f t="shared" si="0"/>
        <v>5511.1</v>
      </c>
      <c r="F9" s="97">
        <f t="shared" si="1"/>
        <v>60622.1</v>
      </c>
      <c r="G9" s="101">
        <f t="shared" si="4"/>
        <v>631.4802083333333</v>
      </c>
      <c r="H9" s="111"/>
      <c r="I9" s="105">
        <f>'5.6'!E11*'5.6'!$G$19</f>
        <v>20968.2</v>
      </c>
      <c r="J9" s="97">
        <f>'5.6'!E11-'5.7'!I9</f>
        <v>48925.8</v>
      </c>
      <c r="K9" s="97">
        <f t="shared" si="2"/>
        <v>4892.580000000001</v>
      </c>
      <c r="L9" s="97">
        <f t="shared" si="3"/>
        <v>53818.380000000005</v>
      </c>
      <c r="M9" s="101">
        <f t="shared" si="5"/>
        <v>560.6081250000001</v>
      </c>
    </row>
    <row r="10" spans="1:13" ht="15.75">
      <c r="A10" s="115" t="s">
        <v>95</v>
      </c>
      <c r="B10" s="113"/>
      <c r="C10" s="105">
        <f>'5.6'!B12*'5.6'!$G$19</f>
        <v>23805</v>
      </c>
      <c r="D10" s="97">
        <f>'5.6'!B12-'5.7'!C10</f>
        <v>55545</v>
      </c>
      <c r="E10" s="97">
        <f t="shared" si="0"/>
        <v>5554.5</v>
      </c>
      <c r="F10" s="97">
        <f t="shared" si="1"/>
        <v>61099.5</v>
      </c>
      <c r="G10" s="101">
        <f t="shared" si="4"/>
        <v>636.453125</v>
      </c>
      <c r="H10" s="111"/>
      <c r="I10" s="105">
        <f>'5.6'!E12*'5.6'!$G$19</f>
        <v>21174.3</v>
      </c>
      <c r="J10" s="97">
        <f>'5.6'!E12-'5.7'!I10</f>
        <v>49406.7</v>
      </c>
      <c r="K10" s="97">
        <f t="shared" si="2"/>
        <v>4940.67</v>
      </c>
      <c r="L10" s="97">
        <f t="shared" si="3"/>
        <v>54347.369999999995</v>
      </c>
      <c r="M10" s="101">
        <f t="shared" si="5"/>
        <v>566.1184374999999</v>
      </c>
    </row>
    <row r="11" spans="1:13" ht="15.75">
      <c r="A11" s="115" t="s">
        <v>96</v>
      </c>
      <c r="B11" s="113"/>
      <c r="C11" s="105">
        <f>'5.6'!B13*'5.6'!$G$19</f>
        <v>24522.899999999998</v>
      </c>
      <c r="D11" s="97">
        <f>'5.6'!B13-'5.7'!C11</f>
        <v>57220.100000000006</v>
      </c>
      <c r="E11" s="97">
        <f t="shared" si="0"/>
        <v>5722.010000000001</v>
      </c>
      <c r="F11" s="97">
        <f t="shared" si="1"/>
        <v>62942.11000000001</v>
      </c>
      <c r="G11" s="101">
        <f t="shared" si="4"/>
        <v>655.6469791666667</v>
      </c>
      <c r="H11" s="111"/>
      <c r="I11" s="105">
        <f>'5.6'!E13*'5.6'!$G$19</f>
        <v>21777.3</v>
      </c>
      <c r="J11" s="97">
        <f>'5.6'!E13-'5.7'!I11</f>
        <v>50813.7</v>
      </c>
      <c r="K11" s="97">
        <f t="shared" si="2"/>
        <v>5081.37</v>
      </c>
      <c r="L11" s="97">
        <f t="shared" si="3"/>
        <v>55895.07</v>
      </c>
      <c r="M11" s="101">
        <f t="shared" si="5"/>
        <v>582.2403125</v>
      </c>
    </row>
    <row r="12" spans="1:13" ht="15.75">
      <c r="A12" s="115" t="s">
        <v>97</v>
      </c>
      <c r="B12" s="113"/>
      <c r="C12" s="105">
        <f>'5.6'!B14*'5.6'!$G$19</f>
        <v>23639.7</v>
      </c>
      <c r="D12" s="97">
        <f>'5.6'!B14-'5.7'!C12</f>
        <v>55159.3</v>
      </c>
      <c r="E12" s="97">
        <f t="shared" si="0"/>
        <v>5515.93</v>
      </c>
      <c r="F12" s="97">
        <f t="shared" si="1"/>
        <v>60675.23</v>
      </c>
      <c r="G12" s="101">
        <f t="shared" si="4"/>
        <v>632.0336458333334</v>
      </c>
      <c r="H12" s="111"/>
      <c r="I12" s="105">
        <f>'5.6'!E14*'5.6'!$G$19</f>
        <v>21014.7</v>
      </c>
      <c r="J12" s="97">
        <f>'5.6'!E14-'5.7'!I12</f>
        <v>49034.3</v>
      </c>
      <c r="K12" s="97">
        <f t="shared" si="2"/>
        <v>4903.43</v>
      </c>
      <c r="L12" s="97">
        <f t="shared" si="3"/>
        <v>53937.73</v>
      </c>
      <c r="M12" s="101">
        <f t="shared" si="5"/>
        <v>561.8513541666667</v>
      </c>
    </row>
    <row r="13" spans="1:13" ht="15.75">
      <c r="A13" s="115" t="s">
        <v>98</v>
      </c>
      <c r="B13" s="113"/>
      <c r="C13" s="105">
        <f>'5.6'!B15*'5.6'!$G$19</f>
        <v>22624.5</v>
      </c>
      <c r="D13" s="97">
        <f>'5.6'!B15-'5.7'!C13</f>
        <v>52790.5</v>
      </c>
      <c r="E13" s="97">
        <f t="shared" si="0"/>
        <v>5279.05</v>
      </c>
      <c r="F13" s="97">
        <f t="shared" si="1"/>
        <v>58069.55</v>
      </c>
      <c r="G13" s="101">
        <f t="shared" si="4"/>
        <v>604.8911458333333</v>
      </c>
      <c r="H13" s="111"/>
      <c r="I13" s="105">
        <f>'5.6'!E15*'5.6'!$G$19</f>
        <v>20003.7</v>
      </c>
      <c r="J13" s="97">
        <f>'5.6'!E15-'5.7'!I13</f>
        <v>46675.3</v>
      </c>
      <c r="K13" s="97">
        <f t="shared" si="2"/>
        <v>4667.530000000001</v>
      </c>
      <c r="L13" s="97">
        <f t="shared" si="3"/>
        <v>51342.83</v>
      </c>
      <c r="M13" s="101">
        <f t="shared" si="5"/>
        <v>534.8211458333334</v>
      </c>
    </row>
    <row r="14" spans="1:13" ht="15.75">
      <c r="A14" s="115" t="s">
        <v>99</v>
      </c>
      <c r="B14" s="113"/>
      <c r="C14" s="105">
        <f>'5.6'!B16*'5.6'!$G$19</f>
        <v>21222.899999999998</v>
      </c>
      <c r="D14" s="97">
        <f>'5.6'!B16-'5.7'!C14</f>
        <v>49520.100000000006</v>
      </c>
      <c r="E14" s="97">
        <f t="shared" si="0"/>
        <v>4952.010000000001</v>
      </c>
      <c r="F14" s="97">
        <f t="shared" si="1"/>
        <v>54472.11000000001</v>
      </c>
      <c r="G14" s="101">
        <f t="shared" si="4"/>
        <v>567.4178125000001</v>
      </c>
      <c r="H14" s="111"/>
      <c r="I14" s="105">
        <f>'5.6'!E16*'5.6'!$G$19</f>
        <v>20697.899999999998</v>
      </c>
      <c r="J14" s="97">
        <f>'5.6'!E16-'5.7'!I14</f>
        <v>48295.100000000006</v>
      </c>
      <c r="K14" s="97">
        <f t="shared" si="2"/>
        <v>4829.510000000001</v>
      </c>
      <c r="L14" s="97">
        <f t="shared" si="3"/>
        <v>53124.61000000001</v>
      </c>
      <c r="M14" s="101">
        <f t="shared" si="5"/>
        <v>553.3813541666667</v>
      </c>
    </row>
    <row r="15" spans="1:13" ht="16.5" thickBot="1">
      <c r="A15" s="116" t="s">
        <v>100</v>
      </c>
      <c r="B15" s="113"/>
      <c r="C15" s="107">
        <f>'5.6'!B17*'5.6'!$G$19</f>
        <v>22024.2</v>
      </c>
      <c r="D15" s="108">
        <f>'5.6'!B17-'5.7'!C15</f>
        <v>51389.8</v>
      </c>
      <c r="E15" s="108">
        <f t="shared" si="0"/>
        <v>5138.9800000000005</v>
      </c>
      <c r="F15" s="108">
        <f t="shared" si="1"/>
        <v>56528.780000000006</v>
      </c>
      <c r="G15" s="102">
        <f t="shared" si="4"/>
        <v>588.8414583333334</v>
      </c>
      <c r="H15" s="111"/>
      <c r="I15" s="107">
        <f>'5.6'!E17*'5.6'!$G$19</f>
        <v>19403.399999999998</v>
      </c>
      <c r="J15" s="108">
        <f>'5.6'!E17-'5.7'!I15</f>
        <v>45274.600000000006</v>
      </c>
      <c r="K15" s="108">
        <f t="shared" si="2"/>
        <v>4527.460000000001</v>
      </c>
      <c r="L15" s="108">
        <f t="shared" si="3"/>
        <v>49802.060000000005</v>
      </c>
      <c r="M15" s="102">
        <f t="shared" si="5"/>
        <v>518.7714583333334</v>
      </c>
    </row>
    <row r="17" spans="1:4" ht="15">
      <c r="A17" s="796" t="s">
        <v>108</v>
      </c>
      <c r="B17" s="796"/>
      <c r="C17" s="796"/>
      <c r="D17" s="796"/>
    </row>
    <row r="18" spans="1:7" ht="15.75">
      <c r="A18" s="796" t="s">
        <v>320</v>
      </c>
      <c r="B18" s="796"/>
      <c r="C18" s="796"/>
      <c r="D18" s="796"/>
      <c r="E18" s="190"/>
      <c r="G18" s="96"/>
    </row>
    <row r="19" spans="4:5" ht="15.75">
      <c r="D19" s="190"/>
      <c r="E19" s="190"/>
    </row>
  </sheetData>
  <mergeCells count="4">
    <mergeCell ref="D2:M2"/>
    <mergeCell ref="B2:C2"/>
    <mergeCell ref="A17:D17"/>
    <mergeCell ref="A18:D18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workbookViewId="0" topLeftCell="B22">
      <selection activeCell="B41" sqref="B41:D42"/>
    </sheetView>
  </sheetViews>
  <sheetFormatPr defaultColWidth="11.421875" defaultRowHeight="12.75"/>
  <cols>
    <col min="1" max="1" width="5.00390625" style="126" bestFit="1" customWidth="1"/>
    <col min="2" max="2" width="18.140625" style="126" bestFit="1" customWidth="1"/>
    <col min="3" max="3" width="14.57421875" style="126" bestFit="1" customWidth="1"/>
    <col min="4" max="4" width="13.28125" style="126" bestFit="1" customWidth="1"/>
    <col min="5" max="6" width="11.00390625" style="126" bestFit="1" customWidth="1"/>
    <col min="7" max="9" width="9.00390625" style="126" bestFit="1" customWidth="1"/>
    <col min="10" max="10" width="7.7109375" style="126" bestFit="1" customWidth="1"/>
    <col min="11" max="13" width="9.00390625" style="126" bestFit="1" customWidth="1"/>
    <col min="14" max="14" width="7.7109375" style="126" bestFit="1" customWidth="1"/>
    <col min="15" max="16384" width="11.421875" style="126" customWidth="1"/>
  </cols>
  <sheetData>
    <row r="2" ht="15">
      <c r="J2" s="213"/>
    </row>
    <row r="5" spans="2:3" ht="15.75">
      <c r="B5" s="799" t="s">
        <v>255</v>
      </c>
      <c r="C5" s="799"/>
    </row>
    <row r="6" spans="2:3" ht="15.75" thickBot="1">
      <c r="B6" s="126" t="s">
        <v>216</v>
      </c>
      <c r="C6" s="126">
        <v>387</v>
      </c>
    </row>
    <row r="7" spans="2:4" s="127" customFormat="1" ht="31.5">
      <c r="B7" s="249" t="s">
        <v>223</v>
      </c>
      <c r="C7" s="250" t="s">
        <v>220</v>
      </c>
      <c r="D7" s="237" t="s">
        <v>248</v>
      </c>
    </row>
    <row r="8" spans="2:4" ht="15">
      <c r="B8" s="586">
        <v>8</v>
      </c>
      <c r="C8" s="587">
        <v>0.6</v>
      </c>
      <c r="D8" s="588">
        <f>$C$6*C8</f>
        <v>232.2</v>
      </c>
    </row>
    <row r="9" spans="2:4" ht="15">
      <c r="B9" s="201">
        <v>5</v>
      </c>
      <c r="C9" s="474">
        <v>0.2</v>
      </c>
      <c r="D9" s="221">
        <f>$C$6*C9</f>
        <v>77.4</v>
      </c>
    </row>
    <row r="10" spans="2:4" ht="15">
      <c r="B10" s="201">
        <v>10</v>
      </c>
      <c r="C10" s="474">
        <v>0.13</v>
      </c>
      <c r="D10" s="221">
        <f>$C$6*C10</f>
        <v>50.31</v>
      </c>
    </row>
    <row r="11" spans="2:4" ht="15.75" thickBot="1">
      <c r="B11" s="477">
        <v>15</v>
      </c>
      <c r="C11" s="475">
        <v>0.07</v>
      </c>
      <c r="D11" s="241">
        <f>$C$6*C11</f>
        <v>27.090000000000003</v>
      </c>
    </row>
    <row r="12" spans="3:4" ht="15.75">
      <c r="C12" s="476" t="s">
        <v>184</v>
      </c>
      <c r="D12" s="215">
        <f>SUM(D8:D11)</f>
        <v>387</v>
      </c>
    </row>
    <row r="13" spans="2:6" ht="15" customHeight="1">
      <c r="B13" s="802" t="s">
        <v>224</v>
      </c>
      <c r="C13" s="802"/>
      <c r="D13" s="802"/>
      <c r="E13" s="802"/>
      <c r="F13" s="139"/>
    </row>
    <row r="14" spans="2:6" ht="15">
      <c r="B14" s="802" t="s">
        <v>222</v>
      </c>
      <c r="C14" s="802"/>
      <c r="D14" s="802"/>
      <c r="E14" s="802"/>
      <c r="F14" s="802"/>
    </row>
    <row r="15" ht="15.75" thickBot="1"/>
    <row r="16" spans="2:4" s="127" customFormat="1" ht="15.75">
      <c r="B16" s="800" t="s">
        <v>221</v>
      </c>
      <c r="C16" s="232" t="s">
        <v>102</v>
      </c>
      <c r="D16" s="233" t="s">
        <v>103</v>
      </c>
    </row>
    <row r="17" spans="2:4" s="127" customFormat="1" ht="15.75" thickBot="1">
      <c r="B17" s="801"/>
      <c r="C17" s="234">
        <v>0.8</v>
      </c>
      <c r="D17" s="235">
        <v>0.2</v>
      </c>
    </row>
    <row r="18" spans="2:4" ht="15">
      <c r="B18" s="216">
        <f>D8</f>
        <v>232.2</v>
      </c>
      <c r="C18" s="217">
        <f>B18*$C$17</f>
        <v>185.76</v>
      </c>
      <c r="D18" s="218">
        <f>B18*$D$17</f>
        <v>46.44</v>
      </c>
    </row>
    <row r="19" spans="2:4" ht="15">
      <c r="B19" s="219">
        <f>D9</f>
        <v>77.4</v>
      </c>
      <c r="C19" s="220">
        <f>B19*$C$17</f>
        <v>61.92000000000001</v>
      </c>
      <c r="D19" s="221">
        <f>B19*$D$17</f>
        <v>15.480000000000002</v>
      </c>
    </row>
    <row r="20" spans="2:4" ht="15">
      <c r="B20" s="219">
        <f>D10</f>
        <v>50.31</v>
      </c>
      <c r="C20" s="220">
        <f>B20*$C$17</f>
        <v>40.248000000000005</v>
      </c>
      <c r="D20" s="221">
        <f>B20*$D$17</f>
        <v>10.062000000000001</v>
      </c>
    </row>
    <row r="21" spans="2:4" ht="15.75" thickBot="1">
      <c r="B21" s="222">
        <f>D11</f>
        <v>27.090000000000003</v>
      </c>
      <c r="C21" s="223">
        <f>B21*$C$17</f>
        <v>21.672000000000004</v>
      </c>
      <c r="D21" s="224">
        <f>B21*$D$17</f>
        <v>5.418000000000001</v>
      </c>
    </row>
    <row r="22" spans="2:4" ht="15.75" thickBot="1">
      <c r="B22" s="225"/>
      <c r="C22" s="226">
        <f>SUM(C18:C21)</f>
        <v>309.6</v>
      </c>
      <c r="D22" s="227">
        <f>SUM(D18:D21)</f>
        <v>77.4</v>
      </c>
    </row>
    <row r="24" spans="2:6" ht="31.5" customHeight="1">
      <c r="B24" s="802" t="s">
        <v>249</v>
      </c>
      <c r="C24" s="802"/>
      <c r="D24" s="802"/>
      <c r="E24" s="802"/>
      <c r="F24" s="802"/>
    </row>
    <row r="25" ht="15.75" thickBot="1"/>
    <row r="26" spans="2:14" s="35" customFormat="1" ht="32.25" thickBot="1">
      <c r="B26" s="236" t="s">
        <v>62</v>
      </c>
      <c r="C26" s="248" t="s">
        <v>225</v>
      </c>
      <c r="D26" s="266" t="s">
        <v>250</v>
      </c>
      <c r="E26" s="267" t="s">
        <v>102</v>
      </c>
      <c r="F26" s="238" t="s">
        <v>103</v>
      </c>
      <c r="G26" s="804" t="s">
        <v>227</v>
      </c>
      <c r="H26" s="797"/>
      <c r="I26" s="797"/>
      <c r="J26" s="798"/>
      <c r="K26" s="797" t="s">
        <v>228</v>
      </c>
      <c r="L26" s="797"/>
      <c r="M26" s="797"/>
      <c r="N26" s="798"/>
    </row>
    <row r="27" spans="2:14" ht="15.75" thickBot="1">
      <c r="B27" s="228"/>
      <c r="C27" s="213"/>
      <c r="D27" s="213"/>
      <c r="E27" s="264">
        <v>0.8</v>
      </c>
      <c r="F27" s="265">
        <v>0.2</v>
      </c>
      <c r="G27" s="255">
        <v>0.6</v>
      </c>
      <c r="H27" s="255">
        <v>0.2</v>
      </c>
      <c r="I27" s="255">
        <v>0.13</v>
      </c>
      <c r="J27" s="256">
        <v>0.07</v>
      </c>
      <c r="K27" s="262">
        <v>0.6</v>
      </c>
      <c r="L27" s="255">
        <v>0.2</v>
      </c>
      <c r="M27" s="255">
        <v>0.13</v>
      </c>
      <c r="N27" s="256">
        <v>0.07</v>
      </c>
    </row>
    <row r="28" spans="2:14" ht="15.75">
      <c r="B28" s="229" t="s">
        <v>91</v>
      </c>
      <c r="C28" s="245">
        <v>0.2</v>
      </c>
      <c r="D28" s="251">
        <f>$C$6*C28</f>
        <v>77.4</v>
      </c>
      <c r="E28" s="257">
        <f>D28*$E$27</f>
        <v>61.92000000000001</v>
      </c>
      <c r="F28" s="240">
        <f>D28*$F$27</f>
        <v>15.480000000000002</v>
      </c>
      <c r="G28" s="257">
        <f>E28*$G$27</f>
        <v>37.152</v>
      </c>
      <c r="H28" s="239">
        <f>E28*$H$27</f>
        <v>12.384000000000002</v>
      </c>
      <c r="I28" s="239">
        <f>E28*$I$27</f>
        <v>8.049600000000002</v>
      </c>
      <c r="J28" s="240">
        <f>E28*$J$27</f>
        <v>4.334400000000001</v>
      </c>
      <c r="K28" s="263">
        <f>F28*$K$27</f>
        <v>9.288</v>
      </c>
      <c r="L28" s="239">
        <f>F28*$L$27</f>
        <v>3.0960000000000005</v>
      </c>
      <c r="M28" s="239">
        <f>F28*$M$27</f>
        <v>2.0124000000000004</v>
      </c>
      <c r="N28" s="240">
        <f>F28*$N$27</f>
        <v>1.0836000000000003</v>
      </c>
    </row>
    <row r="29" spans="2:14" ht="15.75">
      <c r="B29" s="230" t="s">
        <v>92</v>
      </c>
      <c r="C29" s="246">
        <v>0.3</v>
      </c>
      <c r="D29" s="252">
        <f aca="true" t="shared" si="0" ref="D29:D37">$C$6*C29</f>
        <v>116.1</v>
      </c>
      <c r="E29" s="258">
        <f aca="true" t="shared" si="1" ref="E29:E37">D29*$E$27</f>
        <v>92.88</v>
      </c>
      <c r="F29" s="221">
        <f aca="true" t="shared" si="2" ref="F29:F37">D29*$F$27</f>
        <v>23.22</v>
      </c>
      <c r="G29" s="258">
        <f aca="true" t="shared" si="3" ref="G29:G37">E29*$G$27</f>
        <v>55.727999999999994</v>
      </c>
      <c r="H29" s="214">
        <f aca="true" t="shared" si="4" ref="H29:H37">E29*$H$27</f>
        <v>18.576</v>
      </c>
      <c r="I29" s="214">
        <f aca="true" t="shared" si="5" ref="I29:I37">E29*$I$27</f>
        <v>12.0744</v>
      </c>
      <c r="J29" s="221">
        <f aca="true" t="shared" si="6" ref="J29:J37">E29*$J$27</f>
        <v>6.501600000000001</v>
      </c>
      <c r="K29" s="220">
        <f aca="true" t="shared" si="7" ref="K29:K37">F29*$K$27</f>
        <v>13.931999999999999</v>
      </c>
      <c r="L29" s="214">
        <f aca="true" t="shared" si="8" ref="L29:L37">F29*$L$27</f>
        <v>4.644</v>
      </c>
      <c r="M29" s="214">
        <f aca="true" t="shared" si="9" ref="M29:M37">F29*$M$27</f>
        <v>3.0186</v>
      </c>
      <c r="N29" s="221">
        <f aca="true" t="shared" si="10" ref="N29:N37">F29*$N$27</f>
        <v>1.6254000000000002</v>
      </c>
    </row>
    <row r="30" spans="2:14" ht="15.75">
      <c r="B30" s="230" t="s">
        <v>93</v>
      </c>
      <c r="C30" s="246">
        <v>0.15</v>
      </c>
      <c r="D30" s="252">
        <f t="shared" si="0"/>
        <v>58.05</v>
      </c>
      <c r="E30" s="258">
        <f t="shared" si="1"/>
        <v>46.44</v>
      </c>
      <c r="F30" s="221">
        <f t="shared" si="2"/>
        <v>11.61</v>
      </c>
      <c r="G30" s="258">
        <f t="shared" si="3"/>
        <v>27.863999999999997</v>
      </c>
      <c r="H30" s="214">
        <f t="shared" si="4"/>
        <v>9.288</v>
      </c>
      <c r="I30" s="214">
        <f t="shared" si="5"/>
        <v>6.0372</v>
      </c>
      <c r="J30" s="221">
        <f t="shared" si="6"/>
        <v>3.2508000000000004</v>
      </c>
      <c r="K30" s="220">
        <f t="shared" si="7"/>
        <v>6.965999999999999</v>
      </c>
      <c r="L30" s="214">
        <f t="shared" si="8"/>
        <v>2.322</v>
      </c>
      <c r="M30" s="214">
        <f t="shared" si="9"/>
        <v>1.5093</v>
      </c>
      <c r="N30" s="221">
        <f t="shared" si="10"/>
        <v>0.8127000000000001</v>
      </c>
    </row>
    <row r="31" spans="2:14" ht="15.75">
      <c r="B31" s="230" t="s">
        <v>94</v>
      </c>
      <c r="C31" s="246">
        <v>0.06</v>
      </c>
      <c r="D31" s="252">
        <f t="shared" si="0"/>
        <v>23.22</v>
      </c>
      <c r="E31" s="258">
        <f t="shared" si="1"/>
        <v>18.576</v>
      </c>
      <c r="F31" s="221">
        <f t="shared" si="2"/>
        <v>4.644</v>
      </c>
      <c r="G31" s="258">
        <f t="shared" si="3"/>
        <v>11.1456</v>
      </c>
      <c r="H31" s="214">
        <f t="shared" si="4"/>
        <v>3.7152000000000003</v>
      </c>
      <c r="I31" s="214">
        <f t="shared" si="5"/>
        <v>2.41488</v>
      </c>
      <c r="J31" s="221">
        <f t="shared" si="6"/>
        <v>1.3003200000000001</v>
      </c>
      <c r="K31" s="220">
        <f t="shared" si="7"/>
        <v>2.7864</v>
      </c>
      <c r="L31" s="214">
        <f t="shared" si="8"/>
        <v>0.9288000000000001</v>
      </c>
      <c r="M31" s="214">
        <f t="shared" si="9"/>
        <v>0.60372</v>
      </c>
      <c r="N31" s="221">
        <f t="shared" si="10"/>
        <v>0.32508000000000004</v>
      </c>
    </row>
    <row r="32" spans="2:14" ht="15.75">
      <c r="B32" s="230" t="s">
        <v>95</v>
      </c>
      <c r="C32" s="246">
        <v>0.07</v>
      </c>
      <c r="D32" s="252">
        <f t="shared" si="0"/>
        <v>27.090000000000003</v>
      </c>
      <c r="E32" s="258">
        <f t="shared" si="1"/>
        <v>21.672000000000004</v>
      </c>
      <c r="F32" s="221">
        <f t="shared" si="2"/>
        <v>5.418000000000001</v>
      </c>
      <c r="G32" s="258">
        <f t="shared" si="3"/>
        <v>13.003200000000001</v>
      </c>
      <c r="H32" s="214">
        <f t="shared" si="4"/>
        <v>4.334400000000001</v>
      </c>
      <c r="I32" s="214">
        <f t="shared" si="5"/>
        <v>2.8173600000000008</v>
      </c>
      <c r="J32" s="221">
        <f t="shared" si="6"/>
        <v>1.5170400000000004</v>
      </c>
      <c r="K32" s="220">
        <f t="shared" si="7"/>
        <v>3.2508000000000004</v>
      </c>
      <c r="L32" s="214">
        <f t="shared" si="8"/>
        <v>1.0836000000000003</v>
      </c>
      <c r="M32" s="214">
        <f t="shared" si="9"/>
        <v>0.7043400000000002</v>
      </c>
      <c r="N32" s="221">
        <f t="shared" si="10"/>
        <v>0.3792600000000001</v>
      </c>
    </row>
    <row r="33" spans="2:14" ht="15.75">
      <c r="B33" s="230" t="s">
        <v>96</v>
      </c>
      <c r="C33" s="246">
        <v>0.08</v>
      </c>
      <c r="D33" s="252">
        <f t="shared" si="0"/>
        <v>30.96</v>
      </c>
      <c r="E33" s="258">
        <f t="shared" si="1"/>
        <v>24.768</v>
      </c>
      <c r="F33" s="221">
        <f t="shared" si="2"/>
        <v>6.192</v>
      </c>
      <c r="G33" s="258">
        <f t="shared" si="3"/>
        <v>14.8608</v>
      </c>
      <c r="H33" s="214">
        <f t="shared" si="4"/>
        <v>4.953600000000001</v>
      </c>
      <c r="I33" s="214">
        <f t="shared" si="5"/>
        <v>3.21984</v>
      </c>
      <c r="J33" s="221">
        <f t="shared" si="6"/>
        <v>1.7337600000000002</v>
      </c>
      <c r="K33" s="220">
        <f t="shared" si="7"/>
        <v>3.7152</v>
      </c>
      <c r="L33" s="214">
        <f t="shared" si="8"/>
        <v>1.2384000000000002</v>
      </c>
      <c r="M33" s="214">
        <f t="shared" si="9"/>
        <v>0.80496</v>
      </c>
      <c r="N33" s="221">
        <f t="shared" si="10"/>
        <v>0.43344000000000005</v>
      </c>
    </row>
    <row r="34" spans="2:14" ht="15.75">
      <c r="B34" s="230" t="s">
        <v>97</v>
      </c>
      <c r="C34" s="246">
        <v>0.05</v>
      </c>
      <c r="D34" s="252">
        <f t="shared" si="0"/>
        <v>19.35</v>
      </c>
      <c r="E34" s="258">
        <f t="shared" si="1"/>
        <v>15.480000000000002</v>
      </c>
      <c r="F34" s="221">
        <f t="shared" si="2"/>
        <v>3.8700000000000006</v>
      </c>
      <c r="G34" s="258">
        <f t="shared" si="3"/>
        <v>9.288</v>
      </c>
      <c r="H34" s="214">
        <f t="shared" si="4"/>
        <v>3.0960000000000005</v>
      </c>
      <c r="I34" s="214">
        <f t="shared" si="5"/>
        <v>2.0124000000000004</v>
      </c>
      <c r="J34" s="221">
        <f t="shared" si="6"/>
        <v>1.0836000000000003</v>
      </c>
      <c r="K34" s="220">
        <f t="shared" si="7"/>
        <v>2.322</v>
      </c>
      <c r="L34" s="214">
        <f t="shared" si="8"/>
        <v>0.7740000000000001</v>
      </c>
      <c r="M34" s="214">
        <f t="shared" si="9"/>
        <v>0.5031000000000001</v>
      </c>
      <c r="N34" s="221">
        <f t="shared" si="10"/>
        <v>0.2709000000000001</v>
      </c>
    </row>
    <row r="35" spans="2:14" ht="15.75">
      <c r="B35" s="230" t="s">
        <v>98</v>
      </c>
      <c r="C35" s="246">
        <v>0.04</v>
      </c>
      <c r="D35" s="252">
        <f t="shared" si="0"/>
        <v>15.48</v>
      </c>
      <c r="E35" s="258">
        <f t="shared" si="1"/>
        <v>12.384</v>
      </c>
      <c r="F35" s="221">
        <f t="shared" si="2"/>
        <v>3.096</v>
      </c>
      <c r="G35" s="258">
        <f t="shared" si="3"/>
        <v>7.4304</v>
      </c>
      <c r="H35" s="214">
        <f t="shared" si="4"/>
        <v>2.4768000000000003</v>
      </c>
      <c r="I35" s="214">
        <f t="shared" si="5"/>
        <v>1.60992</v>
      </c>
      <c r="J35" s="221">
        <f t="shared" si="6"/>
        <v>0.8668800000000001</v>
      </c>
      <c r="K35" s="220">
        <f t="shared" si="7"/>
        <v>1.8576</v>
      </c>
      <c r="L35" s="214">
        <f t="shared" si="8"/>
        <v>0.6192000000000001</v>
      </c>
      <c r="M35" s="214">
        <f t="shared" si="9"/>
        <v>0.40248</v>
      </c>
      <c r="N35" s="221">
        <f t="shared" si="10"/>
        <v>0.21672000000000002</v>
      </c>
    </row>
    <row r="36" spans="2:14" ht="15.75">
      <c r="B36" s="230" t="s">
        <v>99</v>
      </c>
      <c r="C36" s="246">
        <v>0.02</v>
      </c>
      <c r="D36" s="252">
        <f t="shared" si="0"/>
        <v>7.74</v>
      </c>
      <c r="E36" s="258">
        <f t="shared" si="1"/>
        <v>6.192</v>
      </c>
      <c r="F36" s="221">
        <f t="shared" si="2"/>
        <v>1.548</v>
      </c>
      <c r="G36" s="258">
        <f t="shared" si="3"/>
        <v>3.7152</v>
      </c>
      <c r="H36" s="214">
        <f t="shared" si="4"/>
        <v>1.2384000000000002</v>
      </c>
      <c r="I36" s="214">
        <f t="shared" si="5"/>
        <v>0.80496</v>
      </c>
      <c r="J36" s="221">
        <f t="shared" si="6"/>
        <v>0.43344000000000005</v>
      </c>
      <c r="K36" s="220">
        <f t="shared" si="7"/>
        <v>0.9288</v>
      </c>
      <c r="L36" s="214">
        <f t="shared" si="8"/>
        <v>0.30960000000000004</v>
      </c>
      <c r="M36" s="214">
        <f t="shared" si="9"/>
        <v>0.20124</v>
      </c>
      <c r="N36" s="221">
        <f t="shared" si="10"/>
        <v>0.10836000000000001</v>
      </c>
    </row>
    <row r="37" spans="2:14" ht="16.5" thickBot="1">
      <c r="B37" s="231" t="s">
        <v>100</v>
      </c>
      <c r="C37" s="247">
        <v>0.03</v>
      </c>
      <c r="D37" s="253">
        <f t="shared" si="0"/>
        <v>11.61</v>
      </c>
      <c r="E37" s="259">
        <f t="shared" si="1"/>
        <v>9.288</v>
      </c>
      <c r="F37" s="241">
        <f t="shared" si="2"/>
        <v>2.322</v>
      </c>
      <c r="G37" s="260">
        <f t="shared" si="3"/>
        <v>5.5728</v>
      </c>
      <c r="H37" s="242">
        <f t="shared" si="4"/>
        <v>1.8576000000000001</v>
      </c>
      <c r="I37" s="242">
        <f t="shared" si="5"/>
        <v>1.20744</v>
      </c>
      <c r="J37" s="224">
        <f t="shared" si="6"/>
        <v>0.6501600000000001</v>
      </c>
      <c r="K37" s="223">
        <f t="shared" si="7"/>
        <v>1.3932</v>
      </c>
      <c r="L37" s="242">
        <f t="shared" si="8"/>
        <v>0.46440000000000003</v>
      </c>
      <c r="M37" s="242">
        <f t="shared" si="9"/>
        <v>0.30186</v>
      </c>
      <c r="N37" s="224">
        <f t="shared" si="10"/>
        <v>0.16254000000000002</v>
      </c>
    </row>
    <row r="38" spans="2:14" ht="15.75" thickBot="1">
      <c r="B38" s="213"/>
      <c r="C38" s="243">
        <f aca="true" t="shared" si="11" ref="C38:N38">SUM(C28:C37)</f>
        <v>1</v>
      </c>
      <c r="D38" s="244">
        <f t="shared" si="11"/>
        <v>387.00000000000006</v>
      </c>
      <c r="E38" s="244">
        <f t="shared" si="11"/>
        <v>309.6</v>
      </c>
      <c r="F38" s="254">
        <f t="shared" si="11"/>
        <v>77.4</v>
      </c>
      <c r="G38" s="261">
        <f t="shared" si="11"/>
        <v>185.76000000000002</v>
      </c>
      <c r="H38" s="244">
        <f t="shared" si="11"/>
        <v>61.92000000000001</v>
      </c>
      <c r="I38" s="244">
        <f t="shared" si="11"/>
        <v>40.248000000000005</v>
      </c>
      <c r="J38" s="227">
        <f t="shared" si="11"/>
        <v>21.672000000000008</v>
      </c>
      <c r="K38" s="226">
        <f t="shared" si="11"/>
        <v>46.440000000000005</v>
      </c>
      <c r="L38" s="244">
        <f t="shared" si="11"/>
        <v>15.480000000000002</v>
      </c>
      <c r="M38" s="244">
        <f t="shared" si="11"/>
        <v>10.062000000000001</v>
      </c>
      <c r="N38" s="227">
        <f t="shared" si="11"/>
        <v>5.418000000000002</v>
      </c>
    </row>
    <row r="40" spans="2:7" ht="30" customHeight="1">
      <c r="B40" s="803" t="s">
        <v>226</v>
      </c>
      <c r="C40" s="803"/>
      <c r="D40" s="803"/>
      <c r="E40" s="803"/>
      <c r="F40" s="803"/>
      <c r="G40" s="803"/>
    </row>
    <row r="41" spans="2:4" ht="15">
      <c r="B41" s="757" t="s">
        <v>108</v>
      </c>
      <c r="C41" s="757"/>
      <c r="D41" s="757"/>
    </row>
    <row r="42" spans="2:4" ht="15">
      <c r="B42" s="757" t="s">
        <v>320</v>
      </c>
      <c r="C42" s="757"/>
      <c r="D42" s="757"/>
    </row>
  </sheetData>
  <mergeCells count="10">
    <mergeCell ref="B41:D41"/>
    <mergeCell ref="B42:D42"/>
    <mergeCell ref="B40:G40"/>
    <mergeCell ref="G26:J26"/>
    <mergeCell ref="K26:N26"/>
    <mergeCell ref="B5:C5"/>
    <mergeCell ref="B16:B17"/>
    <mergeCell ref="B14:F14"/>
    <mergeCell ref="B24:F24"/>
    <mergeCell ref="B13:E13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33"/>
  <sheetViews>
    <sheetView showGridLines="0" tabSelected="1" workbookViewId="0" topLeftCell="B1">
      <selection activeCell="B4" sqref="B4"/>
    </sheetView>
  </sheetViews>
  <sheetFormatPr defaultColWidth="11.421875" defaultRowHeight="12.75"/>
  <cols>
    <col min="2" max="2" width="30.421875" style="0" bestFit="1" customWidth="1"/>
    <col min="3" max="6" width="15.8515625" style="0" bestFit="1" customWidth="1"/>
  </cols>
  <sheetData>
    <row r="4" spans="2:6" ht="18">
      <c r="B4" s="16"/>
      <c r="C4" s="805" t="s">
        <v>75</v>
      </c>
      <c r="D4" s="805"/>
      <c r="E4" s="805"/>
      <c r="F4" s="805"/>
    </row>
    <row r="5" spans="2:6" ht="15.75" thickBot="1">
      <c r="B5" s="18"/>
      <c r="C5" s="19"/>
      <c r="D5" s="19"/>
      <c r="E5" s="19"/>
      <c r="F5" s="19"/>
    </row>
    <row r="6" spans="2:6" ht="32.25" thickBot="1">
      <c r="B6" s="20" t="s">
        <v>76</v>
      </c>
      <c r="C6" s="21" t="s">
        <v>77</v>
      </c>
      <c r="D6" s="22" t="s">
        <v>78</v>
      </c>
      <c r="E6" s="22" t="s">
        <v>79</v>
      </c>
      <c r="F6" s="23" t="s">
        <v>80</v>
      </c>
    </row>
    <row r="7" spans="2:6" ht="16.5" thickBot="1">
      <c r="B7" s="44" t="s">
        <v>84</v>
      </c>
      <c r="C7" s="735">
        <f>50%</f>
        <v>0.5</v>
      </c>
      <c r="D7" s="736">
        <v>0.65</v>
      </c>
      <c r="E7" s="736">
        <v>0.75</v>
      </c>
      <c r="F7" s="737">
        <v>1</v>
      </c>
    </row>
    <row r="8" spans="2:6" ht="15.75">
      <c r="B8" s="24" t="s">
        <v>85</v>
      </c>
      <c r="C8" s="78">
        <f>C7*'5.4'!$P$8</f>
        <v>725615.9671874999</v>
      </c>
      <c r="D8" s="738">
        <f>D7*'5.4'!$P$8</f>
        <v>943300.7573437499</v>
      </c>
      <c r="E8" s="738">
        <f>E7*'5.4'!$P$8</f>
        <v>1088423.95078125</v>
      </c>
      <c r="F8" s="73">
        <f>F7*'5.4'!$P$8</f>
        <v>1451231.9343749997</v>
      </c>
    </row>
    <row r="9" spans="2:6" ht="15.75">
      <c r="B9" s="24" t="s">
        <v>86</v>
      </c>
      <c r="C9" s="25">
        <f>C7*'5.4'!$P$67</f>
        <v>562498.2855</v>
      </c>
      <c r="D9" s="26">
        <f>D7*'5.4'!$P$67</f>
        <v>731247.77115</v>
      </c>
      <c r="E9" s="26">
        <f>E7*'5.4'!$P$67</f>
        <v>843747.42825</v>
      </c>
      <c r="F9" s="27">
        <f>F7*'5.4'!$P$67</f>
        <v>1124996.571</v>
      </c>
    </row>
    <row r="10" spans="2:9" ht="16.5" thickBot="1">
      <c r="B10" s="28" t="s">
        <v>87</v>
      </c>
      <c r="C10" s="29">
        <f>C8-C9</f>
        <v>163117.68168749986</v>
      </c>
      <c r="D10" s="30">
        <f>D8-D9</f>
        <v>212052.98619374982</v>
      </c>
      <c r="E10" s="30">
        <f>E8-E9</f>
        <v>244676.5225312499</v>
      </c>
      <c r="F10" s="31">
        <f>F8-F9</f>
        <v>326235.3633749997</v>
      </c>
      <c r="I10" s="43"/>
    </row>
    <row r="11" spans="2:6" ht="15">
      <c r="B11" s="18"/>
      <c r="C11" s="17"/>
      <c r="D11" s="17"/>
      <c r="E11" s="17"/>
      <c r="F11" s="17"/>
    </row>
    <row r="12" spans="2:6" ht="15">
      <c r="B12" s="755" t="s">
        <v>317</v>
      </c>
      <c r="C12" s="17"/>
      <c r="D12" s="17"/>
      <c r="E12" s="17"/>
      <c r="F12" s="17"/>
    </row>
    <row r="13" spans="2:6" ht="15">
      <c r="B13" s="755" t="s">
        <v>318</v>
      </c>
      <c r="C13" s="17"/>
      <c r="D13" s="17"/>
      <c r="E13" s="17"/>
      <c r="F13" s="17"/>
    </row>
    <row r="16" spans="2:7" ht="15">
      <c r="B16" s="34"/>
      <c r="C16" s="34"/>
      <c r="D16" s="34"/>
      <c r="E16" s="34"/>
      <c r="F16" s="34"/>
      <c r="G16" s="34"/>
    </row>
    <row r="17" spans="2:7" ht="15">
      <c r="B17" s="34"/>
      <c r="C17" s="34"/>
      <c r="D17" s="34"/>
      <c r="E17" s="34"/>
      <c r="F17" s="34"/>
      <c r="G17" s="34"/>
    </row>
    <row r="18" spans="2:7" ht="15">
      <c r="B18" s="34"/>
      <c r="C18" s="34"/>
      <c r="D18" s="34"/>
      <c r="E18" s="34"/>
      <c r="F18" s="34"/>
      <c r="G18" s="34"/>
    </row>
    <row r="19" spans="2:7" ht="15">
      <c r="B19" s="34"/>
      <c r="C19" s="34"/>
      <c r="D19" s="34"/>
      <c r="E19" s="34"/>
      <c r="F19" s="34"/>
      <c r="G19" s="34"/>
    </row>
    <row r="20" spans="2:7" ht="15">
      <c r="B20" s="34"/>
      <c r="C20" s="34"/>
      <c r="D20" s="34"/>
      <c r="E20" s="34"/>
      <c r="F20" s="34"/>
      <c r="G20" s="34"/>
    </row>
    <row r="21" spans="2:7" ht="15">
      <c r="B21" s="34"/>
      <c r="C21" s="34"/>
      <c r="D21" s="34"/>
      <c r="E21" s="34"/>
      <c r="F21" s="34"/>
      <c r="G21" s="34"/>
    </row>
    <row r="22" spans="2:7" ht="15">
      <c r="B22" s="34"/>
      <c r="C22" s="34"/>
      <c r="D22" s="34"/>
      <c r="E22" s="34"/>
      <c r="F22" s="34"/>
      <c r="G22" s="34"/>
    </row>
    <row r="23" spans="2:7" ht="15">
      <c r="B23" s="34"/>
      <c r="C23" s="34"/>
      <c r="D23" s="34"/>
      <c r="E23" s="34"/>
      <c r="F23" s="34"/>
      <c r="G23" s="34"/>
    </row>
    <row r="24" spans="2:7" ht="15">
      <c r="B24" s="34"/>
      <c r="C24" s="34"/>
      <c r="D24" s="34"/>
      <c r="E24" s="34"/>
      <c r="F24" s="34"/>
      <c r="G24" s="34"/>
    </row>
    <row r="25" spans="2:7" ht="15">
      <c r="B25" s="34"/>
      <c r="C25" s="34"/>
      <c r="D25" s="34"/>
      <c r="E25" s="34"/>
      <c r="F25" s="34"/>
      <c r="G25" s="34"/>
    </row>
    <row r="26" spans="2:7" ht="15">
      <c r="B26" s="34"/>
      <c r="C26" s="34"/>
      <c r="D26" s="34"/>
      <c r="E26" s="34"/>
      <c r="F26" s="34"/>
      <c r="G26" s="34"/>
    </row>
    <row r="27" spans="2:7" ht="15">
      <c r="B27" s="34"/>
      <c r="C27" s="34"/>
      <c r="D27" s="34"/>
      <c r="E27" s="34"/>
      <c r="F27" s="34"/>
      <c r="G27" s="34"/>
    </row>
    <row r="28" spans="2:7" ht="15">
      <c r="B28" s="34"/>
      <c r="C28" s="34"/>
      <c r="D28" s="34"/>
      <c r="E28" s="34"/>
      <c r="F28" s="34"/>
      <c r="G28" s="34"/>
    </row>
    <row r="29" spans="2:7" ht="15">
      <c r="B29" s="34"/>
      <c r="C29" s="34"/>
      <c r="D29" s="34"/>
      <c r="E29" s="34"/>
      <c r="F29" s="34"/>
      <c r="G29" s="34"/>
    </row>
    <row r="30" spans="2:7" ht="15">
      <c r="B30" s="34"/>
      <c r="C30" s="34"/>
      <c r="D30" s="34"/>
      <c r="E30" s="34"/>
      <c r="F30" s="34"/>
      <c r="G30" s="34"/>
    </row>
    <row r="31" spans="2:7" ht="15">
      <c r="B31" s="34"/>
      <c r="C31" s="34"/>
      <c r="D31" s="34"/>
      <c r="E31" s="34"/>
      <c r="F31" s="34"/>
      <c r="G31" s="34"/>
    </row>
    <row r="32" spans="3:7" ht="15">
      <c r="C32" s="34"/>
      <c r="D32" s="34"/>
      <c r="E32" s="34"/>
      <c r="F32" s="34"/>
      <c r="G32" s="34"/>
    </row>
    <row r="33" spans="3:7" ht="15">
      <c r="C33" s="34"/>
      <c r="D33" s="34"/>
      <c r="E33" s="34"/>
      <c r="F33" s="34"/>
      <c r="G33" s="34"/>
    </row>
  </sheetData>
  <mergeCells count="1">
    <mergeCell ref="C4:F4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35"/>
  <sheetViews>
    <sheetView workbookViewId="0" topLeftCell="A4">
      <selection activeCell="B42" sqref="B42"/>
    </sheetView>
  </sheetViews>
  <sheetFormatPr defaultColWidth="11.421875" defaultRowHeight="12.75"/>
  <cols>
    <col min="1" max="1" width="11.421875" style="127" customWidth="1"/>
    <col min="2" max="2" width="15.140625" style="127" bestFit="1" customWidth="1"/>
    <col min="3" max="3" width="15.8515625" style="127" customWidth="1"/>
    <col min="4" max="4" width="15.140625" style="127" bestFit="1" customWidth="1"/>
    <col min="5" max="5" width="12.7109375" style="127" bestFit="1" customWidth="1"/>
    <col min="6" max="6" width="12.7109375" style="127" customWidth="1"/>
    <col min="7" max="7" width="14.7109375" style="127" customWidth="1"/>
    <col min="8" max="8" width="17.28125" style="127" bestFit="1" customWidth="1"/>
    <col min="9" max="9" width="3.00390625" style="127" bestFit="1" customWidth="1"/>
    <col min="10" max="16384" width="11.421875" style="127" customWidth="1"/>
  </cols>
  <sheetData>
    <row r="3" spans="2:8" ht="15.75">
      <c r="B3" s="191"/>
      <c r="C3" s="191"/>
      <c r="D3" s="191"/>
      <c r="E3" s="191"/>
      <c r="F3" s="191"/>
      <c r="G3" s="191"/>
      <c r="H3" s="191"/>
    </row>
    <row r="4" ht="31.5">
      <c r="B4" s="185" t="s">
        <v>264</v>
      </c>
    </row>
    <row r="5" spans="2:8" ht="18" customHeight="1" thickBot="1">
      <c r="B5" s="758" t="s">
        <v>151</v>
      </c>
      <c r="C5" s="758"/>
      <c r="D5" s="758"/>
      <c r="E5" s="758"/>
      <c r="F5" s="758"/>
      <c r="G5" s="192"/>
      <c r="H5" s="192"/>
    </row>
    <row r="6" spans="2:6" ht="48" thickBot="1">
      <c r="B6" s="193" t="s">
        <v>62</v>
      </c>
      <c r="C6" s="45" t="s">
        <v>154</v>
      </c>
      <c r="D6" s="37" t="s">
        <v>127</v>
      </c>
      <c r="E6" s="37" t="s">
        <v>156</v>
      </c>
      <c r="F6" s="38" t="s">
        <v>155</v>
      </c>
    </row>
    <row r="7" spans="2:6" ht="15">
      <c r="B7" s="194"/>
      <c r="C7" s="200"/>
      <c r="D7" s="196"/>
      <c r="E7" s="196"/>
      <c r="F7" s="197"/>
    </row>
    <row r="8" spans="2:6" ht="15.75">
      <c r="B8" s="198" t="s">
        <v>91</v>
      </c>
      <c r="C8" s="210" t="s">
        <v>128</v>
      </c>
      <c r="D8" s="132" t="s">
        <v>129</v>
      </c>
      <c r="E8" s="132">
        <v>91577</v>
      </c>
      <c r="F8" s="133">
        <v>80697</v>
      </c>
    </row>
    <row r="9" spans="2:6" ht="15.75">
      <c r="B9" s="198" t="s">
        <v>92</v>
      </c>
      <c r="C9" s="210" t="s">
        <v>130</v>
      </c>
      <c r="D9" s="132" t="s">
        <v>129</v>
      </c>
      <c r="E9" s="132">
        <v>101559</v>
      </c>
      <c r="F9" s="133">
        <v>91600</v>
      </c>
    </row>
    <row r="10" spans="2:6" ht="15.75">
      <c r="B10" s="198" t="s">
        <v>93</v>
      </c>
      <c r="C10" s="210" t="s">
        <v>131</v>
      </c>
      <c r="D10" s="132" t="s">
        <v>129</v>
      </c>
      <c r="E10" s="132">
        <v>82585</v>
      </c>
      <c r="F10" s="133">
        <v>73748</v>
      </c>
    </row>
    <row r="11" spans="2:6" ht="15.75">
      <c r="B11" s="198" t="s">
        <v>94</v>
      </c>
      <c r="C11" s="210" t="s">
        <v>132</v>
      </c>
      <c r="D11" s="132" t="s">
        <v>129</v>
      </c>
      <c r="E11" s="132">
        <v>78730</v>
      </c>
      <c r="F11" s="133">
        <v>69894</v>
      </c>
    </row>
    <row r="12" spans="2:6" ht="15.75">
      <c r="B12" s="198" t="s">
        <v>95</v>
      </c>
      <c r="C12" s="210" t="s">
        <v>133</v>
      </c>
      <c r="D12" s="132" t="s">
        <v>129</v>
      </c>
      <c r="E12" s="132">
        <v>79350</v>
      </c>
      <c r="F12" s="133">
        <v>70581</v>
      </c>
    </row>
    <row r="13" spans="2:6" ht="15.75">
      <c r="B13" s="198" t="s">
        <v>96</v>
      </c>
      <c r="C13" s="210" t="s">
        <v>134</v>
      </c>
      <c r="D13" s="132" t="s">
        <v>129</v>
      </c>
      <c r="E13" s="132">
        <v>81743</v>
      </c>
      <c r="F13" s="133">
        <v>72591</v>
      </c>
    </row>
    <row r="14" spans="2:6" ht="15.75">
      <c r="B14" s="198" t="s">
        <v>135</v>
      </c>
      <c r="C14" s="210" t="s">
        <v>136</v>
      </c>
      <c r="D14" s="132" t="s">
        <v>129</v>
      </c>
      <c r="E14" s="132">
        <v>78799</v>
      </c>
      <c r="F14" s="133">
        <v>70049</v>
      </c>
    </row>
    <row r="15" spans="2:6" ht="15.75">
      <c r="B15" s="198" t="s">
        <v>98</v>
      </c>
      <c r="C15" s="210" t="s">
        <v>137</v>
      </c>
      <c r="D15" s="132" t="s">
        <v>129</v>
      </c>
      <c r="E15" s="132">
        <v>75415</v>
      </c>
      <c r="F15" s="133">
        <v>66679</v>
      </c>
    </row>
    <row r="16" spans="2:6" ht="15.75">
      <c r="B16" s="198" t="s">
        <v>99</v>
      </c>
      <c r="C16" s="210" t="s">
        <v>138</v>
      </c>
      <c r="D16" s="132" t="s">
        <v>129</v>
      </c>
      <c r="E16" s="132">
        <v>70743</v>
      </c>
      <c r="F16" s="133">
        <v>68993</v>
      </c>
    </row>
    <row r="17" spans="2:6" ht="16.5" thickBot="1">
      <c r="B17" s="199" t="s">
        <v>100</v>
      </c>
      <c r="C17" s="211" t="s">
        <v>139</v>
      </c>
      <c r="D17" s="134" t="s">
        <v>129</v>
      </c>
      <c r="E17" s="134">
        <v>73414</v>
      </c>
      <c r="F17" s="135">
        <v>64678</v>
      </c>
    </row>
    <row r="20" spans="2:8" ht="31.5" customHeight="1">
      <c r="B20" s="758" t="s">
        <v>140</v>
      </c>
      <c r="C20" s="758"/>
      <c r="D20" s="758"/>
      <c r="E20" s="758"/>
      <c r="F20" s="758"/>
      <c r="G20" s="192"/>
      <c r="H20" s="192"/>
    </row>
    <row r="23" ht="16.5" thickBot="1">
      <c r="B23" s="35" t="s">
        <v>252</v>
      </c>
    </row>
    <row r="24" spans="2:6" ht="16.5" thickBot="1">
      <c r="B24" s="761" t="s">
        <v>141</v>
      </c>
      <c r="C24" s="772"/>
      <c r="D24" s="773" t="s">
        <v>142</v>
      </c>
      <c r="E24" s="772"/>
      <c r="F24" s="192"/>
    </row>
    <row r="25" spans="2:5" ht="15">
      <c r="B25" s="200"/>
      <c r="C25" s="197"/>
      <c r="D25" s="195"/>
      <c r="E25" s="197"/>
    </row>
    <row r="26" spans="2:5" ht="45">
      <c r="B26" s="201" t="s">
        <v>143</v>
      </c>
      <c r="C26" s="202" t="s">
        <v>144</v>
      </c>
      <c r="D26" s="203" t="s">
        <v>145</v>
      </c>
      <c r="E26" s="202" t="s">
        <v>144</v>
      </c>
    </row>
    <row r="27" spans="2:5" ht="60">
      <c r="B27" s="201" t="s">
        <v>233</v>
      </c>
      <c r="C27" s="202" t="s">
        <v>144</v>
      </c>
      <c r="D27" s="203" t="s">
        <v>146</v>
      </c>
      <c r="E27" s="202" t="s">
        <v>144</v>
      </c>
    </row>
    <row r="28" spans="2:5" ht="45">
      <c r="B28" s="201" t="s">
        <v>147</v>
      </c>
      <c r="C28" s="202" t="s">
        <v>144</v>
      </c>
      <c r="D28" s="203" t="s">
        <v>148</v>
      </c>
      <c r="E28" s="202" t="s">
        <v>144</v>
      </c>
    </row>
    <row r="29" spans="2:5" ht="45">
      <c r="B29" s="201" t="s">
        <v>157</v>
      </c>
      <c r="C29" s="202" t="s">
        <v>144</v>
      </c>
      <c r="D29" s="203" t="s">
        <v>149</v>
      </c>
      <c r="E29" s="202" t="s">
        <v>144</v>
      </c>
    </row>
    <row r="30" spans="2:5" ht="30.75" thickBot="1">
      <c r="B30" s="204"/>
      <c r="C30" s="205"/>
      <c r="D30" s="206" t="s">
        <v>150</v>
      </c>
      <c r="E30" s="207" t="s">
        <v>144</v>
      </c>
    </row>
    <row r="32" spans="2:7" ht="15.75" customHeight="1">
      <c r="B32" s="760" t="s">
        <v>239</v>
      </c>
      <c r="C32" s="760"/>
      <c r="D32" s="760"/>
      <c r="E32" s="760"/>
      <c r="F32" s="209"/>
      <c r="G32" s="208"/>
    </row>
    <row r="33" spans="2:5" ht="15">
      <c r="B33" s="760"/>
      <c r="C33" s="760"/>
      <c r="D33" s="760"/>
      <c r="E33" s="760"/>
    </row>
    <row r="34" spans="2:3" ht="15">
      <c r="B34" s="759" t="s">
        <v>240</v>
      </c>
      <c r="C34" s="759"/>
    </row>
    <row r="35" spans="2:3" ht="15">
      <c r="B35" s="759" t="s">
        <v>241</v>
      </c>
      <c r="C35" s="759"/>
    </row>
  </sheetData>
  <mergeCells count="7">
    <mergeCell ref="B5:F5"/>
    <mergeCell ref="B34:C34"/>
    <mergeCell ref="B35:C35"/>
    <mergeCell ref="B32:E33"/>
    <mergeCell ref="B24:C24"/>
    <mergeCell ref="D24:E24"/>
    <mergeCell ref="B20:F20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34"/>
  <sheetViews>
    <sheetView showGridLines="0" workbookViewId="0" topLeftCell="A4">
      <selection activeCell="F4" sqref="F4"/>
    </sheetView>
  </sheetViews>
  <sheetFormatPr defaultColWidth="11.421875" defaultRowHeight="12.75"/>
  <cols>
    <col min="2" max="2" width="24.57421875" style="0" bestFit="1" customWidth="1"/>
    <col min="3" max="3" width="7.140625" style="0" bestFit="1" customWidth="1"/>
    <col min="4" max="4" width="17.140625" style="0" bestFit="1" customWidth="1"/>
    <col min="5" max="5" width="16.7109375" style="0" customWidth="1"/>
    <col min="6" max="7" width="15.8515625" style="0" bestFit="1" customWidth="1"/>
  </cols>
  <sheetData>
    <row r="4" spans="2:7" ht="18">
      <c r="B4" s="33" t="s">
        <v>90</v>
      </c>
      <c r="C4" s="33"/>
      <c r="D4" s="34"/>
      <c r="E4" s="34"/>
      <c r="F4" s="34"/>
      <c r="G4" s="34"/>
    </row>
    <row r="5" spans="2:7" ht="15">
      <c r="B5" s="34"/>
      <c r="C5" s="34"/>
      <c r="D5" s="34"/>
      <c r="E5" s="34"/>
      <c r="F5" s="34"/>
      <c r="G5" s="34"/>
    </row>
    <row r="6" spans="2:7" ht="31.5">
      <c r="B6" s="35" t="s">
        <v>88</v>
      </c>
      <c r="C6" s="35"/>
      <c r="D6" s="34"/>
      <c r="E6" s="34"/>
      <c r="F6" s="34"/>
      <c r="G6" s="34"/>
    </row>
    <row r="7" spans="2:6" ht="16.5" thickBot="1">
      <c r="B7" s="36"/>
      <c r="C7" s="36"/>
      <c r="D7" s="34"/>
      <c r="E7" s="34"/>
      <c r="F7" s="34"/>
    </row>
    <row r="8" spans="2:6" s="1" customFormat="1" ht="48" thickBot="1">
      <c r="B8" s="46" t="s">
        <v>76</v>
      </c>
      <c r="C8" s="45" t="s">
        <v>89</v>
      </c>
      <c r="D8" s="37" t="s">
        <v>81</v>
      </c>
      <c r="E8" s="37" t="s">
        <v>82</v>
      </c>
      <c r="F8" s="38" t="s">
        <v>83</v>
      </c>
    </row>
    <row r="9" spans="2:6" ht="15">
      <c r="B9" s="39" t="s">
        <v>77</v>
      </c>
      <c r="C9" s="47">
        <v>0.5</v>
      </c>
      <c r="D9" s="40">
        <v>725615.9671874999</v>
      </c>
      <c r="E9" s="40">
        <v>562498.2855</v>
      </c>
      <c r="F9" s="41">
        <v>163117.68168749986</v>
      </c>
    </row>
    <row r="10" spans="2:6" ht="15">
      <c r="B10" s="39" t="s">
        <v>78</v>
      </c>
      <c r="C10" s="48">
        <v>0.65</v>
      </c>
      <c r="D10" s="26">
        <v>943300.7573437499</v>
      </c>
      <c r="E10" s="26">
        <v>731247.77115</v>
      </c>
      <c r="F10" s="27">
        <v>212052.98619375</v>
      </c>
    </row>
    <row r="11" spans="2:6" ht="15">
      <c r="B11" s="39" t="s">
        <v>79</v>
      </c>
      <c r="C11" s="48">
        <v>0.75</v>
      </c>
      <c r="D11" s="26">
        <v>1088423.95078125</v>
      </c>
      <c r="E11" s="26">
        <v>843747.42825</v>
      </c>
      <c r="F11" s="27">
        <v>244676.5225312499</v>
      </c>
    </row>
    <row r="12" spans="2:6" ht="15.75" thickBot="1">
      <c r="B12" s="42" t="s">
        <v>80</v>
      </c>
      <c r="C12" s="49">
        <v>1</v>
      </c>
      <c r="D12" s="30">
        <v>1451231.9343749997</v>
      </c>
      <c r="E12" s="30">
        <v>1124996.571</v>
      </c>
      <c r="F12" s="31">
        <v>326235.363375</v>
      </c>
    </row>
    <row r="33" spans="1:3" ht="12.75">
      <c r="A33" s="756"/>
      <c r="B33" s="755" t="s">
        <v>317</v>
      </c>
      <c r="C33" s="32"/>
    </row>
    <row r="34" spans="2:3" ht="12.75">
      <c r="B34" s="755" t="s">
        <v>318</v>
      </c>
      <c r="C34" s="32"/>
    </row>
  </sheetData>
  <printOptions horizontalCentered="1" verticalCentered="1"/>
  <pageMargins left="1.5748031496062993" right="0.9448818897637796" top="1.5748031496062993" bottom="1.3779527559055118" header="0" footer="0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78"/>
  <sheetViews>
    <sheetView zoomScale="75" zoomScaleNormal="75" workbookViewId="0" topLeftCell="D1">
      <selection activeCell="H14" sqref="H14"/>
    </sheetView>
  </sheetViews>
  <sheetFormatPr defaultColWidth="11.421875" defaultRowHeight="12.75"/>
  <cols>
    <col min="1" max="1" width="16.28125" style="187" bestFit="1" customWidth="1"/>
    <col min="2" max="2" width="38.140625" style="187" bestFit="1" customWidth="1"/>
    <col min="3" max="3" width="15.140625" style="187" bestFit="1" customWidth="1"/>
    <col min="4" max="6" width="18.00390625" style="228" bestFit="1" customWidth="1"/>
    <col min="7" max="8" width="17.57421875" style="228" bestFit="1" customWidth="1"/>
    <col min="9" max="10" width="18.00390625" style="228" bestFit="1" customWidth="1"/>
    <col min="11" max="11" width="17.00390625" style="228" bestFit="1" customWidth="1"/>
    <col min="12" max="12" width="16.28125" style="228" bestFit="1" customWidth="1"/>
    <col min="13" max="14" width="16.140625" style="228" bestFit="1" customWidth="1"/>
    <col min="15" max="15" width="16.28125" style="228" bestFit="1" customWidth="1"/>
    <col min="16" max="16" width="17.8515625" style="187" bestFit="1" customWidth="1"/>
    <col min="17" max="16384" width="11.421875" style="187" customWidth="1"/>
  </cols>
  <sheetData>
    <row r="3" spans="2:16" ht="15.75" customHeight="1">
      <c r="B3" s="318" t="s">
        <v>253</v>
      </c>
      <c r="C3" s="318"/>
      <c r="D3" s="774" t="s">
        <v>238</v>
      </c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</row>
    <row r="4" ht="15.75" thickBot="1"/>
    <row r="5" spans="1:16" s="321" customFormat="1" ht="16.5" thickBot="1">
      <c r="A5" s="277" t="s">
        <v>0</v>
      </c>
      <c r="B5" s="511" t="s">
        <v>59</v>
      </c>
      <c r="C5" s="511"/>
      <c r="D5" s="319" t="s">
        <v>2</v>
      </c>
      <c r="E5" s="320" t="s">
        <v>3</v>
      </c>
      <c r="F5" s="320" t="s">
        <v>4</v>
      </c>
      <c r="G5" s="320" t="s">
        <v>5</v>
      </c>
      <c r="H5" s="320" t="s">
        <v>6</v>
      </c>
      <c r="I5" s="320" t="s">
        <v>7</v>
      </c>
      <c r="J5" s="320" t="s">
        <v>8</v>
      </c>
      <c r="K5" s="320" t="s">
        <v>9</v>
      </c>
      <c r="L5" s="320" t="s">
        <v>10</v>
      </c>
      <c r="M5" s="320" t="s">
        <v>11</v>
      </c>
      <c r="N5" s="320" t="s">
        <v>12</v>
      </c>
      <c r="O5" s="404" t="s">
        <v>13</v>
      </c>
      <c r="P5" s="13" t="s">
        <v>204</v>
      </c>
    </row>
    <row r="6" spans="2:16" s="510" customFormat="1" ht="15">
      <c r="B6" s="512"/>
      <c r="C6" s="575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572"/>
      <c r="P6" s="518"/>
    </row>
    <row r="7" spans="1:16" s="322" customFormat="1" ht="15.75">
      <c r="A7" s="275"/>
      <c r="B7" s="147" t="s">
        <v>310</v>
      </c>
      <c r="C7" s="576"/>
      <c r="D7" s="573">
        <f>'5.3.1'!D15*20</f>
        <v>44278.62499999999</v>
      </c>
      <c r="E7" s="276">
        <f>D7</f>
        <v>44278.62499999999</v>
      </c>
      <c r="F7" s="276">
        <f aca="true" t="shared" si="0" ref="F7:O7">E7</f>
        <v>44278.62499999999</v>
      </c>
      <c r="G7" s="276">
        <f t="shared" si="0"/>
        <v>44278.62499999999</v>
      </c>
      <c r="H7" s="276">
        <f>G7</f>
        <v>44278.62499999999</v>
      </c>
      <c r="I7" s="276">
        <f>H7</f>
        <v>44278.62499999999</v>
      </c>
      <c r="J7" s="276">
        <f>I7</f>
        <v>44278.62499999999</v>
      </c>
      <c r="K7" s="276">
        <f>J7</f>
        <v>44278.62499999999</v>
      </c>
      <c r="L7" s="276">
        <f t="shared" si="0"/>
        <v>44278.62499999999</v>
      </c>
      <c r="M7" s="276">
        <f t="shared" si="0"/>
        <v>44278.62499999999</v>
      </c>
      <c r="N7" s="276">
        <f t="shared" si="0"/>
        <v>44278.62499999999</v>
      </c>
      <c r="O7" s="276">
        <f t="shared" si="0"/>
        <v>44278.62499999999</v>
      </c>
      <c r="P7" s="513">
        <f>SUM(D7:O7)</f>
        <v>531343.4999999999</v>
      </c>
    </row>
    <row r="8" spans="1:16" s="322" customFormat="1" ht="15.75">
      <c r="A8" s="275"/>
      <c r="B8" s="147" t="s">
        <v>311</v>
      </c>
      <c r="C8" s="561"/>
      <c r="D8" s="573"/>
      <c r="E8" s="276">
        <v>0</v>
      </c>
      <c r="F8" s="276">
        <f>E8</f>
        <v>0</v>
      </c>
      <c r="G8" s="276">
        <f aca="true" t="shared" si="1" ref="G8:M8">F8</f>
        <v>0</v>
      </c>
      <c r="H8" s="276">
        <f t="shared" si="1"/>
        <v>0</v>
      </c>
      <c r="I8" s="276">
        <f t="shared" si="1"/>
        <v>0</v>
      </c>
      <c r="J8" s="276">
        <f t="shared" si="1"/>
        <v>0</v>
      </c>
      <c r="K8" s="276">
        <f t="shared" si="1"/>
        <v>0</v>
      </c>
      <c r="L8" s="276">
        <f t="shared" si="1"/>
        <v>0</v>
      </c>
      <c r="M8" s="276">
        <f t="shared" si="1"/>
        <v>0</v>
      </c>
      <c r="N8" s="276">
        <f>'5.3.1'!G15*20</f>
        <v>56824.23541666667</v>
      </c>
      <c r="O8" s="516">
        <f>N8</f>
        <v>56824.23541666667</v>
      </c>
      <c r="P8" s="514">
        <f aca="true" t="shared" si="2" ref="P8:P59">SUM(D8:O8)</f>
        <v>113648.47083333334</v>
      </c>
    </row>
    <row r="9" spans="2:16" s="412" customFormat="1" ht="16.5" thickBot="1">
      <c r="B9" s="413" t="s">
        <v>210</v>
      </c>
      <c r="C9" s="577"/>
      <c r="D9" s="574">
        <f>SUM(D6:D8)</f>
        <v>44278.62499999999</v>
      </c>
      <c r="E9" s="414">
        <f aca="true" t="shared" si="3" ref="E9:O9">SUM(E6:E8)</f>
        <v>44278.62499999999</v>
      </c>
      <c r="F9" s="414">
        <f t="shared" si="3"/>
        <v>44278.62499999999</v>
      </c>
      <c r="G9" s="414">
        <f t="shared" si="3"/>
        <v>44278.62499999999</v>
      </c>
      <c r="H9" s="414">
        <f t="shared" si="3"/>
        <v>44278.62499999999</v>
      </c>
      <c r="I9" s="414">
        <f t="shared" si="3"/>
        <v>44278.62499999999</v>
      </c>
      <c r="J9" s="414">
        <f t="shared" si="3"/>
        <v>44278.62499999999</v>
      </c>
      <c r="K9" s="414">
        <f t="shared" si="3"/>
        <v>44278.62499999999</v>
      </c>
      <c r="L9" s="414">
        <f t="shared" si="3"/>
        <v>44278.62499999999</v>
      </c>
      <c r="M9" s="414">
        <f t="shared" si="3"/>
        <v>44278.62499999999</v>
      </c>
      <c r="N9" s="414">
        <f t="shared" si="3"/>
        <v>101102.86041666666</v>
      </c>
      <c r="O9" s="517">
        <f t="shared" si="3"/>
        <v>101102.86041666666</v>
      </c>
      <c r="P9" s="515">
        <f t="shared" si="2"/>
        <v>644991.9708333332</v>
      </c>
    </row>
    <row r="10" ht="15.75" thickBot="1">
      <c r="P10" s="403"/>
    </row>
    <row r="11" spans="1:16" s="321" customFormat="1" ht="16.5" thickBot="1">
      <c r="A11" s="277" t="s">
        <v>0</v>
      </c>
      <c r="B11" s="584" t="s">
        <v>1</v>
      </c>
      <c r="C11" s="584"/>
      <c r="D11" s="585" t="s">
        <v>2</v>
      </c>
      <c r="E11" s="323" t="s">
        <v>3</v>
      </c>
      <c r="F11" s="323" t="s">
        <v>4</v>
      </c>
      <c r="G11" s="323" t="s">
        <v>5</v>
      </c>
      <c r="H11" s="323" t="s">
        <v>6</v>
      </c>
      <c r="I11" s="323" t="s">
        <v>7</v>
      </c>
      <c r="J11" s="323" t="s">
        <v>8</v>
      </c>
      <c r="K11" s="323" t="s">
        <v>9</v>
      </c>
      <c r="L11" s="323" t="s">
        <v>10</v>
      </c>
      <c r="M11" s="323" t="s">
        <v>11</v>
      </c>
      <c r="N11" s="323" t="s">
        <v>12</v>
      </c>
      <c r="O11" s="410" t="s">
        <v>13</v>
      </c>
      <c r="P11" s="431"/>
    </row>
    <row r="12" spans="1:16" s="316" customFormat="1" ht="15.75">
      <c r="A12" s="80"/>
      <c r="B12" s="493" t="s">
        <v>242</v>
      </c>
      <c r="C12" s="428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30"/>
      <c r="P12" s="407"/>
    </row>
    <row r="13" spans="2:16" s="11" customFormat="1" ht="15">
      <c r="B13" s="146" t="s">
        <v>244</v>
      </c>
      <c r="C13" s="561"/>
      <c r="D13" s="578">
        <v>0</v>
      </c>
      <c r="E13" s="437">
        <f aca="true" t="shared" si="4" ref="E13:M13">D13</f>
        <v>0</v>
      </c>
      <c r="F13" s="437">
        <f t="shared" si="4"/>
        <v>0</v>
      </c>
      <c r="G13" s="437">
        <f t="shared" si="4"/>
        <v>0</v>
      </c>
      <c r="H13" s="437">
        <f t="shared" si="4"/>
        <v>0</v>
      </c>
      <c r="I13" s="437">
        <f t="shared" si="4"/>
        <v>0</v>
      </c>
      <c r="J13" s="437">
        <f t="shared" si="4"/>
        <v>0</v>
      </c>
      <c r="K13" s="437">
        <f t="shared" si="4"/>
        <v>0</v>
      </c>
      <c r="L13" s="437">
        <f t="shared" si="4"/>
        <v>0</v>
      </c>
      <c r="M13" s="437">
        <f t="shared" si="4"/>
        <v>0</v>
      </c>
      <c r="N13" s="437">
        <f>'5.6.1'!I18*20</f>
        <v>178028.75</v>
      </c>
      <c r="O13" s="437">
        <f>N13</f>
        <v>178028.75</v>
      </c>
      <c r="P13" s="438">
        <f>SUM(D13:O13)</f>
        <v>356057.5</v>
      </c>
    </row>
    <row r="14" spans="2:16" s="482" customFormat="1" ht="16.5" thickBot="1">
      <c r="B14" s="492" t="s">
        <v>243</v>
      </c>
      <c r="C14" s="580"/>
      <c r="D14" s="579">
        <f>SUM(D13)</f>
        <v>0</v>
      </c>
      <c r="E14" s="483">
        <f aca="true" t="shared" si="5" ref="E14:P14">SUM(E13)</f>
        <v>0</v>
      </c>
      <c r="F14" s="483">
        <f t="shared" si="5"/>
        <v>0</v>
      </c>
      <c r="G14" s="483">
        <f t="shared" si="5"/>
        <v>0</v>
      </c>
      <c r="H14" s="483">
        <f t="shared" si="5"/>
        <v>0</v>
      </c>
      <c r="I14" s="483">
        <f t="shared" si="5"/>
        <v>0</v>
      </c>
      <c r="J14" s="483">
        <f t="shared" si="5"/>
        <v>0</v>
      </c>
      <c r="K14" s="483">
        <f t="shared" si="5"/>
        <v>0</v>
      </c>
      <c r="L14" s="483">
        <f t="shared" si="5"/>
        <v>0</v>
      </c>
      <c r="M14" s="483">
        <f t="shared" si="5"/>
        <v>0</v>
      </c>
      <c r="N14" s="483">
        <f t="shared" si="5"/>
        <v>178028.75</v>
      </c>
      <c r="O14" s="484">
        <f t="shared" si="5"/>
        <v>178028.75</v>
      </c>
      <c r="P14" s="485">
        <f t="shared" si="5"/>
        <v>356057.5</v>
      </c>
    </row>
    <row r="15" spans="1:16" s="316" customFormat="1" ht="16.5" thickBot="1">
      <c r="A15" s="80"/>
      <c r="B15" s="427"/>
      <c r="C15" s="427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9"/>
    </row>
    <row r="16" spans="1:16" ht="15.75">
      <c r="A16" s="274">
        <v>5103000000</v>
      </c>
      <c r="B16" s="273" t="s">
        <v>14</v>
      </c>
      <c r="C16" s="424"/>
      <c r="E16" s="279"/>
      <c r="F16" s="279"/>
      <c r="P16" s="432"/>
    </row>
    <row r="17" spans="1:16" ht="15">
      <c r="A17" s="269">
        <v>5103005000</v>
      </c>
      <c r="B17" s="272" t="s">
        <v>15</v>
      </c>
      <c r="C17" s="581"/>
      <c r="D17" s="422">
        <v>158</v>
      </c>
      <c r="E17" s="280">
        <v>158</v>
      </c>
      <c r="F17" s="280">
        <v>158</v>
      </c>
      <c r="G17" s="280">
        <v>158</v>
      </c>
      <c r="H17" s="280">
        <v>158</v>
      </c>
      <c r="I17" s="280">
        <v>158</v>
      </c>
      <c r="J17" s="280">
        <v>158</v>
      </c>
      <c r="K17" s="280">
        <v>158</v>
      </c>
      <c r="L17" s="280">
        <v>158</v>
      </c>
      <c r="M17" s="280">
        <v>158</v>
      </c>
      <c r="N17" s="280">
        <v>158</v>
      </c>
      <c r="O17" s="408">
        <v>158</v>
      </c>
      <c r="P17" s="405">
        <f t="shared" si="2"/>
        <v>1896</v>
      </c>
    </row>
    <row r="18" spans="1:16" ht="15">
      <c r="A18" s="269">
        <v>5103003000</v>
      </c>
      <c r="B18" s="272" t="s">
        <v>16</v>
      </c>
      <c r="C18" s="581"/>
      <c r="D18" s="422">
        <v>582</v>
      </c>
      <c r="E18" s="280">
        <v>582</v>
      </c>
      <c r="F18" s="280">
        <v>582</v>
      </c>
      <c r="G18" s="280">
        <v>582</v>
      </c>
      <c r="H18" s="280">
        <v>582</v>
      </c>
      <c r="I18" s="280">
        <v>582</v>
      </c>
      <c r="J18" s="280">
        <v>582</v>
      </c>
      <c r="K18" s="280">
        <v>582</v>
      </c>
      <c r="L18" s="280">
        <v>582</v>
      </c>
      <c r="M18" s="280">
        <v>582</v>
      </c>
      <c r="N18" s="280">
        <v>582</v>
      </c>
      <c r="O18" s="408">
        <v>582</v>
      </c>
      <c r="P18" s="405">
        <f t="shared" si="2"/>
        <v>6984</v>
      </c>
    </row>
    <row r="19" spans="1:16" ht="15">
      <c r="A19" s="269">
        <v>5103007000</v>
      </c>
      <c r="B19" s="272" t="s">
        <v>17</v>
      </c>
      <c r="C19" s="581"/>
      <c r="D19" s="422">
        <v>127</v>
      </c>
      <c r="E19" s="280">
        <v>127</v>
      </c>
      <c r="F19" s="280">
        <v>127</v>
      </c>
      <c r="G19" s="280">
        <v>127</v>
      </c>
      <c r="H19" s="280">
        <v>127</v>
      </c>
      <c r="I19" s="280">
        <v>127</v>
      </c>
      <c r="J19" s="280">
        <v>127</v>
      </c>
      <c r="K19" s="280">
        <v>127</v>
      </c>
      <c r="L19" s="280">
        <v>127</v>
      </c>
      <c r="M19" s="280">
        <v>127</v>
      </c>
      <c r="N19" s="280">
        <v>127</v>
      </c>
      <c r="O19" s="408">
        <v>127</v>
      </c>
      <c r="P19" s="405">
        <f t="shared" si="2"/>
        <v>1524</v>
      </c>
    </row>
    <row r="20" spans="1:16" ht="15">
      <c r="A20" s="269">
        <v>5103008000</v>
      </c>
      <c r="B20" s="272" t="s">
        <v>18</v>
      </c>
      <c r="C20" s="581"/>
      <c r="D20" s="422">
        <v>5</v>
      </c>
      <c r="E20" s="280">
        <v>5</v>
      </c>
      <c r="F20" s="280">
        <v>5</v>
      </c>
      <c r="G20" s="280">
        <v>5</v>
      </c>
      <c r="H20" s="280">
        <v>5</v>
      </c>
      <c r="I20" s="280">
        <v>5</v>
      </c>
      <c r="J20" s="280">
        <v>5</v>
      </c>
      <c r="K20" s="280">
        <v>5</v>
      </c>
      <c r="L20" s="280">
        <v>5</v>
      </c>
      <c r="M20" s="280">
        <v>5</v>
      </c>
      <c r="N20" s="280">
        <v>5</v>
      </c>
      <c r="O20" s="408">
        <v>5</v>
      </c>
      <c r="P20" s="405">
        <f t="shared" si="2"/>
        <v>60</v>
      </c>
    </row>
    <row r="21" spans="1:16" ht="15">
      <c r="A21" s="269">
        <v>5103010000</v>
      </c>
      <c r="B21" s="272" t="s">
        <v>19</v>
      </c>
      <c r="C21" s="581"/>
      <c r="D21" s="422"/>
      <c r="E21" s="280">
        <v>2400</v>
      </c>
      <c r="F21" s="280">
        <v>1500</v>
      </c>
      <c r="G21" s="280">
        <v>1500</v>
      </c>
      <c r="H21" s="280">
        <v>1500</v>
      </c>
      <c r="I21" s="280">
        <v>2400</v>
      </c>
      <c r="J21" s="280">
        <v>1500</v>
      </c>
      <c r="K21" s="280">
        <v>1500</v>
      </c>
      <c r="L21" s="280">
        <v>3500</v>
      </c>
      <c r="M21" s="280">
        <v>1500</v>
      </c>
      <c r="N21" s="280">
        <v>1500</v>
      </c>
      <c r="O21" s="408">
        <v>1500</v>
      </c>
      <c r="P21" s="405">
        <f t="shared" si="2"/>
        <v>20300</v>
      </c>
    </row>
    <row r="22" spans="1:16" ht="15">
      <c r="A22" s="269">
        <v>5103012000</v>
      </c>
      <c r="B22" s="272" t="s">
        <v>20</v>
      </c>
      <c r="C22" s="581"/>
      <c r="D22" s="422">
        <v>10</v>
      </c>
      <c r="E22" s="280">
        <v>10</v>
      </c>
      <c r="F22" s="280">
        <v>10</v>
      </c>
      <c r="G22" s="280">
        <v>10</v>
      </c>
      <c r="H22" s="280">
        <v>10</v>
      </c>
      <c r="I22" s="280">
        <v>10</v>
      </c>
      <c r="J22" s="280">
        <v>10</v>
      </c>
      <c r="K22" s="280">
        <v>10</v>
      </c>
      <c r="L22" s="280">
        <v>10</v>
      </c>
      <c r="M22" s="280">
        <v>10</v>
      </c>
      <c r="N22" s="280">
        <v>10</v>
      </c>
      <c r="O22" s="408">
        <v>10</v>
      </c>
      <c r="P22" s="405">
        <f t="shared" si="2"/>
        <v>120</v>
      </c>
    </row>
    <row r="23" spans="1:16" ht="15">
      <c r="A23" s="269">
        <v>5103013000</v>
      </c>
      <c r="B23" s="272" t="s">
        <v>21</v>
      </c>
      <c r="C23" s="581"/>
      <c r="D23" s="422">
        <v>19</v>
      </c>
      <c r="E23" s="280">
        <v>19</v>
      </c>
      <c r="F23" s="280">
        <v>19</v>
      </c>
      <c r="G23" s="280">
        <v>19</v>
      </c>
      <c r="H23" s="280">
        <v>19</v>
      </c>
      <c r="I23" s="280">
        <v>19</v>
      </c>
      <c r="J23" s="280">
        <v>19</v>
      </c>
      <c r="K23" s="280">
        <v>19</v>
      </c>
      <c r="L23" s="280">
        <v>19</v>
      </c>
      <c r="M23" s="280">
        <v>19</v>
      </c>
      <c r="N23" s="280">
        <v>19</v>
      </c>
      <c r="O23" s="408">
        <v>19</v>
      </c>
      <c r="P23" s="405">
        <f t="shared" si="2"/>
        <v>228</v>
      </c>
    </row>
    <row r="24" spans="1:16" ht="15">
      <c r="A24" s="269">
        <v>5103014000</v>
      </c>
      <c r="B24" s="272" t="s">
        <v>22</v>
      </c>
      <c r="C24" s="581"/>
      <c r="D24" s="422">
        <v>734</v>
      </c>
      <c r="E24" s="280">
        <v>734</v>
      </c>
      <c r="F24" s="280">
        <v>734</v>
      </c>
      <c r="G24" s="280">
        <v>734</v>
      </c>
      <c r="H24" s="280">
        <v>734</v>
      </c>
      <c r="I24" s="280">
        <v>734</v>
      </c>
      <c r="J24" s="280">
        <v>734</v>
      </c>
      <c r="K24" s="280">
        <v>734</v>
      </c>
      <c r="L24" s="280">
        <v>734</v>
      </c>
      <c r="M24" s="280">
        <v>734</v>
      </c>
      <c r="N24" s="280">
        <v>734</v>
      </c>
      <c r="O24" s="408">
        <v>734</v>
      </c>
      <c r="P24" s="405">
        <f t="shared" si="2"/>
        <v>8808</v>
      </c>
    </row>
    <row r="25" spans="1:16" ht="15">
      <c r="A25" s="269">
        <v>5103017000</v>
      </c>
      <c r="B25" s="272" t="s">
        <v>23</v>
      </c>
      <c r="C25" s="581"/>
      <c r="D25" s="422">
        <v>904</v>
      </c>
      <c r="E25" s="280">
        <v>904</v>
      </c>
      <c r="F25" s="280">
        <v>904</v>
      </c>
      <c r="G25" s="280">
        <v>904</v>
      </c>
      <c r="H25" s="280">
        <v>904</v>
      </c>
      <c r="I25" s="280">
        <v>904</v>
      </c>
      <c r="J25" s="280">
        <v>904</v>
      </c>
      <c r="K25" s="280">
        <v>904</v>
      </c>
      <c r="L25" s="280">
        <v>904</v>
      </c>
      <c r="M25" s="280">
        <v>904</v>
      </c>
      <c r="N25" s="280">
        <v>904</v>
      </c>
      <c r="O25" s="408">
        <v>904</v>
      </c>
      <c r="P25" s="405">
        <f t="shared" si="2"/>
        <v>10848</v>
      </c>
    </row>
    <row r="26" spans="1:16" ht="15">
      <c r="A26" s="269">
        <v>5103018000</v>
      </c>
      <c r="B26" s="272" t="s">
        <v>24</v>
      </c>
      <c r="C26" s="581"/>
      <c r="D26" s="422">
        <v>2400</v>
      </c>
      <c r="E26" s="280">
        <v>2400</v>
      </c>
      <c r="F26" s="280">
        <v>2400</v>
      </c>
      <c r="G26" s="280">
        <v>2400</v>
      </c>
      <c r="H26" s="280">
        <v>2400</v>
      </c>
      <c r="I26" s="280">
        <v>2400</v>
      </c>
      <c r="J26" s="280">
        <v>2400</v>
      </c>
      <c r="K26" s="280">
        <v>2400</v>
      </c>
      <c r="L26" s="280">
        <v>2400</v>
      </c>
      <c r="M26" s="280">
        <v>2400</v>
      </c>
      <c r="N26" s="280">
        <v>2400</v>
      </c>
      <c r="O26" s="408">
        <v>2400</v>
      </c>
      <c r="P26" s="405">
        <f t="shared" si="2"/>
        <v>28800</v>
      </c>
    </row>
    <row r="27" spans="1:16" ht="15">
      <c r="A27" s="269">
        <v>5103021000</v>
      </c>
      <c r="B27" s="272" t="s">
        <v>25</v>
      </c>
      <c r="C27" s="581"/>
      <c r="D27" s="422">
        <v>41</v>
      </c>
      <c r="E27" s="280">
        <v>41</v>
      </c>
      <c r="F27" s="280">
        <v>41</v>
      </c>
      <c r="G27" s="280">
        <v>41</v>
      </c>
      <c r="H27" s="280">
        <v>41</v>
      </c>
      <c r="I27" s="280">
        <v>41</v>
      </c>
      <c r="J27" s="280">
        <v>41</v>
      </c>
      <c r="K27" s="280">
        <v>41</v>
      </c>
      <c r="L27" s="280">
        <v>41</v>
      </c>
      <c r="M27" s="280">
        <v>41</v>
      </c>
      <c r="N27" s="280">
        <v>41</v>
      </c>
      <c r="O27" s="408">
        <v>41</v>
      </c>
      <c r="P27" s="405">
        <f t="shared" si="2"/>
        <v>492</v>
      </c>
    </row>
    <row r="28" spans="1:16" ht="30">
      <c r="A28" s="269">
        <v>5103022000</v>
      </c>
      <c r="B28" s="272" t="s">
        <v>268</v>
      </c>
      <c r="C28" s="581"/>
      <c r="D28" s="422">
        <v>1000</v>
      </c>
      <c r="E28" s="280"/>
      <c r="F28" s="280"/>
      <c r="G28" s="280"/>
      <c r="H28" s="280"/>
      <c r="I28" s="280">
        <v>1000</v>
      </c>
      <c r="J28" s="280"/>
      <c r="K28" s="280"/>
      <c r="L28" s="280"/>
      <c r="M28" s="280"/>
      <c r="N28" s="280"/>
      <c r="O28" s="408"/>
      <c r="P28" s="405">
        <f t="shared" si="2"/>
        <v>2000</v>
      </c>
    </row>
    <row r="29" spans="1:16" s="318" customFormat="1" ht="16.5" thickBot="1">
      <c r="A29" s="325" t="s">
        <v>26</v>
      </c>
      <c r="B29" s="326" t="s">
        <v>27</v>
      </c>
      <c r="C29" s="582"/>
      <c r="D29" s="423">
        <f>SUM(D17:D28)</f>
        <v>5980</v>
      </c>
      <c r="E29" s="327">
        <f>SUM(E17:E27)</f>
        <v>7380</v>
      </c>
      <c r="F29" s="327">
        <f>SUM(F17:F27)</f>
        <v>6480</v>
      </c>
      <c r="G29" s="327">
        <f>SUM(G17:G27)</f>
        <v>6480</v>
      </c>
      <c r="H29" s="327">
        <f>SUM(H17:H27)</f>
        <v>6480</v>
      </c>
      <c r="I29" s="328">
        <f>SUM(I17:I28)</f>
        <v>8380</v>
      </c>
      <c r="J29" s="328">
        <f aca="true" t="shared" si="6" ref="J29:O29">SUM(J17:J27)</f>
        <v>6480</v>
      </c>
      <c r="K29" s="328">
        <f t="shared" si="6"/>
        <v>6480</v>
      </c>
      <c r="L29" s="328">
        <f t="shared" si="6"/>
        <v>8480</v>
      </c>
      <c r="M29" s="328">
        <f t="shared" si="6"/>
        <v>6480</v>
      </c>
      <c r="N29" s="328">
        <f t="shared" si="6"/>
        <v>6480</v>
      </c>
      <c r="O29" s="409">
        <f t="shared" si="6"/>
        <v>6480</v>
      </c>
      <c r="P29" s="406">
        <f t="shared" si="2"/>
        <v>82060</v>
      </c>
    </row>
    <row r="30" spans="1:16" ht="15.75" thickBot="1">
      <c r="A30" s="186"/>
      <c r="B30" s="329"/>
      <c r="C30" s="329"/>
      <c r="D30" s="330"/>
      <c r="E30" s="331"/>
      <c r="F30" s="331"/>
      <c r="G30" s="331"/>
      <c r="H30" s="331"/>
      <c r="I30" s="330"/>
      <c r="J30" s="330"/>
      <c r="K30" s="330"/>
      <c r="L30" s="330"/>
      <c r="M30" s="330"/>
      <c r="N30" s="330"/>
      <c r="O30" s="330"/>
      <c r="P30" s="403"/>
    </row>
    <row r="31" spans="1:16" ht="31.5">
      <c r="A31" s="271" t="s">
        <v>0</v>
      </c>
      <c r="B31" s="273" t="s">
        <v>28</v>
      </c>
      <c r="C31" s="424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432"/>
    </row>
    <row r="32" spans="1:16" ht="15.75">
      <c r="A32" s="269">
        <v>5204200001</v>
      </c>
      <c r="B32" s="550" t="s">
        <v>29</v>
      </c>
      <c r="C32" s="583"/>
      <c r="D32" s="422">
        <v>1902</v>
      </c>
      <c r="E32" s="280">
        <v>1902</v>
      </c>
      <c r="F32" s="280">
        <v>1902</v>
      </c>
      <c r="G32" s="280">
        <v>1902</v>
      </c>
      <c r="H32" s="280">
        <v>1902</v>
      </c>
      <c r="I32" s="280">
        <v>1902</v>
      </c>
      <c r="J32" s="280">
        <v>1902</v>
      </c>
      <c r="K32" s="280">
        <v>1902</v>
      </c>
      <c r="L32" s="280">
        <v>1902</v>
      </c>
      <c r="M32" s="280">
        <v>1902</v>
      </c>
      <c r="N32" s="280">
        <v>1902</v>
      </c>
      <c r="O32" s="408">
        <v>1902</v>
      </c>
      <c r="P32" s="405">
        <f t="shared" si="2"/>
        <v>22824</v>
      </c>
    </row>
    <row r="33" spans="1:16" ht="30">
      <c r="A33" s="269">
        <v>5204200002</v>
      </c>
      <c r="B33" s="272" t="s">
        <v>30</v>
      </c>
      <c r="C33" s="581"/>
      <c r="D33" s="422">
        <v>435</v>
      </c>
      <c r="E33" s="280">
        <v>435</v>
      </c>
      <c r="F33" s="280">
        <v>435</v>
      </c>
      <c r="G33" s="280">
        <v>435</v>
      </c>
      <c r="H33" s="280">
        <v>435</v>
      </c>
      <c r="I33" s="280">
        <v>435</v>
      </c>
      <c r="J33" s="280">
        <v>435</v>
      </c>
      <c r="K33" s="280">
        <v>435</v>
      </c>
      <c r="L33" s="280">
        <v>435</v>
      </c>
      <c r="M33" s="280">
        <v>435</v>
      </c>
      <c r="N33" s="280">
        <v>435</v>
      </c>
      <c r="O33" s="408">
        <v>435</v>
      </c>
      <c r="P33" s="405">
        <f t="shared" si="2"/>
        <v>5220</v>
      </c>
    </row>
    <row r="34" spans="1:16" ht="15">
      <c r="A34" s="269">
        <v>5204200003</v>
      </c>
      <c r="B34" s="272" t="s">
        <v>31</v>
      </c>
      <c r="C34" s="581"/>
      <c r="D34" s="422">
        <v>1902</v>
      </c>
      <c r="E34" s="280">
        <v>1902</v>
      </c>
      <c r="F34" s="280">
        <v>1902</v>
      </c>
      <c r="G34" s="280">
        <v>1902</v>
      </c>
      <c r="H34" s="280">
        <v>1902</v>
      </c>
      <c r="I34" s="280">
        <v>1902</v>
      </c>
      <c r="J34" s="280">
        <v>1902</v>
      </c>
      <c r="K34" s="280">
        <v>1902</v>
      </c>
      <c r="L34" s="280">
        <v>1902</v>
      </c>
      <c r="M34" s="280">
        <v>1902</v>
      </c>
      <c r="N34" s="280">
        <v>1902</v>
      </c>
      <c r="O34" s="408">
        <v>1902</v>
      </c>
      <c r="P34" s="405">
        <f t="shared" si="2"/>
        <v>22824</v>
      </c>
    </row>
    <row r="35" spans="1:16" ht="15">
      <c r="A35" s="269">
        <v>5204200004</v>
      </c>
      <c r="B35" s="272" t="s">
        <v>32</v>
      </c>
      <c r="C35" s="581"/>
      <c r="D35" s="422"/>
      <c r="E35" s="280"/>
      <c r="F35" s="280"/>
      <c r="G35" s="280">
        <v>2297.92</v>
      </c>
      <c r="H35" s="280"/>
      <c r="I35" s="280"/>
      <c r="J35" s="280"/>
      <c r="K35" s="280"/>
      <c r="L35" s="280"/>
      <c r="M35" s="280"/>
      <c r="N35" s="280"/>
      <c r="O35" s="408"/>
      <c r="P35" s="405">
        <f t="shared" si="2"/>
        <v>2297.92</v>
      </c>
    </row>
    <row r="36" spans="1:16" ht="15">
      <c r="A36" s="269">
        <v>5204200005</v>
      </c>
      <c r="B36" s="272" t="s">
        <v>33</v>
      </c>
      <c r="C36" s="581"/>
      <c r="D36" s="422"/>
      <c r="E36" s="280"/>
      <c r="F36" s="280"/>
      <c r="G36" s="280"/>
      <c r="H36" s="280">
        <v>60</v>
      </c>
      <c r="I36" s="280">
        <v>60</v>
      </c>
      <c r="J36" s="280">
        <v>60</v>
      </c>
      <c r="K36" s="280"/>
      <c r="L36" s="280"/>
      <c r="M36" s="280"/>
      <c r="N36" s="280"/>
      <c r="O36" s="408"/>
      <c r="P36" s="405">
        <f t="shared" si="2"/>
        <v>180</v>
      </c>
    </row>
    <row r="37" spans="1:16" ht="15">
      <c r="A37" s="269">
        <v>5204200006</v>
      </c>
      <c r="B37" s="272" t="s">
        <v>34</v>
      </c>
      <c r="C37" s="581"/>
      <c r="D37" s="422">
        <v>212.073</v>
      </c>
      <c r="E37" s="280">
        <v>212.073</v>
      </c>
      <c r="F37" s="280">
        <v>212.073</v>
      </c>
      <c r="G37" s="280">
        <v>212.073</v>
      </c>
      <c r="H37" s="280">
        <v>212.073</v>
      </c>
      <c r="I37" s="280">
        <v>212.073</v>
      </c>
      <c r="J37" s="280">
        <v>212.073</v>
      </c>
      <c r="K37" s="280">
        <v>212.073</v>
      </c>
      <c r="L37" s="280">
        <v>212.073</v>
      </c>
      <c r="M37" s="280">
        <v>212.073</v>
      </c>
      <c r="N37" s="280">
        <v>212.073</v>
      </c>
      <c r="O37" s="408">
        <v>212.073</v>
      </c>
      <c r="P37" s="405">
        <f t="shared" si="2"/>
        <v>2544.876</v>
      </c>
    </row>
    <row r="38" spans="1:16" s="318" customFormat="1" ht="30.75" thickBot="1">
      <c r="A38" s="325" t="s">
        <v>35</v>
      </c>
      <c r="B38" s="326" t="s">
        <v>36</v>
      </c>
      <c r="C38" s="582"/>
      <c r="D38" s="423">
        <f aca="true" t="shared" si="7" ref="D38:O38">SUM(D32:D37)</f>
        <v>4451.073</v>
      </c>
      <c r="E38" s="328">
        <f t="shared" si="7"/>
        <v>4451.073</v>
      </c>
      <c r="F38" s="328">
        <f t="shared" si="7"/>
        <v>4451.073</v>
      </c>
      <c r="G38" s="328">
        <f t="shared" si="7"/>
        <v>6748.993</v>
      </c>
      <c r="H38" s="328">
        <f t="shared" si="7"/>
        <v>4511.073</v>
      </c>
      <c r="I38" s="328">
        <f t="shared" si="7"/>
        <v>4511.073</v>
      </c>
      <c r="J38" s="328">
        <f t="shared" si="7"/>
        <v>4511.073</v>
      </c>
      <c r="K38" s="328">
        <f t="shared" si="7"/>
        <v>4451.073</v>
      </c>
      <c r="L38" s="328">
        <f t="shared" si="7"/>
        <v>4451.073</v>
      </c>
      <c r="M38" s="328">
        <f t="shared" si="7"/>
        <v>4451.073</v>
      </c>
      <c r="N38" s="328">
        <f t="shared" si="7"/>
        <v>4451.073</v>
      </c>
      <c r="O38" s="409">
        <f t="shared" si="7"/>
        <v>4451.073</v>
      </c>
      <c r="P38" s="406">
        <f t="shared" si="2"/>
        <v>55890.79600000002</v>
      </c>
    </row>
    <row r="39" spans="1:16" ht="15.75" thickBot="1">
      <c r="A39" s="186"/>
      <c r="B39" s="329"/>
      <c r="C39" s="329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403"/>
    </row>
    <row r="40" spans="1:16" ht="15.75">
      <c r="A40" s="268"/>
      <c r="B40" s="273" t="s">
        <v>37</v>
      </c>
      <c r="C40" s="424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432"/>
    </row>
    <row r="41" spans="1:16" ht="15">
      <c r="A41" s="269">
        <v>5204030016</v>
      </c>
      <c r="B41" s="272" t="s">
        <v>38</v>
      </c>
      <c r="C41" s="581"/>
      <c r="D41" s="422">
        <v>130</v>
      </c>
      <c r="E41" s="280">
        <v>130</v>
      </c>
      <c r="F41" s="280">
        <v>130</v>
      </c>
      <c r="G41" s="280">
        <v>130</v>
      </c>
      <c r="H41" s="280">
        <v>130</v>
      </c>
      <c r="I41" s="280">
        <v>130</v>
      </c>
      <c r="J41" s="280">
        <v>130</v>
      </c>
      <c r="K41" s="280">
        <v>130</v>
      </c>
      <c r="L41" s="280">
        <v>130</v>
      </c>
      <c r="M41" s="280">
        <v>130</v>
      </c>
      <c r="N41" s="280">
        <v>130</v>
      </c>
      <c r="O41" s="408">
        <v>130</v>
      </c>
      <c r="P41" s="405">
        <f t="shared" si="2"/>
        <v>1560</v>
      </c>
    </row>
    <row r="42" spans="1:16" ht="15">
      <c r="A42" s="269">
        <v>5204200099</v>
      </c>
      <c r="B42" s="272" t="s">
        <v>39</v>
      </c>
      <c r="C42" s="581"/>
      <c r="D42" s="422">
        <v>42</v>
      </c>
      <c r="E42" s="280">
        <f>D42</f>
        <v>42</v>
      </c>
      <c r="F42" s="280">
        <f aca="true" t="shared" si="8" ref="F42:N42">E42</f>
        <v>42</v>
      </c>
      <c r="G42" s="280">
        <f t="shared" si="8"/>
        <v>42</v>
      </c>
      <c r="H42" s="280">
        <f t="shared" si="8"/>
        <v>42</v>
      </c>
      <c r="I42" s="280">
        <f t="shared" si="8"/>
        <v>42</v>
      </c>
      <c r="J42" s="280">
        <f t="shared" si="8"/>
        <v>42</v>
      </c>
      <c r="K42" s="280">
        <f t="shared" si="8"/>
        <v>42</v>
      </c>
      <c r="L42" s="280">
        <f t="shared" si="8"/>
        <v>42</v>
      </c>
      <c r="M42" s="280">
        <f t="shared" si="8"/>
        <v>42</v>
      </c>
      <c r="N42" s="280">
        <f t="shared" si="8"/>
        <v>42</v>
      </c>
      <c r="O42" s="408">
        <f>N42</f>
        <v>42</v>
      </c>
      <c r="P42" s="405">
        <f t="shared" si="2"/>
        <v>504</v>
      </c>
    </row>
    <row r="43" spans="1:16" ht="15">
      <c r="A43" s="269">
        <v>5204300010</v>
      </c>
      <c r="B43" s="272" t="s">
        <v>40</v>
      </c>
      <c r="C43" s="581"/>
      <c r="D43" s="422">
        <v>23</v>
      </c>
      <c r="E43" s="280">
        <v>23</v>
      </c>
      <c r="F43" s="280">
        <v>23</v>
      </c>
      <c r="G43" s="280">
        <v>23</v>
      </c>
      <c r="H43" s="280">
        <v>23</v>
      </c>
      <c r="I43" s="280">
        <v>23</v>
      </c>
      <c r="J43" s="280">
        <v>23</v>
      </c>
      <c r="K43" s="280">
        <v>23</v>
      </c>
      <c r="L43" s="280">
        <v>23</v>
      </c>
      <c r="M43" s="280">
        <v>23</v>
      </c>
      <c r="N43" s="280">
        <v>23</v>
      </c>
      <c r="O43" s="408">
        <v>23</v>
      </c>
      <c r="P43" s="405">
        <f t="shared" si="2"/>
        <v>276</v>
      </c>
    </row>
    <row r="44" spans="1:16" ht="15">
      <c r="A44" s="269">
        <v>5204300019</v>
      </c>
      <c r="B44" s="272" t="s">
        <v>16</v>
      </c>
      <c r="C44" s="581"/>
      <c r="D44" s="422">
        <v>15</v>
      </c>
      <c r="E44" s="280">
        <v>15</v>
      </c>
      <c r="F44" s="280">
        <v>15</v>
      </c>
      <c r="G44" s="280">
        <v>15</v>
      </c>
      <c r="H44" s="280">
        <v>15</v>
      </c>
      <c r="I44" s="280">
        <v>15</v>
      </c>
      <c r="J44" s="280">
        <v>15</v>
      </c>
      <c r="K44" s="280">
        <v>15</v>
      </c>
      <c r="L44" s="280">
        <v>15</v>
      </c>
      <c r="M44" s="280">
        <v>15</v>
      </c>
      <c r="N44" s="280">
        <v>15</v>
      </c>
      <c r="O44" s="408">
        <v>15</v>
      </c>
      <c r="P44" s="405">
        <f t="shared" si="2"/>
        <v>180</v>
      </c>
    </row>
    <row r="45" spans="1:16" ht="15">
      <c r="A45" s="269">
        <v>5204400011</v>
      </c>
      <c r="B45" s="272" t="s">
        <v>18</v>
      </c>
      <c r="C45" s="581"/>
      <c r="D45" s="422">
        <v>3</v>
      </c>
      <c r="E45" s="280">
        <v>3</v>
      </c>
      <c r="F45" s="280">
        <v>3</v>
      </c>
      <c r="G45" s="280">
        <v>3</v>
      </c>
      <c r="H45" s="280">
        <v>3</v>
      </c>
      <c r="I45" s="280">
        <v>3</v>
      </c>
      <c r="J45" s="280">
        <v>3</v>
      </c>
      <c r="K45" s="280">
        <v>3</v>
      </c>
      <c r="L45" s="280">
        <v>3</v>
      </c>
      <c r="M45" s="280">
        <v>3</v>
      </c>
      <c r="N45" s="280">
        <v>3</v>
      </c>
      <c r="O45" s="408">
        <v>3</v>
      </c>
      <c r="P45" s="405">
        <f t="shared" si="2"/>
        <v>36</v>
      </c>
    </row>
    <row r="46" spans="1:16" ht="15">
      <c r="A46" s="268">
        <v>5204500013</v>
      </c>
      <c r="B46" s="270" t="s">
        <v>41</v>
      </c>
      <c r="C46" s="581"/>
      <c r="D46" s="422">
        <v>163</v>
      </c>
      <c r="E46" s="280">
        <v>163</v>
      </c>
      <c r="F46" s="280">
        <v>163</v>
      </c>
      <c r="G46" s="280">
        <v>163</v>
      </c>
      <c r="H46" s="280">
        <v>163</v>
      </c>
      <c r="I46" s="280">
        <v>163</v>
      </c>
      <c r="J46" s="280">
        <v>163</v>
      </c>
      <c r="K46" s="280">
        <v>163</v>
      </c>
      <c r="L46" s="280">
        <v>163</v>
      </c>
      <c r="M46" s="280">
        <v>163</v>
      </c>
      <c r="N46" s="280">
        <v>163</v>
      </c>
      <c r="O46" s="408">
        <v>163</v>
      </c>
      <c r="P46" s="405">
        <f t="shared" si="2"/>
        <v>1956</v>
      </c>
    </row>
    <row r="47" spans="1:16" ht="15">
      <c r="A47" s="268">
        <v>5204500016</v>
      </c>
      <c r="B47" s="270" t="s">
        <v>24</v>
      </c>
      <c r="C47" s="581"/>
      <c r="D47" s="422">
        <v>4</v>
      </c>
      <c r="E47" s="280">
        <v>4</v>
      </c>
      <c r="F47" s="280">
        <v>4</v>
      </c>
      <c r="G47" s="280">
        <v>4</v>
      </c>
      <c r="H47" s="280">
        <v>4</v>
      </c>
      <c r="I47" s="280">
        <v>4</v>
      </c>
      <c r="J47" s="280">
        <v>4</v>
      </c>
      <c r="K47" s="280">
        <v>4</v>
      </c>
      <c r="L47" s="280">
        <v>4</v>
      </c>
      <c r="M47" s="280">
        <v>4</v>
      </c>
      <c r="N47" s="280">
        <v>4</v>
      </c>
      <c r="O47" s="408">
        <v>4</v>
      </c>
      <c r="P47" s="405">
        <f t="shared" si="2"/>
        <v>48</v>
      </c>
    </row>
    <row r="48" spans="1:16" ht="15">
      <c r="A48" s="268">
        <v>5204500017</v>
      </c>
      <c r="B48" s="270" t="s">
        <v>15</v>
      </c>
      <c r="C48" s="581"/>
      <c r="D48" s="422">
        <v>97</v>
      </c>
      <c r="E48" s="280">
        <v>97</v>
      </c>
      <c r="F48" s="280">
        <v>97</v>
      </c>
      <c r="G48" s="280">
        <v>97</v>
      </c>
      <c r="H48" s="280">
        <v>97</v>
      </c>
      <c r="I48" s="280">
        <v>97</v>
      </c>
      <c r="J48" s="280">
        <v>97</v>
      </c>
      <c r="K48" s="280">
        <v>97</v>
      </c>
      <c r="L48" s="280">
        <v>97</v>
      </c>
      <c r="M48" s="280">
        <v>97</v>
      </c>
      <c r="N48" s="280">
        <v>97</v>
      </c>
      <c r="O48" s="408">
        <v>97</v>
      </c>
      <c r="P48" s="405">
        <f t="shared" si="2"/>
        <v>1164</v>
      </c>
    </row>
    <row r="49" spans="1:16" ht="15">
      <c r="A49" s="268">
        <v>5204500020</v>
      </c>
      <c r="B49" s="270" t="s">
        <v>42</v>
      </c>
      <c r="C49" s="581"/>
      <c r="D49" s="422">
        <v>78</v>
      </c>
      <c r="E49" s="280">
        <v>78</v>
      </c>
      <c r="F49" s="280">
        <v>78</v>
      </c>
      <c r="G49" s="280">
        <v>78</v>
      </c>
      <c r="H49" s="280">
        <v>78</v>
      </c>
      <c r="I49" s="280">
        <v>78</v>
      </c>
      <c r="J49" s="280">
        <v>78</v>
      </c>
      <c r="K49" s="280">
        <v>78</v>
      </c>
      <c r="L49" s="280">
        <v>78</v>
      </c>
      <c r="M49" s="280">
        <v>78</v>
      </c>
      <c r="N49" s="280">
        <v>78</v>
      </c>
      <c r="O49" s="408">
        <v>78</v>
      </c>
      <c r="P49" s="405">
        <f t="shared" si="2"/>
        <v>936</v>
      </c>
    </row>
    <row r="50" spans="1:16" ht="15">
      <c r="A50" s="268">
        <v>5204500022</v>
      </c>
      <c r="B50" s="270" t="s">
        <v>43</v>
      </c>
      <c r="C50" s="581"/>
      <c r="D50" s="422"/>
      <c r="E50" s="280"/>
      <c r="F50" s="280"/>
      <c r="G50" s="280"/>
      <c r="H50" s="280">
        <v>80</v>
      </c>
      <c r="I50" s="280"/>
      <c r="J50" s="280"/>
      <c r="K50" s="280"/>
      <c r="L50" s="280"/>
      <c r="M50" s="280"/>
      <c r="N50" s="280"/>
      <c r="O50" s="408"/>
      <c r="P50" s="405">
        <f t="shared" si="2"/>
        <v>80</v>
      </c>
    </row>
    <row r="51" spans="1:16" ht="15">
      <c r="A51" s="268">
        <v>5204500023</v>
      </c>
      <c r="B51" s="270" t="s">
        <v>44</v>
      </c>
      <c r="C51" s="581"/>
      <c r="D51" s="422">
        <v>31</v>
      </c>
      <c r="E51" s="280">
        <v>31</v>
      </c>
      <c r="F51" s="280">
        <v>31</v>
      </c>
      <c r="G51" s="280">
        <v>31</v>
      </c>
      <c r="H51" s="280">
        <v>31</v>
      </c>
      <c r="I51" s="280">
        <v>31</v>
      </c>
      <c r="J51" s="280">
        <v>31</v>
      </c>
      <c r="K51" s="280">
        <v>31</v>
      </c>
      <c r="L51" s="280">
        <v>31</v>
      </c>
      <c r="M51" s="280">
        <v>31</v>
      </c>
      <c r="N51" s="280">
        <v>31</v>
      </c>
      <c r="O51" s="408">
        <v>31</v>
      </c>
      <c r="P51" s="405">
        <f t="shared" si="2"/>
        <v>372</v>
      </c>
    </row>
    <row r="52" spans="1:16" ht="15">
      <c r="A52" s="268">
        <v>5204500024</v>
      </c>
      <c r="B52" s="270" t="s">
        <v>45</v>
      </c>
      <c r="C52" s="581"/>
      <c r="D52" s="422">
        <v>111</v>
      </c>
      <c r="E52" s="280">
        <v>111</v>
      </c>
      <c r="F52" s="280">
        <v>111</v>
      </c>
      <c r="G52" s="280">
        <v>111</v>
      </c>
      <c r="H52" s="280">
        <v>111</v>
      </c>
      <c r="I52" s="280">
        <v>111</v>
      </c>
      <c r="J52" s="280">
        <v>111</v>
      </c>
      <c r="K52" s="280">
        <v>111</v>
      </c>
      <c r="L52" s="280">
        <v>111</v>
      </c>
      <c r="M52" s="280">
        <v>111</v>
      </c>
      <c r="N52" s="280">
        <v>111</v>
      </c>
      <c r="O52" s="408">
        <v>111</v>
      </c>
      <c r="P52" s="405">
        <f t="shared" si="2"/>
        <v>1332</v>
      </c>
    </row>
    <row r="53" spans="1:16" s="318" customFormat="1" ht="16.5" thickBot="1">
      <c r="A53" s="325" t="s">
        <v>46</v>
      </c>
      <c r="B53" s="326" t="s">
        <v>47</v>
      </c>
      <c r="C53" s="582"/>
      <c r="D53" s="423">
        <f aca="true" t="shared" si="9" ref="D53:O53">SUM(D41:D52)</f>
        <v>697</v>
      </c>
      <c r="E53" s="328">
        <f t="shared" si="9"/>
        <v>697</v>
      </c>
      <c r="F53" s="328">
        <f t="shared" si="9"/>
        <v>697</v>
      </c>
      <c r="G53" s="328">
        <f t="shared" si="9"/>
        <v>697</v>
      </c>
      <c r="H53" s="328">
        <f t="shared" si="9"/>
        <v>777</v>
      </c>
      <c r="I53" s="328">
        <f t="shared" si="9"/>
        <v>697</v>
      </c>
      <c r="J53" s="328">
        <f t="shared" si="9"/>
        <v>697</v>
      </c>
      <c r="K53" s="328">
        <f t="shared" si="9"/>
        <v>697</v>
      </c>
      <c r="L53" s="328">
        <f t="shared" si="9"/>
        <v>697</v>
      </c>
      <c r="M53" s="328">
        <f t="shared" si="9"/>
        <v>697</v>
      </c>
      <c r="N53" s="328">
        <f t="shared" si="9"/>
        <v>697</v>
      </c>
      <c r="O53" s="409">
        <f t="shared" si="9"/>
        <v>697</v>
      </c>
      <c r="P53" s="406">
        <f>SUM(D53:O53)</f>
        <v>8444</v>
      </c>
    </row>
    <row r="54" spans="1:16" ht="15.75" thickBot="1">
      <c r="A54" s="186"/>
      <c r="B54" s="329"/>
      <c r="C54" s="329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403"/>
    </row>
    <row r="55" spans="1:16" ht="31.5">
      <c r="A55" s="268"/>
      <c r="B55" s="273" t="s">
        <v>48</v>
      </c>
      <c r="C55" s="424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432"/>
    </row>
    <row r="56" spans="1:16" ht="15">
      <c r="A56" s="269">
        <v>5214110001</v>
      </c>
      <c r="B56" s="272" t="s">
        <v>49</v>
      </c>
      <c r="C56" s="581"/>
      <c r="D56" s="422">
        <v>784</v>
      </c>
      <c r="E56" s="280">
        <v>784</v>
      </c>
      <c r="F56" s="280">
        <v>784</v>
      </c>
      <c r="G56" s="280">
        <v>784</v>
      </c>
      <c r="H56" s="280">
        <v>784</v>
      </c>
      <c r="I56" s="280">
        <v>784</v>
      </c>
      <c r="J56" s="280">
        <v>784</v>
      </c>
      <c r="K56" s="280">
        <v>784</v>
      </c>
      <c r="L56" s="280">
        <v>784</v>
      </c>
      <c r="M56" s="280">
        <v>784</v>
      </c>
      <c r="N56" s="280">
        <v>784</v>
      </c>
      <c r="O56" s="408">
        <v>784</v>
      </c>
      <c r="P56" s="405">
        <f t="shared" si="2"/>
        <v>9408</v>
      </c>
    </row>
    <row r="57" spans="1:16" ht="15">
      <c r="A57" s="269">
        <v>5214110002</v>
      </c>
      <c r="B57" s="272" t="s">
        <v>60</v>
      </c>
      <c r="C57" s="581"/>
      <c r="D57" s="422">
        <v>784</v>
      </c>
      <c r="E57" s="280">
        <v>784</v>
      </c>
      <c r="F57" s="280">
        <v>784</v>
      </c>
      <c r="G57" s="280">
        <v>784</v>
      </c>
      <c r="H57" s="280">
        <v>784</v>
      </c>
      <c r="I57" s="280">
        <v>784</v>
      </c>
      <c r="J57" s="280">
        <v>784</v>
      </c>
      <c r="K57" s="280">
        <v>784</v>
      </c>
      <c r="L57" s="280">
        <v>784</v>
      </c>
      <c r="M57" s="280">
        <v>784</v>
      </c>
      <c r="N57" s="280">
        <v>784</v>
      </c>
      <c r="O57" s="408">
        <v>784</v>
      </c>
      <c r="P57" s="405">
        <f t="shared" si="2"/>
        <v>9408</v>
      </c>
    </row>
    <row r="58" spans="1:16" ht="15">
      <c r="A58" s="269">
        <v>5214110005</v>
      </c>
      <c r="B58" s="272" t="s">
        <v>61</v>
      </c>
      <c r="C58" s="581"/>
      <c r="D58" s="422">
        <v>656.85</v>
      </c>
      <c r="E58" s="280">
        <v>656.85</v>
      </c>
      <c r="F58" s="280">
        <v>656.85</v>
      </c>
      <c r="G58" s="280">
        <v>656.85</v>
      </c>
      <c r="H58" s="280">
        <v>656.85</v>
      </c>
      <c r="I58" s="280">
        <v>656.85</v>
      </c>
      <c r="J58" s="280">
        <v>656.85</v>
      </c>
      <c r="K58" s="280">
        <v>656.85</v>
      </c>
      <c r="L58" s="280">
        <v>656.85</v>
      </c>
      <c r="M58" s="280">
        <v>656.85</v>
      </c>
      <c r="N58" s="280">
        <v>656.85</v>
      </c>
      <c r="O58" s="408">
        <v>656.85</v>
      </c>
      <c r="P58" s="405">
        <f t="shared" si="2"/>
        <v>7882.200000000002</v>
      </c>
    </row>
    <row r="59" spans="1:16" s="318" customFormat="1" ht="30.75" thickBot="1">
      <c r="A59" s="536" t="s">
        <v>50</v>
      </c>
      <c r="B59" s="326" t="s">
        <v>51</v>
      </c>
      <c r="C59" s="582"/>
      <c r="D59" s="423">
        <f aca="true" t="shared" si="10" ref="D59:O59">SUM(D56:D58)</f>
        <v>2224.85</v>
      </c>
      <c r="E59" s="328">
        <f t="shared" si="10"/>
        <v>2224.85</v>
      </c>
      <c r="F59" s="328">
        <f t="shared" si="10"/>
        <v>2224.85</v>
      </c>
      <c r="G59" s="328">
        <f t="shared" si="10"/>
        <v>2224.85</v>
      </c>
      <c r="H59" s="328">
        <f t="shared" si="10"/>
        <v>2224.85</v>
      </c>
      <c r="I59" s="328">
        <f t="shared" si="10"/>
        <v>2224.85</v>
      </c>
      <c r="J59" s="328">
        <f t="shared" si="10"/>
        <v>2224.85</v>
      </c>
      <c r="K59" s="328">
        <f t="shared" si="10"/>
        <v>2224.85</v>
      </c>
      <c r="L59" s="328">
        <f t="shared" si="10"/>
        <v>2224.85</v>
      </c>
      <c r="M59" s="328">
        <f t="shared" si="10"/>
        <v>2224.85</v>
      </c>
      <c r="N59" s="328">
        <f t="shared" si="10"/>
        <v>2224.85</v>
      </c>
      <c r="O59" s="409">
        <f t="shared" si="10"/>
        <v>2224.85</v>
      </c>
      <c r="P59" s="406">
        <f t="shared" si="2"/>
        <v>26698.199999999993</v>
      </c>
    </row>
    <row r="60" spans="1:16" ht="15.75" thickBot="1">
      <c r="A60" s="186"/>
      <c r="B60" s="329"/>
      <c r="C60" s="329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403"/>
    </row>
    <row r="61" spans="1:16" ht="15.75">
      <c r="A61" s="268"/>
      <c r="B61" s="273" t="s">
        <v>52</v>
      </c>
      <c r="C61" s="424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432"/>
    </row>
    <row r="62" spans="1:16" ht="15">
      <c r="A62" s="533">
        <v>5501000000</v>
      </c>
      <c r="B62" s="272" t="s">
        <v>53</v>
      </c>
      <c r="C62" s="581"/>
      <c r="D62" s="422">
        <v>393.84</v>
      </c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408"/>
      <c r="P62" s="405">
        <f aca="true" t="shared" si="11" ref="P62:P70">SUM(D62:O62)</f>
        <v>393.84</v>
      </c>
    </row>
    <row r="63" spans="1:16" ht="15">
      <c r="A63" s="535"/>
      <c r="B63" s="551" t="s">
        <v>54</v>
      </c>
      <c r="C63" s="581"/>
      <c r="D63" s="422">
        <v>180</v>
      </c>
      <c r="E63" s="280">
        <v>180</v>
      </c>
      <c r="F63" s="280">
        <v>180</v>
      </c>
      <c r="G63" s="280">
        <v>180</v>
      </c>
      <c r="H63" s="280">
        <v>180</v>
      </c>
      <c r="I63" s="280">
        <v>180</v>
      </c>
      <c r="J63" s="280">
        <v>180</v>
      </c>
      <c r="K63" s="280">
        <v>180</v>
      </c>
      <c r="L63" s="280">
        <v>180</v>
      </c>
      <c r="M63" s="280">
        <v>180</v>
      </c>
      <c r="N63" s="280">
        <v>180</v>
      </c>
      <c r="O63" s="408">
        <v>180</v>
      </c>
      <c r="P63" s="405">
        <f t="shared" si="11"/>
        <v>2160</v>
      </c>
    </row>
    <row r="64" spans="1:16" ht="15">
      <c r="A64" s="535"/>
      <c r="B64" s="551" t="s">
        <v>55</v>
      </c>
      <c r="C64" s="581"/>
      <c r="D64" s="422"/>
      <c r="E64" s="280">
        <v>600</v>
      </c>
      <c r="F64" s="280"/>
      <c r="G64" s="280"/>
      <c r="H64" s="280"/>
      <c r="I64" s="280"/>
      <c r="J64" s="280">
        <v>300</v>
      </c>
      <c r="K64" s="280"/>
      <c r="L64" s="280"/>
      <c r="M64" s="280"/>
      <c r="N64" s="280"/>
      <c r="O64" s="408">
        <v>300</v>
      </c>
      <c r="P64" s="405">
        <f t="shared" si="11"/>
        <v>1200</v>
      </c>
    </row>
    <row r="65" spans="1:16" ht="15">
      <c r="A65" s="535"/>
      <c r="B65" s="551" t="s">
        <v>56</v>
      </c>
      <c r="C65" s="581"/>
      <c r="D65" s="422">
        <v>390</v>
      </c>
      <c r="E65" s="280">
        <v>390</v>
      </c>
      <c r="F65" s="280">
        <v>390</v>
      </c>
      <c r="G65" s="280">
        <v>390</v>
      </c>
      <c r="H65" s="280">
        <v>390</v>
      </c>
      <c r="I65" s="280">
        <v>390</v>
      </c>
      <c r="J65" s="280">
        <v>390</v>
      </c>
      <c r="K65" s="280">
        <v>390</v>
      </c>
      <c r="L65" s="280">
        <v>390</v>
      </c>
      <c r="M65" s="280">
        <v>390</v>
      </c>
      <c r="N65" s="280">
        <v>390</v>
      </c>
      <c r="O65" s="408">
        <v>390</v>
      </c>
      <c r="P65" s="405">
        <f t="shared" si="11"/>
        <v>4680</v>
      </c>
    </row>
    <row r="66" spans="1:16" s="318" customFormat="1" ht="16.5" thickBot="1">
      <c r="A66" s="534" t="s">
        <v>57</v>
      </c>
      <c r="B66" s="326" t="s">
        <v>58</v>
      </c>
      <c r="C66" s="582"/>
      <c r="D66" s="423">
        <f>SUM(D62:D65)</f>
        <v>963.8399999999999</v>
      </c>
      <c r="E66" s="328">
        <f aca="true" t="shared" si="12" ref="E66:O66">SUM(E63:E65)</f>
        <v>1170</v>
      </c>
      <c r="F66" s="328">
        <f t="shared" si="12"/>
        <v>570</v>
      </c>
      <c r="G66" s="328">
        <f t="shared" si="12"/>
        <v>570</v>
      </c>
      <c r="H66" s="328">
        <f t="shared" si="12"/>
        <v>570</v>
      </c>
      <c r="I66" s="328">
        <f t="shared" si="12"/>
        <v>570</v>
      </c>
      <c r="J66" s="328">
        <f t="shared" si="12"/>
        <v>870</v>
      </c>
      <c r="K66" s="328">
        <f t="shared" si="12"/>
        <v>570</v>
      </c>
      <c r="L66" s="328">
        <f t="shared" si="12"/>
        <v>570</v>
      </c>
      <c r="M66" s="328">
        <f t="shared" si="12"/>
        <v>570</v>
      </c>
      <c r="N66" s="328">
        <f t="shared" si="12"/>
        <v>570</v>
      </c>
      <c r="O66" s="409">
        <f t="shared" si="12"/>
        <v>870</v>
      </c>
      <c r="P66" s="406">
        <f t="shared" si="11"/>
        <v>8433.84</v>
      </c>
    </row>
    <row r="67" spans="2:16" s="186" customFormat="1" ht="15.75" thickBot="1">
      <c r="B67" s="329"/>
      <c r="C67" s="329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403"/>
    </row>
    <row r="68" spans="2:16" s="318" customFormat="1" ht="16.5" thickBot="1">
      <c r="B68" s="519" t="s">
        <v>211</v>
      </c>
      <c r="C68" s="732">
        <v>25588600</v>
      </c>
      <c r="D68" s="520">
        <f>D14+D29+D38+D53+D59+D66</f>
        <v>14316.763</v>
      </c>
      <c r="E68" s="521">
        <f aca="true" t="shared" si="13" ref="E68:O68">E14+E29+E38+E53+E59+E66</f>
        <v>15922.923</v>
      </c>
      <c r="F68" s="521">
        <f t="shared" si="13"/>
        <v>14422.923</v>
      </c>
      <c r="G68" s="521">
        <f t="shared" si="13"/>
        <v>16720.843</v>
      </c>
      <c r="H68" s="521">
        <f t="shared" si="13"/>
        <v>14562.923</v>
      </c>
      <c r="I68" s="521">
        <f t="shared" si="13"/>
        <v>16382.923</v>
      </c>
      <c r="J68" s="521">
        <f t="shared" si="13"/>
        <v>14782.923</v>
      </c>
      <c r="K68" s="521">
        <f t="shared" si="13"/>
        <v>14422.923</v>
      </c>
      <c r="L68" s="521">
        <f t="shared" si="13"/>
        <v>16422.923000000003</v>
      </c>
      <c r="M68" s="521">
        <f t="shared" si="13"/>
        <v>14422.923</v>
      </c>
      <c r="N68" s="521">
        <f t="shared" si="13"/>
        <v>192451.673</v>
      </c>
      <c r="O68" s="734">
        <f t="shared" si="13"/>
        <v>192751.673</v>
      </c>
      <c r="P68" s="733">
        <f t="shared" si="11"/>
        <v>537584.336</v>
      </c>
    </row>
    <row r="69" spans="1:16" ht="16.5" thickBot="1">
      <c r="A69" s="188"/>
      <c r="B69" s="189"/>
      <c r="C69" s="189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403"/>
    </row>
    <row r="70" spans="2:16" ht="32.25" thickBot="1">
      <c r="B70" s="278" t="s">
        <v>66</v>
      </c>
      <c r="C70" s="659"/>
      <c r="D70" s="662">
        <f aca="true" t="shared" si="14" ref="D70:O70">D9-D68</f>
        <v>29961.861999999994</v>
      </c>
      <c r="E70" s="283">
        <f t="shared" si="14"/>
        <v>28355.70199999999</v>
      </c>
      <c r="F70" s="283">
        <f t="shared" si="14"/>
        <v>29855.70199999999</v>
      </c>
      <c r="G70" s="283">
        <f t="shared" si="14"/>
        <v>27557.781999999992</v>
      </c>
      <c r="H70" s="283">
        <f t="shared" si="14"/>
        <v>29715.70199999999</v>
      </c>
      <c r="I70" s="283">
        <f t="shared" si="14"/>
        <v>27895.70199999999</v>
      </c>
      <c r="J70" s="283">
        <f t="shared" si="14"/>
        <v>29495.70199999999</v>
      </c>
      <c r="K70" s="283">
        <f t="shared" si="14"/>
        <v>29855.70199999999</v>
      </c>
      <c r="L70" s="283">
        <f t="shared" si="14"/>
        <v>27855.70199999999</v>
      </c>
      <c r="M70" s="283">
        <f t="shared" si="14"/>
        <v>29855.70199999999</v>
      </c>
      <c r="N70" s="283">
        <f t="shared" si="14"/>
        <v>-91348.81258333335</v>
      </c>
      <c r="O70" s="284">
        <f t="shared" si="14"/>
        <v>-91648.81258333335</v>
      </c>
      <c r="P70" s="411">
        <f t="shared" si="11"/>
        <v>107407.6348333332</v>
      </c>
    </row>
    <row r="71" spans="2:15" ht="15">
      <c r="B71" s="655" t="s">
        <v>229</v>
      </c>
      <c r="C71" s="186"/>
      <c r="D71" s="663">
        <f>D70*25%</f>
        <v>7490.465499999998</v>
      </c>
      <c r="E71" s="285">
        <f aca="true" t="shared" si="15" ref="E71:O71">E70*25%</f>
        <v>7088.925499999998</v>
      </c>
      <c r="F71" s="285">
        <f t="shared" si="15"/>
        <v>7463.925499999998</v>
      </c>
      <c r="G71" s="285">
        <f t="shared" si="15"/>
        <v>6889.445499999998</v>
      </c>
      <c r="H71" s="285">
        <f t="shared" si="15"/>
        <v>7428.925499999998</v>
      </c>
      <c r="I71" s="285">
        <f t="shared" si="15"/>
        <v>6973.925499999998</v>
      </c>
      <c r="J71" s="285">
        <f t="shared" si="15"/>
        <v>7373.925499999998</v>
      </c>
      <c r="K71" s="285">
        <f t="shared" si="15"/>
        <v>7463.925499999998</v>
      </c>
      <c r="L71" s="285">
        <f t="shared" si="15"/>
        <v>6963.925499999998</v>
      </c>
      <c r="M71" s="285">
        <f t="shared" si="15"/>
        <v>7463.925499999998</v>
      </c>
      <c r="N71" s="285">
        <f t="shared" si="15"/>
        <v>-22837.203145833337</v>
      </c>
      <c r="O71" s="286">
        <f t="shared" si="15"/>
        <v>-22912.203145833337</v>
      </c>
    </row>
    <row r="72" spans="2:15" ht="15.75">
      <c r="B72" s="656" t="s">
        <v>230</v>
      </c>
      <c r="D72" s="663">
        <f>D70-D71</f>
        <v>22471.396499999995</v>
      </c>
      <c r="E72" s="285">
        <f aca="true" t="shared" si="16" ref="E72:O72">E70-E71</f>
        <v>21266.776499999993</v>
      </c>
      <c r="F72" s="285">
        <f t="shared" si="16"/>
        <v>22391.776499999993</v>
      </c>
      <c r="G72" s="285">
        <f t="shared" si="16"/>
        <v>20668.336499999994</v>
      </c>
      <c r="H72" s="285">
        <f t="shared" si="16"/>
        <v>22286.776499999993</v>
      </c>
      <c r="I72" s="285">
        <f t="shared" si="16"/>
        <v>20921.776499999993</v>
      </c>
      <c r="J72" s="285">
        <f t="shared" si="16"/>
        <v>22121.776499999993</v>
      </c>
      <c r="K72" s="285">
        <f t="shared" si="16"/>
        <v>22391.776499999993</v>
      </c>
      <c r="L72" s="285">
        <f t="shared" si="16"/>
        <v>20891.776499999993</v>
      </c>
      <c r="M72" s="285">
        <f t="shared" si="16"/>
        <v>22391.776499999993</v>
      </c>
      <c r="N72" s="285">
        <f t="shared" si="16"/>
        <v>-68511.60943750001</v>
      </c>
      <c r="O72" s="286">
        <f t="shared" si="16"/>
        <v>-68736.60943750001</v>
      </c>
    </row>
    <row r="73" spans="2:15" ht="15.75">
      <c r="B73" s="657"/>
      <c r="C73" s="660">
        <v>25000000</v>
      </c>
      <c r="D73" s="664"/>
      <c r="E73" s="653"/>
      <c r="F73" s="653"/>
      <c r="G73" s="653"/>
      <c r="H73" s="653"/>
      <c r="I73" s="653"/>
      <c r="J73" s="653"/>
      <c r="K73" s="653"/>
      <c r="L73" s="653"/>
      <c r="M73" s="653"/>
      <c r="N73" s="653"/>
      <c r="O73" s="654"/>
    </row>
    <row r="74" spans="2:15" ht="15.75" thickBot="1">
      <c r="B74" s="658" t="s">
        <v>231</v>
      </c>
      <c r="C74" s="661"/>
      <c r="D74" s="552">
        <f>D72</f>
        <v>22471.396499999995</v>
      </c>
      <c r="E74" s="287">
        <f>D74+E72</f>
        <v>43738.17299999999</v>
      </c>
      <c r="F74" s="287">
        <f aca="true" t="shared" si="17" ref="F74:N74">E74+F72</f>
        <v>66129.94949999999</v>
      </c>
      <c r="G74" s="287">
        <f t="shared" si="17"/>
        <v>86798.28599999998</v>
      </c>
      <c r="H74" s="287">
        <f t="shared" si="17"/>
        <v>109085.06249999997</v>
      </c>
      <c r="I74" s="287">
        <f t="shared" si="17"/>
        <v>130006.83899999996</v>
      </c>
      <c r="J74" s="287">
        <f t="shared" si="17"/>
        <v>152128.61549999996</v>
      </c>
      <c r="K74" s="287">
        <f t="shared" si="17"/>
        <v>174520.39199999993</v>
      </c>
      <c r="L74" s="287">
        <f t="shared" si="17"/>
        <v>195412.1684999999</v>
      </c>
      <c r="M74" s="287">
        <f t="shared" si="17"/>
        <v>217803.9449999999</v>
      </c>
      <c r="N74" s="287">
        <f t="shared" si="17"/>
        <v>149292.33556249988</v>
      </c>
      <c r="O74" s="288">
        <f>N74+O72</f>
        <v>80555.72612499987</v>
      </c>
    </row>
    <row r="75" spans="2:15" s="332" customFormat="1" ht="15.75">
      <c r="B75" s="333" t="s">
        <v>232</v>
      </c>
      <c r="C75" s="333"/>
      <c r="D75" s="334">
        <f>D74/$B$76</f>
        <v>0.000878179990308184</v>
      </c>
      <c r="E75" s="334">
        <f aca="true" t="shared" si="18" ref="E75:O75">E74/$B$76</f>
        <v>0.0017092835481425318</v>
      </c>
      <c r="F75" s="334">
        <f t="shared" si="18"/>
        <v>0.002584351996592232</v>
      </c>
      <c r="G75" s="334">
        <f t="shared" si="18"/>
        <v>0.0033920685774133786</v>
      </c>
      <c r="H75" s="334">
        <f t="shared" si="18"/>
        <v>0.004263033636072312</v>
      </c>
      <c r="I75" s="334">
        <f t="shared" si="18"/>
        <v>0.005080654627451286</v>
      </c>
      <c r="J75" s="334">
        <f t="shared" si="18"/>
        <v>0.005945171502153301</v>
      </c>
      <c r="K75" s="334">
        <f t="shared" si="18"/>
        <v>0.0068202399506030005</v>
      </c>
      <c r="L75" s="334">
        <f t="shared" si="18"/>
        <v>0.007636688544898897</v>
      </c>
      <c r="M75" s="334">
        <f t="shared" si="18"/>
        <v>0.008511756993348597</v>
      </c>
      <c r="N75" s="334">
        <f t="shared" si="18"/>
        <v>0.00583432995796956</v>
      </c>
      <c r="O75" s="334">
        <f t="shared" si="18"/>
        <v>0.003148109944467453</v>
      </c>
    </row>
    <row r="76" spans="2:5" ht="15">
      <c r="B76" s="335">
        <v>25588600</v>
      </c>
      <c r="C76" s="335"/>
      <c r="E76" s="336"/>
    </row>
    <row r="77" spans="2:7" ht="15">
      <c r="B77" s="509" t="s">
        <v>108</v>
      </c>
      <c r="C77" s="509"/>
      <c r="D77" s="652"/>
      <c r="E77" s="652"/>
      <c r="F77" s="553"/>
      <c r="G77" s="3"/>
    </row>
    <row r="78" spans="2:7" ht="15">
      <c r="B78" s="509" t="s">
        <v>107</v>
      </c>
      <c r="C78" s="509"/>
      <c r="D78" s="652"/>
      <c r="E78" s="652"/>
      <c r="F78" s="553"/>
      <c r="G78" s="3"/>
    </row>
  </sheetData>
  <mergeCells count="1">
    <mergeCell ref="D3:P3"/>
  </mergeCells>
  <printOptions horizontalCentered="1" verticalCentered="1"/>
  <pageMargins left="1.5748031496062993" right="0.9448818897637796" top="1.5748031496062993" bottom="1.3779527559055118" header="0" footer="0"/>
  <pageSetup fitToHeight="2" horizontalDpi="300" verticalDpi="300" orientation="landscape" paperSize="9" scale="40" r:id="rId1"/>
  <rowBreaks count="1" manualBreakCount="1">
    <brk id="3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7.421875" style="289" bestFit="1" customWidth="1"/>
    <col min="2" max="2" width="14.140625" style="289" bestFit="1" customWidth="1"/>
    <col min="3" max="3" width="13.140625" style="289" bestFit="1" customWidth="1"/>
    <col min="4" max="4" width="12.140625" style="289" bestFit="1" customWidth="1"/>
    <col min="5" max="5" width="11.7109375" style="289" bestFit="1" customWidth="1"/>
    <col min="6" max="6" width="11.57421875" style="289" bestFit="1" customWidth="1"/>
    <col min="7" max="7" width="14.00390625" style="289" bestFit="1" customWidth="1"/>
    <col min="8" max="8" width="10.421875" style="289" bestFit="1" customWidth="1"/>
    <col min="9" max="9" width="13.421875" style="289" customWidth="1"/>
    <col min="10" max="10" width="13.28125" style="289" bestFit="1" customWidth="1"/>
    <col min="11" max="11" width="13.421875" style="289" customWidth="1"/>
    <col min="12" max="12" width="11.57421875" style="289" bestFit="1" customWidth="1"/>
    <col min="13" max="13" width="14.00390625" style="289" bestFit="1" customWidth="1"/>
    <col min="14" max="14" width="10.421875" style="289" bestFit="1" customWidth="1"/>
    <col min="15" max="15" width="5.140625" style="289" bestFit="1" customWidth="1"/>
    <col min="16" max="16384" width="11.421875" style="289" customWidth="1"/>
  </cols>
  <sheetData>
    <row r="1" spans="1:7" ht="16.5" thickBot="1">
      <c r="A1" s="212" t="s">
        <v>263</v>
      </c>
      <c r="B1" s="776" t="s">
        <v>214</v>
      </c>
      <c r="C1" s="777"/>
      <c r="D1" s="777"/>
      <c r="E1" s="777"/>
      <c r="F1" s="777"/>
      <c r="G1" s="778"/>
    </row>
    <row r="2" spans="2:7" ht="16.5" thickBot="1">
      <c r="B2" s="779"/>
      <c r="C2" s="779"/>
      <c r="D2" s="779"/>
      <c r="E2" s="779"/>
      <c r="F2" s="779"/>
      <c r="G2" s="779"/>
    </row>
    <row r="3" spans="1:14" ht="48" thickBot="1">
      <c r="A3" s="9" t="s">
        <v>213</v>
      </c>
      <c r="B3" s="291" t="s">
        <v>62</v>
      </c>
      <c r="C3" s="76" t="s">
        <v>102</v>
      </c>
      <c r="D3" s="76" t="s">
        <v>110</v>
      </c>
      <c r="E3" s="76" t="s">
        <v>123</v>
      </c>
      <c r="F3" s="76" t="s">
        <v>121</v>
      </c>
      <c r="G3" s="76" t="s">
        <v>125</v>
      </c>
      <c r="H3" s="98" t="s">
        <v>126</v>
      </c>
      <c r="I3" s="458" t="s">
        <v>103</v>
      </c>
      <c r="J3" s="454" t="s">
        <v>111</v>
      </c>
      <c r="K3" s="76" t="s">
        <v>124</v>
      </c>
      <c r="L3" s="76" t="s">
        <v>121</v>
      </c>
      <c r="M3" s="76" t="s">
        <v>125</v>
      </c>
      <c r="N3" s="98" t="s">
        <v>126</v>
      </c>
    </row>
    <row r="4" spans="1:14" s="309" customFormat="1" ht="15.75" thickBot="1">
      <c r="A4" s="316"/>
      <c r="C4" s="314"/>
      <c r="D4" s="442"/>
      <c r="E4" s="314"/>
      <c r="F4" s="444">
        <v>0.1</v>
      </c>
      <c r="G4" s="314"/>
      <c r="H4" s="445">
        <f>96</f>
        <v>96</v>
      </c>
      <c r="J4" s="72"/>
      <c r="K4" s="96"/>
      <c r="L4" s="103">
        <v>0.1</v>
      </c>
      <c r="M4" s="99"/>
      <c r="N4" s="453">
        <v>96</v>
      </c>
    </row>
    <row r="5" spans="1:14" ht="15.75">
      <c r="A5" s="447">
        <v>0.2</v>
      </c>
      <c r="B5" s="448" t="s">
        <v>91</v>
      </c>
      <c r="C5" s="449">
        <f>91577</f>
        <v>91577</v>
      </c>
      <c r="D5" s="106">
        <f aca="true" t="shared" si="0" ref="D5:D14">C5*$L$16</f>
        <v>27473.1</v>
      </c>
      <c r="E5" s="310">
        <f aca="true" t="shared" si="1" ref="E5:E14">C5-D5</f>
        <v>64103.9</v>
      </c>
      <c r="F5" s="310">
        <f aca="true" t="shared" si="2" ref="F5:F14">E5*$F$4</f>
        <v>6410.39</v>
      </c>
      <c r="G5" s="310">
        <f aca="true" t="shared" si="3" ref="G5:G14">E5+F5</f>
        <v>70514.29000000001</v>
      </c>
      <c r="H5" s="295">
        <f aca="true" t="shared" si="4" ref="H5:H14">G5/$H$4</f>
        <v>734.5238541666668</v>
      </c>
      <c r="I5" s="92">
        <v>80697</v>
      </c>
      <c r="J5" s="348">
        <f aca="true" t="shared" si="5" ref="J5:J14">I5*$L$16</f>
        <v>24209.1</v>
      </c>
      <c r="K5" s="348">
        <f aca="true" t="shared" si="6" ref="K5:K14">I5-J5</f>
        <v>56487.9</v>
      </c>
      <c r="L5" s="348">
        <f aca="true" t="shared" si="7" ref="L5:L14">K5*$L$4</f>
        <v>5648.790000000001</v>
      </c>
      <c r="M5" s="348">
        <f aca="true" t="shared" si="8" ref="M5:M14">K5+L5</f>
        <v>62136.69</v>
      </c>
      <c r="N5" s="455">
        <f aca="true" t="shared" si="9" ref="N5:N14">M5/$N$4</f>
        <v>647.2571875</v>
      </c>
    </row>
    <row r="6" spans="1:14" ht="15.75">
      <c r="A6" s="447">
        <v>0.3</v>
      </c>
      <c r="B6" s="450" t="s">
        <v>92</v>
      </c>
      <c r="C6" s="440">
        <v>101559</v>
      </c>
      <c r="D6" s="97">
        <f t="shared" si="0"/>
        <v>30467.699999999997</v>
      </c>
      <c r="E6" s="311">
        <f t="shared" si="1"/>
        <v>71091.3</v>
      </c>
      <c r="F6" s="311">
        <f t="shared" si="2"/>
        <v>7109.130000000001</v>
      </c>
      <c r="G6" s="311">
        <f t="shared" si="3"/>
        <v>78200.43000000001</v>
      </c>
      <c r="H6" s="299">
        <f t="shared" si="4"/>
        <v>814.5878125</v>
      </c>
      <c r="I6" s="93">
        <v>91600</v>
      </c>
      <c r="J6" s="355">
        <f t="shared" si="5"/>
        <v>27480</v>
      </c>
      <c r="K6" s="355">
        <f t="shared" si="6"/>
        <v>64120</v>
      </c>
      <c r="L6" s="355">
        <f t="shared" si="7"/>
        <v>6412</v>
      </c>
      <c r="M6" s="355">
        <f t="shared" si="8"/>
        <v>70532</v>
      </c>
      <c r="N6" s="456">
        <f t="shared" si="9"/>
        <v>734.7083333333334</v>
      </c>
    </row>
    <row r="7" spans="1:14" ht="15.75">
      <c r="A7" s="447">
        <v>0.15</v>
      </c>
      <c r="B7" s="450" t="s">
        <v>93</v>
      </c>
      <c r="C7" s="440">
        <v>82585</v>
      </c>
      <c r="D7" s="97">
        <f t="shared" si="0"/>
        <v>24775.5</v>
      </c>
      <c r="E7" s="311">
        <f t="shared" si="1"/>
        <v>57809.5</v>
      </c>
      <c r="F7" s="311">
        <f t="shared" si="2"/>
        <v>5780.950000000001</v>
      </c>
      <c r="G7" s="311">
        <f t="shared" si="3"/>
        <v>63590.45</v>
      </c>
      <c r="H7" s="299">
        <f t="shared" si="4"/>
        <v>662.4005208333333</v>
      </c>
      <c r="I7" s="93">
        <v>73748</v>
      </c>
      <c r="J7" s="355">
        <f t="shared" si="5"/>
        <v>22124.399999999998</v>
      </c>
      <c r="K7" s="355">
        <f t="shared" si="6"/>
        <v>51623.600000000006</v>
      </c>
      <c r="L7" s="355">
        <f t="shared" si="7"/>
        <v>5162.360000000001</v>
      </c>
      <c r="M7" s="355">
        <f t="shared" si="8"/>
        <v>56785.96000000001</v>
      </c>
      <c r="N7" s="456">
        <f t="shared" si="9"/>
        <v>591.5204166666667</v>
      </c>
    </row>
    <row r="8" spans="1:14" ht="15.75">
      <c r="A8" s="447">
        <v>0.06</v>
      </c>
      <c r="B8" s="450" t="s">
        <v>94</v>
      </c>
      <c r="C8" s="440">
        <v>78730</v>
      </c>
      <c r="D8" s="97">
        <f t="shared" si="0"/>
        <v>23619</v>
      </c>
      <c r="E8" s="311">
        <f t="shared" si="1"/>
        <v>55111</v>
      </c>
      <c r="F8" s="311">
        <f t="shared" si="2"/>
        <v>5511.1</v>
      </c>
      <c r="G8" s="311">
        <f t="shared" si="3"/>
        <v>60622.1</v>
      </c>
      <c r="H8" s="299">
        <f t="shared" si="4"/>
        <v>631.4802083333333</v>
      </c>
      <c r="I8" s="93">
        <v>69894</v>
      </c>
      <c r="J8" s="355">
        <f t="shared" si="5"/>
        <v>20968.2</v>
      </c>
      <c r="K8" s="355">
        <f t="shared" si="6"/>
        <v>48925.8</v>
      </c>
      <c r="L8" s="355">
        <f t="shared" si="7"/>
        <v>4892.580000000001</v>
      </c>
      <c r="M8" s="355">
        <f t="shared" si="8"/>
        <v>53818.380000000005</v>
      </c>
      <c r="N8" s="456">
        <f t="shared" si="9"/>
        <v>560.6081250000001</v>
      </c>
    </row>
    <row r="9" spans="1:14" ht="15.75">
      <c r="A9" s="447">
        <v>0.07</v>
      </c>
      <c r="B9" s="450" t="s">
        <v>95</v>
      </c>
      <c r="C9" s="440">
        <v>79350</v>
      </c>
      <c r="D9" s="97">
        <f t="shared" si="0"/>
        <v>23805</v>
      </c>
      <c r="E9" s="311">
        <f t="shared" si="1"/>
        <v>55545</v>
      </c>
      <c r="F9" s="311">
        <f t="shared" si="2"/>
        <v>5554.5</v>
      </c>
      <c r="G9" s="311">
        <f t="shared" si="3"/>
        <v>61099.5</v>
      </c>
      <c r="H9" s="299">
        <f t="shared" si="4"/>
        <v>636.453125</v>
      </c>
      <c r="I9" s="93">
        <v>70581</v>
      </c>
      <c r="J9" s="355">
        <f t="shared" si="5"/>
        <v>21174.3</v>
      </c>
      <c r="K9" s="355">
        <f t="shared" si="6"/>
        <v>49406.7</v>
      </c>
      <c r="L9" s="355">
        <f t="shared" si="7"/>
        <v>4940.67</v>
      </c>
      <c r="M9" s="355">
        <f t="shared" si="8"/>
        <v>54347.369999999995</v>
      </c>
      <c r="N9" s="456">
        <f t="shared" si="9"/>
        <v>566.1184374999999</v>
      </c>
    </row>
    <row r="10" spans="1:14" ht="15.75">
      <c r="A10" s="447">
        <v>0.08</v>
      </c>
      <c r="B10" s="450" t="s">
        <v>96</v>
      </c>
      <c r="C10" s="440">
        <v>81743</v>
      </c>
      <c r="D10" s="97">
        <f t="shared" si="0"/>
        <v>24522.899999999998</v>
      </c>
      <c r="E10" s="311">
        <f t="shared" si="1"/>
        <v>57220.100000000006</v>
      </c>
      <c r="F10" s="311">
        <f t="shared" si="2"/>
        <v>5722.010000000001</v>
      </c>
      <c r="G10" s="311">
        <f t="shared" si="3"/>
        <v>62942.11000000001</v>
      </c>
      <c r="H10" s="299">
        <f t="shared" si="4"/>
        <v>655.6469791666667</v>
      </c>
      <c r="I10" s="93">
        <v>72591</v>
      </c>
      <c r="J10" s="355">
        <f t="shared" si="5"/>
        <v>21777.3</v>
      </c>
      <c r="K10" s="355">
        <f t="shared" si="6"/>
        <v>50813.7</v>
      </c>
      <c r="L10" s="355">
        <f t="shared" si="7"/>
        <v>5081.37</v>
      </c>
      <c r="M10" s="355">
        <f t="shared" si="8"/>
        <v>55895.07</v>
      </c>
      <c r="N10" s="456">
        <f t="shared" si="9"/>
        <v>582.2403125</v>
      </c>
    </row>
    <row r="11" spans="1:14" ht="15.75">
      <c r="A11" s="447">
        <v>0.05</v>
      </c>
      <c r="B11" s="450" t="s">
        <v>97</v>
      </c>
      <c r="C11" s="440">
        <v>78799</v>
      </c>
      <c r="D11" s="97">
        <f t="shared" si="0"/>
        <v>23639.7</v>
      </c>
      <c r="E11" s="311">
        <f t="shared" si="1"/>
        <v>55159.3</v>
      </c>
      <c r="F11" s="311">
        <f t="shared" si="2"/>
        <v>5515.93</v>
      </c>
      <c r="G11" s="311">
        <f t="shared" si="3"/>
        <v>60675.23</v>
      </c>
      <c r="H11" s="299">
        <f t="shared" si="4"/>
        <v>632.0336458333334</v>
      </c>
      <c r="I11" s="93">
        <v>70049</v>
      </c>
      <c r="J11" s="355">
        <f t="shared" si="5"/>
        <v>21014.7</v>
      </c>
      <c r="K11" s="355">
        <f t="shared" si="6"/>
        <v>49034.3</v>
      </c>
      <c r="L11" s="355">
        <f t="shared" si="7"/>
        <v>4903.43</v>
      </c>
      <c r="M11" s="355">
        <f t="shared" si="8"/>
        <v>53937.73</v>
      </c>
      <c r="N11" s="456">
        <f t="shared" si="9"/>
        <v>561.8513541666667</v>
      </c>
    </row>
    <row r="12" spans="1:14" ht="15.75">
      <c r="A12" s="447">
        <v>0.04</v>
      </c>
      <c r="B12" s="450" t="s">
        <v>98</v>
      </c>
      <c r="C12" s="440">
        <v>75415</v>
      </c>
      <c r="D12" s="97">
        <f t="shared" si="0"/>
        <v>22624.5</v>
      </c>
      <c r="E12" s="311">
        <f t="shared" si="1"/>
        <v>52790.5</v>
      </c>
      <c r="F12" s="311">
        <f t="shared" si="2"/>
        <v>5279.05</v>
      </c>
      <c r="G12" s="311">
        <f t="shared" si="3"/>
        <v>58069.55</v>
      </c>
      <c r="H12" s="299">
        <f t="shared" si="4"/>
        <v>604.8911458333333</v>
      </c>
      <c r="I12" s="93">
        <v>66679</v>
      </c>
      <c r="J12" s="355">
        <f t="shared" si="5"/>
        <v>20003.7</v>
      </c>
      <c r="K12" s="355">
        <f t="shared" si="6"/>
        <v>46675.3</v>
      </c>
      <c r="L12" s="355">
        <f t="shared" si="7"/>
        <v>4667.530000000001</v>
      </c>
      <c r="M12" s="355">
        <f t="shared" si="8"/>
        <v>51342.83</v>
      </c>
      <c r="N12" s="456">
        <f t="shared" si="9"/>
        <v>534.8211458333334</v>
      </c>
    </row>
    <row r="13" spans="1:14" ht="15.75">
      <c r="A13" s="447">
        <v>0.02</v>
      </c>
      <c r="B13" s="450" t="s">
        <v>99</v>
      </c>
      <c r="C13" s="440">
        <v>70743</v>
      </c>
      <c r="D13" s="97">
        <f t="shared" si="0"/>
        <v>21222.899999999998</v>
      </c>
      <c r="E13" s="311">
        <f t="shared" si="1"/>
        <v>49520.100000000006</v>
      </c>
      <c r="F13" s="311">
        <f t="shared" si="2"/>
        <v>4952.010000000001</v>
      </c>
      <c r="G13" s="311">
        <f t="shared" si="3"/>
        <v>54472.11000000001</v>
      </c>
      <c r="H13" s="299">
        <f t="shared" si="4"/>
        <v>567.4178125000001</v>
      </c>
      <c r="I13" s="93">
        <v>68993</v>
      </c>
      <c r="J13" s="355">
        <f t="shared" si="5"/>
        <v>20697.899999999998</v>
      </c>
      <c r="K13" s="355">
        <f t="shared" si="6"/>
        <v>48295.100000000006</v>
      </c>
      <c r="L13" s="355">
        <f t="shared" si="7"/>
        <v>4829.510000000001</v>
      </c>
      <c r="M13" s="355">
        <f t="shared" si="8"/>
        <v>53124.61000000001</v>
      </c>
      <c r="N13" s="456">
        <f t="shared" si="9"/>
        <v>553.3813541666667</v>
      </c>
    </row>
    <row r="14" spans="1:14" ht="16.5" thickBot="1">
      <c r="A14" s="447">
        <v>0.03</v>
      </c>
      <c r="B14" s="451" t="s">
        <v>100</v>
      </c>
      <c r="C14" s="452">
        <v>73414</v>
      </c>
      <c r="D14" s="108">
        <f t="shared" si="0"/>
        <v>22024.2</v>
      </c>
      <c r="E14" s="312">
        <f t="shared" si="1"/>
        <v>51389.8</v>
      </c>
      <c r="F14" s="312">
        <f t="shared" si="2"/>
        <v>5138.9800000000005</v>
      </c>
      <c r="G14" s="312">
        <f t="shared" si="3"/>
        <v>56528.780000000006</v>
      </c>
      <c r="H14" s="303">
        <f t="shared" si="4"/>
        <v>588.8414583333334</v>
      </c>
      <c r="I14" s="94">
        <v>64678</v>
      </c>
      <c r="J14" s="362">
        <f t="shared" si="5"/>
        <v>19403.399999999998</v>
      </c>
      <c r="K14" s="362">
        <f t="shared" si="6"/>
        <v>45274.600000000006</v>
      </c>
      <c r="L14" s="362">
        <f t="shared" si="7"/>
        <v>4527.460000000001</v>
      </c>
      <c r="M14" s="362">
        <f t="shared" si="8"/>
        <v>49802.060000000005</v>
      </c>
      <c r="N14" s="457">
        <f t="shared" si="9"/>
        <v>518.7714583333334</v>
      </c>
    </row>
    <row r="15" spans="2:14" s="306" customFormat="1" ht="31.5">
      <c r="B15" s="313" t="s">
        <v>316</v>
      </c>
      <c r="C15" s="306">
        <f>AVERAGE(C6,C5,C10,C9)</f>
        <v>88557.25</v>
      </c>
      <c r="D15" s="306">
        <f>(AVERAGE(D5,D6,D9,D10))/12</f>
        <v>2213.9312499999996</v>
      </c>
      <c r="F15" s="713"/>
      <c r="G15" s="306">
        <f>(AVERAGE(G5,G6,G9,G10))/24</f>
        <v>2841.2117708333335</v>
      </c>
      <c r="H15" s="306">
        <f>AVERAGE(H5,H6,H9,H10)</f>
        <v>710.3029427083334</v>
      </c>
      <c r="I15" s="306">
        <f>AVERAGE(I5:I14)</f>
        <v>72951</v>
      </c>
      <c r="J15" s="673" t="s">
        <v>102</v>
      </c>
      <c r="K15" s="674" t="s">
        <v>103</v>
      </c>
      <c r="L15" s="675" t="s">
        <v>219</v>
      </c>
      <c r="N15" s="306">
        <f>AVERAGE(N4:N14)</f>
        <v>540.6616477272728</v>
      </c>
    </row>
    <row r="16" spans="6:12" ht="15.75" thickBot="1">
      <c r="F16" s="306"/>
      <c r="J16" s="446">
        <f>80%</f>
        <v>0.8</v>
      </c>
      <c r="K16" s="88">
        <v>0.2</v>
      </c>
      <c r="L16" s="293">
        <v>0.3</v>
      </c>
    </row>
    <row r="17" spans="1:2" ht="15">
      <c r="A17" s="775" t="s">
        <v>108</v>
      </c>
      <c r="B17" s="775"/>
    </row>
    <row r="18" spans="1:2" ht="15">
      <c r="A18" s="775" t="s">
        <v>320</v>
      </c>
      <c r="B18" s="775"/>
    </row>
  </sheetData>
  <mergeCells count="4">
    <mergeCell ref="A18:B18"/>
    <mergeCell ref="B1:G1"/>
    <mergeCell ref="B2:G2"/>
    <mergeCell ref="A17:B17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" sqref="B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C78" sqref="C78"/>
    </sheetView>
  </sheetViews>
  <sheetFormatPr defaultColWidth="11.421875" defaultRowHeight="12.75"/>
  <cols>
    <col min="1" max="1" width="2.421875" style="118" customWidth="1"/>
    <col min="2" max="2" width="36.8515625" style="158" bestFit="1" customWidth="1"/>
    <col min="3" max="3" width="18.00390625" style="158" customWidth="1"/>
    <col min="4" max="4" width="17.421875" style="75" bestFit="1" customWidth="1"/>
    <col min="5" max="10" width="13.421875" style="75" bestFit="1" customWidth="1"/>
    <col min="11" max="11" width="12.7109375" style="75" bestFit="1" customWidth="1"/>
    <col min="12" max="16384" width="11.421875" style="118" customWidth="1"/>
  </cols>
  <sheetData>
    <row r="1" spans="2:7" ht="15.75">
      <c r="B1" s="212" t="s">
        <v>262</v>
      </c>
      <c r="C1" s="212"/>
      <c r="D1" s="780" t="s">
        <v>236</v>
      </c>
      <c r="E1" s="780"/>
      <c r="F1" s="780"/>
      <c r="G1" s="780"/>
    </row>
    <row r="2" spans="2:11" ht="15.75">
      <c r="B2" s="118"/>
      <c r="C2" s="118"/>
      <c r="D2" s="780" t="s">
        <v>203</v>
      </c>
      <c r="E2" s="780"/>
      <c r="F2" s="780"/>
      <c r="G2" s="780"/>
      <c r="H2" s="780"/>
      <c r="I2" s="780"/>
      <c r="J2" s="780"/>
      <c r="K2" s="780"/>
    </row>
    <row r="3" ht="15.75" thickBot="1"/>
    <row r="4" spans="2:11" s="119" customFormat="1" ht="16.5" thickBot="1">
      <c r="B4" s="161" t="s">
        <v>205</v>
      </c>
      <c r="C4" s="568"/>
      <c r="D4" s="159">
        <v>1</v>
      </c>
      <c r="E4" s="159">
        <v>2</v>
      </c>
      <c r="F4" s="159">
        <v>3</v>
      </c>
      <c r="G4" s="159">
        <v>4</v>
      </c>
      <c r="H4" s="159">
        <v>5</v>
      </c>
      <c r="I4" s="159">
        <v>6</v>
      </c>
      <c r="J4" s="159">
        <v>7</v>
      </c>
      <c r="K4" s="160">
        <v>8</v>
      </c>
    </row>
    <row r="5" spans="2:11" ht="16.5" thickBot="1">
      <c r="B5" s="163" t="s">
        <v>59</v>
      </c>
      <c r="C5" s="569"/>
      <c r="D5" s="164"/>
      <c r="E5" s="83"/>
      <c r="F5" s="83"/>
      <c r="G5" s="83"/>
      <c r="H5" s="83"/>
      <c r="I5" s="83"/>
      <c r="J5" s="83"/>
      <c r="K5" s="165"/>
    </row>
    <row r="6" spans="2:11" ht="15">
      <c r="B6" s="512"/>
      <c r="C6" s="570"/>
      <c r="D6" s="167"/>
      <c r="E6" s="26"/>
      <c r="F6" s="26"/>
      <c r="G6" s="26"/>
      <c r="H6" s="26"/>
      <c r="I6" s="26"/>
      <c r="J6" s="26"/>
      <c r="K6" s="27"/>
    </row>
    <row r="7" spans="2:11" ht="15">
      <c r="B7" s="146" t="s">
        <v>68</v>
      </c>
      <c r="C7" s="570"/>
      <c r="D7" s="167">
        <f>'ANEXO 5.3'!P7</f>
        <v>531343.4999999999</v>
      </c>
      <c r="E7" s="155">
        <f>D7</f>
        <v>531343.4999999999</v>
      </c>
      <c r="F7" s="155">
        <f aca="true" t="shared" si="0" ref="F7:K7">E7</f>
        <v>531343.4999999999</v>
      </c>
      <c r="G7" s="155">
        <f t="shared" si="0"/>
        <v>531343.4999999999</v>
      </c>
      <c r="H7" s="155">
        <f t="shared" si="0"/>
        <v>531343.4999999999</v>
      </c>
      <c r="I7" s="155">
        <f t="shared" si="0"/>
        <v>531343.4999999999</v>
      </c>
      <c r="J7" s="155">
        <f t="shared" si="0"/>
        <v>531343.4999999999</v>
      </c>
      <c r="K7" s="175">
        <f t="shared" si="0"/>
        <v>531343.4999999999</v>
      </c>
    </row>
    <row r="8" spans="2:11" ht="15">
      <c r="B8" s="147" t="s">
        <v>206</v>
      </c>
      <c r="C8" s="570"/>
      <c r="D8" s="167">
        <f>'ANEXO 5.3'!P8</f>
        <v>113648.47083333334</v>
      </c>
      <c r="E8" s="155">
        <f>D8</f>
        <v>113648.47083333334</v>
      </c>
      <c r="F8" s="155">
        <f aca="true" t="shared" si="1" ref="F8:K8">E8</f>
        <v>113648.47083333334</v>
      </c>
      <c r="G8" s="155">
        <f t="shared" si="1"/>
        <v>113648.47083333334</v>
      </c>
      <c r="H8" s="155">
        <f t="shared" si="1"/>
        <v>113648.47083333334</v>
      </c>
      <c r="I8" s="155">
        <f t="shared" si="1"/>
        <v>113648.47083333334</v>
      </c>
      <c r="J8" s="155">
        <f t="shared" si="1"/>
        <v>113648.47083333334</v>
      </c>
      <c r="K8" s="175">
        <f t="shared" si="1"/>
        <v>113648.47083333334</v>
      </c>
    </row>
    <row r="9" spans="2:11" ht="16.5" thickBot="1">
      <c r="B9" s="162" t="s">
        <v>63</v>
      </c>
      <c r="C9" s="571"/>
      <c r="D9" s="168">
        <f>SUM(D6:D8)</f>
        <v>644991.9708333332</v>
      </c>
      <c r="E9" s="169">
        <f aca="true" t="shared" si="2" ref="E9:K9">SUM(E6:E8)</f>
        <v>644991.9708333332</v>
      </c>
      <c r="F9" s="169">
        <f t="shared" si="2"/>
        <v>644991.9708333332</v>
      </c>
      <c r="G9" s="169">
        <f t="shared" si="2"/>
        <v>644991.9708333332</v>
      </c>
      <c r="H9" s="169">
        <f t="shared" si="2"/>
        <v>644991.9708333332</v>
      </c>
      <c r="I9" s="169">
        <f t="shared" si="2"/>
        <v>644991.9708333332</v>
      </c>
      <c r="J9" s="169">
        <f t="shared" si="2"/>
        <v>644991.9708333332</v>
      </c>
      <c r="K9" s="170">
        <f t="shared" si="2"/>
        <v>644991.9708333332</v>
      </c>
    </row>
    <row r="10" spans="2:4" ht="15.75" thickBot="1">
      <c r="B10" s="150"/>
      <c r="C10" s="149"/>
      <c r="D10" s="149"/>
    </row>
    <row r="11" spans="2:11" ht="16.5" thickBot="1">
      <c r="B11" s="466" t="s">
        <v>1</v>
      </c>
      <c r="C11" s="164"/>
      <c r="D11" s="164"/>
      <c r="E11" s="83"/>
      <c r="F11" s="83"/>
      <c r="G11" s="83"/>
      <c r="H11" s="83"/>
      <c r="I11" s="83"/>
      <c r="J11" s="83"/>
      <c r="K11" s="165"/>
    </row>
    <row r="12" spans="2:11" s="464" customFormat="1" ht="15.75">
      <c r="B12" s="439" t="s">
        <v>242</v>
      </c>
      <c r="C12" s="470"/>
      <c r="D12" s="470"/>
      <c r="E12" s="294"/>
      <c r="F12" s="294"/>
      <c r="G12" s="294"/>
      <c r="H12" s="294"/>
      <c r="I12" s="294"/>
      <c r="J12" s="294"/>
      <c r="K12" s="315"/>
    </row>
    <row r="13" spans="2:11" s="464" customFormat="1" ht="15">
      <c r="B13" s="146" t="s">
        <v>244</v>
      </c>
      <c r="C13" s="471"/>
      <c r="D13" s="471">
        <f>'ANEXO 5.3'!P14</f>
        <v>356057.5</v>
      </c>
      <c r="E13" s="440">
        <f>D13</f>
        <v>356057.5</v>
      </c>
      <c r="F13" s="440">
        <f aca="true" t="shared" si="3" ref="F13:K13">E13</f>
        <v>356057.5</v>
      </c>
      <c r="G13" s="440">
        <f t="shared" si="3"/>
        <v>356057.5</v>
      </c>
      <c r="H13" s="440">
        <f t="shared" si="3"/>
        <v>356057.5</v>
      </c>
      <c r="I13" s="440">
        <f t="shared" si="3"/>
        <v>356057.5</v>
      </c>
      <c r="J13" s="440">
        <f t="shared" si="3"/>
        <v>356057.5</v>
      </c>
      <c r="K13" s="354">
        <f t="shared" si="3"/>
        <v>356057.5</v>
      </c>
    </row>
    <row r="14" spans="2:11" s="481" customFormat="1" ht="16.5" thickBot="1">
      <c r="B14" s="469" t="s">
        <v>243</v>
      </c>
      <c r="C14" s="478"/>
      <c r="D14" s="478">
        <f>SUM(D13)</f>
        <v>356057.5</v>
      </c>
      <c r="E14" s="479">
        <f>SUM(E13)</f>
        <v>356057.5</v>
      </c>
      <c r="F14" s="479">
        <f aca="true" t="shared" si="4" ref="F14:K14">SUM(F13)</f>
        <v>356057.5</v>
      </c>
      <c r="G14" s="479">
        <f t="shared" si="4"/>
        <v>356057.5</v>
      </c>
      <c r="H14" s="479">
        <f t="shared" si="4"/>
        <v>356057.5</v>
      </c>
      <c r="I14" s="479">
        <f t="shared" si="4"/>
        <v>356057.5</v>
      </c>
      <c r="J14" s="479">
        <f t="shared" si="4"/>
        <v>356057.5</v>
      </c>
      <c r="K14" s="480">
        <f t="shared" si="4"/>
        <v>356057.5</v>
      </c>
    </row>
    <row r="15" spans="2:11" s="81" customFormat="1" ht="16.5" thickBot="1">
      <c r="B15" s="714"/>
      <c r="C15" s="467"/>
      <c r="D15" s="465"/>
      <c r="K15" s="495"/>
    </row>
    <row r="16" spans="2:11" ht="15.75">
      <c r="B16" s="468" t="s">
        <v>14</v>
      </c>
      <c r="C16" s="554"/>
      <c r="D16" s="164"/>
      <c r="E16" s="83"/>
      <c r="F16" s="83"/>
      <c r="G16" s="83"/>
      <c r="H16" s="83"/>
      <c r="I16" s="83"/>
      <c r="J16" s="83"/>
      <c r="K16" s="165"/>
    </row>
    <row r="17" spans="2:11" ht="15">
      <c r="B17" s="14" t="s">
        <v>15</v>
      </c>
      <c r="C17" s="146"/>
      <c r="D17" s="167">
        <f>'ANEXO 5.3'!P17</f>
        <v>1896</v>
      </c>
      <c r="E17" s="26">
        <f>D17+(D17*4%)</f>
        <v>1971.84</v>
      </c>
      <c r="F17" s="26">
        <f aca="true" t="shared" si="5" ref="F17:K17">E17+(E17*4%)</f>
        <v>2050.7136</v>
      </c>
      <c r="G17" s="26">
        <f t="shared" si="5"/>
        <v>2132.742144</v>
      </c>
      <c r="H17" s="26">
        <f t="shared" si="5"/>
        <v>2218.0518297599997</v>
      </c>
      <c r="I17" s="26">
        <f t="shared" si="5"/>
        <v>2306.7739029503996</v>
      </c>
      <c r="J17" s="26">
        <f t="shared" si="5"/>
        <v>2399.0448590684155</v>
      </c>
      <c r="K17" s="27">
        <f t="shared" si="5"/>
        <v>2495.0066534311522</v>
      </c>
    </row>
    <row r="18" spans="2:11" ht="15">
      <c r="B18" s="14" t="s">
        <v>16</v>
      </c>
      <c r="C18" s="146"/>
      <c r="D18" s="167">
        <f>'ANEXO 5.3'!P18</f>
        <v>6984</v>
      </c>
      <c r="E18" s="26">
        <f aca="true" t="shared" si="6" ref="E18:K27">D18+(D18*4%)</f>
        <v>7263.36</v>
      </c>
      <c r="F18" s="26">
        <f t="shared" si="6"/>
        <v>7553.894399999999</v>
      </c>
      <c r="G18" s="26">
        <f t="shared" si="6"/>
        <v>7856.050175999999</v>
      </c>
      <c r="H18" s="26">
        <f t="shared" si="6"/>
        <v>8170.292183039999</v>
      </c>
      <c r="I18" s="26">
        <f t="shared" si="6"/>
        <v>8497.1038703616</v>
      </c>
      <c r="J18" s="26">
        <f t="shared" si="6"/>
        <v>8836.988025176064</v>
      </c>
      <c r="K18" s="27">
        <f t="shared" si="6"/>
        <v>9190.467546183107</v>
      </c>
    </row>
    <row r="19" spans="2:11" ht="15">
      <c r="B19" s="14" t="s">
        <v>17</v>
      </c>
      <c r="C19" s="146"/>
      <c r="D19" s="167">
        <f>'ANEXO 5.3'!P19</f>
        <v>1524</v>
      </c>
      <c r="E19" s="26">
        <f t="shared" si="6"/>
        <v>1584.96</v>
      </c>
      <c r="F19" s="26">
        <f t="shared" si="6"/>
        <v>1648.3584</v>
      </c>
      <c r="G19" s="26">
        <f t="shared" si="6"/>
        <v>1714.292736</v>
      </c>
      <c r="H19" s="26">
        <f t="shared" si="6"/>
        <v>1782.86444544</v>
      </c>
      <c r="I19" s="26">
        <f t="shared" si="6"/>
        <v>1854.1790232576</v>
      </c>
      <c r="J19" s="26">
        <f t="shared" si="6"/>
        <v>1928.3461841879039</v>
      </c>
      <c r="K19" s="27">
        <f t="shared" si="6"/>
        <v>2005.48003155542</v>
      </c>
    </row>
    <row r="20" spans="2:11" ht="15">
      <c r="B20" s="14" t="s">
        <v>18</v>
      </c>
      <c r="C20" s="146"/>
      <c r="D20" s="167">
        <f>'ANEXO 5.3'!P20</f>
        <v>60</v>
      </c>
      <c r="E20" s="26">
        <f t="shared" si="6"/>
        <v>62.4</v>
      </c>
      <c r="F20" s="26">
        <f t="shared" si="6"/>
        <v>64.896</v>
      </c>
      <c r="G20" s="26">
        <f t="shared" si="6"/>
        <v>67.49184</v>
      </c>
      <c r="H20" s="26">
        <f t="shared" si="6"/>
        <v>70.1915136</v>
      </c>
      <c r="I20" s="26">
        <f t="shared" si="6"/>
        <v>72.999174144</v>
      </c>
      <c r="J20" s="26">
        <f t="shared" si="6"/>
        <v>75.91914110975999</v>
      </c>
      <c r="K20" s="27">
        <f t="shared" si="6"/>
        <v>78.95590675415039</v>
      </c>
    </row>
    <row r="21" spans="2:11" ht="15">
      <c r="B21" s="14" t="s">
        <v>19</v>
      </c>
      <c r="C21" s="146"/>
      <c r="D21" s="167">
        <f>'ANEXO 5.3'!P21</f>
        <v>20300</v>
      </c>
      <c r="E21" s="26">
        <f t="shared" si="6"/>
        <v>21112</v>
      </c>
      <c r="F21" s="26">
        <f t="shared" si="6"/>
        <v>21956.48</v>
      </c>
      <c r="G21" s="26">
        <f t="shared" si="6"/>
        <v>22834.7392</v>
      </c>
      <c r="H21" s="26">
        <f t="shared" si="6"/>
        <v>23748.128768</v>
      </c>
      <c r="I21" s="26">
        <f t="shared" si="6"/>
        <v>24698.053918719997</v>
      </c>
      <c r="J21" s="26">
        <f t="shared" si="6"/>
        <v>25685.976075468796</v>
      </c>
      <c r="K21" s="27">
        <f t="shared" si="6"/>
        <v>26713.415118487548</v>
      </c>
    </row>
    <row r="22" spans="2:11" ht="15">
      <c r="B22" s="14" t="s">
        <v>20</v>
      </c>
      <c r="C22" s="146"/>
      <c r="D22" s="167">
        <f>'ANEXO 5.3'!P22</f>
        <v>120</v>
      </c>
      <c r="E22" s="26">
        <f t="shared" si="6"/>
        <v>124.8</v>
      </c>
      <c r="F22" s="26">
        <f t="shared" si="6"/>
        <v>129.792</v>
      </c>
      <c r="G22" s="26">
        <f t="shared" si="6"/>
        <v>134.98368</v>
      </c>
      <c r="H22" s="26">
        <f t="shared" si="6"/>
        <v>140.3830272</v>
      </c>
      <c r="I22" s="26">
        <f t="shared" si="6"/>
        <v>145.998348288</v>
      </c>
      <c r="J22" s="26">
        <f t="shared" si="6"/>
        <v>151.83828221951998</v>
      </c>
      <c r="K22" s="27">
        <f t="shared" si="6"/>
        <v>157.91181350830078</v>
      </c>
    </row>
    <row r="23" spans="2:11" ht="15">
      <c r="B23" s="14" t="s">
        <v>21</v>
      </c>
      <c r="C23" s="146"/>
      <c r="D23" s="167">
        <f>'ANEXO 5.3'!P23</f>
        <v>228</v>
      </c>
      <c r="E23" s="26">
        <f t="shared" si="6"/>
        <v>237.12</v>
      </c>
      <c r="F23" s="26">
        <f t="shared" si="6"/>
        <v>246.6048</v>
      </c>
      <c r="G23" s="26">
        <f t="shared" si="6"/>
        <v>256.468992</v>
      </c>
      <c r="H23" s="26">
        <f t="shared" si="6"/>
        <v>266.72775168000004</v>
      </c>
      <c r="I23" s="26">
        <f t="shared" si="6"/>
        <v>277.39686174720003</v>
      </c>
      <c r="J23" s="26">
        <f t="shared" si="6"/>
        <v>288.492736217088</v>
      </c>
      <c r="K23" s="27">
        <f t="shared" si="6"/>
        <v>300.03244566577155</v>
      </c>
    </row>
    <row r="24" spans="2:11" ht="15">
      <c r="B24" s="14" t="s">
        <v>22</v>
      </c>
      <c r="C24" s="146"/>
      <c r="D24" s="167">
        <f>'ANEXO 5.3'!P24</f>
        <v>8808</v>
      </c>
      <c r="E24" s="26">
        <f t="shared" si="6"/>
        <v>9160.32</v>
      </c>
      <c r="F24" s="26">
        <f t="shared" si="6"/>
        <v>9526.7328</v>
      </c>
      <c r="G24" s="26">
        <f t="shared" si="6"/>
        <v>9907.802112</v>
      </c>
      <c r="H24" s="26">
        <f t="shared" si="6"/>
        <v>10304.114196479999</v>
      </c>
      <c r="I24" s="26">
        <f t="shared" si="6"/>
        <v>10716.278764339198</v>
      </c>
      <c r="J24" s="26">
        <f t="shared" si="6"/>
        <v>11144.929914912766</v>
      </c>
      <c r="K24" s="27">
        <f t="shared" si="6"/>
        <v>11590.727111509275</v>
      </c>
    </row>
    <row r="25" spans="2:11" ht="15">
      <c r="B25" s="14" t="s">
        <v>23</v>
      </c>
      <c r="C25" s="146"/>
      <c r="D25" s="167">
        <f>'ANEXO 5.3'!P25</f>
        <v>10848</v>
      </c>
      <c r="E25" s="26">
        <f t="shared" si="6"/>
        <v>11281.92</v>
      </c>
      <c r="F25" s="26">
        <f t="shared" si="6"/>
        <v>11733.1968</v>
      </c>
      <c r="G25" s="26">
        <f t="shared" si="6"/>
        <v>12202.524672</v>
      </c>
      <c r="H25" s="26">
        <f t="shared" si="6"/>
        <v>12690.625658879999</v>
      </c>
      <c r="I25" s="26">
        <f t="shared" si="6"/>
        <v>13198.250685235198</v>
      </c>
      <c r="J25" s="26">
        <f t="shared" si="6"/>
        <v>13726.180712644606</v>
      </c>
      <c r="K25" s="27">
        <f t="shared" si="6"/>
        <v>14275.22794115039</v>
      </c>
    </row>
    <row r="26" spans="2:11" ht="15">
      <c r="B26" s="14" t="s">
        <v>24</v>
      </c>
      <c r="C26" s="146"/>
      <c r="D26" s="167">
        <f>'ANEXO 5.3'!P26</f>
        <v>28800</v>
      </c>
      <c r="E26" s="26">
        <f t="shared" si="6"/>
        <v>29952</v>
      </c>
      <c r="F26" s="26">
        <f t="shared" si="6"/>
        <v>31150.08</v>
      </c>
      <c r="G26" s="26">
        <f t="shared" si="6"/>
        <v>32396.0832</v>
      </c>
      <c r="H26" s="26">
        <f t="shared" si="6"/>
        <v>33691.926528</v>
      </c>
      <c r="I26" s="26">
        <f t="shared" si="6"/>
        <v>35039.60358912</v>
      </c>
      <c r="J26" s="26">
        <f t="shared" si="6"/>
        <v>36441.187732684804</v>
      </c>
      <c r="K26" s="27">
        <f t="shared" si="6"/>
        <v>37898.835241992194</v>
      </c>
    </row>
    <row r="27" spans="2:11" ht="15">
      <c r="B27" s="14" t="s">
        <v>25</v>
      </c>
      <c r="C27" s="146"/>
      <c r="D27" s="167">
        <f>'ANEXO 5.3'!P27</f>
        <v>492</v>
      </c>
      <c r="E27" s="26">
        <f t="shared" si="6"/>
        <v>511.68</v>
      </c>
      <c r="F27" s="26">
        <f t="shared" si="6"/>
        <v>532.1472</v>
      </c>
      <c r="G27" s="26">
        <f t="shared" si="6"/>
        <v>553.433088</v>
      </c>
      <c r="H27" s="26">
        <f t="shared" si="6"/>
        <v>575.57041152</v>
      </c>
      <c r="I27" s="26">
        <f t="shared" si="6"/>
        <v>598.5932279808</v>
      </c>
      <c r="J27" s="26">
        <f t="shared" si="6"/>
        <v>622.5369571000319</v>
      </c>
      <c r="K27" s="27">
        <f t="shared" si="6"/>
        <v>647.4384353840333</v>
      </c>
    </row>
    <row r="28" spans="2:11" ht="45.75" thickBot="1">
      <c r="B28" s="473" t="s">
        <v>202</v>
      </c>
      <c r="C28" s="555"/>
      <c r="D28" s="416">
        <f>'ANEXO 5.3'!P28</f>
        <v>2000</v>
      </c>
      <c r="E28" s="30">
        <f>D28+(D28*4%)</f>
        <v>2080</v>
      </c>
      <c r="F28" s="30">
        <f aca="true" t="shared" si="7" ref="F28:K28">E28+(E28*4%)</f>
        <v>2163.2</v>
      </c>
      <c r="G28" s="30">
        <f t="shared" si="7"/>
        <v>2249.7279999999996</v>
      </c>
      <c r="H28" s="30">
        <f t="shared" si="7"/>
        <v>2339.71712</v>
      </c>
      <c r="I28" s="30">
        <f t="shared" si="7"/>
        <v>2433.3058048</v>
      </c>
      <c r="J28" s="30">
        <f t="shared" si="7"/>
        <v>2530.638036992</v>
      </c>
      <c r="K28" s="31">
        <f t="shared" si="7"/>
        <v>2631.86355847168</v>
      </c>
    </row>
    <row r="29" spans="2:11" s="388" customFormat="1" ht="16.5" thickBot="1">
      <c r="B29" s="472" t="s">
        <v>27</v>
      </c>
      <c r="C29" s="556"/>
      <c r="D29" s="385">
        <f>SUM(D17:D28)</f>
        <v>82060</v>
      </c>
      <c r="E29" s="386">
        <f>SUM(E17:E28)</f>
        <v>85342.4</v>
      </c>
      <c r="F29" s="386">
        <f aca="true" t="shared" si="8" ref="F29:K29">SUM(F17:F28)</f>
        <v>88756.096</v>
      </c>
      <c r="G29" s="386">
        <f t="shared" si="8"/>
        <v>92306.33984</v>
      </c>
      <c r="H29" s="386">
        <f t="shared" si="8"/>
        <v>95998.5934336</v>
      </c>
      <c r="I29" s="386">
        <f t="shared" si="8"/>
        <v>99838.537170944</v>
      </c>
      <c r="J29" s="386">
        <f t="shared" si="8"/>
        <v>103832.07865778175</v>
      </c>
      <c r="K29" s="387">
        <f t="shared" si="8"/>
        <v>107985.361804093</v>
      </c>
    </row>
    <row r="30" spans="2:11" ht="16.5" thickBot="1">
      <c r="B30" s="712"/>
      <c r="C30" s="697"/>
      <c r="D30" s="152"/>
      <c r="K30" s="166"/>
    </row>
    <row r="31" spans="2:11" ht="31.5">
      <c r="B31" s="157" t="s">
        <v>28</v>
      </c>
      <c r="C31" s="178"/>
      <c r="D31" s="558"/>
      <c r="E31" s="83"/>
      <c r="F31" s="83"/>
      <c r="G31" s="83"/>
      <c r="H31" s="83"/>
      <c r="I31" s="83"/>
      <c r="J31" s="83"/>
      <c r="K31" s="165"/>
    </row>
    <row r="32" spans="2:11" ht="15.75">
      <c r="B32" s="172" t="s">
        <v>29</v>
      </c>
      <c r="C32" s="560"/>
      <c r="D32" s="176">
        <f>'5.4'!P31</f>
        <v>22824</v>
      </c>
      <c r="E32" s="26">
        <f>D32+(D32*4%)</f>
        <v>23736.96</v>
      </c>
      <c r="F32" s="26">
        <f aca="true" t="shared" si="9" ref="F32:K32">E32+(E32*4%)</f>
        <v>24686.4384</v>
      </c>
      <c r="G32" s="26">
        <f t="shared" si="9"/>
        <v>25673.895936</v>
      </c>
      <c r="H32" s="26">
        <f t="shared" si="9"/>
        <v>26700.85177344</v>
      </c>
      <c r="I32" s="26">
        <f t="shared" si="9"/>
        <v>27768.8858443776</v>
      </c>
      <c r="J32" s="26">
        <f t="shared" si="9"/>
        <v>28879.641278152703</v>
      </c>
      <c r="K32" s="27">
        <f t="shared" si="9"/>
        <v>30034.82692927881</v>
      </c>
    </row>
    <row r="33" spans="2:11" ht="30">
      <c r="B33" s="146" t="s">
        <v>30</v>
      </c>
      <c r="C33" s="561"/>
      <c r="D33" s="176">
        <f>'5.4'!P32</f>
        <v>5220</v>
      </c>
      <c r="E33" s="26">
        <f aca="true" t="shared" si="10" ref="E33:K37">D33+(D33*4%)</f>
        <v>5428.8</v>
      </c>
      <c r="F33" s="26">
        <f t="shared" si="10"/>
        <v>5645.952</v>
      </c>
      <c r="G33" s="26">
        <f t="shared" si="10"/>
        <v>5871.790080000001</v>
      </c>
      <c r="H33" s="26">
        <f t="shared" si="10"/>
        <v>6106.661683200001</v>
      </c>
      <c r="I33" s="26">
        <f t="shared" si="10"/>
        <v>6350.9281505280005</v>
      </c>
      <c r="J33" s="26">
        <f t="shared" si="10"/>
        <v>6604.965276549121</v>
      </c>
      <c r="K33" s="27">
        <f t="shared" si="10"/>
        <v>6869.163887611086</v>
      </c>
    </row>
    <row r="34" spans="2:11" ht="15">
      <c r="B34" s="146" t="s">
        <v>31</v>
      </c>
      <c r="C34" s="561"/>
      <c r="D34" s="176">
        <f>'5.4'!P33</f>
        <v>22824</v>
      </c>
      <c r="E34" s="26">
        <f t="shared" si="10"/>
        <v>23736.96</v>
      </c>
      <c r="F34" s="26">
        <f t="shared" si="10"/>
        <v>24686.4384</v>
      </c>
      <c r="G34" s="26">
        <f t="shared" si="10"/>
        <v>25673.895936</v>
      </c>
      <c r="H34" s="26">
        <f t="shared" si="10"/>
        <v>26700.85177344</v>
      </c>
      <c r="I34" s="26">
        <f t="shared" si="10"/>
        <v>27768.8858443776</v>
      </c>
      <c r="J34" s="26">
        <f t="shared" si="10"/>
        <v>28879.641278152703</v>
      </c>
      <c r="K34" s="27">
        <f t="shared" si="10"/>
        <v>30034.82692927881</v>
      </c>
    </row>
    <row r="35" spans="2:11" ht="15">
      <c r="B35" s="146" t="s">
        <v>32</v>
      </c>
      <c r="C35" s="561"/>
      <c r="D35" s="176">
        <f>'5.4'!P34</f>
        <v>2297.92</v>
      </c>
      <c r="E35" s="26">
        <f t="shared" si="10"/>
        <v>2389.8368</v>
      </c>
      <c r="F35" s="26">
        <f t="shared" si="10"/>
        <v>2485.430272</v>
      </c>
      <c r="G35" s="26">
        <f t="shared" si="10"/>
        <v>2584.84748288</v>
      </c>
      <c r="H35" s="26">
        <f t="shared" si="10"/>
        <v>2688.2413821952</v>
      </c>
      <c r="I35" s="26">
        <f t="shared" si="10"/>
        <v>2795.771037483008</v>
      </c>
      <c r="J35" s="26">
        <f t="shared" si="10"/>
        <v>2907.6018789823283</v>
      </c>
      <c r="K35" s="27">
        <f t="shared" si="10"/>
        <v>3023.9059541416214</v>
      </c>
    </row>
    <row r="36" spans="2:11" ht="15">
      <c r="B36" s="146" t="s">
        <v>33</v>
      </c>
      <c r="C36" s="561"/>
      <c r="D36" s="176">
        <f>'5.4'!P35</f>
        <v>180</v>
      </c>
      <c r="E36" s="26">
        <f t="shared" si="10"/>
        <v>187.2</v>
      </c>
      <c r="F36" s="26">
        <f t="shared" si="10"/>
        <v>194.688</v>
      </c>
      <c r="G36" s="26">
        <f t="shared" si="10"/>
        <v>202.47552</v>
      </c>
      <c r="H36" s="26">
        <f t="shared" si="10"/>
        <v>210.5745408</v>
      </c>
      <c r="I36" s="26">
        <f t="shared" si="10"/>
        <v>218.99752243199998</v>
      </c>
      <c r="J36" s="26">
        <f t="shared" si="10"/>
        <v>227.75742332928</v>
      </c>
      <c r="K36" s="27">
        <f t="shared" si="10"/>
        <v>236.8677202624512</v>
      </c>
    </row>
    <row r="37" spans="2:11" ht="15.75" thickBot="1">
      <c r="B37" s="146" t="s">
        <v>34</v>
      </c>
      <c r="C37" s="561"/>
      <c r="D37" s="177">
        <f>'5.4'!P36</f>
        <v>2544.876</v>
      </c>
      <c r="E37" s="30">
        <f t="shared" si="10"/>
        <v>2646.67104</v>
      </c>
      <c r="F37" s="30">
        <f t="shared" si="10"/>
        <v>2752.5378816</v>
      </c>
      <c r="G37" s="30">
        <f t="shared" si="10"/>
        <v>2862.6393968640004</v>
      </c>
      <c r="H37" s="30">
        <f t="shared" si="10"/>
        <v>2977.1449727385607</v>
      </c>
      <c r="I37" s="30">
        <f t="shared" si="10"/>
        <v>3096.230771648103</v>
      </c>
      <c r="J37" s="30">
        <f t="shared" si="10"/>
        <v>3220.0800025140275</v>
      </c>
      <c r="K37" s="31">
        <f t="shared" si="10"/>
        <v>3348.8832026145888</v>
      </c>
    </row>
    <row r="38" spans="2:11" ht="30.75" thickBot="1">
      <c r="B38" s="153" t="s">
        <v>36</v>
      </c>
      <c r="C38" s="472"/>
      <c r="D38" s="559">
        <f>SUM(D32:D37)</f>
        <v>55890.796</v>
      </c>
      <c r="E38" s="386">
        <f aca="true" t="shared" si="11" ref="E38:K38">SUM(E32:E37)</f>
        <v>58126.42784</v>
      </c>
      <c r="F38" s="386">
        <f t="shared" si="11"/>
        <v>60451.484953600004</v>
      </c>
      <c r="G38" s="386">
        <f t="shared" si="11"/>
        <v>62869.544351744</v>
      </c>
      <c r="H38" s="386">
        <f t="shared" si="11"/>
        <v>65384.326125813765</v>
      </c>
      <c r="I38" s="386">
        <f t="shared" si="11"/>
        <v>67999.69917084632</v>
      </c>
      <c r="J38" s="386">
        <f t="shared" si="11"/>
        <v>70719.68713768017</v>
      </c>
      <c r="K38" s="387">
        <f t="shared" si="11"/>
        <v>73548.47462318736</v>
      </c>
    </row>
    <row r="39" spans="2:11" ht="15.75" thickBot="1">
      <c r="B39" s="700"/>
      <c r="C39" s="151"/>
      <c r="D39" s="149"/>
      <c r="K39" s="166"/>
    </row>
    <row r="40" spans="2:11" ht="15.75">
      <c r="B40" s="157" t="s">
        <v>37</v>
      </c>
      <c r="C40" s="178"/>
      <c r="D40" s="558"/>
      <c r="E40" s="83"/>
      <c r="F40" s="83"/>
      <c r="G40" s="83"/>
      <c r="H40" s="83"/>
      <c r="I40" s="83"/>
      <c r="J40" s="83"/>
      <c r="K40" s="165"/>
    </row>
    <row r="41" spans="2:11" ht="15">
      <c r="B41" s="146" t="s">
        <v>38</v>
      </c>
      <c r="C41" s="561"/>
      <c r="D41" s="176">
        <f>'5.4'!P40</f>
        <v>1560</v>
      </c>
      <c r="E41" s="26">
        <f>D41+(D41*4%)</f>
        <v>1622.4</v>
      </c>
      <c r="F41" s="26">
        <f aca="true" t="shared" si="12" ref="F41:K41">E41+(E41*4%)</f>
        <v>1687.296</v>
      </c>
      <c r="G41" s="26">
        <f t="shared" si="12"/>
        <v>1754.78784</v>
      </c>
      <c r="H41" s="26">
        <f t="shared" si="12"/>
        <v>1824.9793536</v>
      </c>
      <c r="I41" s="26">
        <f t="shared" si="12"/>
        <v>1897.978527744</v>
      </c>
      <c r="J41" s="26">
        <f t="shared" si="12"/>
        <v>1973.89766885376</v>
      </c>
      <c r="K41" s="27">
        <f t="shared" si="12"/>
        <v>2052.8535756079104</v>
      </c>
    </row>
    <row r="42" spans="2:11" ht="15">
      <c r="B42" s="146" t="s">
        <v>39</v>
      </c>
      <c r="C42" s="561"/>
      <c r="D42" s="176">
        <f>'ANEXO 5.3'!P42</f>
        <v>504</v>
      </c>
      <c r="E42" s="26">
        <f aca="true" t="shared" si="13" ref="E42:K52">D42+(D42*4%)</f>
        <v>524.16</v>
      </c>
      <c r="F42" s="26">
        <f t="shared" si="13"/>
        <v>545.1264</v>
      </c>
      <c r="G42" s="26">
        <f t="shared" si="13"/>
        <v>566.931456</v>
      </c>
      <c r="H42" s="26">
        <f t="shared" si="13"/>
        <v>589.60871424</v>
      </c>
      <c r="I42" s="26">
        <f t="shared" si="13"/>
        <v>613.1930628096001</v>
      </c>
      <c r="J42" s="26">
        <f t="shared" si="13"/>
        <v>637.7207853219841</v>
      </c>
      <c r="K42" s="27">
        <f t="shared" si="13"/>
        <v>663.2296167348634</v>
      </c>
    </row>
    <row r="43" spans="2:11" ht="15">
      <c r="B43" s="146" t="s">
        <v>40</v>
      </c>
      <c r="C43" s="561"/>
      <c r="D43" s="176">
        <f>'ANEXO 5.3'!P43</f>
        <v>276</v>
      </c>
      <c r="E43" s="26">
        <f t="shared" si="13"/>
        <v>287.04</v>
      </c>
      <c r="F43" s="26">
        <f t="shared" si="13"/>
        <v>298.52160000000003</v>
      </c>
      <c r="G43" s="26">
        <f t="shared" si="13"/>
        <v>310.462464</v>
      </c>
      <c r="H43" s="26">
        <f t="shared" si="13"/>
        <v>322.88096256</v>
      </c>
      <c r="I43" s="26">
        <f t="shared" si="13"/>
        <v>335.7962010624</v>
      </c>
      <c r="J43" s="26">
        <f t="shared" si="13"/>
        <v>349.22804910489594</v>
      </c>
      <c r="K43" s="27">
        <f t="shared" si="13"/>
        <v>363.1971710690918</v>
      </c>
    </row>
    <row r="44" spans="2:11" ht="15">
      <c r="B44" s="146" t="s">
        <v>16</v>
      </c>
      <c r="C44" s="561"/>
      <c r="D44" s="176">
        <f>'ANEXO 5.3'!P44</f>
        <v>180</v>
      </c>
      <c r="E44" s="26">
        <f t="shared" si="13"/>
        <v>187.2</v>
      </c>
      <c r="F44" s="26">
        <f t="shared" si="13"/>
        <v>194.688</v>
      </c>
      <c r="G44" s="26">
        <f t="shared" si="13"/>
        <v>202.47552</v>
      </c>
      <c r="H44" s="26">
        <f t="shared" si="13"/>
        <v>210.5745408</v>
      </c>
      <c r="I44" s="26">
        <f t="shared" si="13"/>
        <v>218.99752243199998</v>
      </c>
      <c r="J44" s="26">
        <f t="shared" si="13"/>
        <v>227.75742332928</v>
      </c>
      <c r="K44" s="27">
        <f t="shared" si="13"/>
        <v>236.8677202624512</v>
      </c>
    </row>
    <row r="45" spans="2:11" ht="15">
      <c r="B45" s="146" t="s">
        <v>18</v>
      </c>
      <c r="C45" s="561"/>
      <c r="D45" s="176">
        <f>'ANEXO 5.3'!P45</f>
        <v>36</v>
      </c>
      <c r="E45" s="26">
        <f t="shared" si="13"/>
        <v>37.44</v>
      </c>
      <c r="F45" s="26">
        <f t="shared" si="13"/>
        <v>38.937599999999996</v>
      </c>
      <c r="G45" s="26">
        <f t="shared" si="13"/>
        <v>40.495104</v>
      </c>
      <c r="H45" s="26">
        <f t="shared" si="13"/>
        <v>42.11490816</v>
      </c>
      <c r="I45" s="26">
        <f t="shared" si="13"/>
        <v>43.7995044864</v>
      </c>
      <c r="J45" s="26">
        <f t="shared" si="13"/>
        <v>45.551484665855995</v>
      </c>
      <c r="K45" s="27">
        <f t="shared" si="13"/>
        <v>47.37354405249023</v>
      </c>
    </row>
    <row r="46" spans="2:11" ht="15">
      <c r="B46" s="146" t="s">
        <v>41</v>
      </c>
      <c r="C46" s="561"/>
      <c r="D46" s="176">
        <f>'5.4'!P45</f>
        <v>1956</v>
      </c>
      <c r="E46" s="26">
        <f t="shared" si="13"/>
        <v>2034.24</v>
      </c>
      <c r="F46" s="26">
        <f t="shared" si="13"/>
        <v>2115.6096000000002</v>
      </c>
      <c r="G46" s="26">
        <f t="shared" si="13"/>
        <v>2200.2339840000004</v>
      </c>
      <c r="H46" s="26">
        <f t="shared" si="13"/>
        <v>2288.2433433600004</v>
      </c>
      <c r="I46" s="26">
        <f t="shared" si="13"/>
        <v>2379.7730770944004</v>
      </c>
      <c r="J46" s="26">
        <f t="shared" si="13"/>
        <v>2474.9640001781763</v>
      </c>
      <c r="K46" s="27">
        <f t="shared" si="13"/>
        <v>2573.9625601853036</v>
      </c>
    </row>
    <row r="47" spans="2:11" ht="15">
      <c r="B47" s="146" t="s">
        <v>24</v>
      </c>
      <c r="C47" s="561"/>
      <c r="D47" s="176">
        <f>'5.4'!P46</f>
        <v>48</v>
      </c>
      <c r="E47" s="26">
        <f t="shared" si="13"/>
        <v>49.92</v>
      </c>
      <c r="F47" s="26">
        <f t="shared" si="13"/>
        <v>51.9168</v>
      </c>
      <c r="G47" s="26">
        <f t="shared" si="13"/>
        <v>53.993472000000004</v>
      </c>
      <c r="H47" s="26">
        <f t="shared" si="13"/>
        <v>56.15321088</v>
      </c>
      <c r="I47" s="26">
        <f t="shared" si="13"/>
        <v>58.3993393152</v>
      </c>
      <c r="J47" s="26">
        <f t="shared" si="13"/>
        <v>60.735312887808</v>
      </c>
      <c r="K47" s="27">
        <f t="shared" si="13"/>
        <v>63.16472540332032</v>
      </c>
    </row>
    <row r="48" spans="2:11" ht="15">
      <c r="B48" s="146" t="s">
        <v>15</v>
      </c>
      <c r="C48" s="561"/>
      <c r="D48" s="176">
        <f>'5.4'!P47</f>
        <v>1164</v>
      </c>
      <c r="E48" s="26">
        <f t="shared" si="13"/>
        <v>1210.56</v>
      </c>
      <c r="F48" s="26">
        <f t="shared" si="13"/>
        <v>1258.9823999999999</v>
      </c>
      <c r="G48" s="26">
        <f t="shared" si="13"/>
        <v>1309.341696</v>
      </c>
      <c r="H48" s="26">
        <f t="shared" si="13"/>
        <v>1361.71536384</v>
      </c>
      <c r="I48" s="26">
        <f t="shared" si="13"/>
        <v>1416.1839783936</v>
      </c>
      <c r="J48" s="26">
        <f t="shared" si="13"/>
        <v>1472.831337529344</v>
      </c>
      <c r="K48" s="27">
        <f t="shared" si="13"/>
        <v>1531.7445910305178</v>
      </c>
    </row>
    <row r="49" spans="2:11" ht="15">
      <c r="B49" s="146" t="s">
        <v>42</v>
      </c>
      <c r="C49" s="561"/>
      <c r="D49" s="176">
        <f>'5.4'!P48</f>
        <v>936</v>
      </c>
      <c r="E49" s="26">
        <f t="shared" si="13"/>
        <v>973.44</v>
      </c>
      <c r="F49" s="26">
        <f t="shared" si="13"/>
        <v>1012.3776</v>
      </c>
      <c r="G49" s="26">
        <f t="shared" si="13"/>
        <v>1052.872704</v>
      </c>
      <c r="H49" s="26">
        <f t="shared" si="13"/>
        <v>1094.98761216</v>
      </c>
      <c r="I49" s="26">
        <f t="shared" si="13"/>
        <v>1138.7871166464001</v>
      </c>
      <c r="J49" s="26">
        <f t="shared" si="13"/>
        <v>1184.338601312256</v>
      </c>
      <c r="K49" s="27">
        <f t="shared" si="13"/>
        <v>1231.7121453647462</v>
      </c>
    </row>
    <row r="50" spans="2:11" ht="15">
      <c r="B50" s="146" t="s">
        <v>43</v>
      </c>
      <c r="C50" s="561"/>
      <c r="D50" s="176">
        <f>'5.4'!P49</f>
        <v>80</v>
      </c>
      <c r="E50" s="26">
        <f t="shared" si="13"/>
        <v>83.2</v>
      </c>
      <c r="F50" s="26">
        <f t="shared" si="13"/>
        <v>86.528</v>
      </c>
      <c r="G50" s="26">
        <f t="shared" si="13"/>
        <v>89.98912</v>
      </c>
      <c r="H50" s="26">
        <f t="shared" si="13"/>
        <v>93.5886848</v>
      </c>
      <c r="I50" s="26">
        <f t="shared" si="13"/>
        <v>97.33223219199999</v>
      </c>
      <c r="J50" s="26">
        <f t="shared" si="13"/>
        <v>101.22552147968</v>
      </c>
      <c r="K50" s="27">
        <f t="shared" si="13"/>
        <v>105.27454233886719</v>
      </c>
    </row>
    <row r="51" spans="2:11" ht="15">
      <c r="B51" s="146" t="s">
        <v>44</v>
      </c>
      <c r="C51" s="561"/>
      <c r="D51" s="176">
        <f>'5.4'!P50</f>
        <v>372</v>
      </c>
      <c r="E51" s="26">
        <f t="shared" si="13"/>
        <v>386.88</v>
      </c>
      <c r="F51" s="26">
        <f t="shared" si="13"/>
        <v>402.35519999999997</v>
      </c>
      <c r="G51" s="26">
        <f t="shared" si="13"/>
        <v>418.44940799999995</v>
      </c>
      <c r="H51" s="26">
        <f t="shared" si="13"/>
        <v>435.1873843199999</v>
      </c>
      <c r="I51" s="26">
        <f t="shared" si="13"/>
        <v>452.5948796927999</v>
      </c>
      <c r="J51" s="26">
        <f t="shared" si="13"/>
        <v>470.69867488051193</v>
      </c>
      <c r="K51" s="27">
        <f t="shared" si="13"/>
        <v>489.5266218757324</v>
      </c>
    </row>
    <row r="52" spans="2:11" ht="15">
      <c r="B52" s="146" t="s">
        <v>45</v>
      </c>
      <c r="C52" s="561"/>
      <c r="D52" s="176">
        <f>'5.4'!P51</f>
        <v>1332</v>
      </c>
      <c r="E52" s="26">
        <f t="shared" si="13"/>
        <v>1385.28</v>
      </c>
      <c r="F52" s="26">
        <f t="shared" si="13"/>
        <v>1440.6912</v>
      </c>
      <c r="G52" s="26">
        <f t="shared" si="13"/>
        <v>1498.318848</v>
      </c>
      <c r="H52" s="26">
        <f t="shared" si="13"/>
        <v>1558.25160192</v>
      </c>
      <c r="I52" s="26">
        <f t="shared" si="13"/>
        <v>1620.5816659968</v>
      </c>
      <c r="J52" s="26">
        <f t="shared" si="13"/>
        <v>1685.404932636672</v>
      </c>
      <c r="K52" s="27">
        <f t="shared" si="13"/>
        <v>1752.8211299421387</v>
      </c>
    </row>
    <row r="53" spans="2:11" ht="16.5" thickBot="1">
      <c r="B53" s="153" t="s">
        <v>47</v>
      </c>
      <c r="C53" s="472"/>
      <c r="D53" s="559">
        <f aca="true" t="shared" si="14" ref="D53:K53">SUM(D41:D52)</f>
        <v>8444</v>
      </c>
      <c r="E53" s="386">
        <f t="shared" si="14"/>
        <v>8781.76</v>
      </c>
      <c r="F53" s="386">
        <f t="shared" si="14"/>
        <v>9133.0304</v>
      </c>
      <c r="G53" s="386">
        <f t="shared" si="14"/>
        <v>9498.351616</v>
      </c>
      <c r="H53" s="386">
        <f t="shared" si="14"/>
        <v>9878.28568064</v>
      </c>
      <c r="I53" s="386">
        <f t="shared" si="14"/>
        <v>10273.417107865602</v>
      </c>
      <c r="J53" s="386">
        <f t="shared" si="14"/>
        <v>10684.353792180224</v>
      </c>
      <c r="K53" s="387">
        <f t="shared" si="14"/>
        <v>11111.727943867434</v>
      </c>
    </row>
    <row r="54" spans="2:11" ht="15.75" thickBot="1">
      <c r="B54" s="700"/>
      <c r="C54" s="702"/>
      <c r="D54" s="149"/>
      <c r="K54" s="166"/>
    </row>
    <row r="55" spans="2:11" ht="31.5">
      <c r="B55" s="157" t="s">
        <v>48</v>
      </c>
      <c r="C55" s="554"/>
      <c r="D55" s="164"/>
      <c r="E55" s="83"/>
      <c r="F55" s="83"/>
      <c r="G55" s="83"/>
      <c r="H55" s="83"/>
      <c r="I55" s="83"/>
      <c r="J55" s="83"/>
      <c r="K55" s="165"/>
    </row>
    <row r="56" spans="2:11" ht="15">
      <c r="B56" s="146" t="s">
        <v>49</v>
      </c>
      <c r="C56" s="146"/>
      <c r="D56" s="167">
        <f>'5.4'!P56</f>
        <v>19004.160000000003</v>
      </c>
      <c r="E56" s="26">
        <f>D56+(D56*4%)</f>
        <v>19764.326400000005</v>
      </c>
      <c r="F56" s="26">
        <f aca="true" t="shared" si="15" ref="F56:K56">E56+(E56*4%)</f>
        <v>20554.899456000006</v>
      </c>
      <c r="G56" s="26">
        <f t="shared" si="15"/>
        <v>21377.095434240007</v>
      </c>
      <c r="H56" s="26">
        <f t="shared" si="15"/>
        <v>22232.179251609607</v>
      </c>
      <c r="I56" s="26">
        <f t="shared" si="15"/>
        <v>23121.46642167399</v>
      </c>
      <c r="J56" s="26">
        <f t="shared" si="15"/>
        <v>24046.32507854095</v>
      </c>
      <c r="K56" s="27">
        <f t="shared" si="15"/>
        <v>25008.17808168259</v>
      </c>
    </row>
    <row r="57" spans="2:11" ht="15">
      <c r="B57" s="146" t="s">
        <v>60</v>
      </c>
      <c r="C57" s="146"/>
      <c r="D57" s="167">
        <f>'5.4'!P57</f>
        <v>19004.160000000003</v>
      </c>
      <c r="E57" s="26">
        <f aca="true" t="shared" si="16" ref="E57:K58">D57+(D57*4%)</f>
        <v>19764.326400000005</v>
      </c>
      <c r="F57" s="26">
        <f t="shared" si="16"/>
        <v>20554.899456000006</v>
      </c>
      <c r="G57" s="26">
        <f t="shared" si="16"/>
        <v>21377.095434240007</v>
      </c>
      <c r="H57" s="26">
        <f t="shared" si="16"/>
        <v>22232.179251609607</v>
      </c>
      <c r="I57" s="26">
        <f t="shared" si="16"/>
        <v>23121.46642167399</v>
      </c>
      <c r="J57" s="26">
        <f t="shared" si="16"/>
        <v>24046.32507854095</v>
      </c>
      <c r="K57" s="27">
        <f t="shared" si="16"/>
        <v>25008.17808168259</v>
      </c>
    </row>
    <row r="58" spans="2:11" ht="15.75" thickBot="1">
      <c r="B58" s="146" t="s">
        <v>61</v>
      </c>
      <c r="C58" s="557"/>
      <c r="D58" s="416">
        <f>'5.4'!P58</f>
        <v>15764.400000000003</v>
      </c>
      <c r="E58" s="30">
        <f t="shared" si="16"/>
        <v>16394.976000000002</v>
      </c>
      <c r="F58" s="30">
        <f t="shared" si="16"/>
        <v>17050.775040000004</v>
      </c>
      <c r="G58" s="30">
        <f t="shared" si="16"/>
        <v>17732.806041600004</v>
      </c>
      <c r="H58" s="30">
        <f t="shared" si="16"/>
        <v>18442.118283264004</v>
      </c>
      <c r="I58" s="30">
        <f t="shared" si="16"/>
        <v>19179.803014594563</v>
      </c>
      <c r="J58" s="30">
        <f t="shared" si="16"/>
        <v>19946.995135178346</v>
      </c>
      <c r="K58" s="31">
        <f t="shared" si="16"/>
        <v>20744.87494058548</v>
      </c>
    </row>
    <row r="59" spans="2:11" ht="30.75" thickBot="1">
      <c r="B59" s="153" t="s">
        <v>51</v>
      </c>
      <c r="C59" s="719"/>
      <c r="D59" s="385">
        <f>SUM(D56:D58)</f>
        <v>53772.72000000001</v>
      </c>
      <c r="E59" s="386">
        <f aca="true" t="shared" si="17" ref="E59:K59">SUM(E56:E58)</f>
        <v>55923.62880000001</v>
      </c>
      <c r="F59" s="386">
        <f t="shared" si="17"/>
        <v>58160.57395200002</v>
      </c>
      <c r="G59" s="386">
        <f t="shared" si="17"/>
        <v>60486.99691008002</v>
      </c>
      <c r="H59" s="386">
        <f t="shared" si="17"/>
        <v>62906.47678648322</v>
      </c>
      <c r="I59" s="386">
        <f t="shared" si="17"/>
        <v>65422.73585794255</v>
      </c>
      <c r="J59" s="386">
        <f t="shared" si="17"/>
        <v>68039.64529226025</v>
      </c>
      <c r="K59" s="387">
        <f t="shared" si="17"/>
        <v>70761.23110395066</v>
      </c>
    </row>
    <row r="60" spans="2:11" ht="15.75" thickBot="1">
      <c r="B60" s="700"/>
      <c r="C60" s="151"/>
      <c r="D60" s="149"/>
      <c r="K60" s="166"/>
    </row>
    <row r="61" spans="2:11" ht="15.75">
      <c r="B61" s="157" t="s">
        <v>52</v>
      </c>
      <c r="C61" s="178"/>
      <c r="D61" s="558"/>
      <c r="E61" s="83"/>
      <c r="F61" s="83"/>
      <c r="G61" s="83"/>
      <c r="H61" s="83"/>
      <c r="I61" s="83"/>
      <c r="J61" s="83"/>
      <c r="K61" s="165"/>
    </row>
    <row r="62" spans="2:11" ht="15">
      <c r="B62" s="146" t="s">
        <v>53</v>
      </c>
      <c r="C62" s="561"/>
      <c r="D62" s="176">
        <f>'5.4'!P61</f>
        <v>6000</v>
      </c>
      <c r="E62" s="26"/>
      <c r="F62" s="26"/>
      <c r="G62" s="26"/>
      <c r="H62" s="26"/>
      <c r="I62" s="26"/>
      <c r="J62" s="26"/>
      <c r="K62" s="27"/>
    </row>
    <row r="63" spans="2:11" ht="15">
      <c r="B63" s="146" t="s">
        <v>54</v>
      </c>
      <c r="C63" s="561"/>
      <c r="D63" s="176">
        <f>'5.4'!P62</f>
        <v>2160</v>
      </c>
      <c r="E63" s="26">
        <f>D63+(D63*4%)</f>
        <v>2246.4</v>
      </c>
      <c r="F63" s="26">
        <f aca="true" t="shared" si="18" ref="F63:K63">E63+(E63*4%)</f>
        <v>2336.2560000000003</v>
      </c>
      <c r="G63" s="26">
        <f t="shared" si="18"/>
        <v>2429.7062400000004</v>
      </c>
      <c r="H63" s="26">
        <f t="shared" si="18"/>
        <v>2526.8944896000003</v>
      </c>
      <c r="I63" s="26">
        <f t="shared" si="18"/>
        <v>2627.9702691840002</v>
      </c>
      <c r="J63" s="26">
        <f t="shared" si="18"/>
        <v>2733.0890799513604</v>
      </c>
      <c r="K63" s="27">
        <f t="shared" si="18"/>
        <v>2842.4126431494146</v>
      </c>
    </row>
    <row r="64" spans="2:11" ht="15">
      <c r="B64" s="146" t="s">
        <v>55</v>
      </c>
      <c r="C64" s="561"/>
      <c r="D64" s="176">
        <f>'5.4'!P63</f>
        <v>1200</v>
      </c>
      <c r="E64" s="26">
        <f aca="true" t="shared" si="19" ref="E64:K65">D64+(D64*4%)</f>
        <v>1248</v>
      </c>
      <c r="F64" s="26">
        <f t="shared" si="19"/>
        <v>1297.92</v>
      </c>
      <c r="G64" s="26">
        <f t="shared" si="19"/>
        <v>1349.8368</v>
      </c>
      <c r="H64" s="26">
        <f t="shared" si="19"/>
        <v>1403.8302720000002</v>
      </c>
      <c r="I64" s="26">
        <f t="shared" si="19"/>
        <v>1459.98348288</v>
      </c>
      <c r="J64" s="26">
        <f t="shared" si="19"/>
        <v>1518.3828221952</v>
      </c>
      <c r="K64" s="27">
        <f t="shared" si="19"/>
        <v>1579.1181350830082</v>
      </c>
    </row>
    <row r="65" spans="2:11" ht="15.75" thickBot="1">
      <c r="B65" s="146" t="s">
        <v>56</v>
      </c>
      <c r="C65" s="561"/>
      <c r="D65" s="177">
        <f>'5.4'!P64</f>
        <v>4680</v>
      </c>
      <c r="E65" s="30">
        <f t="shared" si="19"/>
        <v>4867.2</v>
      </c>
      <c r="F65" s="30">
        <f t="shared" si="19"/>
        <v>5061.888</v>
      </c>
      <c r="G65" s="30">
        <f t="shared" si="19"/>
        <v>5264.36352</v>
      </c>
      <c r="H65" s="30">
        <f t="shared" si="19"/>
        <v>5474.9380608</v>
      </c>
      <c r="I65" s="30">
        <f t="shared" si="19"/>
        <v>5693.935583232</v>
      </c>
      <c r="J65" s="30">
        <f t="shared" si="19"/>
        <v>5921.69300656128</v>
      </c>
      <c r="K65" s="31">
        <f t="shared" si="19"/>
        <v>6158.560726823731</v>
      </c>
    </row>
    <row r="66" spans="2:11" ht="16.5" thickBot="1">
      <c r="B66" s="153" t="s">
        <v>58</v>
      </c>
      <c r="C66" s="720"/>
      <c r="D66" s="559">
        <f>SUM(D62:D65)</f>
        <v>14040</v>
      </c>
      <c r="E66" s="386">
        <f>SUM(E62:E65)</f>
        <v>8361.6</v>
      </c>
      <c r="F66" s="386">
        <f aca="true" t="shared" si="20" ref="F66:K66">SUM(F62:F65)</f>
        <v>8696.064</v>
      </c>
      <c r="G66" s="386">
        <f t="shared" si="20"/>
        <v>9043.90656</v>
      </c>
      <c r="H66" s="386">
        <f t="shared" si="20"/>
        <v>9405.662822400001</v>
      </c>
      <c r="I66" s="386">
        <f t="shared" si="20"/>
        <v>9781.889335296</v>
      </c>
      <c r="J66" s="386">
        <f t="shared" si="20"/>
        <v>10173.16490870784</v>
      </c>
      <c r="K66" s="387">
        <f t="shared" si="20"/>
        <v>10580.091505056153</v>
      </c>
    </row>
    <row r="67" spans="2:11" ht="15.75" thickBot="1">
      <c r="B67" s="715"/>
      <c r="C67" s="716"/>
      <c r="D67" s="149"/>
      <c r="K67" s="166"/>
    </row>
    <row r="68" spans="2:11" ht="16.5" thickBot="1">
      <c r="B68" s="154" t="s">
        <v>65</v>
      </c>
      <c r="C68" s="717"/>
      <c r="D68" s="565">
        <f>D14+D29+D38+D53+D59+D66</f>
        <v>570265.016</v>
      </c>
      <c r="E68" s="173">
        <f aca="true" t="shared" si="21" ref="E68:K68">E14+E29+E38+E53+E59+E66</f>
        <v>572593.3166400001</v>
      </c>
      <c r="F68" s="173">
        <f t="shared" si="21"/>
        <v>581254.7493056001</v>
      </c>
      <c r="G68" s="173">
        <f t="shared" si="21"/>
        <v>590262.6392778241</v>
      </c>
      <c r="H68" s="173">
        <f t="shared" si="21"/>
        <v>599630.844848937</v>
      </c>
      <c r="I68" s="173">
        <f t="shared" si="21"/>
        <v>609373.7786428944</v>
      </c>
      <c r="J68" s="173">
        <f t="shared" si="21"/>
        <v>619506.4297886102</v>
      </c>
      <c r="K68" s="174">
        <f t="shared" si="21"/>
        <v>630044.3869801546</v>
      </c>
    </row>
    <row r="69" spans="1:4" ht="16.5" thickBot="1">
      <c r="A69" s="75"/>
      <c r="B69" s="537"/>
      <c r="C69" s="537"/>
      <c r="D69" s="718"/>
    </row>
    <row r="70" spans="2:11" s="388" customFormat="1" ht="31.5">
      <c r="B70" s="562" t="s">
        <v>66</v>
      </c>
      <c r="C70" s="566"/>
      <c r="D70" s="391">
        <f aca="true" t="shared" si="22" ref="D70:K70">D9-D68</f>
        <v>74726.95483333326</v>
      </c>
      <c r="E70" s="392">
        <f t="shared" si="22"/>
        <v>72398.65419333312</v>
      </c>
      <c r="F70" s="392">
        <f t="shared" si="22"/>
        <v>63737.22152773314</v>
      </c>
      <c r="G70" s="392">
        <f t="shared" si="22"/>
        <v>54729.331555509125</v>
      </c>
      <c r="H70" s="392">
        <f t="shared" si="22"/>
        <v>45361.1259843962</v>
      </c>
      <c r="I70" s="392">
        <f t="shared" si="22"/>
        <v>35618.19219043886</v>
      </c>
      <c r="J70" s="392">
        <f t="shared" si="22"/>
        <v>25485.54104472301</v>
      </c>
      <c r="K70" s="393">
        <f t="shared" si="22"/>
        <v>14947.583853178658</v>
      </c>
    </row>
    <row r="71" spans="2:11" ht="15.75">
      <c r="B71" s="563" t="s">
        <v>67</v>
      </c>
      <c r="C71" s="566"/>
      <c r="D71" s="176">
        <f>D70*25%</f>
        <v>18681.738708333316</v>
      </c>
      <c r="E71" s="155">
        <f>E70*25%</f>
        <v>18099.66354833328</v>
      </c>
      <c r="F71" s="155">
        <f aca="true" t="shared" si="23" ref="F71:K71">F70*25%</f>
        <v>15934.305381933285</v>
      </c>
      <c r="G71" s="155">
        <f t="shared" si="23"/>
        <v>13682.332888877281</v>
      </c>
      <c r="H71" s="155">
        <f t="shared" si="23"/>
        <v>11340.28149609905</v>
      </c>
      <c r="I71" s="155">
        <f t="shared" si="23"/>
        <v>8904.548047609715</v>
      </c>
      <c r="J71" s="155">
        <f t="shared" si="23"/>
        <v>6371.385261180752</v>
      </c>
      <c r="K71" s="175">
        <f t="shared" si="23"/>
        <v>3736.8959632946644</v>
      </c>
    </row>
    <row r="72" spans="2:11" s="388" customFormat="1" ht="15.75">
      <c r="B72" s="172" t="s">
        <v>69</v>
      </c>
      <c r="C72" s="560"/>
      <c r="D72" s="389">
        <f>D70-D71</f>
        <v>56045.21612499995</v>
      </c>
      <c r="E72" s="384">
        <f>E70-E71</f>
        <v>54298.99064499984</v>
      </c>
      <c r="F72" s="384">
        <f aca="true" t="shared" si="24" ref="F72:K72">F70-F71</f>
        <v>47802.916145799856</v>
      </c>
      <c r="G72" s="384">
        <f t="shared" si="24"/>
        <v>41046.998666631844</v>
      </c>
      <c r="H72" s="384">
        <f t="shared" si="24"/>
        <v>34020.84448829715</v>
      </c>
      <c r="I72" s="384">
        <f t="shared" si="24"/>
        <v>26713.644142829144</v>
      </c>
      <c r="J72" s="384">
        <f t="shared" si="24"/>
        <v>19114.155783542257</v>
      </c>
      <c r="K72" s="390">
        <f t="shared" si="24"/>
        <v>11210.687889883993</v>
      </c>
    </row>
    <row r="73" spans="2:11" ht="16.5" thickBot="1">
      <c r="B73" s="564" t="s">
        <v>70</v>
      </c>
      <c r="C73" s="560"/>
      <c r="D73" s="177">
        <f>D72</f>
        <v>56045.21612499995</v>
      </c>
      <c r="E73" s="30">
        <f>D73+E72</f>
        <v>110344.20676999979</v>
      </c>
      <c r="F73" s="30">
        <f aca="true" t="shared" si="25" ref="F73:K73">E73+F72</f>
        <v>158147.12291579964</v>
      </c>
      <c r="G73" s="30">
        <f t="shared" si="25"/>
        <v>199194.1215824315</v>
      </c>
      <c r="H73" s="30">
        <f t="shared" si="25"/>
        <v>233214.96607072864</v>
      </c>
      <c r="I73" s="30">
        <f t="shared" si="25"/>
        <v>259928.61021355778</v>
      </c>
      <c r="J73" s="30">
        <f t="shared" si="25"/>
        <v>279042.76599710004</v>
      </c>
      <c r="K73" s="31">
        <f t="shared" si="25"/>
        <v>290253.45388698403</v>
      </c>
    </row>
    <row r="74" spans="2:11" s="395" customFormat="1" ht="15.75">
      <c r="B74" s="402" t="s">
        <v>234</v>
      </c>
      <c r="C74" s="402"/>
      <c r="D74" s="394">
        <f>D73/$D$76</f>
        <v>0.002190241596843905</v>
      </c>
      <c r="E74" s="394">
        <f aca="true" t="shared" si="26" ref="E74:K74">E73/$D$76</f>
        <v>0.004312240871716303</v>
      </c>
      <c r="F74" s="394">
        <f t="shared" si="26"/>
        <v>0.0061803741867784735</v>
      </c>
      <c r="G74" s="394">
        <f t="shared" si="26"/>
        <v>0.007784486903638007</v>
      </c>
      <c r="H74" s="394">
        <f t="shared" si="26"/>
        <v>0.009114018198366798</v>
      </c>
      <c r="I74" s="394">
        <f t="shared" si="26"/>
        <v>0.010157984814079622</v>
      </c>
      <c r="J74" s="394">
        <f t="shared" si="26"/>
        <v>0.01090496416361583</v>
      </c>
      <c r="K74" s="394">
        <f t="shared" si="26"/>
        <v>0.011343076756328367</v>
      </c>
    </row>
    <row r="75" spans="4:5" ht="15">
      <c r="D75" s="184"/>
      <c r="E75" s="184"/>
    </row>
    <row r="76" spans="2:11" ht="15" customHeight="1">
      <c r="B76" s="400" t="s">
        <v>235</v>
      </c>
      <c r="C76" s="400"/>
      <c r="D76" s="401">
        <v>25588600</v>
      </c>
      <c r="E76" s="415"/>
      <c r="F76" s="415"/>
      <c r="G76" s="415"/>
      <c r="H76" s="415"/>
      <c r="I76" s="415"/>
      <c r="J76" s="415"/>
      <c r="K76" s="415"/>
    </row>
    <row r="77" spans="2:11" ht="15">
      <c r="B77" s="739" t="s">
        <v>108</v>
      </c>
      <c r="C77" s="184"/>
      <c r="D77" s="415"/>
      <c r="E77" s="415"/>
      <c r="F77" s="415"/>
      <c r="G77" s="415"/>
      <c r="H77" s="415"/>
      <c r="I77" s="415"/>
      <c r="J77" s="415"/>
      <c r="K77" s="415"/>
    </row>
    <row r="78" spans="2:11" ht="15">
      <c r="B78" s="739" t="s">
        <v>320</v>
      </c>
      <c r="C78" s="184"/>
      <c r="F78" s="415"/>
      <c r="G78" s="415"/>
      <c r="H78" s="415"/>
      <c r="I78" s="415"/>
      <c r="J78" s="415"/>
      <c r="K78" s="415"/>
    </row>
    <row r="79" ht="15.75">
      <c r="B79" s="212"/>
    </row>
  </sheetData>
  <mergeCells count="2">
    <mergeCell ref="D1:G1"/>
    <mergeCell ref="D2:K2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"/>
  <sheetViews>
    <sheetView workbookViewId="0" topLeftCell="A1">
      <selection activeCell="D23" sqref="D23"/>
    </sheetView>
  </sheetViews>
  <sheetFormatPr defaultColWidth="11.421875" defaultRowHeight="12.75"/>
  <cols>
    <col min="1" max="1" width="11.421875" style="634" customWidth="1"/>
    <col min="2" max="2" width="36.140625" style="667" bestFit="1" customWidth="1"/>
    <col min="3" max="3" width="14.00390625" style="634" bestFit="1" customWidth="1"/>
    <col min="4" max="9" width="12.7109375" style="634" bestFit="1" customWidth="1"/>
    <col min="10" max="16384" width="11.421875" style="634" customWidth="1"/>
  </cols>
  <sheetData>
    <row r="1" ht="15.75">
      <c r="B1" s="633" t="s">
        <v>308</v>
      </c>
    </row>
    <row r="2" spans="3:8" ht="16.5" thickBot="1">
      <c r="C2" s="781" t="s">
        <v>290</v>
      </c>
      <c r="D2" s="781"/>
      <c r="E2" s="781"/>
      <c r="F2" s="781"/>
      <c r="G2" s="781"/>
      <c r="H2" s="781"/>
    </row>
    <row r="3" spans="2:9" s="635" customFormat="1" ht="16.5" thickBot="1">
      <c r="B3" s="669" t="s">
        <v>298</v>
      </c>
      <c r="C3" s="640">
        <v>0</v>
      </c>
      <c r="D3" s="641">
        <v>1</v>
      </c>
      <c r="E3" s="641">
        <v>2</v>
      </c>
      <c r="F3" s="641">
        <v>3</v>
      </c>
      <c r="G3" s="641">
        <v>4</v>
      </c>
      <c r="H3" s="642">
        <v>5</v>
      </c>
      <c r="I3" s="642">
        <v>6</v>
      </c>
    </row>
    <row r="4" spans="2:9" ht="15.75">
      <c r="B4" s="729" t="s">
        <v>277</v>
      </c>
      <c r="C4" s="645"/>
      <c r="D4" s="646">
        <f>'5.5.1F.C.'!C22-'5.5.1F.C.'!C8</f>
        <v>806239.9635416665</v>
      </c>
      <c r="E4" s="646">
        <f>'5.4.2'!C8-'5.3.2'!E9</f>
        <v>806239.9635416665</v>
      </c>
      <c r="F4" s="646">
        <f>'5.4.2'!D8-'5.3.2'!F9</f>
        <v>806239.9635416665</v>
      </c>
      <c r="G4" s="646">
        <f>'5.4.2'!E8-'5.3.2'!G9</f>
        <v>806239.9635416665</v>
      </c>
      <c r="H4" s="647">
        <f>'5.4.2'!F8-'5.3.2'!H9</f>
        <v>806239.9635416665</v>
      </c>
      <c r="I4" s="647">
        <f>'5.4.2'!G8-'5.3.2'!I9</f>
        <v>806239.9635416665</v>
      </c>
    </row>
    <row r="5" spans="2:9" ht="16.5" thickBot="1">
      <c r="B5" s="730" t="s">
        <v>278</v>
      </c>
      <c r="C5" s="643"/>
      <c r="D5" s="636">
        <f>'5.5.1F.C.'!C24-'5.5.1F.C.'!C10</f>
        <v>445071.875</v>
      </c>
      <c r="E5" s="636">
        <f>D5</f>
        <v>445071.875</v>
      </c>
      <c r="F5" s="636">
        <f>E5</f>
        <v>445071.875</v>
      </c>
      <c r="G5" s="636">
        <f>F5</f>
        <v>445071.875</v>
      </c>
      <c r="H5" s="644">
        <f>G5</f>
        <v>445071.875</v>
      </c>
      <c r="I5" s="644">
        <f>H5</f>
        <v>445071.875</v>
      </c>
    </row>
    <row r="6" spans="2:9" s="633" customFormat="1" ht="16.5" thickBot="1">
      <c r="B6" s="725" t="s">
        <v>300</v>
      </c>
      <c r="C6" s="671"/>
      <c r="D6" s="671">
        <f aca="true" t="shared" si="0" ref="D6:I6">D4-D5</f>
        <v>361168.0885416665</v>
      </c>
      <c r="E6" s="671">
        <f t="shared" si="0"/>
        <v>361168.0885416665</v>
      </c>
      <c r="F6" s="671">
        <f t="shared" si="0"/>
        <v>361168.0885416665</v>
      </c>
      <c r="G6" s="671">
        <f t="shared" si="0"/>
        <v>361168.0885416665</v>
      </c>
      <c r="H6" s="672">
        <f t="shared" si="0"/>
        <v>361168.0885416665</v>
      </c>
      <c r="I6" s="672">
        <f t="shared" si="0"/>
        <v>361168.0885416665</v>
      </c>
    </row>
    <row r="7" spans="2:9" ht="15">
      <c r="B7" s="722" t="s">
        <v>304</v>
      </c>
      <c r="C7" s="646"/>
      <c r="D7" s="646">
        <f>'5.5.1F.C.'!C25-'5.5.1F.C.'!C11</f>
        <v>108</v>
      </c>
      <c r="E7" s="646">
        <f aca="true" t="shared" si="1" ref="E7:H11">D7</f>
        <v>108</v>
      </c>
      <c r="F7" s="646">
        <f t="shared" si="1"/>
        <v>108</v>
      </c>
      <c r="G7" s="646">
        <f t="shared" si="1"/>
        <v>108</v>
      </c>
      <c r="H7" s="647">
        <f t="shared" si="1"/>
        <v>108</v>
      </c>
      <c r="I7" s="644">
        <f>H7</f>
        <v>108</v>
      </c>
    </row>
    <row r="8" spans="2:9" ht="15">
      <c r="B8" s="722" t="s">
        <v>305</v>
      </c>
      <c r="C8" s="636"/>
      <c r="D8" s="636">
        <f>'5.5.1F.C.'!C26-'5.5.1F.C.'!C12</f>
        <v>109551.68000000002</v>
      </c>
      <c r="E8" s="636">
        <f t="shared" si="1"/>
        <v>109551.68000000002</v>
      </c>
      <c r="F8" s="636">
        <f t="shared" si="1"/>
        <v>109551.68000000002</v>
      </c>
      <c r="G8" s="636">
        <f t="shared" si="1"/>
        <v>109551.68000000002</v>
      </c>
      <c r="H8" s="644">
        <f t="shared" si="1"/>
        <v>109551.68000000002</v>
      </c>
      <c r="I8" s="644">
        <f>H8</f>
        <v>109551.68000000002</v>
      </c>
    </row>
    <row r="9" spans="2:9" ht="15">
      <c r="B9" s="722" t="s">
        <v>306</v>
      </c>
      <c r="C9" s="636"/>
      <c r="D9" s="689">
        <f>'5.5.1F.C.'!C27-'5.5.1F.C.'!C13</f>
        <v>0</v>
      </c>
      <c r="E9" s="689">
        <f t="shared" si="1"/>
        <v>0</v>
      </c>
      <c r="F9" s="689">
        <f t="shared" si="1"/>
        <v>0</v>
      </c>
      <c r="G9" s="689">
        <f t="shared" si="1"/>
        <v>0</v>
      </c>
      <c r="H9" s="690">
        <f t="shared" si="1"/>
        <v>0</v>
      </c>
      <c r="I9" s="690">
        <f>H9</f>
        <v>0</v>
      </c>
    </row>
    <row r="10" spans="2:9" ht="15">
      <c r="B10" s="722" t="s">
        <v>315</v>
      </c>
      <c r="C10" s="636"/>
      <c r="D10" s="636">
        <f>'5.5.1F.C.'!C28-'5.5.1F.C.'!C14</f>
        <v>86839.28</v>
      </c>
      <c r="E10" s="636">
        <f>'5.4.2'!C20-'5.5.1F.C.'!$C$14</f>
        <v>82839.28</v>
      </c>
      <c r="F10" s="636">
        <f>'5.4.2'!D20-'5.5.1F.C.'!$C$14</f>
        <v>85933.4584</v>
      </c>
      <c r="G10" s="636">
        <f>'5.4.2'!E20-'5.5.1F.C.'!$C$14</f>
        <v>89120.46215200001</v>
      </c>
      <c r="H10" s="644">
        <f>'5.4.2'!F20-'5.5.1F.C.'!$C$14</f>
        <v>92403.07601656001</v>
      </c>
      <c r="I10" s="644">
        <f>H10</f>
        <v>92403.07601656001</v>
      </c>
    </row>
    <row r="11" spans="2:9" ht="15.75" thickBot="1">
      <c r="B11" s="728" t="s">
        <v>307</v>
      </c>
      <c r="C11" s="636"/>
      <c r="D11" s="726">
        <f>'5.5.1F.C.'!C29</f>
        <v>7200</v>
      </c>
      <c r="E11" s="726">
        <f t="shared" si="1"/>
        <v>7200</v>
      </c>
      <c r="F11" s="726">
        <f t="shared" si="1"/>
        <v>7200</v>
      </c>
      <c r="G11" s="726">
        <f t="shared" si="1"/>
        <v>7200</v>
      </c>
      <c r="H11" s="727">
        <f t="shared" si="1"/>
        <v>7200</v>
      </c>
      <c r="I11" s="727">
        <f>H11</f>
        <v>7200</v>
      </c>
    </row>
    <row r="12" spans="2:9" ht="15.75" thickTop="1">
      <c r="B12" s="723" t="s">
        <v>299</v>
      </c>
      <c r="C12" s="636"/>
      <c r="D12" s="636">
        <f aca="true" t="shared" si="2" ref="D12:I12">D6-SUM(D7:D11)</f>
        <v>157469.1285416665</v>
      </c>
      <c r="E12" s="636">
        <f t="shared" si="2"/>
        <v>161469.1285416665</v>
      </c>
      <c r="F12" s="636">
        <f t="shared" si="2"/>
        <v>158374.9501416665</v>
      </c>
      <c r="G12" s="636">
        <f t="shared" si="2"/>
        <v>155187.94638966647</v>
      </c>
      <c r="H12" s="644">
        <f t="shared" si="2"/>
        <v>151905.3325251065</v>
      </c>
      <c r="I12" s="644">
        <f t="shared" si="2"/>
        <v>151905.3325251065</v>
      </c>
    </row>
    <row r="13" spans="2:9" ht="15.75" thickBot="1">
      <c r="B13" s="724" t="s">
        <v>279</v>
      </c>
      <c r="C13" s="649"/>
      <c r="D13" s="649">
        <f aca="true" t="shared" si="3" ref="D13:I13">-(D12*0.25)</f>
        <v>-39367.28213541662</v>
      </c>
      <c r="E13" s="649">
        <f t="shared" si="3"/>
        <v>-40367.28213541662</v>
      </c>
      <c r="F13" s="649">
        <f t="shared" si="3"/>
        <v>-39593.73753541662</v>
      </c>
      <c r="G13" s="649">
        <f t="shared" si="3"/>
        <v>-38796.98659741662</v>
      </c>
      <c r="H13" s="650">
        <f t="shared" si="3"/>
        <v>-37976.333131276624</v>
      </c>
      <c r="I13" s="644">
        <f t="shared" si="3"/>
        <v>-37976.333131276624</v>
      </c>
    </row>
    <row r="14" spans="2:9" s="633" customFormat="1" ht="16.5" thickBot="1">
      <c r="B14" s="721" t="s">
        <v>280</v>
      </c>
      <c r="C14" s="670"/>
      <c r="D14" s="671">
        <f aca="true" t="shared" si="4" ref="D14:I14">(D12+D13)</f>
        <v>118101.84640624987</v>
      </c>
      <c r="E14" s="671">
        <f t="shared" si="4"/>
        <v>121101.84640624987</v>
      </c>
      <c r="F14" s="671">
        <f t="shared" si="4"/>
        <v>118781.21260624987</v>
      </c>
      <c r="G14" s="671">
        <f t="shared" si="4"/>
        <v>116390.95979224985</v>
      </c>
      <c r="H14" s="672">
        <f t="shared" si="4"/>
        <v>113928.99939382987</v>
      </c>
      <c r="I14" s="672">
        <f t="shared" si="4"/>
        <v>113928.99939382987</v>
      </c>
    </row>
    <row r="15" spans="2:9" ht="15">
      <c r="B15" s="667" t="s">
        <v>281</v>
      </c>
      <c r="C15" s="643"/>
      <c r="D15" s="636">
        <f aca="true" t="shared" si="5" ref="D15:I15">D11</f>
        <v>7200</v>
      </c>
      <c r="E15" s="636">
        <f t="shared" si="5"/>
        <v>7200</v>
      </c>
      <c r="F15" s="636">
        <f t="shared" si="5"/>
        <v>7200</v>
      </c>
      <c r="G15" s="636">
        <f t="shared" si="5"/>
        <v>7200</v>
      </c>
      <c r="H15" s="644">
        <f t="shared" si="5"/>
        <v>7200</v>
      </c>
      <c r="I15" s="644">
        <f t="shared" si="5"/>
        <v>7200</v>
      </c>
    </row>
    <row r="16" spans="2:9" ht="15.75" thickBot="1">
      <c r="B16" s="667" t="s">
        <v>282</v>
      </c>
      <c r="C16" s="643">
        <f>-('ANEXO 5.1'!N20)-22350</f>
        <v>-129489.28</v>
      </c>
      <c r="D16" s="636"/>
      <c r="E16" s="636"/>
      <c r="F16" s="636"/>
      <c r="G16" s="636"/>
      <c r="H16" s="644"/>
      <c r="I16" s="644"/>
    </row>
    <row r="17" spans="2:9" s="633" customFormat="1" ht="16.5" thickBot="1">
      <c r="B17" s="670" t="s">
        <v>269</v>
      </c>
      <c r="C17" s="670">
        <f>C16</f>
        <v>-129489.28</v>
      </c>
      <c r="D17" s="671">
        <f aca="true" t="shared" si="6" ref="D17:I17">(D14+D15+D16)</f>
        <v>125301.84640624987</v>
      </c>
      <c r="E17" s="671">
        <f t="shared" si="6"/>
        <v>128301.84640624987</v>
      </c>
      <c r="F17" s="671">
        <f t="shared" si="6"/>
        <v>125981.21260624987</v>
      </c>
      <c r="G17" s="671">
        <f t="shared" si="6"/>
        <v>123590.95979224985</v>
      </c>
      <c r="H17" s="672">
        <f t="shared" si="6"/>
        <v>121128.99939382987</v>
      </c>
      <c r="I17" s="672">
        <f t="shared" si="6"/>
        <v>121128.99939382987</v>
      </c>
    </row>
    <row r="18" spans="2:9" ht="15.75" thickBot="1">
      <c r="B18" s="667" t="s">
        <v>283</v>
      </c>
      <c r="C18" s="643">
        <f aca="true" t="shared" si="7" ref="C18:H18">(1/(1.1)^C3)</f>
        <v>1</v>
      </c>
      <c r="D18" s="636">
        <f t="shared" si="7"/>
        <v>0.9090909090909091</v>
      </c>
      <c r="E18" s="636">
        <f t="shared" si="7"/>
        <v>0.8264462809917354</v>
      </c>
      <c r="F18" s="636">
        <f t="shared" si="7"/>
        <v>0.7513148009015775</v>
      </c>
      <c r="G18" s="636">
        <f t="shared" si="7"/>
        <v>0.6830134553650705</v>
      </c>
      <c r="H18" s="644">
        <f t="shared" si="7"/>
        <v>0.6209213230591549</v>
      </c>
      <c r="I18" s="644">
        <f>(1/(1.1)^I3)</f>
        <v>0.5644739300537772</v>
      </c>
    </row>
    <row r="19" spans="2:9" ht="15.75" thickBot="1">
      <c r="B19" s="666" t="s">
        <v>284</v>
      </c>
      <c r="C19" s="643">
        <f aca="true" t="shared" si="8" ref="C19:I19">(C17*C18)</f>
        <v>-129489.28</v>
      </c>
      <c r="D19" s="636">
        <f t="shared" si="8"/>
        <v>113910.76946022715</v>
      </c>
      <c r="E19" s="636">
        <f t="shared" si="8"/>
        <v>106034.58380681806</v>
      </c>
      <c r="F19" s="636">
        <f t="shared" si="8"/>
        <v>94651.54966660394</v>
      </c>
      <c r="G19" s="636">
        <f t="shared" si="8"/>
        <v>84414.28849959007</v>
      </c>
      <c r="H19" s="644">
        <f t="shared" si="8"/>
        <v>75211.57856444841</v>
      </c>
      <c r="I19" s="644">
        <f t="shared" si="8"/>
        <v>68374.16233131675</v>
      </c>
    </row>
    <row r="20" spans="2:9" ht="30.75" thickBot="1">
      <c r="B20" s="668" t="s">
        <v>285</v>
      </c>
      <c r="C20" s="648">
        <f>(C19)</f>
        <v>-129489.28</v>
      </c>
      <c r="D20" s="649">
        <f aca="true" t="shared" si="9" ref="D20:I20">(C20+D19)</f>
        <v>-15578.510539772848</v>
      </c>
      <c r="E20" s="649">
        <f t="shared" si="9"/>
        <v>90456.07326704521</v>
      </c>
      <c r="F20" s="649">
        <f t="shared" si="9"/>
        <v>185107.62293364917</v>
      </c>
      <c r="G20" s="649">
        <f t="shared" si="9"/>
        <v>269521.91143323923</v>
      </c>
      <c r="H20" s="650">
        <f t="shared" si="9"/>
        <v>344733.48999768763</v>
      </c>
      <c r="I20" s="650">
        <f t="shared" si="9"/>
        <v>413107.65232900437</v>
      </c>
    </row>
    <row r="22" spans="2:3" ht="15.75">
      <c r="B22" s="633" t="s">
        <v>286</v>
      </c>
      <c r="C22" s="677">
        <f>NPV(15%,D17:H17)+(C17)</f>
        <v>290204.22109817783</v>
      </c>
    </row>
    <row r="23" spans="2:3" ht="15.75">
      <c r="B23" s="633" t="s">
        <v>287</v>
      </c>
      <c r="C23" s="676">
        <f>IRR(C19:I19,0.3)</f>
        <v>0.7765952314757825</v>
      </c>
    </row>
    <row r="24" spans="2:3" ht="15">
      <c r="B24" s="782" t="s">
        <v>108</v>
      </c>
      <c r="C24" s="782"/>
    </row>
    <row r="25" spans="2:3" ht="15">
      <c r="B25" s="782" t="s">
        <v>319</v>
      </c>
      <c r="C25" s="782"/>
    </row>
  </sheetData>
  <mergeCells count="3">
    <mergeCell ref="C2:H2"/>
    <mergeCell ref="B24:C24"/>
    <mergeCell ref="B25:C25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4"/>
  <sheetViews>
    <sheetView workbookViewId="0" topLeftCell="D1">
      <selection activeCell="D35" sqref="D35"/>
    </sheetView>
  </sheetViews>
  <sheetFormatPr defaultColWidth="11.421875" defaultRowHeight="12.75"/>
  <cols>
    <col min="1" max="1" width="11.421875" style="624" customWidth="1"/>
    <col min="2" max="2" width="35.421875" style="624" bestFit="1" customWidth="1"/>
    <col min="3" max="3" width="16.140625" style="624" bestFit="1" customWidth="1"/>
    <col min="4" max="4" width="11.421875" style="624" customWidth="1"/>
    <col min="5" max="5" width="11.7109375" style="624" bestFit="1" customWidth="1"/>
    <col min="6" max="6" width="23.140625" style="624" bestFit="1" customWidth="1"/>
    <col min="7" max="16384" width="11.421875" style="624" customWidth="1"/>
  </cols>
  <sheetData>
    <row r="3" ht="15.75" thickBot="1"/>
    <row r="4" spans="2:4" ht="16.5" thickBot="1">
      <c r="B4" s="783" t="s">
        <v>288</v>
      </c>
      <c r="C4" s="784"/>
      <c r="D4" s="785"/>
    </row>
    <row r="5" spans="2:4" ht="15.75">
      <c r="B5" s="625" t="s">
        <v>275</v>
      </c>
      <c r="C5" s="678">
        <v>1</v>
      </c>
      <c r="D5" s="679">
        <v>2</v>
      </c>
    </row>
    <row r="6" spans="2:4" ht="15">
      <c r="B6" s="629" t="s">
        <v>270</v>
      </c>
      <c r="C6" s="505">
        <f>'ANEXO 5.3'!P7</f>
        <v>531343.4999999999</v>
      </c>
      <c r="D6" s="626"/>
    </row>
    <row r="7" spans="2:4" ht="15">
      <c r="B7" s="629" t="s">
        <v>271</v>
      </c>
      <c r="C7" s="637">
        <f>'ANEXO 5.3'!P8</f>
        <v>113648.47083333334</v>
      </c>
      <c r="D7" s="626"/>
    </row>
    <row r="8" spans="2:4" ht="15.75">
      <c r="B8" s="630" t="s">
        <v>63</v>
      </c>
      <c r="C8" s="638">
        <f>SUM(C6:C7)</f>
        <v>644991.9708333332</v>
      </c>
      <c r="D8" s="626"/>
    </row>
    <row r="9" spans="2:6" ht="15.75">
      <c r="B9" s="625" t="s">
        <v>272</v>
      </c>
      <c r="C9" s="505"/>
      <c r="D9" s="626"/>
      <c r="F9" s="634"/>
    </row>
    <row r="10" spans="2:4" ht="15.75">
      <c r="B10" s="665" t="s">
        <v>303</v>
      </c>
      <c r="C10" s="638">
        <f>'ANEXO 5.3'!P13</f>
        <v>356057.5</v>
      </c>
      <c r="D10" s="626"/>
    </row>
    <row r="11" spans="2:4" ht="15">
      <c r="B11" s="629" t="s">
        <v>208</v>
      </c>
      <c r="C11" s="505">
        <f>'ANEXO 5.3'!P53</f>
        <v>8444</v>
      </c>
      <c r="D11" s="626"/>
    </row>
    <row r="12" spans="2:4" ht="15">
      <c r="B12" s="629" t="s">
        <v>274</v>
      </c>
      <c r="C12" s="505">
        <f>'ANEXO 5.3'!P29</f>
        <v>82060</v>
      </c>
      <c r="D12" s="626"/>
    </row>
    <row r="13" spans="2:4" ht="15">
      <c r="B13" s="629" t="s">
        <v>276</v>
      </c>
      <c r="C13" s="505">
        <f>'ANEXO 5.3'!P38</f>
        <v>55890.79600000002</v>
      </c>
      <c r="D13" s="626"/>
    </row>
    <row r="14" spans="2:5" ht="15">
      <c r="B14" s="629" t="s">
        <v>309</v>
      </c>
      <c r="C14" s="637">
        <f>'ANEXO 5.3'!P21</f>
        <v>20300</v>
      </c>
      <c r="D14" s="626"/>
      <c r="E14" s="624" t="s">
        <v>301</v>
      </c>
    </row>
    <row r="15" spans="2:5" ht="16.5" thickBot="1">
      <c r="B15" s="630" t="s">
        <v>65</v>
      </c>
      <c r="C15" s="638">
        <f>SUM(C10:C14)</f>
        <v>522752.29600000003</v>
      </c>
      <c r="D15" s="626"/>
      <c r="E15" s="624" t="s">
        <v>302</v>
      </c>
    </row>
    <row r="16" spans="2:4" ht="16.5" thickBot="1">
      <c r="B16" s="631" t="s">
        <v>273</v>
      </c>
      <c r="C16" s="639">
        <f>C8-C15</f>
        <v>122239.67483333318</v>
      </c>
      <c r="D16" s="632"/>
    </row>
    <row r="17" ht="15.75" thickBot="1"/>
    <row r="18" spans="2:5" ht="16.5" thickBot="1">
      <c r="B18" s="783" t="s">
        <v>289</v>
      </c>
      <c r="C18" s="784"/>
      <c r="D18" s="785"/>
      <c r="E18" s="624" t="s">
        <v>291</v>
      </c>
    </row>
    <row r="19" spans="2:5" ht="15.75">
      <c r="B19" s="625" t="s">
        <v>275</v>
      </c>
      <c r="C19" s="627"/>
      <c r="D19" s="628"/>
      <c r="E19" s="624" t="s">
        <v>292</v>
      </c>
    </row>
    <row r="20" spans="2:5" ht="15">
      <c r="B20" s="629" t="s">
        <v>270</v>
      </c>
      <c r="C20" s="505">
        <f>'5.4'!P6</f>
        <v>1195522.8749999998</v>
      </c>
      <c r="D20" s="626"/>
      <c r="E20" s="624" t="s">
        <v>293</v>
      </c>
    </row>
    <row r="21" spans="2:5" ht="15">
      <c r="B21" s="629" t="s">
        <v>271</v>
      </c>
      <c r="C21" s="637">
        <f>'5.4'!P7</f>
        <v>255709.059375</v>
      </c>
      <c r="D21" s="626"/>
      <c r="E21" s="624" t="s">
        <v>294</v>
      </c>
    </row>
    <row r="22" spans="2:6" ht="15.75">
      <c r="B22" s="630" t="s">
        <v>63</v>
      </c>
      <c r="C22" s="638">
        <f>SUM(C20:C21)</f>
        <v>1451231.9343749997</v>
      </c>
      <c r="D22" s="626"/>
      <c r="E22" s="624">
        <v>36000</v>
      </c>
      <c r="F22" s="624" t="s">
        <v>296</v>
      </c>
    </row>
    <row r="23" spans="2:6" ht="15.75">
      <c r="B23" s="625" t="s">
        <v>272</v>
      </c>
      <c r="C23" s="505"/>
      <c r="D23" s="626"/>
      <c r="E23" s="624">
        <v>5</v>
      </c>
      <c r="F23" s="624" t="s">
        <v>295</v>
      </c>
    </row>
    <row r="24" spans="2:4" ht="15.75">
      <c r="B24" s="665" t="s">
        <v>303</v>
      </c>
      <c r="C24" s="638">
        <f>'5.4'!P13</f>
        <v>801129.375</v>
      </c>
      <c r="D24" s="626"/>
    </row>
    <row r="25" spans="2:6" ht="15">
      <c r="B25" s="629" t="s">
        <v>208</v>
      </c>
      <c r="C25" s="505">
        <f>'5.4'!P53</f>
        <v>8552</v>
      </c>
      <c r="D25" s="626"/>
      <c r="E25" s="624">
        <f>E22/E23</f>
        <v>7200</v>
      </c>
      <c r="F25" s="624" t="s">
        <v>297</v>
      </c>
    </row>
    <row r="26" spans="2:4" ht="15">
      <c r="B26" s="629" t="s">
        <v>274</v>
      </c>
      <c r="C26" s="505">
        <f>'5.4'!P28</f>
        <v>191611.68000000002</v>
      </c>
      <c r="D26" s="626"/>
    </row>
    <row r="27" spans="2:4" ht="15">
      <c r="B27" s="629" t="s">
        <v>276</v>
      </c>
      <c r="C27" s="505">
        <f>'5.4'!P37</f>
        <v>55890.79600000002</v>
      </c>
      <c r="D27" s="626"/>
    </row>
    <row r="28" spans="2:4" ht="15">
      <c r="B28" s="629" t="s">
        <v>309</v>
      </c>
      <c r="C28" s="505">
        <f>'ANEXO 5.1'!N20</f>
        <v>107139.28</v>
      </c>
      <c r="D28" s="626"/>
    </row>
    <row r="29" spans="2:4" ht="15">
      <c r="B29" s="629" t="s">
        <v>312</v>
      </c>
      <c r="C29" s="637">
        <f>E25</f>
        <v>7200</v>
      </c>
      <c r="D29" s="626"/>
    </row>
    <row r="30" spans="2:4" ht="16.5" thickBot="1">
      <c r="B30" s="630" t="s">
        <v>65</v>
      </c>
      <c r="C30" s="638">
        <f>SUM(C24:C29)</f>
        <v>1171523.131</v>
      </c>
      <c r="D30" s="626"/>
    </row>
    <row r="31" spans="2:4" ht="16.5" thickBot="1">
      <c r="B31" s="631" t="s">
        <v>273</v>
      </c>
      <c r="C31" s="639">
        <f>C22-C30</f>
        <v>279708.80337499967</v>
      </c>
      <c r="D31" s="632"/>
    </row>
    <row r="33" spans="2:3" ht="15">
      <c r="B33" s="782" t="s">
        <v>108</v>
      </c>
      <c r="C33" s="782"/>
    </row>
    <row r="34" spans="2:3" ht="15">
      <c r="B34" s="782" t="s">
        <v>107</v>
      </c>
      <c r="C34" s="782"/>
    </row>
  </sheetData>
  <mergeCells count="4">
    <mergeCell ref="B4:D4"/>
    <mergeCell ref="B18:D18"/>
    <mergeCell ref="B33:C33"/>
    <mergeCell ref="B34:C34"/>
  </mergeCells>
  <printOptions horizontalCentered="1" verticalCentered="1"/>
  <pageMargins left="1.5748031496062993" right="0.9448818897637796" top="1.5748031496062993" bottom="1.3779527559055118" header="0" footer="0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THALIA VICTORIA</dc:title>
  <dc:subject>FLUJOS &amp; ANEXOS</dc:subject>
  <dc:creator>BELÉN SOLÍS &amp; ISABEL MURILLO</dc:creator>
  <cp:keywords/>
  <dc:description/>
  <cp:lastModifiedBy>Alicia Cordero de Torres</cp:lastModifiedBy>
  <cp:lastPrinted>2006-02-22T16:57:44Z</cp:lastPrinted>
  <dcterms:created xsi:type="dcterms:W3CDTF">2005-07-31T21:31:10Z</dcterms:created>
  <dcterms:modified xsi:type="dcterms:W3CDTF">2006-02-22T16:59:07Z</dcterms:modified>
  <cp:category/>
  <cp:version/>
  <cp:contentType/>
  <cp:contentStatus/>
</cp:coreProperties>
</file>