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tabRatio="770" activeTab="3"/>
  </bookViews>
  <sheets>
    <sheet name="Inversión y Costos" sheetId="1" r:id="rId1"/>
    <sheet name="Inversión" sheetId="2" r:id="rId2"/>
    <sheet name="Demanda e Ingresos" sheetId="3" r:id="rId3"/>
    <sheet name="costo de ventas" sheetId="4" r:id="rId4"/>
    <sheet name="CapTrabajo" sheetId="5" r:id="rId5"/>
    <sheet name="Inv. Inic." sheetId="6" r:id="rId6"/>
    <sheet name="Gastos de Ventas" sheetId="7" r:id="rId7"/>
    <sheet name="Gastos Administrativos" sheetId="8" r:id="rId8"/>
    <sheet name="Costos" sheetId="9" r:id="rId9"/>
    <sheet name="Tabla depr" sheetId="10" r:id="rId10"/>
    <sheet name="Depreciación" sheetId="11" r:id="rId11"/>
    <sheet name="Amortización" sheetId="12" r:id="rId12"/>
    <sheet name="P&amp;G" sheetId="13" r:id="rId13"/>
    <sheet name="Flujo de Caja" sheetId="14" r:id="rId14"/>
    <sheet name="Analisis Sensibilidad" sheetId="15" r:id="rId15"/>
  </sheets>
  <externalReferences>
    <externalReference r:id="rId18"/>
  </externalReferences>
  <definedNames/>
  <calcPr fullCalcOnLoad="1"/>
</workbook>
</file>

<file path=xl/comments14.xml><?xml version="1.0" encoding="utf-8"?>
<comments xmlns="http://schemas.openxmlformats.org/spreadsheetml/2006/main">
  <authors>
    <author>Carlos Hidalgo</author>
  </authors>
  <commentList>
    <comment ref="H42" authorId="0">
      <text>
        <r>
          <rPr>
            <b/>
            <sz val="9"/>
            <rFont val="Tahoma"/>
            <family val="2"/>
          </rPr>
          <t>Carlos Hidalgo:</t>
        </r>
        <r>
          <rPr>
            <sz val="9"/>
            <rFont val="Tahoma"/>
            <family val="2"/>
          </rPr>
          <t xml:space="preserve">
recuperacion de inv
</t>
        </r>
      </text>
    </comment>
  </commentList>
</comments>
</file>

<file path=xl/comments4.xml><?xml version="1.0" encoding="utf-8"?>
<comments xmlns="http://schemas.openxmlformats.org/spreadsheetml/2006/main">
  <authors>
    <author>Francisco</author>
  </authors>
  <commentList>
    <comment ref="B1" authorId="0">
      <text>
        <r>
          <rPr>
            <b/>
            <sz val="9"/>
            <rFont val="Tahoma"/>
            <family val="2"/>
          </rPr>
          <t>Francisco:</t>
        </r>
        <r>
          <rPr>
            <sz val="9"/>
            <rFont val="Tahoma"/>
            <family val="2"/>
          </rPr>
          <t xml:space="preserve">
Estos cálculo deberán ser realizados en una hoja aparte o en la pizarra</t>
        </r>
      </text>
    </comment>
  </commentList>
</comments>
</file>

<file path=xl/comments8.xml><?xml version="1.0" encoding="utf-8"?>
<comments xmlns="http://schemas.openxmlformats.org/spreadsheetml/2006/main">
  <authors>
    <author>FIEC</author>
  </authors>
  <commentList>
    <comment ref="J36" authorId="0">
      <text>
        <r>
          <rPr>
            <b/>
            <sz val="8"/>
            <rFont val="Tahoma"/>
            <family val="2"/>
          </rPr>
          <t>FIEC:</t>
        </r>
        <r>
          <rPr>
            <sz val="8"/>
            <rFont val="Tahoma"/>
            <family val="2"/>
          </rPr>
          <t xml:space="preserve">
0,5% IECE 
0,5% SECAP
</t>
        </r>
      </text>
    </comment>
  </commentList>
</comments>
</file>

<file path=xl/sharedStrings.xml><?xml version="1.0" encoding="utf-8"?>
<sst xmlns="http://schemas.openxmlformats.org/spreadsheetml/2006/main" count="823" uniqueCount="435">
  <si>
    <r>
      <t xml:space="preserve"> </t>
    </r>
    <r>
      <rPr>
        <b/>
        <sz val="11"/>
        <color indexed="8"/>
        <rFont val="Calibri"/>
        <family val="2"/>
      </rPr>
      <t>Descripción</t>
    </r>
  </si>
  <si>
    <t>Costo en USD</t>
  </si>
  <si>
    <r>
      <t>Mejoras y adecuación de baños</t>
    </r>
    <r>
      <rPr>
        <sz val="16"/>
        <color indexed="8"/>
        <rFont val="Calibri"/>
        <family val="2"/>
      </rPr>
      <t xml:space="preserve"> </t>
    </r>
  </si>
  <si>
    <t>Arreglo de paredes y tumbado</t>
  </si>
  <si>
    <t>Reparación de ventanas y puerta principal</t>
  </si>
  <si>
    <t>Mejoramiento de la fachada</t>
  </si>
  <si>
    <t>Total</t>
  </si>
  <si>
    <t>Descripción de los Activos a adquirir.</t>
  </si>
  <si>
    <t>Valor</t>
  </si>
  <si>
    <t>Valor Total (en USD)</t>
  </si>
  <si>
    <t>Tiempo de Vida / Años</t>
  </si>
  <si>
    <t>Maquinarias y Equipo</t>
  </si>
  <si>
    <t>Vehículos:</t>
  </si>
  <si>
    <t>Camioneta</t>
  </si>
  <si>
    <t>Computadora</t>
  </si>
  <si>
    <t>Total MAQUINARIA Y EQUIPOS</t>
  </si>
  <si>
    <t>INVERSIÓN FIJA</t>
  </si>
  <si>
    <t>Inversiones en la adecuación del Taller</t>
  </si>
  <si>
    <t>Inversión en Maquinarias y Equipos</t>
  </si>
  <si>
    <t>Inversión en Adecuación del Taller</t>
  </si>
  <si>
    <t>TOTAL EN INVERSIÓN FIJA</t>
  </si>
  <si>
    <t>Rubro</t>
  </si>
  <si>
    <t>Valor en USD</t>
  </si>
  <si>
    <t>Mano de Obra</t>
  </si>
  <si>
    <t>Capital de Trabajo</t>
  </si>
  <si>
    <t>Gastos Legales</t>
  </si>
  <si>
    <t>USD</t>
  </si>
  <si>
    <t>Honorarios de Abogados</t>
  </si>
  <si>
    <t>Permisos de Funcionamiento</t>
  </si>
  <si>
    <t>Valor a la Superintendencia de Compañía (reembolsable)</t>
  </si>
  <si>
    <t>GASTOS LEGALES</t>
  </si>
  <si>
    <t>TOTAL EN INVERSION INICIAL</t>
  </si>
  <si>
    <t>Inversión fija</t>
  </si>
  <si>
    <t>TOTAL</t>
  </si>
  <si>
    <t>RUBRO</t>
  </si>
  <si>
    <t>VALOR US$</t>
  </si>
  <si>
    <r>
      <t>§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Servicios Básicos</t>
    </r>
  </si>
  <si>
    <r>
      <t>§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Movilización y Otros Gastos</t>
    </r>
  </si>
  <si>
    <t>COSTOS FIJOS</t>
  </si>
  <si>
    <t>Mes</t>
  </si>
  <si>
    <t>Descripción</t>
  </si>
  <si>
    <r>
      <t>A</t>
    </r>
    <r>
      <rPr>
        <sz val="10"/>
        <color indexed="8"/>
        <rFont val="Calibri"/>
        <family val="2"/>
      </rPr>
      <t>Ñ</t>
    </r>
    <r>
      <rPr>
        <b/>
        <sz val="11"/>
        <color indexed="8"/>
        <rFont val="Calibri"/>
        <family val="2"/>
      </rPr>
      <t>O 1</t>
    </r>
  </si>
  <si>
    <t>VALOR 
US$</t>
  </si>
  <si>
    <t>COSTOS VARIABLES</t>
  </si>
  <si>
    <t>VOLUMEN DE PRODUCCIÓN</t>
  </si>
  <si>
    <t>Costo Unitario</t>
  </si>
  <si>
    <t>Total Costos</t>
  </si>
  <si>
    <t>COSTOS DE MATERIALES PRIMER AÑO</t>
  </si>
  <si>
    <t xml:space="preserve">Mes </t>
  </si>
  <si>
    <t xml:space="preserve">Descripción </t>
  </si>
  <si>
    <t>Costos Variables (Materiales y M.O.*)</t>
  </si>
  <si>
    <t>Sueldos Administrat.</t>
  </si>
  <si>
    <t>Servicios Básicos</t>
  </si>
  <si>
    <t>COSTOS OPERACIONALES</t>
  </si>
  <si>
    <t>Precio Unidad</t>
  </si>
  <si>
    <t>Ingreso Total</t>
  </si>
  <si>
    <t>INGRESOS</t>
  </si>
  <si>
    <t>Ingresos</t>
  </si>
  <si>
    <t xml:space="preserve">Descripción de los Bienes </t>
  </si>
  <si>
    <t xml:space="preserve">Vida Útil </t>
  </si>
  <si>
    <t xml:space="preserve">Valor a Depreciar Anualmente: </t>
  </si>
  <si>
    <t>Depreciación Mensual:</t>
  </si>
  <si>
    <t>Valor en US$</t>
  </si>
  <si>
    <t>Amortización Anual</t>
  </si>
  <si>
    <t>Amortización Mensual</t>
  </si>
  <si>
    <t>(+) Préstamo</t>
  </si>
  <si>
    <t xml:space="preserve">TIR </t>
  </si>
  <si>
    <t>VAN</t>
  </si>
  <si>
    <t>TABLA DE DEPRECIACIÓN HASTA FINAL DEL AÑO 3</t>
  </si>
  <si>
    <t>RENDIMIENTOS Y COSTOS DE MATERIA PRIMA</t>
  </si>
  <si>
    <t>Item</t>
  </si>
  <si>
    <t>Unidad</t>
  </si>
  <si>
    <t>Precio Compra</t>
  </si>
  <si>
    <t>Rendimiento</t>
  </si>
  <si>
    <t>Adecuación de las oficinas</t>
  </si>
  <si>
    <t>Numero</t>
  </si>
  <si>
    <t>Cocina Industrial</t>
  </si>
  <si>
    <t>Ollas Industriales</t>
  </si>
  <si>
    <t>Refrigeradoras Industriales</t>
  </si>
  <si>
    <t>Envasadora</t>
  </si>
  <si>
    <t>Tanque Pulmon</t>
  </si>
  <si>
    <t>Camion</t>
  </si>
  <si>
    <t>Impresora 3 en 1</t>
  </si>
  <si>
    <t>ROUTER</t>
  </si>
  <si>
    <t xml:space="preserve">Impresoras a laser </t>
  </si>
  <si>
    <t>Equipos de cómputo y/o planta</t>
  </si>
  <si>
    <t>Aire Condicionado Central</t>
  </si>
  <si>
    <t>Refrigeradora</t>
  </si>
  <si>
    <t>Microonda LG</t>
  </si>
  <si>
    <t>Muebles de Oficina</t>
  </si>
  <si>
    <t>Escritorios</t>
  </si>
  <si>
    <t>Sillas con apoyo y rueda</t>
  </si>
  <si>
    <t>Sillas sin ruedas</t>
  </si>
  <si>
    <t>Archivadores</t>
  </si>
  <si>
    <t>Capacidad maxima 200</t>
  </si>
  <si>
    <t>Martes</t>
  </si>
  <si>
    <t>Jueves</t>
  </si>
  <si>
    <t>Consumo Semanal</t>
  </si>
  <si>
    <t>Consumo Mensual</t>
  </si>
  <si>
    <t>Consumo Annual</t>
  </si>
  <si>
    <t>Cantidad</t>
  </si>
  <si>
    <t>Precio</t>
  </si>
  <si>
    <t>Mediano 550 ml</t>
  </si>
  <si>
    <t>Grande 850 ml</t>
  </si>
  <si>
    <t>Ingresos Mistela</t>
  </si>
  <si>
    <t>Total Ingresos</t>
  </si>
  <si>
    <t>Diarias</t>
  </si>
  <si>
    <t>Mensual</t>
  </si>
  <si>
    <t>Anual</t>
  </si>
  <si>
    <t>Mistelas</t>
  </si>
  <si>
    <t>Cacao</t>
  </si>
  <si>
    <t>Araza</t>
  </si>
  <si>
    <t>Piña</t>
  </si>
  <si>
    <t>Maracuya</t>
  </si>
  <si>
    <t>Tamaños</t>
  </si>
  <si>
    <t>Grande</t>
  </si>
  <si>
    <t>Mediana</t>
  </si>
  <si>
    <t>Mensuales</t>
  </si>
  <si>
    <t>Medianas</t>
  </si>
  <si>
    <t xml:space="preserve">Personal </t>
  </si>
  <si>
    <t>Sueldos</t>
  </si>
  <si>
    <t>Trabajadores de Planta</t>
  </si>
  <si>
    <t>Grandes</t>
  </si>
  <si>
    <t>Suministros de Limpieza y/o Mantenimiento</t>
  </si>
  <si>
    <t>Materiales/Suministros de Oficina</t>
  </si>
  <si>
    <t>Internet</t>
  </si>
  <si>
    <t>Teléfono</t>
  </si>
  <si>
    <t>Agua</t>
  </si>
  <si>
    <t>Luz</t>
  </si>
  <si>
    <t>annual</t>
  </si>
  <si>
    <t>mensual</t>
  </si>
  <si>
    <t>Auxiliar de Limpieza</t>
  </si>
  <si>
    <t>Guardias</t>
  </si>
  <si>
    <t>Asistente de Marketing y Ventas</t>
  </si>
  <si>
    <t>Auxiliar Contable</t>
  </si>
  <si>
    <t>Jefe de Logística</t>
  </si>
  <si>
    <t>Supervisor Financiero</t>
  </si>
  <si>
    <t>Supervisor de Producción y Calidad</t>
  </si>
  <si>
    <t>Gerente General</t>
  </si>
  <si>
    <t>Sueldos/ Salarios</t>
  </si>
  <si>
    <t>Personal</t>
  </si>
  <si>
    <t>Sueldos y/o Salarios</t>
  </si>
  <si>
    <r>
      <t>§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Sueldos y Salarios: </t>
    </r>
  </si>
  <si>
    <t>Horas</t>
  </si>
  <si>
    <t>Capacidad maxima 1080</t>
  </si>
  <si>
    <t>Frecuencia de entrega</t>
  </si>
  <si>
    <t>Anuales</t>
  </si>
  <si>
    <t>Cacao Mediana</t>
  </si>
  <si>
    <t>Cacao Grande</t>
  </si>
  <si>
    <t>Araza Mediana</t>
  </si>
  <si>
    <t>Araza Grande</t>
  </si>
  <si>
    <t>Piña Mediana</t>
  </si>
  <si>
    <t>Piña Grande</t>
  </si>
  <si>
    <t>Maracuya Mediana</t>
  </si>
  <si>
    <t>Maracuya Grande</t>
  </si>
  <si>
    <t>DEP. ANUAL</t>
  </si>
  <si>
    <t>DEP. ACUM</t>
  </si>
  <si>
    <t>VALOR EN LIBROS</t>
  </si>
  <si>
    <t>Tanque Pulmón</t>
  </si>
  <si>
    <t>Total Muebles de Oficina</t>
  </si>
  <si>
    <t>CONSOLIDADO DE DEPRECIACIONES</t>
  </si>
  <si>
    <t>GASTOS DE DEPRECIACIÓN</t>
  </si>
  <si>
    <t>DEPRECIACIÓN MENSUAL</t>
  </si>
  <si>
    <t>DEPRECIACIÓN ANUAL</t>
  </si>
  <si>
    <t xml:space="preserve">TOTAL </t>
  </si>
  <si>
    <t xml:space="preserve">Número </t>
  </si>
  <si>
    <t>Número de maracuyá</t>
  </si>
  <si>
    <t>MISTELA DE PIÑA</t>
  </si>
  <si>
    <t>MISTELA DE MARACUYÁ</t>
  </si>
  <si>
    <t>MISTELA DE ARAZA</t>
  </si>
  <si>
    <t>MISTELA DE CACAO</t>
  </si>
  <si>
    <t>Piñas</t>
  </si>
  <si>
    <t>2 Piñas</t>
  </si>
  <si>
    <t>Arazá</t>
  </si>
  <si>
    <t>Azucar</t>
  </si>
  <si>
    <t>Kilogramos</t>
  </si>
  <si>
    <t>4 libras</t>
  </si>
  <si>
    <t>Agua ardiente</t>
  </si>
  <si>
    <t>Galones</t>
  </si>
  <si>
    <t>1/2 litro</t>
  </si>
  <si>
    <t>4 litros</t>
  </si>
  <si>
    <t>Número de mililitros 
por botellas</t>
  </si>
  <si>
    <t>Número de
 botellas</t>
  </si>
  <si>
    <t>Número de militros
 fabricados</t>
  </si>
  <si>
    <t>Poderación</t>
  </si>
  <si>
    <t>MISTELA DE ARAZÁ</t>
  </si>
  <si>
    <t>Ponderación</t>
  </si>
  <si>
    <t>Costo</t>
  </si>
  <si>
    <t>Número de botellas</t>
  </si>
  <si>
    <t>Empaque (botellas de vidrio) 550ml</t>
  </si>
  <si>
    <t>Costo materiales directos 550ml</t>
  </si>
  <si>
    <t>Empaque (botellas de vidrio) 850ml</t>
  </si>
  <si>
    <t>Costo materiales directos 850ml</t>
  </si>
  <si>
    <t>Personal de
 Empaque</t>
  </si>
  <si>
    <t>MEDIANAS</t>
  </si>
  <si>
    <t>GRANDES</t>
  </si>
  <si>
    <t>Gastos de Ventas</t>
  </si>
  <si>
    <t>Publicidad (Radio)</t>
  </si>
  <si>
    <t>Bar</t>
  </si>
  <si>
    <t>Costo consumo por persona (prom.)</t>
  </si>
  <si>
    <t># de Cuñas</t>
  </si>
  <si>
    <t>Onda Cero</t>
  </si>
  <si>
    <t xml:space="preserve">Total </t>
  </si>
  <si>
    <t>Total Publicidad mensual</t>
  </si>
  <si>
    <t>Total Publicidad annual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</si>
  <si>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</si>
  <si>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</si>
  <si>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</si>
  <si>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</si>
  <si>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</si>
  <si>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</si>
  <si>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</si>
  <si>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</si>
  <si>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</si>
  <si>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</si>
  <si>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</si>
  <si>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</si>
  <si>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Muebles y Equipos</t>
  </si>
  <si>
    <t>Detalles</t>
  </si>
  <si>
    <t>Precio Unitario</t>
  </si>
  <si>
    <t xml:space="preserve">Aire acondicionado central </t>
  </si>
  <si>
    <t>Computadoras</t>
  </si>
  <si>
    <t>Impresora 3 en uno</t>
  </si>
  <si>
    <t xml:space="preserve">Dispensador de agua </t>
  </si>
  <si>
    <t>Secador de Mano</t>
  </si>
  <si>
    <t>CAPITAL DE TRABAJO</t>
  </si>
  <si>
    <t>Sillas con apoyo y ruedas</t>
  </si>
  <si>
    <t xml:space="preserve">Sillas sin ruedas </t>
  </si>
  <si>
    <t>Impresoras laser</t>
  </si>
  <si>
    <t>Cocina MABE</t>
  </si>
  <si>
    <t>Mesas</t>
  </si>
  <si>
    <t>Sillas Plasticas</t>
  </si>
  <si>
    <t xml:space="preserve">Teléfonos </t>
  </si>
  <si>
    <t>Materiales y/o Suministros de Oficina</t>
  </si>
  <si>
    <t>Precio Total</t>
  </si>
  <si>
    <t>Carpetas tamaño oficio</t>
  </si>
  <si>
    <t>caja de Rexma de hojas tamaño A4</t>
  </si>
  <si>
    <t>Cartuchos de impresora de color</t>
  </si>
  <si>
    <t>Cartuchos de impresora color negra</t>
  </si>
  <si>
    <t>Cajas de Plumas Bic (negras y rojas)</t>
  </si>
  <si>
    <t>Cajas Lápices Bic</t>
  </si>
  <si>
    <t xml:space="preserve">Caja de Saca punta </t>
  </si>
  <si>
    <t>Caja de Borrador</t>
  </si>
  <si>
    <t>Grapadora</t>
  </si>
  <si>
    <t>Cajas de grapa</t>
  </si>
  <si>
    <t>Saca grapa</t>
  </si>
  <si>
    <t>Perforadora</t>
  </si>
  <si>
    <t>Caja de vinchas para carpetas</t>
  </si>
  <si>
    <t>Carpetas Folder</t>
  </si>
  <si>
    <t>Paños</t>
  </si>
  <si>
    <t>Escoba</t>
  </si>
  <si>
    <t>Desinfectante</t>
  </si>
  <si>
    <t xml:space="preserve">Detergente </t>
  </si>
  <si>
    <t>Jabon Clorado</t>
  </si>
  <si>
    <t>Cloro</t>
  </si>
  <si>
    <t>Acido Nitrico</t>
  </si>
  <si>
    <t>Manguera</t>
  </si>
  <si>
    <t>Soda Caustica</t>
  </si>
  <si>
    <t>Trapeador</t>
  </si>
  <si>
    <t>Jabón líquido</t>
  </si>
  <si>
    <t>Paquete Papel Higienico</t>
  </si>
  <si>
    <t>Materiales de Producción</t>
  </si>
  <si>
    <t>Gavetas</t>
  </si>
  <si>
    <t>Uniformes</t>
  </si>
  <si>
    <t>Redecillas para cabeza</t>
  </si>
  <si>
    <t>Caja Pares de Guantes</t>
  </si>
  <si>
    <t>Pares de zapatos</t>
  </si>
  <si>
    <t>Caja Mascarillas</t>
  </si>
  <si>
    <t>Transporte</t>
  </si>
  <si>
    <t>Camiones Distribución</t>
  </si>
  <si>
    <t>Maquinaria</t>
  </si>
  <si>
    <t>Regrigeradora Industrial</t>
  </si>
  <si>
    <t>(-) Costos Variables</t>
  </si>
  <si>
    <t>(-) Costos Fijos</t>
  </si>
  <si>
    <t>Saldo Mensual</t>
  </si>
  <si>
    <t>Saldo Acumulado</t>
  </si>
  <si>
    <r>
      <t>§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Alquiler</t>
    </r>
  </si>
  <si>
    <t>tasa</t>
  </si>
  <si>
    <t>CUOTA</t>
  </si>
  <si>
    <t>SALDO</t>
  </si>
  <si>
    <t>CAPITAL</t>
  </si>
  <si>
    <t>INTERESES</t>
  </si>
  <si>
    <t>Valor Desecho</t>
  </si>
  <si>
    <t>(-) Inversión</t>
  </si>
  <si>
    <t>(-) Amortización Capital del Prestamo</t>
  </si>
  <si>
    <t>(-) Capital de Trabajo</t>
  </si>
  <si>
    <t>(+) Recuperación Capital de Trabj.</t>
  </si>
  <si>
    <t>(+) Valor de Desecho</t>
  </si>
  <si>
    <t>Flujo de Efectivo</t>
  </si>
  <si>
    <t>Flujo de Efectivo Descontado</t>
  </si>
  <si>
    <t>Flujo de Efectivo Dsctado. Acumulado</t>
  </si>
  <si>
    <t>PAYBACK</t>
  </si>
  <si>
    <r>
      <rPr>
        <vertAlign val="subscript"/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= r</t>
    </r>
    <r>
      <rPr>
        <vertAlign val="subscript"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+ b (r</t>
    </r>
    <r>
      <rPr>
        <vertAlign val="subscript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–  r</t>
    </r>
    <r>
      <rPr>
        <vertAlign val="subscript"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)</t>
    </r>
  </si>
  <si>
    <t>Patrimonio</t>
  </si>
  <si>
    <t>Rd</t>
  </si>
  <si>
    <t>Deuda</t>
  </si>
  <si>
    <t>Rf</t>
  </si>
  <si>
    <t>Rm</t>
  </si>
  <si>
    <t>Beta</t>
  </si>
  <si>
    <t>Riesgo País</t>
  </si>
  <si>
    <t>Re</t>
  </si>
  <si>
    <t>PERIODO AÑOS</t>
  </si>
  <si>
    <t>SALDO DE INVERSIÓN</t>
  </si>
  <si>
    <t>FLUJO DE CAJA</t>
  </si>
  <si>
    <t>RENTABILIDAD EXIGIDA</t>
  </si>
  <si>
    <t>RECUPERACIÓN INVERSIÓN</t>
  </si>
  <si>
    <t>Análisis de Sensibilidad Respecto a Ingresos</t>
  </si>
  <si>
    <t>VARIACIÓN</t>
  </si>
  <si>
    <t>TIR</t>
  </si>
  <si>
    <t>RESULTADO</t>
  </si>
  <si>
    <t>FACTIBLE</t>
  </si>
  <si>
    <t>NO FACTIBLE</t>
  </si>
  <si>
    <t>tmar = CAPM</t>
  </si>
  <si>
    <t>(=) Flujo Neto Efectivo</t>
  </si>
  <si>
    <t>(+) Depreciacion (de activos fijos)</t>
  </si>
  <si>
    <t>(+) Amortización (de Intangibles)</t>
  </si>
  <si>
    <t>(=) UTILIDAD NETA</t>
  </si>
  <si>
    <t>(-) 25% Impuesto a la Renta</t>
  </si>
  <si>
    <t>(=) Utilidad antes de Impuestos</t>
  </si>
  <si>
    <t>(-) 15% Participación de Trabajadores</t>
  </si>
  <si>
    <t>(=) Utilidad antes de Part. Trab. E Impuestos</t>
  </si>
  <si>
    <t>Aqui deberan poner los gastos NO relacionados con la operacion de la empresa dependiendo del proyecto que se este planteando.</t>
  </si>
  <si>
    <t>Gastos Financieros (intereses sobre prestamos)</t>
  </si>
  <si>
    <t>(-) Gastos No Operacionales</t>
  </si>
  <si>
    <t>(=) Utilidad Operacional</t>
  </si>
  <si>
    <t>Gastos de Venta</t>
  </si>
  <si>
    <t>Depreciación (de activos fijos)</t>
  </si>
  <si>
    <t>Amortización (de intangibles)</t>
  </si>
  <si>
    <t>Gastos Administrativos</t>
  </si>
  <si>
    <t>Aqui aparecen ejemplos de los tipicos gastos operacionales, no los unicos.  Aqui deberan poner los gastos relacionados con la operacion de la empresa dependiendo del proyecto que se este planteando.</t>
  </si>
  <si>
    <t>Gastos de Servicios</t>
  </si>
  <si>
    <t>(-) Gastos Operacionales</t>
  </si>
  <si>
    <t>(=) Utilidad Bruta</t>
  </si>
  <si>
    <t>(-) Costo de Venta</t>
  </si>
  <si>
    <t>AÑO 0</t>
  </si>
  <si>
    <t>Alquiler</t>
  </si>
  <si>
    <t>Año 5</t>
  </si>
  <si>
    <t>Año 4</t>
  </si>
  <si>
    <t>Año 3</t>
  </si>
  <si>
    <t>Año 2</t>
  </si>
  <si>
    <t>Año 1</t>
  </si>
  <si>
    <t>Detalle</t>
  </si>
  <si>
    <t>ESTADO DE PERDIDAS Y GANANCIAS</t>
  </si>
  <si>
    <t>Otros Gastos</t>
  </si>
  <si>
    <t>Año 6</t>
  </si>
  <si>
    <t>Año 7</t>
  </si>
  <si>
    <t>Año 8</t>
  </si>
  <si>
    <t>Año 9</t>
  </si>
  <si>
    <t>Año 10</t>
  </si>
  <si>
    <t>Suministros Limpieza</t>
  </si>
  <si>
    <t>Materiales Oficina</t>
  </si>
  <si>
    <t>Movilización y Mantenimiento</t>
  </si>
  <si>
    <t>Vallas Publicitarias</t>
  </si>
  <si>
    <t>Tmar</t>
  </si>
  <si>
    <t>Porcentaje</t>
  </si>
  <si>
    <t>Montos $</t>
  </si>
  <si>
    <t>Monto Requerido</t>
  </si>
  <si>
    <t>Capital Propio</t>
  </si>
  <si>
    <t>Prestamo</t>
  </si>
  <si>
    <t>Plazo</t>
  </si>
  <si>
    <t>Tasa de Interes</t>
  </si>
  <si>
    <t>Detalle del Prestamo</t>
  </si>
  <si>
    <t>10 años</t>
  </si>
  <si>
    <t>Monto</t>
  </si>
  <si>
    <t>Cantidades</t>
  </si>
  <si>
    <t>Cacao (Unidad)</t>
  </si>
  <si>
    <t>Agua ardiente (Litros)</t>
  </si>
  <si>
    <t>Agua (Litros)</t>
  </si>
  <si>
    <t>Medianas
550 ml</t>
  </si>
  <si>
    <t>Grandes
850 ml</t>
  </si>
  <si>
    <t>Grandes
850ml</t>
  </si>
  <si>
    <t>Total Anual</t>
  </si>
  <si>
    <t>Azúcar (Quintal)</t>
  </si>
  <si>
    <t>Total Mensual</t>
  </si>
  <si>
    <t>Arazá(Unidad)</t>
  </si>
  <si>
    <t>Piña(Unidad)</t>
  </si>
  <si>
    <t>Maracuyá(Unidad)</t>
  </si>
  <si>
    <t>Mediana
550 ml</t>
  </si>
  <si>
    <t>Grande
850 ml</t>
  </si>
  <si>
    <t>Grande
850ml</t>
  </si>
  <si>
    <t>Tasa de Crecimiento Promedio</t>
  </si>
  <si>
    <t>Inflacion Anual</t>
  </si>
  <si>
    <t>Tasa de crecimiento + Inflación Anual</t>
  </si>
  <si>
    <t>TABLA DE IMPUESTO A LA RENTA</t>
  </si>
  <si>
    <t>AÑO 2011</t>
  </si>
  <si>
    <t>AÑO 2012</t>
  </si>
  <si>
    <t xml:space="preserve">AÑO 2013 EN ADELANTE </t>
  </si>
  <si>
    <t>Costos Directos</t>
  </si>
  <si>
    <t xml:space="preserve">Costos Indirectos </t>
  </si>
  <si>
    <t>MOD</t>
  </si>
  <si>
    <t>Costo de Ventas</t>
  </si>
  <si>
    <t>Total Costo de Ventas</t>
  </si>
  <si>
    <t>Costo unitario</t>
  </si>
  <si>
    <t>CANTIDAD</t>
  </si>
  <si>
    <t>Total anual</t>
  </si>
  <si>
    <t>Total mensual</t>
  </si>
  <si>
    <t>Costo directos</t>
  </si>
  <si>
    <t>COSTO INDIRECTOS</t>
  </si>
  <si>
    <t>COSTO DE VENTAS</t>
  </si>
  <si>
    <t>Cantidad de sacos de azúcar</t>
  </si>
  <si>
    <t>Litros de agua ardiente</t>
  </si>
  <si>
    <t>Litros de agua</t>
  </si>
  <si>
    <t>cantidad</t>
  </si>
  <si>
    <t>CACAO</t>
  </si>
  <si>
    <t>ARAZÁ</t>
  </si>
  <si>
    <t>PIÑA</t>
  </si>
  <si>
    <t>MARACUYÁ</t>
  </si>
  <si>
    <t>ANUAL</t>
  </si>
  <si>
    <t>MENSUAL</t>
  </si>
  <si>
    <t>Cargo</t>
  </si>
  <si>
    <t>Vacaciones</t>
  </si>
  <si>
    <t>IECE y Secap</t>
  </si>
  <si>
    <t>iess 9,35%</t>
  </si>
  <si>
    <t>Total Gastos de Personal</t>
  </si>
  <si>
    <t>Supervisor de Producción y calidad</t>
  </si>
  <si>
    <t>Otros</t>
  </si>
  <si>
    <t>INVERSIÓN INICIAL</t>
  </si>
  <si>
    <t xml:space="preserve">Deuda a Financiar  </t>
  </si>
  <si>
    <t>Monto
 Mensual
 por puesto</t>
  </si>
  <si>
    <t>Monto
 Mensual
 total</t>
  </si>
  <si>
    <t>Aporte 
Patronal 11,15%</t>
  </si>
  <si>
    <t>Decimo 
tercero</t>
  </si>
  <si>
    <t>Decimo 
Cuarto</t>
  </si>
  <si>
    <t xml:space="preserve">Número
 de Puestos </t>
  </si>
  <si>
    <t>Vallas</t>
  </si>
  <si>
    <t># 2 anuales</t>
  </si>
  <si>
    <t>Total Publicidad anual</t>
  </si>
  <si>
    <t>Total Publicidad por radio</t>
  </si>
  <si>
    <t>chofer</t>
  </si>
  <si>
    <t xml:space="preserve">Camion </t>
  </si>
  <si>
    <t>Supervisor de Marketing y Ventas</t>
  </si>
  <si>
    <t>Produccion</t>
  </si>
  <si>
    <t>4 años</t>
  </si>
  <si>
    <t>Análisis de Sensibilidad Respecto a Gastos</t>
  </si>
  <si>
    <t>TMAR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</si>
</sst>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.00_);[Red]\(&quot;$&quot;\ #,##0.00\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([$$-409]* #,##0.00_);_([$$-409]* \(#,##0.00\);_([$$-409]* &quot;-&quot;??_);_(@_)"/>
    <numFmt numFmtId="176" formatCode="[$$-300A]\ #,##0.00"/>
    <numFmt numFmtId="177" formatCode="0.000"/>
    <numFmt numFmtId="178" formatCode="_-[$$-409]* #,##0.00_ ;_-[$$-409]* \-#,##0.00\ ;_-[$$-409]* &quot;-&quot;??_ ;_-@_ "/>
    <numFmt numFmtId="179" formatCode="&quot;$&quot;\ #,##0.00;[Red]&quot;$&quot;\ #,##0.00"/>
    <numFmt numFmtId="180" formatCode="&quot;$&quot;\ #,##0.00"/>
    <numFmt numFmtId="181" formatCode="[$$-409]#,##0.00;[Red][$$-409]#,##0.00"/>
    <numFmt numFmtId="182" formatCode="_(* #,##0_);_(* \(#,##0\);_(* &quot;-&quot;??_);_(@_)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#,##0.00;[Red]#,##0.00"/>
    <numFmt numFmtId="189" formatCode="0.00000000"/>
    <numFmt numFmtId="190" formatCode="_-[$$-300A]\ * #,##0.00_ ;_-[$$-300A]\ * \-#,##0.00\ ;_-[$$-300A]\ * &quot;-&quot;??_ ;_-@_ "/>
    <numFmt numFmtId="191" formatCode="#,##0.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lbertus Medium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sz val="9"/>
      <color indexed="8"/>
      <name val="Albertus Medium"/>
      <family val="2"/>
    </font>
    <font>
      <sz val="9"/>
      <color indexed="9"/>
      <name val="Albertus Medium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9"/>
      <name val="Cambria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9"/>
      <color theme="1"/>
      <name val="Albertus Medium"/>
      <family val="2"/>
    </font>
    <font>
      <sz val="9"/>
      <color theme="0"/>
      <name val="Albertus Medium"/>
      <family val="2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double">
        <color theme="6" tint="-0.24997000396251678"/>
      </left>
      <right style="double">
        <color theme="6" tint="-0.24997000396251678"/>
      </right>
      <top style="double">
        <color theme="6" tint="-0.24997000396251678"/>
      </top>
      <bottom/>
    </border>
    <border>
      <left style="double">
        <color theme="6" tint="-0.24997000396251678"/>
      </left>
      <right style="double">
        <color theme="6" tint="-0.24997000396251678"/>
      </right>
      <top/>
      <bottom/>
    </border>
    <border>
      <left style="double">
        <color theme="6" tint="-0.24997000396251678"/>
      </left>
      <right style="double">
        <color theme="6" tint="-0.24997000396251678"/>
      </right>
      <top/>
      <bottom style="double">
        <color theme="6" tint="-0.24997000396251678"/>
      </bottom>
    </border>
    <border>
      <left style="double">
        <color theme="6" tint="-0.24997000396251678"/>
      </left>
      <right style="double">
        <color theme="6" tint="-0.24997000396251678"/>
      </right>
      <top style="double">
        <color theme="6" tint="-0.24997000396251678"/>
      </top>
      <bottom style="double">
        <color theme="6" tint="-0.2499700039625167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44" fontId="1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vertical="center"/>
    </xf>
    <xf numFmtId="0" fontId="84" fillId="33" borderId="10" xfId="0" applyFont="1" applyFill="1" applyBorder="1" applyAlignment="1">
      <alignment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83" fillId="33" borderId="10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83" fillId="34" borderId="10" xfId="0" applyFont="1" applyFill="1" applyBorder="1" applyAlignment="1">
      <alignment horizontal="center"/>
    </xf>
    <xf numFmtId="0" fontId="86" fillId="0" borderId="10" xfId="0" applyFont="1" applyBorder="1" applyAlignment="1">
      <alignment horizontal="right"/>
    </xf>
    <xf numFmtId="0" fontId="8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83" fillId="34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8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justify"/>
    </xf>
    <xf numFmtId="4" fontId="83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 wrapText="1"/>
    </xf>
    <xf numFmtId="4" fontId="83" fillId="33" borderId="10" xfId="0" applyNumberFormat="1" applyFont="1" applyFill="1" applyBorder="1" applyAlignment="1">
      <alignment horizontal="right" vertical="top" wrapText="1"/>
    </xf>
    <xf numFmtId="0" fontId="8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83" fillId="35" borderId="10" xfId="0" applyFont="1" applyFill="1" applyBorder="1" applyAlignment="1">
      <alignment/>
    </xf>
    <xf numFmtId="4" fontId="8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3" fillId="33" borderId="10" xfId="0" applyFont="1" applyFill="1" applyBorder="1" applyAlignment="1">
      <alignment horizontal="center" vertical="top" wrapText="1"/>
    </xf>
    <xf numFmtId="0" fontId="83" fillId="33" borderId="10" xfId="0" applyFont="1" applyFill="1" applyBorder="1" applyAlignment="1">
      <alignment horizontal="right" vertical="top" wrapText="1"/>
    </xf>
    <xf numFmtId="4" fontId="83" fillId="33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justify" vertical="center" wrapText="1"/>
    </xf>
    <xf numFmtId="4" fontId="83" fillId="33" borderId="10" xfId="0" applyNumberFormat="1" applyFont="1" applyFill="1" applyBorder="1" applyAlignment="1">
      <alignment horizontal="justify" vertical="top" wrapText="1"/>
    </xf>
    <xf numFmtId="0" fontId="87" fillId="0" borderId="10" xfId="0" applyFont="1" applyBorder="1" applyAlignment="1">
      <alignment horizontal="justify" vertical="center" wrapText="1"/>
    </xf>
    <xf numFmtId="0" fontId="88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4" fontId="83" fillId="33" borderId="10" xfId="0" applyNumberFormat="1" applyFont="1" applyFill="1" applyBorder="1" applyAlignment="1">
      <alignment vertical="top" wrapText="1"/>
    </xf>
    <xf numFmtId="0" fontId="83" fillId="35" borderId="10" xfId="0" applyFont="1" applyFill="1" applyBorder="1" applyAlignment="1">
      <alignment horizontal="justify" vertical="top" wrapText="1"/>
    </xf>
    <xf numFmtId="4" fontId="9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90" fillId="33" borderId="10" xfId="0" applyFont="1" applyFill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83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3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justify" vertical="center"/>
    </xf>
    <xf numFmtId="0" fontId="86" fillId="0" borderId="10" xfId="0" applyFont="1" applyBorder="1" applyAlignment="1">
      <alignment horizontal="justify" vertical="center"/>
    </xf>
    <xf numFmtId="0" fontId="83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right" vertical="center"/>
    </xf>
    <xf numFmtId="0" fontId="9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90" fillId="36" borderId="10" xfId="0" applyFont="1" applyFill="1" applyBorder="1" applyAlignment="1">
      <alignment horizontal="right" vertical="center"/>
    </xf>
    <xf numFmtId="4" fontId="83" fillId="34" borderId="1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5" fontId="8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top" wrapText="1"/>
    </xf>
    <xf numFmtId="0" fontId="83" fillId="33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83" fillId="33" borderId="0" xfId="0" applyNumberFormat="1" applyFont="1" applyFill="1" applyBorder="1" applyAlignment="1">
      <alignment horizontal="right" vertical="top" wrapText="1"/>
    </xf>
    <xf numFmtId="0" fontId="83" fillId="0" borderId="0" xfId="0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83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59">
      <alignment/>
      <protection/>
    </xf>
    <xf numFmtId="0" fontId="2" fillId="0" borderId="10" xfId="59" applyFont="1" applyBorder="1">
      <alignment/>
      <protection/>
    </xf>
    <xf numFmtId="1" fontId="0" fillId="0" borderId="10" xfId="59" applyNumberFormat="1" applyBorder="1" applyAlignment="1">
      <alignment horizontal="center"/>
      <protection/>
    </xf>
    <xf numFmtId="0" fontId="2" fillId="0" borderId="0" xfId="59" applyFont="1" applyBorder="1">
      <alignment/>
      <protection/>
    </xf>
    <xf numFmtId="1" fontId="0" fillId="0" borderId="0" xfId="59" applyNumberFormat="1" applyBorder="1" applyAlignment="1">
      <alignment horizontal="center"/>
      <protection/>
    </xf>
    <xf numFmtId="1" fontId="2" fillId="0" borderId="10" xfId="59" applyNumberFormat="1" applyFont="1" applyBorder="1">
      <alignment/>
      <protection/>
    </xf>
    <xf numFmtId="0" fontId="83" fillId="0" borderId="0" xfId="59" applyFont="1" applyBorder="1" applyAlignment="1">
      <alignment/>
      <protection/>
    </xf>
    <xf numFmtId="0" fontId="0" fillId="0" borderId="0" xfId="59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56" fillId="0" borderId="10" xfId="60" applyFont="1" applyBorder="1" applyAlignment="1">
      <alignment horizontal="center"/>
      <protection/>
    </xf>
    <xf numFmtId="10" fontId="56" fillId="0" borderId="10" xfId="60" applyNumberFormat="1" applyFont="1" applyBorder="1" applyAlignment="1">
      <alignment horizontal="center"/>
      <protection/>
    </xf>
    <xf numFmtId="176" fontId="56" fillId="0" borderId="10" xfId="55" applyNumberFormat="1" applyFont="1" applyBorder="1" applyAlignment="1">
      <alignment horizontal="center"/>
    </xf>
    <xf numFmtId="176" fontId="56" fillId="0" borderId="0" xfId="55" applyNumberFormat="1" applyFont="1" applyBorder="1" applyAlignment="1">
      <alignment horizontal="center"/>
    </xf>
    <xf numFmtId="0" fontId="0" fillId="0" borderId="0" xfId="59" applyBorder="1" applyAlignment="1">
      <alignment horizontal="center"/>
      <protection/>
    </xf>
    <xf numFmtId="0" fontId="83" fillId="0" borderId="0" xfId="59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176" fontId="6" fillId="0" borderId="10" xfId="55" applyNumberFormat="1" applyFont="1" applyBorder="1" applyAlignment="1">
      <alignment horizontal="center"/>
    </xf>
    <xf numFmtId="0" fontId="16" fillId="0" borderId="0" xfId="60" applyFont="1" applyBorder="1" applyAlignment="1">
      <alignment horizontal="center"/>
      <protection/>
    </xf>
    <xf numFmtId="0" fontId="15" fillId="0" borderId="10" xfId="60" applyFont="1" applyBorder="1" applyAlignment="1">
      <alignment horizontal="center"/>
      <protection/>
    </xf>
    <xf numFmtId="0" fontId="83" fillId="0" borderId="10" xfId="59" applyFont="1" applyBorder="1" applyAlignment="1">
      <alignment horizontal="center"/>
      <protection/>
    </xf>
    <xf numFmtId="0" fontId="83" fillId="0" borderId="16" xfId="59" applyFont="1" applyBorder="1" applyAlignment="1">
      <alignment horizontal="center"/>
      <protection/>
    </xf>
    <xf numFmtId="10" fontId="6" fillId="0" borderId="10" xfId="60" applyNumberFormat="1" applyFont="1" applyBorder="1" applyAlignment="1">
      <alignment horizontal="center"/>
      <protection/>
    </xf>
    <xf numFmtId="0" fontId="0" fillId="0" borderId="10" xfId="59" applyBorder="1">
      <alignment/>
      <protection/>
    </xf>
    <xf numFmtId="0" fontId="83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right" vertical="top" wrapText="1"/>
    </xf>
    <xf numFmtId="172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83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59" applyFont="1">
      <alignment/>
      <protection/>
    </xf>
    <xf numFmtId="172" fontId="0" fillId="0" borderId="0" xfId="59" applyNumberFormat="1" applyFont="1">
      <alignment/>
      <protection/>
    </xf>
    <xf numFmtId="0" fontId="2" fillId="0" borderId="0" xfId="59" applyFont="1">
      <alignment/>
      <protection/>
    </xf>
    <xf numFmtId="174" fontId="0" fillId="0" borderId="0" xfId="52" applyFont="1" applyAlignment="1">
      <alignment/>
    </xf>
    <xf numFmtId="174" fontId="0" fillId="0" borderId="0" xfId="52" applyFont="1" applyBorder="1" applyAlignment="1">
      <alignment/>
    </xf>
    <xf numFmtId="174" fontId="2" fillId="0" borderId="0" xfId="52" applyFont="1" applyBorder="1" applyAlignment="1">
      <alignment/>
    </xf>
    <xf numFmtId="174" fontId="2" fillId="0" borderId="10" xfId="52" applyFont="1" applyBorder="1" applyAlignment="1">
      <alignment/>
    </xf>
    <xf numFmtId="174" fontId="0" fillId="0" borderId="10" xfId="52" applyFont="1" applyBorder="1" applyAlignment="1">
      <alignment/>
    </xf>
    <xf numFmtId="174" fontId="2" fillId="0" borderId="0" xfId="52" applyFont="1" applyAlignment="1">
      <alignment/>
    </xf>
    <xf numFmtId="174" fontId="0" fillId="0" borderId="10" xfId="52" applyFont="1" applyBorder="1" applyAlignment="1">
      <alignment horizontal="center"/>
    </xf>
    <xf numFmtId="172" fontId="0" fillId="0" borderId="10" xfId="59" applyNumberFormat="1" applyFont="1" applyBorder="1" applyAlignment="1">
      <alignment horizontal="right" vertical="top" wrapText="1"/>
      <protection/>
    </xf>
    <xf numFmtId="0" fontId="0" fillId="0" borderId="10" xfId="59" applyFont="1" applyBorder="1" applyAlignment="1">
      <alignment horizontal="center" vertical="top" wrapText="1"/>
      <protection/>
    </xf>
    <xf numFmtId="0" fontId="0" fillId="0" borderId="10" xfId="59" applyBorder="1" applyAlignment="1">
      <alignment horizontal="justify" vertical="top" wrapText="1"/>
      <protection/>
    </xf>
    <xf numFmtId="0" fontId="0" fillId="0" borderId="10" xfId="59" applyFont="1" applyBorder="1" applyAlignment="1">
      <alignment horizontal="justify" vertical="top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7" fillId="0" borderId="17" xfId="59" applyFont="1" applyBorder="1" applyAlignment="1">
      <alignment vertical="top" wrapText="1"/>
      <protection/>
    </xf>
    <xf numFmtId="0" fontId="17" fillId="0" borderId="18" xfId="59" applyFont="1" applyBorder="1" applyAlignment="1">
      <alignment vertical="top" wrapText="1"/>
      <protection/>
    </xf>
    <xf numFmtId="172" fontId="17" fillId="0" borderId="10" xfId="59" applyNumberFormat="1" applyFont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9" fontId="0" fillId="0" borderId="0" xfId="0" applyNumberFormat="1" applyAlignment="1">
      <alignment/>
    </xf>
    <xf numFmtId="1" fontId="83" fillId="0" borderId="10" xfId="59" applyNumberFormat="1" applyFont="1" applyBorder="1" applyAlignment="1">
      <alignment horizontal="center"/>
      <protection/>
    </xf>
    <xf numFmtId="1" fontId="0" fillId="0" borderId="0" xfId="59" applyNumberFormat="1">
      <alignment/>
      <protection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 wrapText="1"/>
    </xf>
    <xf numFmtId="1" fontId="83" fillId="0" borderId="0" xfId="59" applyNumberFormat="1" applyFont="1">
      <alignment/>
      <protection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91" fillId="0" borderId="0" xfId="0" applyFont="1" applyAlignment="1">
      <alignment/>
    </xf>
    <xf numFmtId="0" fontId="83" fillId="0" borderId="19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173" fontId="0" fillId="0" borderId="23" xfId="0" applyNumberFormat="1" applyFont="1" applyBorder="1" applyAlignment="1">
      <alignment horizontal="right" vertical="center"/>
    </xf>
    <xf numFmtId="173" fontId="92" fillId="0" borderId="24" xfId="56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right" vertical="center"/>
    </xf>
    <xf numFmtId="173" fontId="92" fillId="0" borderId="26" xfId="56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83" fillId="0" borderId="28" xfId="0" applyFont="1" applyBorder="1" applyAlignment="1">
      <alignment horizontal="center" vertical="center" wrapText="1"/>
    </xf>
    <xf numFmtId="173" fontId="83" fillId="0" borderId="29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 horizontal="left" vertical="center" wrapText="1"/>
    </xf>
    <xf numFmtId="173" fontId="83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83" fillId="0" borderId="0" xfId="0" applyFont="1" applyFill="1" applyBorder="1" applyAlignment="1">
      <alignment horizontal="justify" vertical="center"/>
    </xf>
    <xf numFmtId="0" fontId="83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wrapText="1"/>
    </xf>
    <xf numFmtId="4" fontId="89" fillId="0" borderId="0" xfId="0" applyNumberFormat="1" applyFont="1" applyFill="1" applyBorder="1" applyAlignment="1">
      <alignment horizontal="center" vertical="center"/>
    </xf>
    <xf numFmtId="4" fontId="89" fillId="0" borderId="0" xfId="0" applyNumberFormat="1" applyFont="1" applyFill="1" applyBorder="1" applyAlignment="1">
      <alignment horizontal="center" vertical="center" wrapText="1"/>
    </xf>
    <xf numFmtId="4" fontId="83" fillId="0" borderId="0" xfId="0" applyNumberFormat="1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83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83" fillId="0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right"/>
    </xf>
    <xf numFmtId="0" fontId="86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83" fillId="0" borderId="10" xfId="0" applyNumberFormat="1" applyFont="1" applyBorder="1" applyAlignment="1">
      <alignment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5" fontId="83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0" fontId="83" fillId="0" borderId="10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3" fillId="0" borderId="3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9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0" fontId="8" fillId="37" borderId="0" xfId="0" applyFont="1" applyFill="1" applyBorder="1" applyAlignment="1">
      <alignment/>
    </xf>
    <xf numFmtId="4" fontId="8" fillId="37" borderId="0" xfId="0" applyNumberFormat="1" applyFont="1" applyFill="1" applyBorder="1" applyAlignment="1">
      <alignment/>
    </xf>
    <xf numFmtId="0" fontId="2" fillId="0" borderId="0" xfId="62" applyFont="1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0" xfId="62" applyBorder="1">
      <alignment/>
      <protection/>
    </xf>
    <xf numFmtId="0" fontId="0" fillId="0" borderId="0" xfId="62" applyBorder="1" applyAlignment="1">
      <alignment horizontal="left"/>
      <protection/>
    </xf>
    <xf numFmtId="4" fontId="2" fillId="0" borderId="0" xfId="62" applyNumberFormat="1" applyFont="1">
      <alignment/>
      <protection/>
    </xf>
    <xf numFmtId="180" fontId="2" fillId="0" borderId="0" xfId="62" applyNumberFormat="1" applyFont="1">
      <alignment/>
      <protection/>
    </xf>
    <xf numFmtId="4" fontId="69" fillId="38" borderId="1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62" applyFont="1">
      <alignment/>
      <protection/>
    </xf>
    <xf numFmtId="4" fontId="0" fillId="0" borderId="0" xfId="62" applyNumberFormat="1" applyFont="1">
      <alignment/>
      <protection/>
    </xf>
    <xf numFmtId="0" fontId="0" fillId="0" borderId="0" xfId="62" applyFont="1" applyAlignment="1">
      <alignment horizontal="right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Fill="1" applyBorder="1" applyAlignment="1">
      <alignment horizontal="left"/>
      <protection/>
    </xf>
    <xf numFmtId="173" fontId="0" fillId="0" borderId="10" xfId="57" applyFont="1" applyBorder="1" applyAlignment="1">
      <alignment vertical="center"/>
    </xf>
    <xf numFmtId="173" fontId="0" fillId="0" borderId="10" xfId="57" applyFont="1" applyBorder="1" applyAlignment="1">
      <alignment horizontal="right" vertical="center"/>
    </xf>
    <xf numFmtId="0" fontId="0" fillId="0" borderId="10" xfId="62" applyFill="1" applyBorder="1" applyAlignment="1">
      <alignment horizontal="left"/>
      <protection/>
    </xf>
    <xf numFmtId="0" fontId="10" fillId="0" borderId="10" xfId="62" applyFont="1" applyFill="1" applyBorder="1" applyAlignment="1">
      <alignment horizontal="left"/>
      <protection/>
    </xf>
    <xf numFmtId="173" fontId="0" fillId="0" borderId="1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173" fontId="0" fillId="0" borderId="0" xfId="62" applyNumberFormat="1" applyFont="1" applyBorder="1" applyAlignment="1">
      <alignment horizontal="right"/>
      <protection/>
    </xf>
    <xf numFmtId="0" fontId="2" fillId="0" borderId="10" xfId="62" applyFont="1" applyBorder="1" applyAlignment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181" fontId="0" fillId="0" borderId="0" xfId="62" applyNumberFormat="1" applyBorder="1">
      <alignment/>
      <protection/>
    </xf>
    <xf numFmtId="0" fontId="0" fillId="0" borderId="10" xfId="62" applyFont="1" applyBorder="1">
      <alignment/>
      <protection/>
    </xf>
    <xf numFmtId="0" fontId="83" fillId="0" borderId="0" xfId="62" applyFont="1">
      <alignment/>
      <protection/>
    </xf>
    <xf numFmtId="0" fontId="0" fillId="0" borderId="10" xfId="62" applyBorder="1" applyAlignment="1">
      <alignment vertical="center"/>
      <protection/>
    </xf>
    <xf numFmtId="0" fontId="0" fillId="0" borderId="10" xfId="62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0" xfId="0" applyBorder="1" applyAlignment="1">
      <alignment vertical="top" wrapText="1"/>
    </xf>
    <xf numFmtId="0" fontId="18" fillId="0" borderId="0" xfId="63" applyFont="1">
      <alignment/>
      <protection/>
    </xf>
    <xf numFmtId="173" fontId="18" fillId="0" borderId="10" xfId="63" applyNumberFormat="1" applyFont="1" applyBorder="1">
      <alignment/>
      <protection/>
    </xf>
    <xf numFmtId="173" fontId="19" fillId="0" borderId="10" xfId="63" applyNumberFormat="1" applyFont="1" applyBorder="1">
      <alignment/>
      <protection/>
    </xf>
    <xf numFmtId="10" fontId="18" fillId="0" borderId="0" xfId="63" applyNumberFormat="1" applyFont="1">
      <alignment/>
      <protection/>
    </xf>
    <xf numFmtId="0" fontId="19" fillId="0" borderId="10" xfId="63" applyFont="1" applyBorder="1" applyAlignment="1">
      <alignment horizontal="center"/>
      <protection/>
    </xf>
    <xf numFmtId="0" fontId="18" fillId="0" borderId="10" xfId="63" applyFont="1" applyBorder="1">
      <alignment/>
      <protection/>
    </xf>
    <xf numFmtId="43" fontId="18" fillId="0" borderId="0" xfId="63" applyNumberFormat="1" applyFont="1">
      <alignment/>
      <protection/>
    </xf>
    <xf numFmtId="9" fontId="18" fillId="0" borderId="0" xfId="63" applyNumberFormat="1" applyFont="1">
      <alignment/>
      <protection/>
    </xf>
    <xf numFmtId="173" fontId="0" fillId="0" borderId="0" xfId="62" applyNumberFormat="1" applyFont="1" applyBorder="1">
      <alignment/>
      <protection/>
    </xf>
    <xf numFmtId="0" fontId="2" fillId="0" borderId="0" xfId="62" applyFont="1" applyBorder="1" applyAlignment="1">
      <alignment horizontal="left"/>
      <protection/>
    </xf>
    <xf numFmtId="0" fontId="83" fillId="0" borderId="0" xfId="62" applyFont="1" applyBorder="1">
      <alignment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 wrapText="1"/>
      <protection/>
    </xf>
    <xf numFmtId="173" fontId="0" fillId="0" borderId="0" xfId="57" applyFont="1" applyBorder="1" applyAlignment="1">
      <alignment horizontal="right" vertical="center"/>
    </xf>
    <xf numFmtId="0" fontId="0" fillId="0" borderId="0" xfId="62" applyFill="1" applyBorder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8" fillId="0" borderId="0" xfId="0" applyFont="1" applyAlignment="1">
      <alignment/>
    </xf>
    <xf numFmtId="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0" fillId="0" borderId="33" xfId="0" applyFont="1" applyBorder="1" applyAlignment="1">
      <alignment/>
    </xf>
    <xf numFmtId="10" fontId="20" fillId="0" borderId="10" xfId="67" applyNumberFormat="1" applyFont="1" applyBorder="1" applyAlignment="1">
      <alignment/>
    </xf>
    <xf numFmtId="0" fontId="83" fillId="16" borderId="0" xfId="0" applyFont="1" applyFill="1" applyBorder="1" applyAlignment="1">
      <alignment horizontal="right"/>
    </xf>
    <xf numFmtId="0" fontId="93" fillId="0" borderId="34" xfId="0" applyFont="1" applyBorder="1" applyAlignment="1">
      <alignment horizontal="center" vertical="center" wrapText="1"/>
    </xf>
    <xf numFmtId="0" fontId="93" fillId="0" borderId="34" xfId="0" applyFont="1" applyBorder="1" applyAlignment="1">
      <alignment horizontal="center" wrapText="1"/>
    </xf>
    <xf numFmtId="0" fontId="88" fillId="0" borderId="34" xfId="0" applyFont="1" applyBorder="1" applyAlignment="1">
      <alignment horizontal="center" wrapText="1"/>
    </xf>
    <xf numFmtId="0" fontId="94" fillId="0" borderId="22" xfId="0" applyFont="1" applyBorder="1" applyAlignment="1">
      <alignment horizontal="center"/>
    </xf>
    <xf numFmtId="172" fontId="94" fillId="0" borderId="23" xfId="53" applyNumberFormat="1" applyFont="1" applyBorder="1" applyAlignment="1">
      <alignment/>
    </xf>
    <xf numFmtId="172" fontId="94" fillId="0" borderId="24" xfId="53" applyNumberFormat="1" applyFont="1" applyBorder="1" applyAlignment="1">
      <alignment/>
    </xf>
    <xf numFmtId="0" fontId="94" fillId="0" borderId="25" xfId="0" applyFont="1" applyBorder="1" applyAlignment="1">
      <alignment horizontal="center"/>
    </xf>
    <xf numFmtId="172" fontId="94" fillId="0" borderId="10" xfId="53" applyNumberFormat="1" applyFont="1" applyBorder="1" applyAlignment="1">
      <alignment/>
    </xf>
    <xf numFmtId="172" fontId="94" fillId="0" borderId="26" xfId="53" applyNumberFormat="1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9" fontId="97" fillId="0" borderId="10" xfId="49" applyNumberFormat="1" applyFont="1" applyBorder="1" applyAlignment="1">
      <alignment horizontal="center" vertical="center"/>
    </xf>
    <xf numFmtId="174" fontId="97" fillId="0" borderId="10" xfId="49" applyNumberFormat="1" applyFont="1" applyBorder="1" applyAlignment="1">
      <alignment horizontal="center" vertical="center"/>
    </xf>
    <xf numFmtId="9" fontId="97" fillId="0" borderId="10" xfId="0" applyNumberFormat="1" applyFont="1" applyBorder="1" applyAlignment="1">
      <alignment horizontal="center" vertical="center"/>
    </xf>
    <xf numFmtId="9" fontId="95" fillId="0" borderId="10" xfId="49" applyNumberFormat="1" applyFont="1" applyBorder="1" applyAlignment="1">
      <alignment horizontal="center" vertical="center"/>
    </xf>
    <xf numFmtId="9" fontId="95" fillId="0" borderId="10" xfId="0" applyNumberFormat="1" applyFont="1" applyBorder="1" applyAlignment="1">
      <alignment horizontal="center" vertical="center"/>
    </xf>
    <xf numFmtId="172" fontId="95" fillId="0" borderId="10" xfId="49" applyNumberFormat="1" applyFont="1" applyBorder="1" applyAlignment="1">
      <alignment horizontal="center" vertical="center"/>
    </xf>
    <xf numFmtId="0" fontId="94" fillId="0" borderId="27" xfId="0" applyFont="1" applyFill="1" applyBorder="1" applyAlignment="1">
      <alignment horizontal="center"/>
    </xf>
    <xf numFmtId="172" fontId="94" fillId="0" borderId="35" xfId="53" applyNumberFormat="1" applyFont="1" applyFill="1" applyBorder="1" applyAlignment="1">
      <alignment/>
    </xf>
    <xf numFmtId="172" fontId="94" fillId="0" borderId="36" xfId="53" applyNumberFormat="1" applyFont="1" applyFill="1" applyBorder="1" applyAlignment="1">
      <alignment/>
    </xf>
    <xf numFmtId="174" fontId="97" fillId="0" borderId="0" xfId="49" applyNumberFormat="1" applyFont="1" applyBorder="1" applyAlignment="1">
      <alignment horizontal="center" vertical="center"/>
    </xf>
    <xf numFmtId="174" fontId="95" fillId="0" borderId="10" xfId="49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4" fillId="0" borderId="0" xfId="60">
      <alignment/>
      <protection/>
    </xf>
    <xf numFmtId="0" fontId="14" fillId="0" borderId="0" xfId="60" applyFont="1">
      <alignment/>
      <protection/>
    </xf>
    <xf numFmtId="0" fontId="14" fillId="0" borderId="10" xfId="60" applyBorder="1">
      <alignment/>
      <protection/>
    </xf>
    <xf numFmtId="0" fontId="23" fillId="0" borderId="10" xfId="60" applyFont="1" applyBorder="1">
      <alignment/>
      <protection/>
    </xf>
    <xf numFmtId="0" fontId="23" fillId="0" borderId="37" xfId="60" applyFont="1" applyFill="1" applyBorder="1">
      <alignment/>
      <protection/>
    </xf>
    <xf numFmtId="0" fontId="14" fillId="0" borderId="10" xfId="60" applyBorder="1" applyAlignment="1">
      <alignment horizontal="center"/>
      <protection/>
    </xf>
    <xf numFmtId="0" fontId="0" fillId="0" borderId="10" xfId="59" applyFont="1" applyBorder="1">
      <alignment/>
      <protection/>
    </xf>
    <xf numFmtId="9" fontId="14" fillId="0" borderId="10" xfId="60" applyNumberFormat="1" applyBorder="1" applyAlignment="1">
      <alignment horizontal="center"/>
      <protection/>
    </xf>
    <xf numFmtId="0" fontId="23" fillId="16" borderId="10" xfId="60" applyFont="1" applyFill="1" applyBorder="1">
      <alignment/>
      <protection/>
    </xf>
    <xf numFmtId="0" fontId="23" fillId="16" borderId="37" xfId="60" applyFont="1" applyFill="1" applyBorder="1" applyAlignment="1">
      <alignment horizontal="center"/>
      <protection/>
    </xf>
    <xf numFmtId="0" fontId="18" fillId="0" borderId="10" xfId="0" applyFont="1" applyBorder="1" applyAlignment="1">
      <alignment/>
    </xf>
    <xf numFmtId="10" fontId="83" fillId="16" borderId="0" xfId="65" applyNumberFormat="1" applyFont="1" applyFill="1" applyBorder="1" applyAlignment="1">
      <alignment horizontal="right"/>
    </xf>
    <xf numFmtId="176" fontId="94" fillId="0" borderId="10" xfId="0" applyNumberFormat="1" applyFont="1" applyBorder="1" applyAlignment="1">
      <alignment horizontal="right"/>
    </xf>
    <xf numFmtId="176" fontId="93" fillId="16" borderId="10" xfId="0" applyNumberFormat="1" applyFont="1" applyFill="1" applyBorder="1" applyAlignment="1">
      <alignment horizontal="right"/>
    </xf>
    <xf numFmtId="176" fontId="93" fillId="0" borderId="10" xfId="0" applyNumberFormat="1" applyFont="1" applyBorder="1" applyAlignment="1">
      <alignment horizontal="right"/>
    </xf>
    <xf numFmtId="173" fontId="18" fillId="0" borderId="10" xfId="0" applyNumberFormat="1" applyFont="1" applyBorder="1" applyAlignment="1">
      <alignment/>
    </xf>
    <xf numFmtId="0" fontId="56" fillId="0" borderId="0" xfId="60" applyFont="1">
      <alignment/>
      <protection/>
    </xf>
    <xf numFmtId="0" fontId="23" fillId="0" borderId="0" xfId="60" applyFont="1">
      <alignment/>
      <protection/>
    </xf>
    <xf numFmtId="9" fontId="18" fillId="0" borderId="10" xfId="63" applyNumberFormat="1" applyFont="1" applyBorder="1">
      <alignment/>
      <protection/>
    </xf>
    <xf numFmtId="0" fontId="18" fillId="0" borderId="10" xfId="63" applyFont="1" applyBorder="1" applyAlignment="1">
      <alignment horizontal="right"/>
      <protection/>
    </xf>
    <xf numFmtId="0" fontId="24" fillId="0" borderId="0" xfId="60" applyFont="1">
      <alignment/>
      <protection/>
    </xf>
    <xf numFmtId="0" fontId="25" fillId="0" borderId="10" xfId="60" applyFont="1" applyBorder="1" applyAlignment="1">
      <alignment horizontal="center"/>
      <protection/>
    </xf>
    <xf numFmtId="0" fontId="24" fillId="0" borderId="10" xfId="60" applyFont="1" applyBorder="1">
      <alignment/>
      <protection/>
    </xf>
    <xf numFmtId="173" fontId="98" fillId="0" borderId="10" xfId="57" applyFont="1" applyBorder="1" applyAlignment="1">
      <alignment horizontal="right" vertical="center"/>
    </xf>
    <xf numFmtId="0" fontId="25" fillId="0" borderId="10" xfId="60" applyFont="1" applyBorder="1">
      <alignment/>
      <protection/>
    </xf>
    <xf numFmtId="173" fontId="99" fillId="16" borderId="10" xfId="57" applyFont="1" applyFill="1" applyBorder="1" applyAlignment="1">
      <alignment horizontal="right" vertical="center"/>
    </xf>
    <xf numFmtId="9" fontId="24" fillId="0" borderId="10" xfId="60" applyNumberFormat="1" applyFont="1" applyBorder="1">
      <alignment/>
      <protection/>
    </xf>
    <xf numFmtId="0" fontId="25" fillId="0" borderId="37" xfId="60" applyFont="1" applyFill="1" applyBorder="1">
      <alignment/>
      <protection/>
    </xf>
    <xf numFmtId="0" fontId="26" fillId="0" borderId="10" xfId="60" applyFont="1" applyFill="1" applyBorder="1">
      <alignment/>
      <protection/>
    </xf>
    <xf numFmtId="174" fontId="98" fillId="0" borderId="10" xfId="0" applyNumberFormat="1" applyFont="1" applyBorder="1" applyAlignment="1">
      <alignment horizontal="right"/>
    </xf>
    <xf numFmtId="0" fontId="26" fillId="39" borderId="10" xfId="60" applyFont="1" applyFill="1" applyBorder="1">
      <alignment/>
      <protection/>
    </xf>
    <xf numFmtId="173" fontId="98" fillId="39" borderId="10" xfId="57" applyFont="1" applyFill="1" applyBorder="1" applyAlignment="1">
      <alignment horizontal="right" vertical="center"/>
    </xf>
    <xf numFmtId="0" fontId="26" fillId="40" borderId="10" xfId="60" applyFont="1" applyFill="1" applyBorder="1">
      <alignment/>
      <protection/>
    </xf>
    <xf numFmtId="173" fontId="98" fillId="40" borderId="10" xfId="57" applyFont="1" applyFill="1" applyBorder="1" applyAlignment="1">
      <alignment horizontal="right" vertical="center"/>
    </xf>
    <xf numFmtId="0" fontId="26" fillId="29" borderId="10" xfId="60" applyFont="1" applyFill="1" applyBorder="1">
      <alignment/>
      <protection/>
    </xf>
    <xf numFmtId="173" fontId="98" fillId="29" borderId="10" xfId="57" applyFont="1" applyFill="1" applyBorder="1" applyAlignment="1">
      <alignment horizontal="right" vertical="center"/>
    </xf>
    <xf numFmtId="0" fontId="26" fillId="41" borderId="10" xfId="60" applyFont="1" applyFill="1" applyBorder="1">
      <alignment/>
      <protection/>
    </xf>
    <xf numFmtId="173" fontId="98" fillId="41" borderId="10" xfId="57" applyFont="1" applyFill="1" applyBorder="1" applyAlignment="1">
      <alignment horizontal="right" vertical="center"/>
    </xf>
    <xf numFmtId="0" fontId="27" fillId="0" borderId="10" xfId="60" applyFont="1" applyFill="1" applyBorder="1">
      <alignment/>
      <protection/>
    </xf>
    <xf numFmtId="0" fontId="93" fillId="0" borderId="10" xfId="0" applyFont="1" applyFill="1" applyBorder="1" applyAlignment="1">
      <alignment horizontal="right"/>
    </xf>
    <xf numFmtId="172" fontId="83" fillId="0" borderId="10" xfId="0" applyNumberFormat="1" applyFont="1" applyFill="1" applyBorder="1" applyAlignment="1">
      <alignment/>
    </xf>
    <xf numFmtId="0" fontId="83" fillId="0" borderId="10" xfId="0" applyFont="1" applyFill="1" applyBorder="1" applyAlignment="1">
      <alignment horizontal="right"/>
    </xf>
    <xf numFmtId="10" fontId="83" fillId="0" borderId="10" xfId="0" applyNumberFormat="1" applyFont="1" applyFill="1" applyBorder="1" applyAlignment="1">
      <alignment horizontal="right"/>
    </xf>
    <xf numFmtId="2" fontId="23" fillId="0" borderId="0" xfId="60" applyNumberFormat="1" applyFont="1">
      <alignment/>
      <protection/>
    </xf>
    <xf numFmtId="0" fontId="27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0" fillId="37" borderId="10" xfId="0" applyFont="1" applyFill="1" applyBorder="1" applyAlignment="1">
      <alignment vertical="center" wrapText="1"/>
    </xf>
    <xf numFmtId="0" fontId="99" fillId="37" borderId="10" xfId="0" applyFont="1" applyFill="1" applyBorder="1" applyAlignment="1">
      <alignment horizontal="center" vertical="center" wrapText="1"/>
    </xf>
    <xf numFmtId="0" fontId="100" fillId="37" borderId="10" xfId="0" applyFont="1" applyFill="1" applyBorder="1" applyAlignment="1">
      <alignment horizontal="center" vertical="center" wrapText="1"/>
    </xf>
    <xf numFmtId="0" fontId="101" fillId="37" borderId="10" xfId="0" applyFont="1" applyFill="1" applyBorder="1" applyAlignment="1">
      <alignment vertical="top" wrapText="1"/>
    </xf>
    <xf numFmtId="176" fontId="5" fillId="0" borderId="10" xfId="55" applyNumberFormat="1" applyFont="1" applyBorder="1" applyAlignment="1">
      <alignment horizontal="center"/>
    </xf>
    <xf numFmtId="176" fontId="4" fillId="0" borderId="10" xfId="55" applyNumberFormat="1" applyFont="1" applyBorder="1" applyAlignment="1">
      <alignment horizontal="center"/>
    </xf>
    <xf numFmtId="176" fontId="89" fillId="0" borderId="10" xfId="0" applyNumberFormat="1" applyFont="1" applyBorder="1" applyAlignment="1">
      <alignment horizontal="right"/>
    </xf>
    <xf numFmtId="0" fontId="28" fillId="0" borderId="10" xfId="60" applyFont="1" applyBorder="1" applyAlignment="1">
      <alignment horizontal="center"/>
      <protection/>
    </xf>
    <xf numFmtId="1" fontId="0" fillId="0" borderId="10" xfId="59" applyNumberFormat="1" applyBorder="1">
      <alignment/>
      <protection/>
    </xf>
    <xf numFmtId="1" fontId="16" fillId="0" borderId="10" xfId="60" applyNumberFormat="1" applyFont="1" applyBorder="1" applyAlignment="1">
      <alignment horizontal="center"/>
      <protection/>
    </xf>
    <xf numFmtId="0" fontId="83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2" fontId="0" fillId="0" borderId="10" xfId="0" applyNumberFormat="1" applyFont="1" applyBorder="1" applyAlignment="1">
      <alignment horizontal="right" vertical="center"/>
    </xf>
    <xf numFmtId="172" fontId="83" fillId="0" borderId="10" xfId="0" applyNumberFormat="1" applyFont="1" applyBorder="1" applyAlignment="1">
      <alignment/>
    </xf>
    <xf numFmtId="0" fontId="83" fillId="0" borderId="0" xfId="0" applyFont="1" applyFill="1" applyBorder="1" applyAlignment="1">
      <alignment/>
    </xf>
    <xf numFmtId="172" fontId="83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83" fillId="0" borderId="10" xfId="0" applyFont="1" applyBorder="1" applyAlignment="1">
      <alignment horizontal="center"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83" fillId="42" borderId="0" xfId="0" applyNumberFormat="1" applyFont="1" applyFill="1" applyAlignment="1">
      <alignment/>
    </xf>
    <xf numFmtId="0" fontId="83" fillId="0" borderId="0" xfId="0" applyFont="1" applyFill="1" applyBorder="1" applyAlignment="1">
      <alignment horizontal="center"/>
    </xf>
    <xf numFmtId="172" fontId="83" fillId="0" borderId="0" xfId="0" applyNumberFormat="1" applyFont="1" applyBorder="1" applyAlignment="1">
      <alignment/>
    </xf>
    <xf numFmtId="172" fontId="83" fillId="0" borderId="0" xfId="0" applyNumberFormat="1" applyFont="1" applyBorder="1" applyAlignment="1">
      <alignment horizontal="right" vertical="center"/>
    </xf>
    <xf numFmtId="4" fontId="7" fillId="37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3" fontId="8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83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center"/>
    </xf>
    <xf numFmtId="0" fontId="0" fillId="37" borderId="0" xfId="61" applyFill="1" applyBorder="1">
      <alignment/>
      <protection/>
    </xf>
    <xf numFmtId="3" fontId="7" fillId="37" borderId="0" xfId="0" applyNumberFormat="1" applyFont="1" applyFill="1" applyBorder="1" applyAlignment="1">
      <alignment/>
    </xf>
    <xf numFmtId="1" fontId="83" fillId="0" borderId="10" xfId="0" applyNumberFormat="1" applyFont="1" applyBorder="1" applyAlignment="1">
      <alignment horizontal="center"/>
    </xf>
    <xf numFmtId="172" fontId="83" fillId="0" borderId="10" xfId="0" applyNumberFormat="1" applyFont="1" applyBorder="1" applyAlignment="1">
      <alignment horizontal="center"/>
    </xf>
    <xf numFmtId="188" fontId="83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172" fontId="83" fillId="0" borderId="16" xfId="0" applyNumberFormat="1" applyFont="1" applyBorder="1" applyAlignment="1">
      <alignment/>
    </xf>
    <xf numFmtId="172" fontId="0" fillId="43" borderId="1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102" fillId="37" borderId="10" xfId="0" applyFont="1" applyFill="1" applyBorder="1" applyAlignment="1">
      <alignment horizontal="center" vertical="center"/>
    </xf>
    <xf numFmtId="10" fontId="103" fillId="37" borderId="0" xfId="65" applyNumberFormat="1" applyFont="1" applyFill="1" applyAlignment="1">
      <alignment/>
    </xf>
    <xf numFmtId="10" fontId="104" fillId="44" borderId="0" xfId="65" applyNumberFormat="1" applyFont="1" applyFill="1" applyAlignment="1">
      <alignment/>
    </xf>
    <xf numFmtId="180" fontId="105" fillId="3" borderId="0" xfId="0" applyNumberFormat="1" applyFont="1" applyFill="1" applyAlignment="1">
      <alignment/>
    </xf>
    <xf numFmtId="180" fontId="105" fillId="3" borderId="38" xfId="0" applyNumberFormat="1" applyFont="1" applyFill="1" applyBorder="1" applyAlignment="1">
      <alignment/>
    </xf>
    <xf numFmtId="9" fontId="105" fillId="3" borderId="38" xfId="65" applyFont="1" applyFill="1" applyBorder="1" applyAlignment="1">
      <alignment/>
    </xf>
    <xf numFmtId="180" fontId="105" fillId="3" borderId="39" xfId="0" applyNumberFormat="1" applyFont="1" applyFill="1" applyBorder="1" applyAlignment="1">
      <alignment/>
    </xf>
    <xf numFmtId="9" fontId="105" fillId="3" borderId="39" xfId="65" applyFont="1" applyFill="1" applyBorder="1" applyAlignment="1">
      <alignment/>
    </xf>
    <xf numFmtId="180" fontId="105" fillId="3" borderId="40" xfId="0" applyNumberFormat="1" applyFont="1" applyFill="1" applyBorder="1" applyAlignment="1">
      <alignment/>
    </xf>
    <xf numFmtId="9" fontId="105" fillId="3" borderId="40" xfId="65" applyFont="1" applyFill="1" applyBorder="1" applyAlignment="1">
      <alignment/>
    </xf>
    <xf numFmtId="180" fontId="63" fillId="3" borderId="41" xfId="0" applyNumberFormat="1" applyFont="1" applyFill="1" applyBorder="1" applyAlignment="1">
      <alignment/>
    </xf>
    <xf numFmtId="10" fontId="31" fillId="45" borderId="0" xfId="65" applyNumberFormat="1" applyFont="1" applyFill="1" applyAlignment="1">
      <alignment/>
    </xf>
    <xf numFmtId="180" fontId="106" fillId="46" borderId="10" xfId="0" applyNumberFormat="1" applyFont="1" applyFill="1" applyBorder="1" applyAlignment="1">
      <alignment/>
    </xf>
    <xf numFmtId="180" fontId="105" fillId="37" borderId="10" xfId="0" applyNumberFormat="1" applyFont="1" applyFill="1" applyBorder="1" applyAlignment="1">
      <alignment/>
    </xf>
    <xf numFmtId="9" fontId="105" fillId="37" borderId="10" xfId="65" applyFont="1" applyFill="1" applyBorder="1" applyAlignment="1">
      <alignment/>
    </xf>
    <xf numFmtId="0" fontId="83" fillId="0" borderId="10" xfId="0" applyFont="1" applyBorder="1" applyAlignment="1">
      <alignment horizontal="center"/>
    </xf>
    <xf numFmtId="176" fontId="5" fillId="15" borderId="10" xfId="55" applyNumberFormat="1" applyFont="1" applyFill="1" applyBorder="1" applyAlignment="1">
      <alignment horizontal="center"/>
    </xf>
    <xf numFmtId="0" fontId="18" fillId="0" borderId="10" xfId="63" applyFont="1" applyBorder="1" applyAlignment="1">
      <alignment horizontal="center"/>
      <protection/>
    </xf>
    <xf numFmtId="9" fontId="18" fillId="0" borderId="10" xfId="63" applyNumberFormat="1" applyFont="1" applyBorder="1" applyAlignment="1">
      <alignment horizontal="center"/>
      <protection/>
    </xf>
    <xf numFmtId="0" fontId="18" fillId="0" borderId="10" xfId="63" applyFont="1" applyFill="1" applyBorder="1" applyAlignment="1">
      <alignment horizontal="center"/>
      <protection/>
    </xf>
    <xf numFmtId="0" fontId="101" fillId="0" borderId="0" xfId="62" applyFont="1">
      <alignment/>
      <protection/>
    </xf>
    <xf numFmtId="0" fontId="32" fillId="0" borderId="10" xfId="62" applyFont="1" applyBorder="1" applyAlignment="1">
      <alignment vertical="center"/>
      <protection/>
    </xf>
    <xf numFmtId="0" fontId="101" fillId="0" borderId="10" xfId="62" applyFont="1" applyBorder="1" applyAlignment="1">
      <alignment horizontal="center"/>
      <protection/>
    </xf>
    <xf numFmtId="173" fontId="101" fillId="0" borderId="10" xfId="57" applyFont="1" applyBorder="1" applyAlignment="1">
      <alignment horizontal="left" vertical="center"/>
    </xf>
    <xf numFmtId="173" fontId="101" fillId="0" borderId="10" xfId="57" applyFont="1" applyBorder="1" applyAlignment="1">
      <alignment horizontal="right" vertical="center"/>
    </xf>
    <xf numFmtId="173" fontId="100" fillId="0" borderId="10" xfId="57" applyFont="1" applyBorder="1" applyAlignment="1">
      <alignment horizontal="right" vertical="center"/>
    </xf>
    <xf numFmtId="0" fontId="32" fillId="0" borderId="10" xfId="62" applyFont="1" applyBorder="1" applyAlignment="1">
      <alignment horizontal="center" vertical="center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center"/>
      <protection/>
    </xf>
    <xf numFmtId="0" fontId="101" fillId="0" borderId="0" xfId="62" applyFont="1" applyBorder="1">
      <alignment/>
      <protection/>
    </xf>
    <xf numFmtId="173" fontId="83" fillId="0" borderId="10" xfId="57" applyFont="1" applyBorder="1" applyAlignment="1">
      <alignment horizontal="right" vertical="center"/>
    </xf>
    <xf numFmtId="180" fontId="2" fillId="0" borderId="10" xfId="62" applyNumberFormat="1" applyFont="1" applyBorder="1">
      <alignment/>
      <protection/>
    </xf>
    <xf numFmtId="180" fontId="1" fillId="0" borderId="10" xfId="62" applyNumberFormat="1" applyFont="1" applyBorder="1">
      <alignment/>
      <protection/>
    </xf>
    <xf numFmtId="0" fontId="102" fillId="37" borderId="10" xfId="0" applyFont="1" applyFill="1" applyBorder="1" applyAlignment="1">
      <alignment horizontal="center" vertical="center" wrapText="1"/>
    </xf>
    <xf numFmtId="0" fontId="0" fillId="0" borderId="0" xfId="59" applyFont="1" applyAlignment="1">
      <alignment horizontal="center"/>
      <protection/>
    </xf>
    <xf numFmtId="1" fontId="92" fillId="37" borderId="10" xfId="55" applyNumberFormat="1" applyFont="1" applyFill="1" applyBorder="1" applyAlignment="1">
      <alignment horizontal="center" vertical="center"/>
    </xf>
    <xf numFmtId="173" fontId="92" fillId="37" borderId="10" xfId="55" applyNumberFormat="1" applyFont="1" applyFill="1" applyBorder="1" applyAlignment="1">
      <alignment horizontal="center" vertical="center"/>
    </xf>
    <xf numFmtId="190" fontId="0" fillId="37" borderId="10" xfId="0" applyNumberFormat="1" applyFill="1" applyBorder="1" applyAlignment="1">
      <alignment horizontal="center" vertical="center"/>
    </xf>
    <xf numFmtId="1" fontId="92" fillId="37" borderId="10" xfId="0" applyNumberFormat="1" applyFont="1" applyFill="1" applyBorder="1" applyAlignment="1">
      <alignment horizontal="center" vertical="center"/>
    </xf>
    <xf numFmtId="173" fontId="4" fillId="37" borderId="10" xfId="55" applyNumberFormat="1" applyFont="1" applyFill="1" applyBorder="1" applyAlignment="1">
      <alignment horizontal="center" vertical="center"/>
    </xf>
    <xf numFmtId="0" fontId="92" fillId="37" borderId="10" xfId="0" applyFont="1" applyFill="1" applyBorder="1" applyAlignment="1">
      <alignment horizontal="left" vertical="center"/>
    </xf>
    <xf numFmtId="0" fontId="0" fillId="37" borderId="10" xfId="59" applyFont="1" applyFill="1" applyBorder="1" applyAlignment="1">
      <alignment horizontal="left" vertical="center" wrapText="1"/>
      <protection/>
    </xf>
    <xf numFmtId="0" fontId="0" fillId="37" borderId="10" xfId="59" applyFill="1" applyBorder="1" applyAlignment="1">
      <alignment horizontal="left" vertical="center" wrapText="1"/>
      <protection/>
    </xf>
    <xf numFmtId="0" fontId="102" fillId="37" borderId="10" xfId="0" applyFont="1" applyFill="1" applyBorder="1" applyAlignment="1">
      <alignment horizontal="left" vertical="center"/>
    </xf>
    <xf numFmtId="176" fontId="5" fillId="37" borderId="10" xfId="55" applyNumberFormat="1" applyFont="1" applyFill="1" applyBorder="1" applyAlignment="1">
      <alignment horizontal="center"/>
    </xf>
    <xf numFmtId="180" fontId="2" fillId="0" borderId="10" xfId="62" applyNumberFormat="1" applyFont="1" applyBorder="1">
      <alignment/>
      <protection/>
    </xf>
    <xf numFmtId="3" fontId="83" fillId="0" borderId="10" xfId="0" applyNumberFormat="1" applyFont="1" applyBorder="1" applyAlignment="1">
      <alignment horizontal="right"/>
    </xf>
    <xf numFmtId="4" fontId="90" fillId="37" borderId="10" xfId="0" applyNumberFormat="1" applyFont="1" applyFill="1" applyBorder="1" applyAlignment="1">
      <alignment horizontal="right" vertical="center"/>
    </xf>
    <xf numFmtId="173" fontId="98" fillId="0" borderId="10" xfId="57" applyFont="1" applyFill="1" applyBorder="1" applyAlignment="1">
      <alignment horizontal="right" vertical="center"/>
    </xf>
    <xf numFmtId="173" fontId="98" fillId="47" borderId="10" xfId="57" applyFont="1" applyFill="1" applyBorder="1" applyAlignment="1">
      <alignment horizontal="right" vertical="center"/>
    </xf>
    <xf numFmtId="9" fontId="97" fillId="0" borderId="10" xfId="65" applyFont="1" applyBorder="1" applyAlignment="1">
      <alignment horizontal="center" vertical="center"/>
    </xf>
    <xf numFmtId="0" fontId="23" fillId="0" borderId="10" xfId="60" applyFont="1" applyBorder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0" fontId="100" fillId="0" borderId="17" xfId="62" applyFont="1" applyBorder="1" applyAlignment="1">
      <alignment horizontal="center"/>
      <protection/>
    </xf>
    <xf numFmtId="0" fontId="100" fillId="0" borderId="18" xfId="62" applyFont="1" applyBorder="1" applyAlignment="1">
      <alignment horizontal="center"/>
      <protection/>
    </xf>
    <xf numFmtId="0" fontId="100" fillId="0" borderId="16" xfId="62" applyFont="1" applyBorder="1" applyAlignment="1">
      <alignment horizontal="center"/>
      <protection/>
    </xf>
    <xf numFmtId="0" fontId="2" fillId="0" borderId="42" xfId="62" applyFont="1" applyBorder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 applyBorder="1" applyAlignment="1">
      <alignment horizontal="center"/>
      <protection/>
    </xf>
    <xf numFmtId="0" fontId="0" fillId="0" borderId="0" xfId="62" applyBorder="1" applyAlignment="1">
      <alignment horizontal="left"/>
      <protection/>
    </xf>
    <xf numFmtId="0" fontId="0" fillId="0" borderId="17" xfId="62" applyFont="1" applyBorder="1" applyAlignment="1">
      <alignment horizontal="center"/>
      <protection/>
    </xf>
    <xf numFmtId="0" fontId="0" fillId="0" borderId="18" xfId="62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83" fillId="34" borderId="33" xfId="0" applyFont="1" applyFill="1" applyBorder="1" applyAlignment="1">
      <alignment horizontal="justify" vertical="center"/>
    </xf>
    <xf numFmtId="0" fontId="83" fillId="34" borderId="43" xfId="0" applyFont="1" applyFill="1" applyBorder="1" applyAlignment="1">
      <alignment horizontal="justify" vertical="center"/>
    </xf>
    <xf numFmtId="0" fontId="8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3" fillId="0" borderId="10" xfId="59" applyFont="1" applyBorder="1" applyAlignment="1">
      <alignment horizontal="center"/>
      <protection/>
    </xf>
    <xf numFmtId="0" fontId="83" fillId="0" borderId="17" xfId="59" applyFont="1" applyBorder="1" applyAlignment="1">
      <alignment horizontal="center"/>
      <protection/>
    </xf>
    <xf numFmtId="0" fontId="83" fillId="0" borderId="16" xfId="59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83" fillId="37" borderId="17" xfId="0" applyFont="1" applyFill="1" applyBorder="1" applyAlignment="1">
      <alignment horizontal="center"/>
    </xf>
    <xf numFmtId="0" fontId="83" fillId="37" borderId="16" xfId="0" applyFont="1" applyFill="1" applyBorder="1" applyAlignment="1">
      <alignment horizontal="center"/>
    </xf>
    <xf numFmtId="0" fontId="0" fillId="48" borderId="44" xfId="0" applyFill="1" applyBorder="1" applyAlignment="1">
      <alignment horizontal="center" vertical="center"/>
    </xf>
    <xf numFmtId="0" fontId="0" fillId="48" borderId="18" xfId="0" applyFill="1" applyBorder="1" applyAlignment="1">
      <alignment horizontal="center" vertical="center"/>
    </xf>
    <xf numFmtId="0" fontId="0" fillId="48" borderId="45" xfId="0" applyFill="1" applyBorder="1" applyAlignment="1">
      <alignment horizontal="center" vertical="center"/>
    </xf>
    <xf numFmtId="0" fontId="83" fillId="48" borderId="46" xfId="0" applyFont="1" applyFill="1" applyBorder="1" applyAlignment="1">
      <alignment horizontal="center"/>
    </xf>
    <xf numFmtId="0" fontId="83" fillId="48" borderId="47" xfId="0" applyFont="1" applyFill="1" applyBorder="1" applyAlignment="1">
      <alignment horizontal="center"/>
    </xf>
    <xf numFmtId="0" fontId="83" fillId="48" borderId="48" xfId="0" applyFont="1" applyFill="1" applyBorder="1" applyAlignment="1">
      <alignment horizontal="center"/>
    </xf>
    <xf numFmtId="0" fontId="83" fillId="0" borderId="17" xfId="0" applyFont="1" applyBorder="1" applyAlignment="1">
      <alignment horizontal="center" vertical="center"/>
    </xf>
    <xf numFmtId="0" fontId="83" fillId="48" borderId="44" xfId="0" applyFont="1" applyFill="1" applyBorder="1" applyAlignment="1">
      <alignment horizontal="center" vertical="center"/>
    </xf>
    <xf numFmtId="0" fontId="83" fillId="48" borderId="18" xfId="0" applyFont="1" applyFill="1" applyBorder="1" applyAlignment="1">
      <alignment horizontal="center" vertical="center"/>
    </xf>
    <xf numFmtId="0" fontId="83" fillId="48" borderId="45" xfId="0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3" fillId="0" borderId="16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17" xfId="0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0" fillId="0" borderId="17" xfId="62" applyBorder="1" applyAlignment="1">
      <alignment horizontal="left"/>
      <protection/>
    </xf>
    <xf numFmtId="0" fontId="0" fillId="0" borderId="16" xfId="62" applyBorder="1" applyAlignment="1">
      <alignment horizontal="left"/>
      <protection/>
    </xf>
    <xf numFmtId="0" fontId="0" fillId="0" borderId="10" xfId="62" applyBorder="1" applyAlignment="1">
      <alignment horizontal="center"/>
      <protection/>
    </xf>
    <xf numFmtId="0" fontId="0" fillId="0" borderId="17" xfId="62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0" fillId="0" borderId="17" xfId="62" applyFont="1" applyBorder="1" applyAlignment="1">
      <alignment horizontal="left"/>
      <protection/>
    </xf>
    <xf numFmtId="0" fontId="83" fillId="33" borderId="31" xfId="0" applyFont="1" applyFill="1" applyBorder="1" applyAlignment="1">
      <alignment horizontal="center" vertical="center" wrapText="1"/>
    </xf>
    <xf numFmtId="0" fontId="83" fillId="33" borderId="49" xfId="0" applyFont="1" applyFill="1" applyBorder="1" applyAlignment="1">
      <alignment horizontal="center" vertical="center" wrapText="1"/>
    </xf>
    <xf numFmtId="0" fontId="83" fillId="33" borderId="50" xfId="0" applyFont="1" applyFill="1" applyBorder="1" applyAlignment="1">
      <alignment horizontal="center" vertical="center" wrapText="1"/>
    </xf>
    <xf numFmtId="0" fontId="83" fillId="33" borderId="51" xfId="0" applyFont="1" applyFill="1" applyBorder="1" applyAlignment="1">
      <alignment horizontal="center" vertical="center" wrapText="1"/>
    </xf>
    <xf numFmtId="0" fontId="83" fillId="33" borderId="42" xfId="0" applyFont="1" applyFill="1" applyBorder="1" applyAlignment="1">
      <alignment horizontal="center" vertical="center" wrapText="1"/>
    </xf>
    <xf numFmtId="0" fontId="83" fillId="33" borderId="52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right" vertical="top" wrapText="1"/>
    </xf>
    <xf numFmtId="0" fontId="88" fillId="33" borderId="10" xfId="0" applyFont="1" applyFill="1" applyBorder="1" applyAlignment="1">
      <alignment horizontal="center" vertical="top" wrapText="1"/>
    </xf>
    <xf numFmtId="0" fontId="83" fillId="33" borderId="10" xfId="0" applyFont="1" applyFill="1" applyBorder="1" applyAlignment="1">
      <alignment horizontal="center" vertical="top" wrapText="1"/>
    </xf>
    <xf numFmtId="0" fontId="83" fillId="33" borderId="33" xfId="0" applyFont="1" applyFill="1" applyBorder="1" applyAlignment="1">
      <alignment horizontal="center" vertical="center" wrapText="1"/>
    </xf>
    <xf numFmtId="0" fontId="83" fillId="33" borderId="43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/>
    </xf>
    <xf numFmtId="0" fontId="83" fillId="0" borderId="0" xfId="0" applyFont="1" applyAlignment="1">
      <alignment horizontal="center"/>
    </xf>
    <xf numFmtId="4" fontId="83" fillId="0" borderId="42" xfId="0" applyNumberFormat="1" applyFont="1" applyFill="1" applyBorder="1" applyAlignment="1">
      <alignment horizontal="center"/>
    </xf>
    <xf numFmtId="0" fontId="19" fillId="0" borderId="10" xfId="63" applyFont="1" applyBorder="1" applyAlignment="1">
      <alignment horizontal="center"/>
      <protection/>
    </xf>
    <xf numFmtId="0" fontId="19" fillId="0" borderId="17" xfId="63" applyFont="1" applyBorder="1" applyAlignment="1">
      <alignment horizontal="left"/>
      <protection/>
    </xf>
    <xf numFmtId="0" fontId="19" fillId="0" borderId="18" xfId="63" applyFont="1" applyBorder="1" applyAlignment="1">
      <alignment horizontal="left"/>
      <protection/>
    </xf>
    <xf numFmtId="0" fontId="18" fillId="0" borderId="17" xfId="63" applyFont="1" applyBorder="1" applyAlignment="1">
      <alignment horizontal="left"/>
      <protection/>
    </xf>
    <xf numFmtId="0" fontId="18" fillId="0" borderId="18" xfId="63" applyFont="1" applyBorder="1" applyAlignment="1">
      <alignment horizontal="left"/>
      <protection/>
    </xf>
    <xf numFmtId="0" fontId="14" fillId="0" borderId="0" xfId="60" applyAlignment="1">
      <alignment horizontal="center"/>
      <protection/>
    </xf>
    <xf numFmtId="0" fontId="14" fillId="0" borderId="31" xfId="60" applyBorder="1" applyAlignment="1">
      <alignment horizontal="left" vertical="center" wrapText="1"/>
      <protection/>
    </xf>
    <xf numFmtId="0" fontId="14" fillId="0" borderId="49" xfId="60" applyBorder="1" applyAlignment="1">
      <alignment horizontal="left" vertical="center" wrapText="1"/>
      <protection/>
    </xf>
    <xf numFmtId="0" fontId="14" fillId="0" borderId="50" xfId="60" applyBorder="1" applyAlignment="1">
      <alignment horizontal="left" vertical="center" wrapText="1"/>
      <protection/>
    </xf>
    <xf numFmtId="0" fontId="14" fillId="0" borderId="53" xfId="60" applyBorder="1" applyAlignment="1">
      <alignment horizontal="left" vertical="center" wrapText="1"/>
      <protection/>
    </xf>
    <xf numFmtId="0" fontId="14" fillId="0" borderId="0" xfId="60" applyBorder="1" applyAlignment="1">
      <alignment horizontal="left" vertical="center" wrapText="1"/>
      <protection/>
    </xf>
    <xf numFmtId="0" fontId="14" fillId="0" borderId="32" xfId="60" applyBorder="1" applyAlignment="1">
      <alignment horizontal="left" vertical="center" wrapText="1"/>
      <protection/>
    </xf>
    <xf numFmtId="0" fontId="14" fillId="0" borderId="51" xfId="60" applyBorder="1" applyAlignment="1">
      <alignment horizontal="left" vertical="center" wrapText="1"/>
      <protection/>
    </xf>
    <xf numFmtId="0" fontId="14" fillId="0" borderId="42" xfId="60" applyBorder="1" applyAlignment="1">
      <alignment horizontal="left" vertical="center" wrapText="1"/>
      <protection/>
    </xf>
    <xf numFmtId="0" fontId="14" fillId="0" borderId="52" xfId="60" applyBorder="1" applyAlignment="1">
      <alignment horizontal="left" vertical="center" wrapText="1"/>
      <protection/>
    </xf>
    <xf numFmtId="180" fontId="104" fillId="44" borderId="0" xfId="0" applyNumberFormat="1" applyFont="1" applyFill="1" applyAlignment="1">
      <alignment horizontal="left"/>
    </xf>
    <xf numFmtId="180" fontId="103" fillId="37" borderId="0" xfId="0" applyNumberFormat="1" applyFont="1" applyFill="1" applyAlignment="1">
      <alignment horizontal="left"/>
    </xf>
    <xf numFmtId="0" fontId="93" fillId="39" borderId="28" xfId="0" applyFont="1" applyFill="1" applyBorder="1" applyAlignment="1">
      <alignment horizontal="center" wrapText="1"/>
    </xf>
    <xf numFmtId="0" fontId="93" fillId="39" borderId="54" xfId="0" applyFont="1" applyFill="1" applyBorder="1" applyAlignment="1">
      <alignment horizontal="center" wrapText="1"/>
    </xf>
    <xf numFmtId="0" fontId="93" fillId="39" borderId="29" xfId="0" applyFont="1" applyFill="1" applyBorder="1" applyAlignment="1">
      <alignment horizontal="center" wrapText="1"/>
    </xf>
    <xf numFmtId="180" fontId="31" fillId="45" borderId="0" xfId="0" applyNumberFormat="1" applyFont="1" applyFill="1" applyAlignment="1">
      <alignment horizontal="left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Moneda 4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tas" xfId="64"/>
    <cellStyle name="Percent" xfId="65"/>
    <cellStyle name="Porcentual 2" xfId="66"/>
    <cellStyle name="Porcentual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VARIACION DE INGRESOS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6925"/>
          <c:w val="0.9197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'Analisis Sensibilidad'!$F$5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'Analisis Sensibilidad'!$E$6:$E$10</c:f>
              <c:numCache/>
            </c:numRef>
          </c:cat>
          <c:val>
            <c:numRef>
              <c:f>'Analisis Sensibilidad'!$F$6:$F$10</c:f>
              <c:numCache/>
            </c:numRef>
          </c:val>
          <c:smooth val="0"/>
        </c:ser>
        <c:marker val="1"/>
        <c:axId val="61440309"/>
        <c:axId val="16091870"/>
      </c:line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91870"/>
        <c:crosses val="autoZero"/>
        <c:auto val="1"/>
        <c:lblOffset val="100"/>
        <c:tickLblSkip val="1"/>
        <c:noMultiLvlLbl val="0"/>
      </c:catAx>
      <c:valAx>
        <c:axId val="16091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403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VARIACION DE GASTOS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6925"/>
          <c:w val="0.911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'Analisis Sensibilidad'!$F$30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'Analisis Sensibilidad'!$E$31:$E$37</c:f>
              <c:numCache/>
            </c:numRef>
          </c:cat>
          <c:val>
            <c:numRef>
              <c:f>'Analisis Sensibilidad'!$F$31:$F$37</c:f>
              <c:numCache/>
            </c:numRef>
          </c:val>
          <c:smooth val="0"/>
        </c:ser>
        <c:marker val="1"/>
        <c:axId val="10609103"/>
        <c:axId val="28373064"/>
      </c:line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1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VARIACION DE INGRESOS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5125"/>
          <c:w val="0.78025"/>
          <c:h val="0.74625"/>
        </c:manualLayout>
      </c:layout>
      <c:lineChart>
        <c:grouping val="standard"/>
        <c:varyColors val="0"/>
        <c:ser>
          <c:idx val="0"/>
          <c:order val="0"/>
          <c:tx>
            <c:v>TMAR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'Analisis Sensibilidad'!$E$6:$E$10</c:f>
              <c:numCache/>
            </c:numRef>
          </c:cat>
          <c:val>
            <c:numRef>
              <c:f>'Analisis Sensibilidad'!$H$6:$H$10</c:f>
              <c:numCache/>
            </c:numRef>
          </c:val>
          <c:smooth val="0"/>
        </c:ser>
        <c:ser>
          <c:idx val="1"/>
          <c:order val="1"/>
          <c:tx>
            <c:strRef>
              <c:f>'Analisis Sensibilidad'!$H$5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'Analisis Sensibilidad'!$E$6:$E$10</c:f>
              <c:numCache/>
            </c:numRef>
          </c:cat>
          <c:val>
            <c:numRef>
              <c:f>'Analisis Sensibilidad'!$H$6:$H$10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8475"/>
          <c:w val="0.12725"/>
          <c:h val="0.1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VARIACION DE GASTOS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5125"/>
          <c:w val="0.9567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'Analisis Sensibilidad'!$H$30</c:f>
              <c:strCache>
                <c:ptCount val="1"/>
                <c:pt idx="0">
                  <c:v>TIR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'Analisis Sensibilidad'!$E$31:$E$37</c:f>
              <c:numCache/>
            </c:numRef>
          </c:cat>
          <c:val>
            <c:numRef>
              <c:f>'Analisis Sensibilidad'!$H$31:$H$37</c:f>
              <c:numCache/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6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0.654</cdr:y>
    </cdr:from>
    <cdr:to>
      <cdr:x>0.859</cdr:x>
      <cdr:y>0.65825</cdr:y>
    </cdr:to>
    <cdr:sp>
      <cdr:nvSpPr>
        <cdr:cNvPr id="1" name="2 Conector recto"/>
        <cdr:cNvSpPr>
          <a:spLocks/>
        </cdr:cNvSpPr>
      </cdr:nvSpPr>
      <cdr:spPr>
        <a:xfrm flipV="1">
          <a:off x="733425" y="1695450"/>
          <a:ext cx="3971925" cy="9525"/>
        </a:xfrm>
        <a:prstGeom prst="line">
          <a:avLst/>
        </a:prstGeom>
        <a:noFill/>
        <a:ln w="25400" cmpd="sng">
          <a:solidFill>
            <a:srgbClr val="93CDD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1</xdr:row>
      <xdr:rowOff>104775</xdr:rowOff>
    </xdr:from>
    <xdr:to>
      <xdr:col>15</xdr:col>
      <xdr:colOff>704850</xdr:colOff>
      <xdr:row>13</xdr:row>
      <xdr:rowOff>152400</xdr:rowOff>
    </xdr:to>
    <xdr:graphicFrame>
      <xdr:nvGraphicFramePr>
        <xdr:cNvPr id="1" name="4 Gráfico"/>
        <xdr:cNvGraphicFramePr/>
      </xdr:nvGraphicFramePr>
      <xdr:xfrm>
        <a:off x="7791450" y="295275"/>
        <a:ext cx="5048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66675</xdr:rowOff>
    </xdr:from>
    <xdr:to>
      <xdr:col>15</xdr:col>
      <xdr:colOff>238125</xdr:colOff>
      <xdr:row>38</xdr:row>
      <xdr:rowOff>114300</xdr:rowOff>
    </xdr:to>
    <xdr:graphicFrame>
      <xdr:nvGraphicFramePr>
        <xdr:cNvPr id="2" name="5 Gráfico"/>
        <xdr:cNvGraphicFramePr/>
      </xdr:nvGraphicFramePr>
      <xdr:xfrm>
        <a:off x="7467600" y="5019675"/>
        <a:ext cx="49053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666750</xdr:colOff>
      <xdr:row>11</xdr:row>
      <xdr:rowOff>85725</xdr:rowOff>
    </xdr:from>
    <xdr:to>
      <xdr:col>9</xdr:col>
      <xdr:colOff>333375</xdr:colOff>
      <xdr:row>25</xdr:row>
      <xdr:rowOff>19050</xdr:rowOff>
    </xdr:to>
    <xdr:graphicFrame>
      <xdr:nvGraphicFramePr>
        <xdr:cNvPr id="3" name="6 Gráfico"/>
        <xdr:cNvGraphicFramePr/>
      </xdr:nvGraphicFramePr>
      <xdr:xfrm>
        <a:off x="2190750" y="2181225"/>
        <a:ext cx="54768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38</xdr:row>
      <xdr:rowOff>47625</xdr:rowOff>
    </xdr:from>
    <xdr:to>
      <xdr:col>8</xdr:col>
      <xdr:colOff>809625</xdr:colOff>
      <xdr:row>51</xdr:row>
      <xdr:rowOff>171450</xdr:rowOff>
    </xdr:to>
    <xdr:graphicFrame>
      <xdr:nvGraphicFramePr>
        <xdr:cNvPr id="4" name="7 Gráfico"/>
        <xdr:cNvGraphicFramePr/>
      </xdr:nvGraphicFramePr>
      <xdr:xfrm>
        <a:off x="1466850" y="7286625"/>
        <a:ext cx="54768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</xdr:colOff>
      <xdr:row>47</xdr:row>
      <xdr:rowOff>57150</xdr:rowOff>
    </xdr:from>
    <xdr:to>
      <xdr:col>8</xdr:col>
      <xdr:colOff>447675</xdr:colOff>
      <xdr:row>47</xdr:row>
      <xdr:rowOff>85725</xdr:rowOff>
    </xdr:to>
    <xdr:sp>
      <xdr:nvSpPr>
        <xdr:cNvPr id="5" name="9 Conector recto"/>
        <xdr:cNvSpPr>
          <a:spLocks/>
        </xdr:cNvSpPr>
      </xdr:nvSpPr>
      <xdr:spPr>
        <a:xfrm flipV="1">
          <a:off x="2324100" y="9010650"/>
          <a:ext cx="4257675" cy="285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en\AppData\Roaming\Microsoft\Excel\mistela%20financie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a e Ingresos"/>
      <sheetName val="Inversión y Costos"/>
      <sheetName val="Gastos Administrativos"/>
      <sheetName val="Gastos de Ventas"/>
      <sheetName val="Capital de Trabajo"/>
      <sheetName val="Amortización"/>
      <sheetName val="Depreciacion"/>
      <sheetName val="ER"/>
      <sheetName val="FC"/>
      <sheetName val="CAPM"/>
      <sheetName val="Hoja3"/>
    </sheetNames>
    <sheetDataSet>
      <sheetData sheetId="0">
        <row r="15">
          <cell r="C15">
            <v>135527.04000000004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zoomScalePageLayoutView="0" workbookViewId="0" topLeftCell="A10">
      <selection activeCell="B103" sqref="B103"/>
    </sheetView>
  </sheetViews>
  <sheetFormatPr defaultColWidth="9.140625" defaultRowHeight="15"/>
  <cols>
    <col min="1" max="1" width="9.140625" style="231" customWidth="1"/>
    <col min="2" max="2" width="10.421875" style="231" customWidth="1"/>
    <col min="3" max="3" width="32.7109375" style="231" customWidth="1"/>
    <col min="4" max="4" width="12.00390625" style="231" bestFit="1" customWidth="1"/>
    <col min="5" max="5" width="13.421875" style="231" customWidth="1"/>
    <col min="6" max="6" width="12.7109375" style="231" bestFit="1" customWidth="1"/>
    <col min="7" max="7" width="9.140625" style="231" customWidth="1"/>
    <col min="8" max="8" width="10.140625" style="231" bestFit="1" customWidth="1"/>
    <col min="9" max="11" width="9.140625" style="231" customWidth="1"/>
    <col min="12" max="12" width="13.140625" style="231" bestFit="1" customWidth="1"/>
    <col min="13" max="16384" width="9.140625" style="231" customWidth="1"/>
  </cols>
  <sheetData>
    <row r="2" spans="1:8" ht="15">
      <c r="A2" s="454"/>
      <c r="B2" s="454"/>
      <c r="C2" s="454"/>
      <c r="D2" s="454"/>
      <c r="H2" s="232"/>
    </row>
    <row r="3" spans="1:4" ht="15">
      <c r="A3" s="233"/>
      <c r="B3" s="233"/>
      <c r="C3" s="233"/>
      <c r="D3" s="233"/>
    </row>
    <row r="4" spans="1:8" ht="15">
      <c r="A4" s="454"/>
      <c r="B4" s="454"/>
      <c r="C4" s="454"/>
      <c r="D4" s="454"/>
      <c r="H4" s="232"/>
    </row>
    <row r="5" ht="15">
      <c r="F5" s="232"/>
    </row>
    <row r="6" ht="15">
      <c r="F6" s="232"/>
    </row>
    <row r="8" spans="3:8" ht="15">
      <c r="C8" s="220"/>
      <c r="D8" s="220"/>
      <c r="E8" s="220"/>
      <c r="F8" s="220"/>
      <c r="G8" s="220"/>
      <c r="H8" s="225"/>
    </row>
    <row r="11" spans="2:3" ht="15">
      <c r="B11" s="453" t="s">
        <v>217</v>
      </c>
      <c r="C11" s="453"/>
    </row>
    <row r="12" spans="2:5" ht="30">
      <c r="B12" s="234" t="s">
        <v>100</v>
      </c>
      <c r="C12" s="234" t="s">
        <v>218</v>
      </c>
      <c r="D12" s="235" t="s">
        <v>219</v>
      </c>
      <c r="E12" s="234" t="s">
        <v>6</v>
      </c>
    </row>
    <row r="13" spans="2:12" ht="15">
      <c r="B13" s="236">
        <v>1</v>
      </c>
      <c r="C13" s="237" t="s">
        <v>220</v>
      </c>
      <c r="D13" s="238">
        <v>1260</v>
      </c>
      <c r="E13" s="238">
        <f>B13*D13</f>
        <v>1260</v>
      </c>
      <c r="I13" s="243"/>
      <c r="J13" s="243"/>
      <c r="K13" s="243"/>
      <c r="L13" s="243"/>
    </row>
    <row r="14" spans="2:12" ht="15">
      <c r="B14" s="236">
        <v>5</v>
      </c>
      <c r="C14" s="237" t="s">
        <v>221</v>
      </c>
      <c r="D14" s="239">
        <v>383</v>
      </c>
      <c r="E14" s="239">
        <f>B14*D14</f>
        <v>1915</v>
      </c>
      <c r="I14" s="455"/>
      <c r="J14" s="455"/>
      <c r="K14" s="455"/>
      <c r="L14" s="455"/>
    </row>
    <row r="15" spans="2:12" ht="15">
      <c r="B15" s="236">
        <v>1</v>
      </c>
      <c r="C15" s="240" t="s">
        <v>222</v>
      </c>
      <c r="D15" s="239">
        <v>185</v>
      </c>
      <c r="E15" s="239">
        <f aca="true" t="shared" si="0" ref="E15:E29">B15*D15</f>
        <v>185</v>
      </c>
      <c r="I15" s="456"/>
      <c r="J15" s="456"/>
      <c r="K15" s="456"/>
      <c r="L15" s="263"/>
    </row>
    <row r="16" spans="2:12" ht="15">
      <c r="B16" s="236">
        <v>1</v>
      </c>
      <c r="C16" s="241" t="s">
        <v>83</v>
      </c>
      <c r="D16" s="239">
        <v>109</v>
      </c>
      <c r="E16" s="239">
        <f t="shared" si="0"/>
        <v>109</v>
      </c>
      <c r="I16" s="456"/>
      <c r="J16" s="456"/>
      <c r="K16" s="456"/>
      <c r="L16" s="263"/>
    </row>
    <row r="17" spans="2:12" ht="15">
      <c r="B17" s="236">
        <v>1</v>
      </c>
      <c r="C17" s="237" t="s">
        <v>223</v>
      </c>
      <c r="D17" s="238">
        <v>250</v>
      </c>
      <c r="E17" s="239">
        <f>B17*D17</f>
        <v>250</v>
      </c>
      <c r="I17" s="456"/>
      <c r="J17" s="456"/>
      <c r="K17" s="456"/>
      <c r="L17" s="263"/>
    </row>
    <row r="18" spans="2:12" ht="15">
      <c r="B18" s="236">
        <v>2</v>
      </c>
      <c r="C18" s="240" t="s">
        <v>224</v>
      </c>
      <c r="D18" s="238">
        <v>40</v>
      </c>
      <c r="E18" s="239">
        <f>B18*D18</f>
        <v>80</v>
      </c>
      <c r="I18" s="224"/>
      <c r="J18" s="224"/>
      <c r="K18" s="224"/>
      <c r="L18" s="263"/>
    </row>
    <row r="19" spans="2:12" ht="15">
      <c r="B19" s="236">
        <v>6</v>
      </c>
      <c r="C19" s="237" t="s">
        <v>90</v>
      </c>
      <c r="D19" s="239">
        <v>150</v>
      </c>
      <c r="E19" s="239">
        <f t="shared" si="0"/>
        <v>900</v>
      </c>
      <c r="I19" s="224"/>
      <c r="J19" s="224"/>
      <c r="K19" s="224"/>
      <c r="L19" s="263"/>
    </row>
    <row r="20" spans="2:12" ht="15">
      <c r="B20" s="236">
        <v>6</v>
      </c>
      <c r="C20" s="237" t="s">
        <v>226</v>
      </c>
      <c r="D20" s="239">
        <v>45</v>
      </c>
      <c r="E20" s="239">
        <f t="shared" si="0"/>
        <v>270</v>
      </c>
      <c r="I20" s="456"/>
      <c r="J20" s="456"/>
      <c r="K20" s="456"/>
      <c r="L20" s="263"/>
    </row>
    <row r="21" spans="2:12" ht="15">
      <c r="B21" s="236">
        <v>6</v>
      </c>
      <c r="C21" s="240" t="s">
        <v>227</v>
      </c>
      <c r="D21" s="239">
        <v>20</v>
      </c>
      <c r="E21" s="239">
        <f t="shared" si="0"/>
        <v>120</v>
      </c>
      <c r="I21" s="264"/>
      <c r="J21" s="264"/>
      <c r="K21" s="264"/>
      <c r="L21" s="263"/>
    </row>
    <row r="22" spans="2:5" ht="15">
      <c r="B22" s="236">
        <v>1</v>
      </c>
      <c r="C22" s="240" t="s">
        <v>228</v>
      </c>
      <c r="D22" s="239">
        <v>250</v>
      </c>
      <c r="E22" s="239">
        <f t="shared" si="0"/>
        <v>250</v>
      </c>
    </row>
    <row r="23" spans="2:5" ht="15">
      <c r="B23" s="236">
        <v>1</v>
      </c>
      <c r="C23" s="240" t="s">
        <v>88</v>
      </c>
      <c r="D23" s="239">
        <v>150</v>
      </c>
      <c r="E23" s="239">
        <f t="shared" si="0"/>
        <v>150</v>
      </c>
    </row>
    <row r="24" spans="2:5" ht="15">
      <c r="B24" s="236">
        <v>1</v>
      </c>
      <c r="C24" s="240" t="s">
        <v>229</v>
      </c>
      <c r="D24" s="239">
        <v>250</v>
      </c>
      <c r="E24" s="239">
        <f t="shared" si="0"/>
        <v>250</v>
      </c>
    </row>
    <row r="25" spans="2:5" ht="15">
      <c r="B25" s="236">
        <v>4</v>
      </c>
      <c r="C25" s="240" t="s">
        <v>93</v>
      </c>
      <c r="D25" s="239">
        <v>150</v>
      </c>
      <c r="E25" s="239">
        <f t="shared" si="0"/>
        <v>600</v>
      </c>
    </row>
    <row r="26" spans="2:5" ht="15">
      <c r="B26" s="236">
        <v>1</v>
      </c>
      <c r="C26" s="240" t="s">
        <v>230</v>
      </c>
      <c r="D26" s="239">
        <v>50</v>
      </c>
      <c r="E26" s="239">
        <f t="shared" si="0"/>
        <v>50</v>
      </c>
    </row>
    <row r="27" spans="2:5" ht="15">
      <c r="B27" s="236">
        <v>1</v>
      </c>
      <c r="C27" s="240" t="s">
        <v>87</v>
      </c>
      <c r="D27" s="239">
        <v>599</v>
      </c>
      <c r="E27" s="239">
        <f t="shared" si="0"/>
        <v>599</v>
      </c>
    </row>
    <row r="28" spans="2:5" ht="15">
      <c r="B28" s="236">
        <v>6</v>
      </c>
      <c r="C28" s="240" t="s">
        <v>231</v>
      </c>
      <c r="D28" s="239">
        <v>10</v>
      </c>
      <c r="E28" s="239">
        <f t="shared" si="0"/>
        <v>60</v>
      </c>
    </row>
    <row r="29" spans="2:5" ht="15">
      <c r="B29" s="236">
        <v>5</v>
      </c>
      <c r="C29" s="237" t="s">
        <v>232</v>
      </c>
      <c r="D29" s="239">
        <v>20</v>
      </c>
      <c r="E29" s="239">
        <f t="shared" si="0"/>
        <v>100</v>
      </c>
    </row>
    <row r="30" spans="2:5" ht="15">
      <c r="B30" s="457"/>
      <c r="C30" s="458"/>
      <c r="D30" s="459"/>
      <c r="E30" s="242">
        <f>SUM(E13:E29)</f>
        <v>7148</v>
      </c>
    </row>
    <row r="31" spans="2:5" ht="15">
      <c r="B31" s="243"/>
      <c r="C31" s="243"/>
      <c r="D31" s="243"/>
      <c r="E31" s="244"/>
    </row>
    <row r="33" spans="2:5" ht="15">
      <c r="B33" s="449" t="s">
        <v>233</v>
      </c>
      <c r="C33" s="449"/>
      <c r="D33" s="417"/>
      <c r="E33" s="426"/>
    </row>
    <row r="34" spans="2:5" s="425" customFormat="1" ht="30">
      <c r="B34" s="418" t="s">
        <v>100</v>
      </c>
      <c r="C34" s="423" t="s">
        <v>218</v>
      </c>
      <c r="D34" s="424" t="s">
        <v>219</v>
      </c>
      <c r="E34" s="423" t="s">
        <v>234</v>
      </c>
    </row>
    <row r="35" spans="2:5" ht="15">
      <c r="B35" s="419">
        <v>24</v>
      </c>
      <c r="C35" s="420" t="s">
        <v>235</v>
      </c>
      <c r="D35" s="421">
        <v>0.22</v>
      </c>
      <c r="E35" s="421">
        <f>B35*D35</f>
        <v>5.28</v>
      </c>
    </row>
    <row r="36" spans="2:5" ht="15">
      <c r="B36" s="419">
        <v>1</v>
      </c>
      <c r="C36" s="420" t="s">
        <v>236</v>
      </c>
      <c r="D36" s="421">
        <v>5</v>
      </c>
      <c r="E36" s="421">
        <f aca="true" t="shared" si="1" ref="E36:E48">B36*D36</f>
        <v>5</v>
      </c>
    </row>
    <row r="37" spans="2:5" ht="15">
      <c r="B37" s="419">
        <v>1</v>
      </c>
      <c r="C37" s="420" t="s">
        <v>237</v>
      </c>
      <c r="D37" s="421">
        <v>28</v>
      </c>
      <c r="E37" s="421">
        <f t="shared" si="1"/>
        <v>28</v>
      </c>
    </row>
    <row r="38" spans="2:5" ht="15">
      <c r="B38" s="419">
        <v>2</v>
      </c>
      <c r="C38" s="420" t="s">
        <v>238</v>
      </c>
      <c r="D38" s="421">
        <v>25</v>
      </c>
      <c r="E38" s="421">
        <f>D38*B38</f>
        <v>50</v>
      </c>
    </row>
    <row r="39" spans="2:5" ht="15">
      <c r="B39" s="419">
        <v>1</v>
      </c>
      <c r="C39" s="420" t="s">
        <v>239</v>
      </c>
      <c r="D39" s="421">
        <v>1.85</v>
      </c>
      <c r="E39" s="421">
        <f t="shared" si="1"/>
        <v>1.85</v>
      </c>
    </row>
    <row r="40" spans="2:5" ht="15">
      <c r="B40" s="419">
        <v>1</v>
      </c>
      <c r="C40" s="420" t="s">
        <v>240</v>
      </c>
      <c r="D40" s="421">
        <v>1.6</v>
      </c>
      <c r="E40" s="421">
        <f t="shared" si="1"/>
        <v>1.6</v>
      </c>
    </row>
    <row r="41" spans="2:5" ht="15">
      <c r="B41" s="419">
        <v>1</v>
      </c>
      <c r="C41" s="420" t="s">
        <v>241</v>
      </c>
      <c r="D41" s="421">
        <v>1.74</v>
      </c>
      <c r="E41" s="421">
        <f t="shared" si="1"/>
        <v>1.74</v>
      </c>
    </row>
    <row r="42" spans="2:5" ht="15">
      <c r="B42" s="419">
        <v>1</v>
      </c>
      <c r="C42" s="420" t="s">
        <v>242</v>
      </c>
      <c r="D42" s="421">
        <v>0.9</v>
      </c>
      <c r="E42" s="421">
        <f t="shared" si="1"/>
        <v>0.9</v>
      </c>
    </row>
    <row r="43" spans="2:5" ht="15">
      <c r="B43" s="419">
        <v>10</v>
      </c>
      <c r="C43" s="420" t="s">
        <v>243</v>
      </c>
      <c r="D43" s="421">
        <v>2.4</v>
      </c>
      <c r="E43" s="421">
        <f t="shared" si="1"/>
        <v>24</v>
      </c>
    </row>
    <row r="44" spans="2:5" ht="15">
      <c r="B44" s="419">
        <v>1</v>
      </c>
      <c r="C44" s="420" t="s">
        <v>244</v>
      </c>
      <c r="D44" s="421">
        <v>0.54</v>
      </c>
      <c r="E44" s="421">
        <f t="shared" si="1"/>
        <v>0.54</v>
      </c>
    </row>
    <row r="45" spans="2:5" ht="15">
      <c r="B45" s="419">
        <v>5</v>
      </c>
      <c r="C45" s="420" t="s">
        <v>245</v>
      </c>
      <c r="D45" s="421">
        <v>1.6</v>
      </c>
      <c r="E45" s="421">
        <f t="shared" si="1"/>
        <v>8</v>
      </c>
    </row>
    <row r="46" spans="2:5" ht="15">
      <c r="B46" s="419">
        <v>5</v>
      </c>
      <c r="C46" s="420" t="s">
        <v>246</v>
      </c>
      <c r="D46" s="421">
        <v>2</v>
      </c>
      <c r="E46" s="421">
        <f t="shared" si="1"/>
        <v>10</v>
      </c>
    </row>
    <row r="47" spans="2:5" ht="15">
      <c r="B47" s="419">
        <v>1</v>
      </c>
      <c r="C47" s="420" t="s">
        <v>247</v>
      </c>
      <c r="D47" s="421">
        <v>1.2</v>
      </c>
      <c r="E47" s="421">
        <f t="shared" si="1"/>
        <v>1.2</v>
      </c>
    </row>
    <row r="48" spans="2:5" ht="15">
      <c r="B48" s="419">
        <v>10</v>
      </c>
      <c r="C48" s="420" t="s">
        <v>248</v>
      </c>
      <c r="D48" s="421">
        <v>2</v>
      </c>
      <c r="E48" s="421">
        <f t="shared" si="1"/>
        <v>20</v>
      </c>
    </row>
    <row r="49" spans="2:5" ht="15">
      <c r="B49" s="450" t="s">
        <v>6</v>
      </c>
      <c r="C49" s="451"/>
      <c r="D49" s="452"/>
      <c r="E49" s="422">
        <f>SUM(E35:E48)</f>
        <v>158.10999999999999</v>
      </c>
    </row>
    <row r="52" spans="2:3" ht="15">
      <c r="B52" s="453" t="s">
        <v>123</v>
      </c>
      <c r="C52" s="453"/>
    </row>
    <row r="53" spans="2:5" s="425" customFormat="1" ht="30">
      <c r="B53" s="234" t="s">
        <v>100</v>
      </c>
      <c r="C53" s="234" t="s">
        <v>218</v>
      </c>
      <c r="D53" s="235" t="s">
        <v>219</v>
      </c>
      <c r="E53" s="234" t="s">
        <v>234</v>
      </c>
    </row>
    <row r="54" spans="2:5" ht="15">
      <c r="B54" s="247">
        <v>2</v>
      </c>
      <c r="C54" s="222" t="s">
        <v>249</v>
      </c>
      <c r="D54" s="239">
        <v>3.25</v>
      </c>
      <c r="E54" s="239">
        <f>SUM(D54*B54)</f>
        <v>6.5</v>
      </c>
    </row>
    <row r="55" spans="2:7" ht="15">
      <c r="B55" s="247">
        <v>2</v>
      </c>
      <c r="C55" s="222" t="s">
        <v>250</v>
      </c>
      <c r="D55" s="239">
        <v>3.5</v>
      </c>
      <c r="E55" s="239">
        <f aca="true" t="shared" si="2" ref="E55:E65">SUM(D55*B55)</f>
        <v>7</v>
      </c>
      <c r="G55" s="248"/>
    </row>
    <row r="56" spans="2:7" ht="15">
      <c r="B56" s="247">
        <v>1</v>
      </c>
      <c r="C56" s="222" t="s">
        <v>251</v>
      </c>
      <c r="D56" s="239">
        <v>5</v>
      </c>
      <c r="E56" s="239">
        <f t="shared" si="2"/>
        <v>5</v>
      </c>
      <c r="G56" s="248"/>
    </row>
    <row r="57" spans="2:7" ht="15">
      <c r="B57" s="247">
        <v>1</v>
      </c>
      <c r="C57" s="222" t="s">
        <v>252</v>
      </c>
      <c r="D57" s="239">
        <v>4</v>
      </c>
      <c r="E57" s="239">
        <f t="shared" si="2"/>
        <v>4</v>
      </c>
      <c r="G57" s="248"/>
    </row>
    <row r="58" spans="2:7" ht="15">
      <c r="B58" s="247">
        <v>2</v>
      </c>
      <c r="C58" s="222" t="s">
        <v>253</v>
      </c>
      <c r="D58" s="239">
        <v>1.53</v>
      </c>
      <c r="E58" s="239">
        <f t="shared" si="2"/>
        <v>3.06</v>
      </c>
      <c r="G58" s="248"/>
    </row>
    <row r="59" spans="2:7" ht="15">
      <c r="B59" s="247">
        <v>1</v>
      </c>
      <c r="C59" s="222" t="s">
        <v>254</v>
      </c>
      <c r="D59" s="239">
        <v>0.98</v>
      </c>
      <c r="E59" s="239">
        <f t="shared" si="2"/>
        <v>0.98</v>
      </c>
      <c r="G59" s="248"/>
    </row>
    <row r="60" spans="2:7" ht="15">
      <c r="B60" s="247">
        <v>1</v>
      </c>
      <c r="C60" s="222" t="s">
        <v>255</v>
      </c>
      <c r="D60" s="239">
        <v>1.12</v>
      </c>
      <c r="E60" s="239">
        <f t="shared" si="2"/>
        <v>1.12</v>
      </c>
      <c r="G60" s="248"/>
    </row>
    <row r="61" spans="2:7" ht="15">
      <c r="B61" s="247">
        <v>1</v>
      </c>
      <c r="C61" s="222" t="s">
        <v>256</v>
      </c>
      <c r="D61" s="239">
        <v>5.69</v>
      </c>
      <c r="E61" s="239">
        <f t="shared" si="2"/>
        <v>5.69</v>
      </c>
      <c r="G61" s="248"/>
    </row>
    <row r="62" spans="2:7" ht="15">
      <c r="B62" s="247">
        <v>1</v>
      </c>
      <c r="C62" s="222" t="s">
        <v>257</v>
      </c>
      <c r="D62" s="239">
        <v>0.59</v>
      </c>
      <c r="E62" s="239">
        <f t="shared" si="2"/>
        <v>0.59</v>
      </c>
      <c r="G62" s="248"/>
    </row>
    <row r="63" spans="2:7" ht="15">
      <c r="B63" s="247">
        <v>1</v>
      </c>
      <c r="C63" s="222" t="s">
        <v>258</v>
      </c>
      <c r="D63" s="239">
        <v>3.24</v>
      </c>
      <c r="E63" s="239">
        <f t="shared" si="2"/>
        <v>3.24</v>
      </c>
      <c r="G63" s="248"/>
    </row>
    <row r="64" spans="2:7" ht="15">
      <c r="B64" s="247">
        <v>3</v>
      </c>
      <c r="C64" s="222" t="s">
        <v>259</v>
      </c>
      <c r="D64" s="239">
        <v>1.75</v>
      </c>
      <c r="E64" s="239">
        <f t="shared" si="2"/>
        <v>5.25</v>
      </c>
      <c r="G64" s="248"/>
    </row>
    <row r="65" spans="2:5" ht="15">
      <c r="B65" s="247">
        <v>1</v>
      </c>
      <c r="C65" s="222" t="s">
        <v>260</v>
      </c>
      <c r="D65" s="239">
        <v>4.75</v>
      </c>
      <c r="E65" s="239">
        <f t="shared" si="2"/>
        <v>4.75</v>
      </c>
    </row>
    <row r="66" spans="4:5" ht="15">
      <c r="D66" s="427" t="s">
        <v>6</v>
      </c>
      <c r="E66" s="239">
        <f>SUM(E55:E65)</f>
        <v>40.68</v>
      </c>
    </row>
    <row r="69" ht="15">
      <c r="B69" s="220" t="s">
        <v>261</v>
      </c>
    </row>
    <row r="70" spans="2:5" ht="30">
      <c r="B70" s="245" t="s">
        <v>100</v>
      </c>
      <c r="C70" s="245" t="s">
        <v>218</v>
      </c>
      <c r="D70" s="246" t="s">
        <v>219</v>
      </c>
      <c r="E70" s="245" t="s">
        <v>234</v>
      </c>
    </row>
    <row r="71" spans="2:5" ht="15">
      <c r="B71" s="247">
        <v>50</v>
      </c>
      <c r="C71" s="222" t="s">
        <v>262</v>
      </c>
      <c r="D71" s="239">
        <v>1.5</v>
      </c>
      <c r="E71" s="239">
        <f>SUM(D71*B71)</f>
        <v>75</v>
      </c>
    </row>
    <row r="72" spans="4:5" ht="15">
      <c r="D72" s="239"/>
      <c r="E72" s="239">
        <f>SUM(E71:E71)</f>
        <v>75</v>
      </c>
    </row>
    <row r="75" ht="15">
      <c r="B75" s="250" t="s">
        <v>140</v>
      </c>
    </row>
    <row r="76" spans="2:5" ht="30">
      <c r="B76" s="245" t="s">
        <v>100</v>
      </c>
      <c r="C76" s="245" t="s">
        <v>218</v>
      </c>
      <c r="D76" s="246" t="s">
        <v>219</v>
      </c>
      <c r="E76" s="245" t="s">
        <v>234</v>
      </c>
    </row>
    <row r="77" spans="2:5" ht="15">
      <c r="B77" s="247">
        <v>7</v>
      </c>
      <c r="C77" s="251" t="s">
        <v>263</v>
      </c>
      <c r="D77" s="239">
        <v>18</v>
      </c>
      <c r="E77" s="239">
        <f>SUM(D77*B77)</f>
        <v>126</v>
      </c>
    </row>
    <row r="78" spans="2:5" ht="15">
      <c r="B78" s="247">
        <v>7</v>
      </c>
      <c r="C78" s="251" t="s">
        <v>264</v>
      </c>
      <c r="D78" s="239">
        <v>0.49</v>
      </c>
      <c r="E78" s="239">
        <f>SUM(D78*B78)</f>
        <v>3.4299999999999997</v>
      </c>
    </row>
    <row r="79" spans="2:5" ht="15">
      <c r="B79" s="247">
        <v>1</v>
      </c>
      <c r="C79" s="251" t="s">
        <v>265</v>
      </c>
      <c r="D79" s="239">
        <v>3.3</v>
      </c>
      <c r="E79" s="239">
        <f>SUM(D79*B79)</f>
        <v>3.3</v>
      </c>
    </row>
    <row r="80" spans="2:5" ht="15">
      <c r="B80" s="247">
        <v>7</v>
      </c>
      <c r="C80" s="251" t="s">
        <v>266</v>
      </c>
      <c r="D80" s="239">
        <v>15</v>
      </c>
      <c r="E80" s="239">
        <f>SUM(D80*B80)</f>
        <v>105</v>
      </c>
    </row>
    <row r="81" spans="2:5" ht="15">
      <c r="B81" s="247">
        <v>1</v>
      </c>
      <c r="C81" s="251" t="s">
        <v>267</v>
      </c>
      <c r="D81" s="239">
        <v>8.5</v>
      </c>
      <c r="E81" s="239">
        <f>SUM(D81*B81)</f>
        <v>8.5</v>
      </c>
    </row>
    <row r="82" spans="4:5" ht="15">
      <c r="D82" s="239"/>
      <c r="E82" s="239">
        <f>SUM(E77:E81)</f>
        <v>246.23000000000002</v>
      </c>
    </row>
    <row r="84" ht="15">
      <c r="B84" s="250" t="s">
        <v>268</v>
      </c>
    </row>
    <row r="85" spans="2:5" ht="30">
      <c r="B85" s="245" t="s">
        <v>100</v>
      </c>
      <c r="C85" s="245" t="s">
        <v>218</v>
      </c>
      <c r="D85" s="246" t="s">
        <v>219</v>
      </c>
      <c r="E85" s="245" t="s">
        <v>234</v>
      </c>
    </row>
    <row r="86" spans="2:5" ht="15">
      <c r="B86" s="249">
        <v>1</v>
      </c>
      <c r="C86" s="222" t="s">
        <v>269</v>
      </c>
      <c r="D86" s="239">
        <v>20000</v>
      </c>
      <c r="E86" s="239">
        <f>SUM(D86*B86)</f>
        <v>20000</v>
      </c>
    </row>
    <row r="87" spans="2:5" ht="15">
      <c r="B87" s="249">
        <v>1</v>
      </c>
      <c r="C87" s="222" t="s">
        <v>13</v>
      </c>
      <c r="D87" s="239">
        <v>17000</v>
      </c>
      <c r="E87" s="239">
        <f>SUM(D87*B87)</f>
        <v>17000</v>
      </c>
    </row>
    <row r="88" spans="2:5" ht="15">
      <c r="B88" s="249"/>
      <c r="C88" s="249"/>
      <c r="D88" s="239"/>
      <c r="E88" s="239">
        <f>SUM(D88*B88)</f>
        <v>0</v>
      </c>
    </row>
    <row r="89" spans="4:5" ht="15">
      <c r="D89" s="239"/>
      <c r="E89" s="239">
        <f>SUM(E86:E88)</f>
        <v>37000</v>
      </c>
    </row>
    <row r="92" ht="15">
      <c r="B92" s="250" t="s">
        <v>270</v>
      </c>
    </row>
    <row r="93" spans="2:5" ht="30">
      <c r="B93" s="245" t="s">
        <v>100</v>
      </c>
      <c r="C93" s="245" t="s">
        <v>218</v>
      </c>
      <c r="D93" s="246" t="s">
        <v>219</v>
      </c>
      <c r="E93" s="245" t="s">
        <v>234</v>
      </c>
    </row>
    <row r="94" spans="2:5" ht="15">
      <c r="B94" s="249">
        <v>2</v>
      </c>
      <c r="C94" s="222" t="s">
        <v>76</v>
      </c>
      <c r="D94" s="239">
        <v>850</v>
      </c>
      <c r="E94" s="239">
        <f>SUM(D94*B94)</f>
        <v>1700</v>
      </c>
    </row>
    <row r="95" spans="2:5" ht="15">
      <c r="B95" s="249">
        <v>6</v>
      </c>
      <c r="C95" s="222" t="s">
        <v>77</v>
      </c>
      <c r="D95" s="239">
        <v>210</v>
      </c>
      <c r="E95" s="239">
        <f>SUM(D95*B95)</f>
        <v>1260</v>
      </c>
    </row>
    <row r="96" spans="2:5" ht="15">
      <c r="B96" s="249">
        <v>2</v>
      </c>
      <c r="C96" s="252" t="s">
        <v>271</v>
      </c>
      <c r="D96" s="239">
        <v>1200</v>
      </c>
      <c r="E96" s="239">
        <f>SUM(D96*B96)</f>
        <v>2400</v>
      </c>
    </row>
    <row r="97" spans="2:5" ht="15">
      <c r="B97" s="253">
        <v>1</v>
      </c>
      <c r="C97" s="252" t="s">
        <v>79</v>
      </c>
      <c r="D97" s="239">
        <v>3000</v>
      </c>
      <c r="E97" s="239">
        <f>SUM(D97*B97)</f>
        <v>3000</v>
      </c>
    </row>
    <row r="98" spans="2:5" ht="15">
      <c r="B98" s="253">
        <v>1</v>
      </c>
      <c r="C98" s="252" t="s">
        <v>158</v>
      </c>
      <c r="D98" s="239">
        <v>320</v>
      </c>
      <c r="E98" s="239">
        <f>SUM(D98*B98)</f>
        <v>320</v>
      </c>
    </row>
    <row r="99" spans="4:5" ht="15">
      <c r="D99" s="239"/>
      <c r="E99" s="239">
        <f>SUM(E94:E98)</f>
        <v>8680</v>
      </c>
    </row>
    <row r="101" spans="1:5" ht="15">
      <c r="A101" s="243"/>
      <c r="B101" s="243"/>
      <c r="C101" s="243"/>
      <c r="D101" s="243"/>
      <c r="E101" s="243"/>
    </row>
    <row r="102" spans="1:5" ht="15">
      <c r="A102" s="243"/>
      <c r="B102" s="265"/>
      <c r="C102" s="243"/>
      <c r="D102" s="243"/>
      <c r="E102" s="243"/>
    </row>
    <row r="103" spans="1:5" ht="15">
      <c r="A103" s="243"/>
      <c r="B103" s="266"/>
      <c r="C103" s="266"/>
      <c r="D103" s="267"/>
      <c r="E103" s="266"/>
    </row>
    <row r="104" spans="1:5" ht="15">
      <c r="A104" s="243"/>
      <c r="B104" s="243"/>
      <c r="C104" s="223"/>
      <c r="D104" s="268"/>
      <c r="E104" s="268"/>
    </row>
    <row r="105" spans="1:5" ht="15">
      <c r="A105" s="243"/>
      <c r="B105" s="243"/>
      <c r="C105" s="223"/>
      <c r="D105" s="268"/>
      <c r="E105" s="268"/>
    </row>
    <row r="106" spans="1:5" ht="15">
      <c r="A106" s="243"/>
      <c r="B106" s="243"/>
      <c r="C106" s="269"/>
      <c r="D106" s="268"/>
      <c r="E106" s="268"/>
    </row>
    <row r="107" spans="1:5" ht="15">
      <c r="A107" s="243"/>
      <c r="B107" s="243"/>
      <c r="C107" s="269"/>
      <c r="D107" s="268"/>
      <c r="E107" s="268"/>
    </row>
    <row r="108" spans="1:5" ht="15">
      <c r="A108" s="243"/>
      <c r="B108" s="243"/>
      <c r="C108" s="269"/>
      <c r="D108" s="268"/>
      <c r="E108" s="268"/>
    </row>
    <row r="109" spans="1:5" ht="15">
      <c r="A109" s="243"/>
      <c r="B109" s="243"/>
      <c r="C109" s="269"/>
      <c r="D109" s="268"/>
      <c r="E109" s="268"/>
    </row>
    <row r="110" spans="1:5" ht="15">
      <c r="A110" s="243"/>
      <c r="B110" s="243"/>
      <c r="C110" s="269"/>
      <c r="D110" s="268"/>
      <c r="E110" s="268"/>
    </row>
    <row r="111" spans="1:5" ht="15">
      <c r="A111" s="243"/>
      <c r="B111" s="243"/>
      <c r="C111" s="243"/>
      <c r="D111" s="243"/>
      <c r="E111" s="243"/>
    </row>
  </sheetData>
  <sheetProtection/>
  <mergeCells count="12">
    <mergeCell ref="I14:L14"/>
    <mergeCell ref="I15:K15"/>
    <mergeCell ref="I16:K16"/>
    <mergeCell ref="I17:K17"/>
    <mergeCell ref="I20:K20"/>
    <mergeCell ref="B30:D30"/>
    <mergeCell ref="B33:C33"/>
    <mergeCell ref="B49:D49"/>
    <mergeCell ref="B52:C52"/>
    <mergeCell ref="A2:D2"/>
    <mergeCell ref="A4:D4"/>
    <mergeCell ref="B11:C11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76"/>
  <sheetViews>
    <sheetView zoomScalePageLayoutView="0" workbookViewId="0" topLeftCell="E57">
      <selection activeCell="H74" sqref="H74"/>
    </sheetView>
  </sheetViews>
  <sheetFormatPr defaultColWidth="11.421875" defaultRowHeight="15"/>
  <cols>
    <col min="3" max="3" width="13.00390625" style="0" customWidth="1"/>
    <col min="4" max="4" width="13.7109375" style="0" customWidth="1"/>
    <col min="5" max="5" width="18.28125" style="0" customWidth="1"/>
    <col min="10" max="10" width="17.7109375" style="0" customWidth="1"/>
    <col min="12" max="12" width="24.57421875" style="0" customWidth="1"/>
    <col min="13" max="13" width="15.8515625" style="0" customWidth="1"/>
    <col min="14" max="14" width="15.28125" style="0" customWidth="1"/>
    <col min="15" max="15" width="17.140625" style="0" customWidth="1"/>
  </cols>
  <sheetData>
    <row r="2" spans="2:15" ht="15">
      <c r="B2" s="514" t="s">
        <v>76</v>
      </c>
      <c r="C2" s="514"/>
      <c r="D2" s="514"/>
      <c r="E2" s="514"/>
      <c r="G2" s="514" t="s">
        <v>77</v>
      </c>
      <c r="H2" s="514"/>
      <c r="I2" s="514"/>
      <c r="J2" s="514"/>
      <c r="L2" s="514" t="s">
        <v>158</v>
      </c>
      <c r="M2" s="514"/>
      <c r="N2" s="514"/>
      <c r="O2" s="514"/>
    </row>
    <row r="3" spans="2:15" ht="15">
      <c r="B3" s="22"/>
      <c r="C3" s="55" t="s">
        <v>155</v>
      </c>
      <c r="D3" s="55" t="s">
        <v>156</v>
      </c>
      <c r="E3" s="55" t="s">
        <v>157</v>
      </c>
      <c r="G3" s="22"/>
      <c r="H3" s="55" t="s">
        <v>155</v>
      </c>
      <c r="I3" s="55" t="s">
        <v>156</v>
      </c>
      <c r="J3" s="55" t="s">
        <v>157</v>
      </c>
      <c r="L3" s="22"/>
      <c r="M3" s="55" t="s">
        <v>155</v>
      </c>
      <c r="N3" s="55" t="s">
        <v>156</v>
      </c>
      <c r="O3" s="55" t="s">
        <v>157</v>
      </c>
    </row>
    <row r="4" spans="2:15" ht="15">
      <c r="B4" s="22">
        <v>0</v>
      </c>
      <c r="C4" s="22"/>
      <c r="D4" s="22"/>
      <c r="E4" s="23">
        <f>Inversión!B17</f>
        <v>1700</v>
      </c>
      <c r="G4" s="22">
        <v>0</v>
      </c>
      <c r="H4" s="22"/>
      <c r="I4" s="22"/>
      <c r="J4" s="23">
        <f>Inversión!B18</f>
        <v>1260</v>
      </c>
      <c r="L4" s="22">
        <v>0</v>
      </c>
      <c r="M4" s="22"/>
      <c r="N4" s="22"/>
      <c r="O4" s="23">
        <f>Inversión!B21</f>
        <v>120</v>
      </c>
    </row>
    <row r="5" spans="2:15" ht="15">
      <c r="B5" s="22">
        <v>1</v>
      </c>
      <c r="C5" s="23">
        <f>$E$4*10%</f>
        <v>170</v>
      </c>
      <c r="D5" s="23">
        <f>C5</f>
        <v>170</v>
      </c>
      <c r="E5" s="23">
        <f>E4-C5</f>
        <v>1530</v>
      </c>
      <c r="G5" s="22">
        <v>1</v>
      </c>
      <c r="H5" s="23">
        <f>$J$4*10%</f>
        <v>126</v>
      </c>
      <c r="I5" s="23">
        <f>H5</f>
        <v>126</v>
      </c>
      <c r="J5" s="23">
        <f>J4-H5</f>
        <v>1134</v>
      </c>
      <c r="L5" s="22">
        <v>1</v>
      </c>
      <c r="M5" s="23">
        <f>$O$4*10%</f>
        <v>12</v>
      </c>
      <c r="N5" s="23">
        <f>M5</f>
        <v>12</v>
      </c>
      <c r="O5" s="23">
        <f>O4-M5</f>
        <v>108</v>
      </c>
    </row>
    <row r="6" spans="2:15" ht="15">
      <c r="B6" s="22">
        <v>2</v>
      </c>
      <c r="C6" s="23">
        <f aca="true" t="shared" si="0" ref="C6:C14">$E$4*10%</f>
        <v>170</v>
      </c>
      <c r="D6" s="23">
        <f>D5+C6</f>
        <v>340</v>
      </c>
      <c r="E6" s="23">
        <f aca="true" t="shared" si="1" ref="E6:E14">E5-C6</f>
        <v>1360</v>
      </c>
      <c r="G6" s="22">
        <v>2</v>
      </c>
      <c r="H6" s="23">
        <f aca="true" t="shared" si="2" ref="H6:H14">$J$4*10%</f>
        <v>126</v>
      </c>
      <c r="I6" s="23">
        <f>I5+H6</f>
        <v>252</v>
      </c>
      <c r="J6" s="23">
        <f aca="true" t="shared" si="3" ref="J6:J14">J5-H6</f>
        <v>1008</v>
      </c>
      <c r="L6" s="22">
        <v>2</v>
      </c>
      <c r="M6" s="23">
        <f aca="true" t="shared" si="4" ref="M6:M14">$O$4*10%</f>
        <v>12</v>
      </c>
      <c r="N6" s="23">
        <f>N5+M6</f>
        <v>24</v>
      </c>
      <c r="O6" s="23">
        <f aca="true" t="shared" si="5" ref="O6:O14">O5-M6</f>
        <v>96</v>
      </c>
    </row>
    <row r="7" spans="2:15" ht="15">
      <c r="B7" s="22">
        <v>3</v>
      </c>
      <c r="C7" s="23">
        <f t="shared" si="0"/>
        <v>170</v>
      </c>
      <c r="D7" s="23">
        <f aca="true" t="shared" si="6" ref="D7:D14">D6+C7</f>
        <v>510</v>
      </c>
      <c r="E7" s="23">
        <f t="shared" si="1"/>
        <v>1190</v>
      </c>
      <c r="G7" s="22">
        <v>3</v>
      </c>
      <c r="H7" s="23">
        <f t="shared" si="2"/>
        <v>126</v>
      </c>
      <c r="I7" s="23">
        <f aca="true" t="shared" si="7" ref="I7:I14">I6+H7</f>
        <v>378</v>
      </c>
      <c r="J7" s="23">
        <f t="shared" si="3"/>
        <v>882</v>
      </c>
      <c r="L7" s="22">
        <v>3</v>
      </c>
      <c r="M7" s="23">
        <f t="shared" si="4"/>
        <v>12</v>
      </c>
      <c r="N7" s="23">
        <f aca="true" t="shared" si="8" ref="N7:N14">N6+M7</f>
        <v>36</v>
      </c>
      <c r="O7" s="23">
        <f t="shared" si="5"/>
        <v>84</v>
      </c>
    </row>
    <row r="8" spans="2:15" ht="15">
      <c r="B8" s="22">
        <v>4</v>
      </c>
      <c r="C8" s="23">
        <f t="shared" si="0"/>
        <v>170</v>
      </c>
      <c r="D8" s="23">
        <f t="shared" si="6"/>
        <v>680</v>
      </c>
      <c r="E8" s="23">
        <f t="shared" si="1"/>
        <v>1020</v>
      </c>
      <c r="G8" s="22">
        <v>4</v>
      </c>
      <c r="H8" s="23">
        <f t="shared" si="2"/>
        <v>126</v>
      </c>
      <c r="I8" s="23">
        <f t="shared" si="7"/>
        <v>504</v>
      </c>
      <c r="J8" s="23">
        <f t="shared" si="3"/>
        <v>756</v>
      </c>
      <c r="L8" s="22">
        <v>4</v>
      </c>
      <c r="M8" s="23">
        <f t="shared" si="4"/>
        <v>12</v>
      </c>
      <c r="N8" s="23">
        <f t="shared" si="8"/>
        <v>48</v>
      </c>
      <c r="O8" s="23">
        <f t="shared" si="5"/>
        <v>72</v>
      </c>
    </row>
    <row r="9" spans="2:15" ht="15">
      <c r="B9" s="22">
        <v>5</v>
      </c>
      <c r="C9" s="23">
        <f t="shared" si="0"/>
        <v>170</v>
      </c>
      <c r="D9" s="23">
        <f t="shared" si="6"/>
        <v>850</v>
      </c>
      <c r="E9" s="23">
        <f t="shared" si="1"/>
        <v>850</v>
      </c>
      <c r="G9" s="22">
        <v>5</v>
      </c>
      <c r="H9" s="23">
        <f t="shared" si="2"/>
        <v>126</v>
      </c>
      <c r="I9" s="23">
        <f t="shared" si="7"/>
        <v>630</v>
      </c>
      <c r="J9" s="23">
        <f t="shared" si="3"/>
        <v>630</v>
      </c>
      <c r="L9" s="22">
        <v>5</v>
      </c>
      <c r="M9" s="23">
        <f t="shared" si="4"/>
        <v>12</v>
      </c>
      <c r="N9" s="23">
        <f t="shared" si="8"/>
        <v>60</v>
      </c>
      <c r="O9" s="23">
        <f t="shared" si="5"/>
        <v>60</v>
      </c>
    </row>
    <row r="10" spans="2:15" ht="15">
      <c r="B10" s="22">
        <v>6</v>
      </c>
      <c r="C10" s="23">
        <f t="shared" si="0"/>
        <v>170</v>
      </c>
      <c r="D10" s="23">
        <f t="shared" si="6"/>
        <v>1020</v>
      </c>
      <c r="E10" s="23">
        <f t="shared" si="1"/>
        <v>680</v>
      </c>
      <c r="G10" s="22">
        <v>6</v>
      </c>
      <c r="H10" s="23">
        <f t="shared" si="2"/>
        <v>126</v>
      </c>
      <c r="I10" s="23">
        <f t="shared" si="7"/>
        <v>756</v>
      </c>
      <c r="J10" s="23">
        <f t="shared" si="3"/>
        <v>504</v>
      </c>
      <c r="L10" s="22">
        <v>6</v>
      </c>
      <c r="M10" s="23">
        <f t="shared" si="4"/>
        <v>12</v>
      </c>
      <c r="N10" s="23">
        <f t="shared" si="8"/>
        <v>72</v>
      </c>
      <c r="O10" s="23">
        <f t="shared" si="5"/>
        <v>48</v>
      </c>
    </row>
    <row r="11" spans="2:15" ht="15">
      <c r="B11" s="22">
        <v>7</v>
      </c>
      <c r="C11" s="23">
        <f t="shared" si="0"/>
        <v>170</v>
      </c>
      <c r="D11" s="23">
        <f t="shared" si="6"/>
        <v>1190</v>
      </c>
      <c r="E11" s="23">
        <f t="shared" si="1"/>
        <v>510</v>
      </c>
      <c r="G11" s="22">
        <v>7</v>
      </c>
      <c r="H11" s="23">
        <f t="shared" si="2"/>
        <v>126</v>
      </c>
      <c r="I11" s="23">
        <f t="shared" si="7"/>
        <v>882</v>
      </c>
      <c r="J11" s="23">
        <f t="shared" si="3"/>
        <v>378</v>
      </c>
      <c r="L11" s="22">
        <v>7</v>
      </c>
      <c r="M11" s="23">
        <f t="shared" si="4"/>
        <v>12</v>
      </c>
      <c r="N11" s="23">
        <f t="shared" si="8"/>
        <v>84</v>
      </c>
      <c r="O11" s="23">
        <f t="shared" si="5"/>
        <v>36</v>
      </c>
    </row>
    <row r="12" spans="2:15" ht="15">
      <c r="B12" s="22">
        <v>8</v>
      </c>
      <c r="C12" s="23">
        <f t="shared" si="0"/>
        <v>170</v>
      </c>
      <c r="D12" s="23">
        <f t="shared" si="6"/>
        <v>1360</v>
      </c>
      <c r="E12" s="23">
        <f t="shared" si="1"/>
        <v>340</v>
      </c>
      <c r="G12" s="22">
        <v>8</v>
      </c>
      <c r="H12" s="23">
        <f t="shared" si="2"/>
        <v>126</v>
      </c>
      <c r="I12" s="23">
        <f t="shared" si="7"/>
        <v>1008</v>
      </c>
      <c r="J12" s="23">
        <f t="shared" si="3"/>
        <v>252</v>
      </c>
      <c r="L12" s="22">
        <v>8</v>
      </c>
      <c r="M12" s="23">
        <f t="shared" si="4"/>
        <v>12</v>
      </c>
      <c r="N12" s="23">
        <f t="shared" si="8"/>
        <v>96</v>
      </c>
      <c r="O12" s="23">
        <f t="shared" si="5"/>
        <v>24</v>
      </c>
    </row>
    <row r="13" spans="2:15" ht="15">
      <c r="B13" s="22">
        <v>9</v>
      </c>
      <c r="C13" s="23">
        <f t="shared" si="0"/>
        <v>170</v>
      </c>
      <c r="D13" s="23">
        <f t="shared" si="6"/>
        <v>1530</v>
      </c>
      <c r="E13" s="23">
        <f t="shared" si="1"/>
        <v>170</v>
      </c>
      <c r="G13" s="22">
        <v>9</v>
      </c>
      <c r="H13" s="23">
        <f t="shared" si="2"/>
        <v>126</v>
      </c>
      <c r="I13" s="23">
        <f t="shared" si="7"/>
        <v>1134</v>
      </c>
      <c r="J13" s="23">
        <f t="shared" si="3"/>
        <v>126</v>
      </c>
      <c r="L13" s="22">
        <v>9</v>
      </c>
      <c r="M13" s="23">
        <f t="shared" si="4"/>
        <v>12</v>
      </c>
      <c r="N13" s="23">
        <f t="shared" si="8"/>
        <v>108</v>
      </c>
      <c r="O13" s="23">
        <f t="shared" si="5"/>
        <v>12</v>
      </c>
    </row>
    <row r="14" spans="2:15" ht="15">
      <c r="B14" s="22">
        <v>10</v>
      </c>
      <c r="C14" s="23">
        <f t="shared" si="0"/>
        <v>170</v>
      </c>
      <c r="D14" s="23">
        <f t="shared" si="6"/>
        <v>1700</v>
      </c>
      <c r="E14" s="23">
        <f t="shared" si="1"/>
        <v>0</v>
      </c>
      <c r="G14" s="22">
        <v>10</v>
      </c>
      <c r="H14" s="23">
        <f t="shared" si="2"/>
        <v>126</v>
      </c>
      <c r="I14" s="23">
        <f t="shared" si="7"/>
        <v>1260</v>
      </c>
      <c r="J14" s="23">
        <f t="shared" si="3"/>
        <v>0</v>
      </c>
      <c r="L14" s="22">
        <v>10</v>
      </c>
      <c r="M14" s="23">
        <f t="shared" si="4"/>
        <v>12</v>
      </c>
      <c r="N14" s="23">
        <f t="shared" si="8"/>
        <v>120</v>
      </c>
      <c r="O14" s="23">
        <f t="shared" si="5"/>
        <v>0</v>
      </c>
    </row>
    <row r="15" spans="2:10" ht="15">
      <c r="B15" s="56"/>
      <c r="C15" s="87"/>
      <c r="D15" s="87"/>
      <c r="E15" s="87"/>
      <c r="G15" s="56"/>
      <c r="H15" s="87"/>
      <c r="I15" s="87"/>
      <c r="J15" s="87"/>
    </row>
    <row r="16" spans="2:15" ht="15">
      <c r="B16" s="516" t="str">
        <f>Inversión!A19</f>
        <v>Refrigeradoras Industriales</v>
      </c>
      <c r="C16" s="516"/>
      <c r="D16" s="516"/>
      <c r="E16" s="516"/>
      <c r="G16" s="514" t="str">
        <f>Inversión!A20</f>
        <v>Envasadora</v>
      </c>
      <c r="H16" s="514"/>
      <c r="I16" s="514"/>
      <c r="J16" s="514"/>
      <c r="L16" s="514" t="str">
        <f>Inversión!A22</f>
        <v>Vehículos:</v>
      </c>
      <c r="M16" s="514"/>
      <c r="N16" s="514"/>
      <c r="O16" s="514"/>
    </row>
    <row r="17" spans="2:15" ht="15">
      <c r="B17" s="22"/>
      <c r="C17" s="55" t="s">
        <v>155</v>
      </c>
      <c r="D17" s="55" t="s">
        <v>156</v>
      </c>
      <c r="E17" s="55" t="s">
        <v>157</v>
      </c>
      <c r="G17" s="22"/>
      <c r="H17" s="55" t="s">
        <v>155</v>
      </c>
      <c r="I17" s="55" t="s">
        <v>156</v>
      </c>
      <c r="J17" s="55" t="s">
        <v>157</v>
      </c>
      <c r="L17" s="22"/>
      <c r="M17" s="55" t="s">
        <v>155</v>
      </c>
      <c r="N17" s="55" t="s">
        <v>156</v>
      </c>
      <c r="O17" s="55" t="s">
        <v>157</v>
      </c>
    </row>
    <row r="18" spans="2:15" ht="15">
      <c r="B18" s="22">
        <v>0</v>
      </c>
      <c r="C18" s="22"/>
      <c r="D18" s="22"/>
      <c r="E18" s="23">
        <f>Inversión!B19</f>
        <v>2400</v>
      </c>
      <c r="G18" s="22">
        <v>0</v>
      </c>
      <c r="H18" s="22"/>
      <c r="I18" s="22"/>
      <c r="J18" s="23">
        <f>Inversión!B20</f>
        <v>3000</v>
      </c>
      <c r="L18" s="22">
        <v>0</v>
      </c>
      <c r="M18" s="22"/>
      <c r="N18" s="22"/>
      <c r="O18" s="23">
        <f>Inversión!C23</f>
        <v>20000</v>
      </c>
    </row>
    <row r="19" spans="2:15" ht="15">
      <c r="B19" s="22">
        <v>1</v>
      </c>
      <c r="C19" s="23">
        <f>$E$18*10%</f>
        <v>240</v>
      </c>
      <c r="D19" s="23">
        <f>C19</f>
        <v>240</v>
      </c>
      <c r="E19" s="23">
        <f>E18-C19</f>
        <v>2160</v>
      </c>
      <c r="G19" s="22">
        <v>1</v>
      </c>
      <c r="H19" s="23">
        <f>$J$18*10%</f>
        <v>300</v>
      </c>
      <c r="I19" s="23">
        <f>H19</f>
        <v>300</v>
      </c>
      <c r="J19" s="23">
        <f>J18-H19</f>
        <v>2700</v>
      </c>
      <c r="L19" s="22">
        <v>1</v>
      </c>
      <c r="M19" s="23">
        <f>$O$18*20%</f>
        <v>4000</v>
      </c>
      <c r="N19" s="23">
        <f>M19</f>
        <v>4000</v>
      </c>
      <c r="O19" s="23">
        <f>O18-M19</f>
        <v>16000</v>
      </c>
    </row>
    <row r="20" spans="2:15" ht="15">
      <c r="B20" s="22">
        <v>2</v>
      </c>
      <c r="C20" s="23">
        <f aca="true" t="shared" si="9" ref="C20:C28">$E$18*10%</f>
        <v>240</v>
      </c>
      <c r="D20" s="23">
        <f>D19+C20</f>
        <v>480</v>
      </c>
      <c r="E20" s="23">
        <f aca="true" t="shared" si="10" ref="E20:E28">E19-C20</f>
        <v>1920</v>
      </c>
      <c r="G20" s="22">
        <v>2</v>
      </c>
      <c r="H20" s="23">
        <f aca="true" t="shared" si="11" ref="H20:H28">$J$18*10%</f>
        <v>300</v>
      </c>
      <c r="I20" s="23">
        <f>I19+H20</f>
        <v>600</v>
      </c>
      <c r="J20" s="23">
        <f aca="true" t="shared" si="12" ref="J20:J28">J19-H20</f>
        <v>2400</v>
      </c>
      <c r="L20" s="22">
        <v>2</v>
      </c>
      <c r="M20" s="23">
        <f aca="true" t="shared" si="13" ref="M20:M28">$O$18*20%</f>
        <v>4000</v>
      </c>
      <c r="N20" s="23">
        <f>N19+M20</f>
        <v>8000</v>
      </c>
      <c r="O20" s="23">
        <f aca="true" t="shared" si="14" ref="O20:O28">O19-M20</f>
        <v>12000</v>
      </c>
    </row>
    <row r="21" spans="2:15" ht="15">
      <c r="B21" s="22">
        <v>3</v>
      </c>
      <c r="C21" s="23">
        <f t="shared" si="9"/>
        <v>240</v>
      </c>
      <c r="D21" s="23">
        <f aca="true" t="shared" si="15" ref="D21:D28">D20+C21</f>
        <v>720</v>
      </c>
      <c r="E21" s="23">
        <f t="shared" si="10"/>
        <v>1680</v>
      </c>
      <c r="G21" s="22">
        <v>3</v>
      </c>
      <c r="H21" s="23">
        <f t="shared" si="11"/>
        <v>300</v>
      </c>
      <c r="I21" s="23">
        <f aca="true" t="shared" si="16" ref="I21:I28">I20+H21</f>
        <v>900</v>
      </c>
      <c r="J21" s="23">
        <f t="shared" si="12"/>
        <v>2100</v>
      </c>
      <c r="L21" s="22">
        <v>3</v>
      </c>
      <c r="M21" s="23">
        <f t="shared" si="13"/>
        <v>4000</v>
      </c>
      <c r="N21" s="23">
        <f aca="true" t="shared" si="17" ref="N21:N28">N20+M21</f>
        <v>12000</v>
      </c>
      <c r="O21" s="23">
        <f t="shared" si="14"/>
        <v>8000</v>
      </c>
    </row>
    <row r="22" spans="2:15" ht="15">
      <c r="B22" s="22">
        <v>4</v>
      </c>
      <c r="C22" s="23">
        <f t="shared" si="9"/>
        <v>240</v>
      </c>
      <c r="D22" s="23">
        <f t="shared" si="15"/>
        <v>960</v>
      </c>
      <c r="E22" s="23">
        <f t="shared" si="10"/>
        <v>1440</v>
      </c>
      <c r="G22" s="22">
        <v>4</v>
      </c>
      <c r="H22" s="23">
        <f t="shared" si="11"/>
        <v>300</v>
      </c>
      <c r="I22" s="23">
        <f t="shared" si="16"/>
        <v>1200</v>
      </c>
      <c r="J22" s="23">
        <f t="shared" si="12"/>
        <v>1800</v>
      </c>
      <c r="L22" s="22">
        <v>4</v>
      </c>
      <c r="M22" s="23">
        <f t="shared" si="13"/>
        <v>4000</v>
      </c>
      <c r="N22" s="23">
        <f t="shared" si="17"/>
        <v>16000</v>
      </c>
      <c r="O22" s="23">
        <f t="shared" si="14"/>
        <v>4000</v>
      </c>
    </row>
    <row r="23" spans="2:15" ht="15">
      <c r="B23" s="22">
        <v>5</v>
      </c>
      <c r="C23" s="23">
        <f t="shared" si="9"/>
        <v>240</v>
      </c>
      <c r="D23" s="23">
        <f t="shared" si="15"/>
        <v>1200</v>
      </c>
      <c r="E23" s="23">
        <f t="shared" si="10"/>
        <v>1200</v>
      </c>
      <c r="G23" s="22">
        <v>5</v>
      </c>
      <c r="H23" s="23">
        <f t="shared" si="11"/>
        <v>300</v>
      </c>
      <c r="I23" s="23">
        <f t="shared" si="16"/>
        <v>1500</v>
      </c>
      <c r="J23" s="23">
        <f t="shared" si="12"/>
        <v>1500</v>
      </c>
      <c r="L23" s="22">
        <v>5</v>
      </c>
      <c r="M23" s="23">
        <f t="shared" si="13"/>
        <v>4000</v>
      </c>
      <c r="N23" s="23">
        <f t="shared" si="17"/>
        <v>20000</v>
      </c>
      <c r="O23" s="23">
        <f>O18</f>
        <v>20000</v>
      </c>
    </row>
    <row r="24" spans="2:15" ht="15">
      <c r="B24" s="22">
        <v>6</v>
      </c>
      <c r="C24" s="23">
        <f t="shared" si="9"/>
        <v>240</v>
      </c>
      <c r="D24" s="23">
        <f t="shared" si="15"/>
        <v>1440</v>
      </c>
      <c r="E24" s="23">
        <f t="shared" si="10"/>
        <v>960</v>
      </c>
      <c r="G24" s="22">
        <v>6</v>
      </c>
      <c r="H24" s="23">
        <f t="shared" si="11"/>
        <v>300</v>
      </c>
      <c r="I24" s="23">
        <f t="shared" si="16"/>
        <v>1800</v>
      </c>
      <c r="J24" s="23">
        <f t="shared" si="12"/>
        <v>1200</v>
      </c>
      <c r="L24" s="22">
        <v>6</v>
      </c>
      <c r="M24" s="23">
        <f t="shared" si="13"/>
        <v>4000</v>
      </c>
      <c r="N24" s="23">
        <f t="shared" si="17"/>
        <v>24000</v>
      </c>
      <c r="O24" s="23">
        <f t="shared" si="14"/>
        <v>16000</v>
      </c>
    </row>
    <row r="25" spans="2:15" ht="15">
      <c r="B25" s="22">
        <v>7</v>
      </c>
      <c r="C25" s="23">
        <f t="shared" si="9"/>
        <v>240</v>
      </c>
      <c r="D25" s="23">
        <f t="shared" si="15"/>
        <v>1680</v>
      </c>
      <c r="E25" s="23">
        <f t="shared" si="10"/>
        <v>720</v>
      </c>
      <c r="G25" s="22">
        <v>7</v>
      </c>
      <c r="H25" s="23">
        <f t="shared" si="11"/>
        <v>300</v>
      </c>
      <c r="I25" s="23">
        <f t="shared" si="16"/>
        <v>2100</v>
      </c>
      <c r="J25" s="23">
        <f t="shared" si="12"/>
        <v>900</v>
      </c>
      <c r="L25" s="22">
        <v>7</v>
      </c>
      <c r="M25" s="23">
        <f t="shared" si="13"/>
        <v>4000</v>
      </c>
      <c r="N25" s="23">
        <f t="shared" si="17"/>
        <v>28000</v>
      </c>
      <c r="O25" s="23">
        <f t="shared" si="14"/>
        <v>12000</v>
      </c>
    </row>
    <row r="26" spans="2:15" ht="15">
      <c r="B26" s="22">
        <v>8</v>
      </c>
      <c r="C26" s="23">
        <f t="shared" si="9"/>
        <v>240</v>
      </c>
      <c r="D26" s="23">
        <f t="shared" si="15"/>
        <v>1920</v>
      </c>
      <c r="E26" s="23">
        <f t="shared" si="10"/>
        <v>480</v>
      </c>
      <c r="G26" s="22">
        <v>8</v>
      </c>
      <c r="H26" s="23">
        <f t="shared" si="11"/>
        <v>300</v>
      </c>
      <c r="I26" s="23">
        <f t="shared" si="16"/>
        <v>2400</v>
      </c>
      <c r="J26" s="23">
        <f t="shared" si="12"/>
        <v>600</v>
      </c>
      <c r="L26" s="22">
        <v>8</v>
      </c>
      <c r="M26" s="23">
        <f t="shared" si="13"/>
        <v>4000</v>
      </c>
      <c r="N26" s="23">
        <f t="shared" si="17"/>
        <v>32000</v>
      </c>
      <c r="O26" s="23">
        <f t="shared" si="14"/>
        <v>8000</v>
      </c>
    </row>
    <row r="27" spans="2:15" ht="15">
      <c r="B27" s="22">
        <v>9</v>
      </c>
      <c r="C27" s="23">
        <f t="shared" si="9"/>
        <v>240</v>
      </c>
      <c r="D27" s="23">
        <f t="shared" si="15"/>
        <v>2160</v>
      </c>
      <c r="E27" s="23">
        <f t="shared" si="10"/>
        <v>240</v>
      </c>
      <c r="G27" s="22">
        <v>9</v>
      </c>
      <c r="H27" s="23">
        <f t="shared" si="11"/>
        <v>300</v>
      </c>
      <c r="I27" s="23">
        <f t="shared" si="16"/>
        <v>2700</v>
      </c>
      <c r="J27" s="23">
        <f t="shared" si="12"/>
        <v>300</v>
      </c>
      <c r="L27" s="22">
        <v>9</v>
      </c>
      <c r="M27" s="23">
        <f t="shared" si="13"/>
        <v>4000</v>
      </c>
      <c r="N27" s="23">
        <f t="shared" si="17"/>
        <v>36000</v>
      </c>
      <c r="O27" s="23">
        <f t="shared" si="14"/>
        <v>4000</v>
      </c>
    </row>
    <row r="28" spans="2:15" ht="15">
      <c r="B28" s="22">
        <v>10</v>
      </c>
      <c r="C28" s="23">
        <f t="shared" si="9"/>
        <v>240</v>
      </c>
      <c r="D28" s="23">
        <f t="shared" si="15"/>
        <v>2400</v>
      </c>
      <c r="E28" s="23">
        <f t="shared" si="10"/>
        <v>0</v>
      </c>
      <c r="G28" s="22">
        <v>10</v>
      </c>
      <c r="H28" s="23">
        <f t="shared" si="11"/>
        <v>300</v>
      </c>
      <c r="I28" s="23">
        <f t="shared" si="16"/>
        <v>3000</v>
      </c>
      <c r="J28" s="23">
        <f t="shared" si="12"/>
        <v>0</v>
      </c>
      <c r="L28" s="22">
        <v>10</v>
      </c>
      <c r="M28" s="23">
        <f t="shared" si="13"/>
        <v>4000</v>
      </c>
      <c r="N28" s="23">
        <f t="shared" si="17"/>
        <v>40000</v>
      </c>
      <c r="O28" s="23">
        <f t="shared" si="14"/>
        <v>0</v>
      </c>
    </row>
    <row r="29" spans="2:15" ht="15">
      <c r="B29" s="56"/>
      <c r="C29" s="87"/>
      <c r="D29" s="87"/>
      <c r="E29" s="87"/>
      <c r="G29" s="56"/>
      <c r="H29" s="87"/>
      <c r="I29" s="87"/>
      <c r="J29" s="87"/>
      <c r="L29" s="56"/>
      <c r="M29" s="87"/>
      <c r="N29" s="87"/>
      <c r="O29" s="87"/>
    </row>
    <row r="30" spans="2:15" ht="15">
      <c r="B30" s="514" t="str">
        <f>Inversión!A25</f>
        <v>Computadora</v>
      </c>
      <c r="C30" s="514"/>
      <c r="D30" s="514"/>
      <c r="E30" s="514"/>
      <c r="G30" s="514" t="str">
        <f>Inversión!A26</f>
        <v>Impresora 3 en 1</v>
      </c>
      <c r="H30" s="514"/>
      <c r="I30" s="514"/>
      <c r="J30" s="514"/>
      <c r="L30" s="514" t="str">
        <f>Inversión!A27</f>
        <v>ROUTER</v>
      </c>
      <c r="M30" s="514"/>
      <c r="N30" s="514"/>
      <c r="O30" s="514"/>
    </row>
    <row r="31" spans="2:15" ht="15">
      <c r="B31" s="22"/>
      <c r="C31" s="55" t="s">
        <v>155</v>
      </c>
      <c r="D31" s="55" t="s">
        <v>156</v>
      </c>
      <c r="E31" s="55" t="s">
        <v>157</v>
      </c>
      <c r="G31" s="22"/>
      <c r="H31" s="55" t="s">
        <v>155</v>
      </c>
      <c r="I31" s="55" t="s">
        <v>156</v>
      </c>
      <c r="J31" s="55" t="s">
        <v>157</v>
      </c>
      <c r="L31" s="22"/>
      <c r="M31" s="55" t="s">
        <v>155</v>
      </c>
      <c r="N31" s="55" t="s">
        <v>156</v>
      </c>
      <c r="O31" s="55" t="s">
        <v>157</v>
      </c>
    </row>
    <row r="32" spans="2:15" ht="15">
      <c r="B32" s="22">
        <v>0</v>
      </c>
      <c r="C32" s="22"/>
      <c r="D32" s="22"/>
      <c r="E32" s="23">
        <f>Inversión!B25</f>
        <v>1915</v>
      </c>
      <c r="G32" s="22">
        <v>0</v>
      </c>
      <c r="H32" s="22"/>
      <c r="I32" s="22"/>
      <c r="J32" s="23">
        <f>Inversión!B26</f>
        <v>185</v>
      </c>
      <c r="L32" s="22">
        <v>0</v>
      </c>
      <c r="M32" s="22"/>
      <c r="N32" s="22"/>
      <c r="O32" s="23">
        <f>Inversión!B27</f>
        <v>109</v>
      </c>
    </row>
    <row r="33" spans="2:15" ht="15">
      <c r="B33" s="22">
        <v>1</v>
      </c>
      <c r="C33" s="23">
        <f>$E$32/3</f>
        <v>638.3333333333334</v>
      </c>
      <c r="D33" s="23">
        <f>C33</f>
        <v>638.3333333333334</v>
      </c>
      <c r="E33" s="23">
        <f>E32-C33</f>
        <v>1276.6666666666665</v>
      </c>
      <c r="G33" s="22">
        <v>1</v>
      </c>
      <c r="H33" s="23">
        <f>$J$32/3</f>
        <v>61.666666666666664</v>
      </c>
      <c r="I33" s="23">
        <f>H33</f>
        <v>61.666666666666664</v>
      </c>
      <c r="J33" s="23">
        <f>J32-H33</f>
        <v>123.33333333333334</v>
      </c>
      <c r="L33" s="22">
        <v>1</v>
      </c>
      <c r="M33" s="23">
        <f>$O$32/3</f>
        <v>36.333333333333336</v>
      </c>
      <c r="N33" s="23">
        <f>M33</f>
        <v>36.333333333333336</v>
      </c>
      <c r="O33" s="23">
        <f>O32-M33</f>
        <v>72.66666666666666</v>
      </c>
    </row>
    <row r="34" spans="2:15" ht="15">
      <c r="B34" s="22">
        <v>2</v>
      </c>
      <c r="C34" s="23">
        <f aca="true" t="shared" si="18" ref="C34:C42">$E$32/3</f>
        <v>638.3333333333334</v>
      </c>
      <c r="D34" s="23">
        <f>D33+C34</f>
        <v>1276.6666666666667</v>
      </c>
      <c r="E34" s="23">
        <f aca="true" t="shared" si="19" ref="E34:E42">E33-C34</f>
        <v>638.3333333333331</v>
      </c>
      <c r="G34" s="22">
        <v>2</v>
      </c>
      <c r="H34" s="23">
        <f aca="true" t="shared" si="20" ref="H34:H42">$J$32/3</f>
        <v>61.666666666666664</v>
      </c>
      <c r="I34" s="23">
        <f>I33+H34</f>
        <v>123.33333333333333</v>
      </c>
      <c r="J34" s="23">
        <f aca="true" t="shared" si="21" ref="J34:J42">J33-H34</f>
        <v>61.66666666666668</v>
      </c>
      <c r="L34" s="22">
        <v>2</v>
      </c>
      <c r="M34" s="23">
        <f aca="true" t="shared" si="22" ref="M34:M42">$O$32/3</f>
        <v>36.333333333333336</v>
      </c>
      <c r="N34" s="23">
        <f>N33+M34</f>
        <v>72.66666666666667</v>
      </c>
      <c r="O34" s="23">
        <f aca="true" t="shared" si="23" ref="O34:O42">O33-M34</f>
        <v>36.33333333333332</v>
      </c>
    </row>
    <row r="35" spans="2:15" ht="15">
      <c r="B35" s="22">
        <v>3</v>
      </c>
      <c r="C35" s="23">
        <f t="shared" si="18"/>
        <v>638.3333333333334</v>
      </c>
      <c r="D35" s="23">
        <f>D34+C35</f>
        <v>1915</v>
      </c>
      <c r="E35" s="23">
        <f>E32</f>
        <v>1915</v>
      </c>
      <c r="G35" s="22">
        <v>3</v>
      </c>
      <c r="H35" s="23">
        <f t="shared" si="20"/>
        <v>61.666666666666664</v>
      </c>
      <c r="I35" s="23">
        <f aca="true" t="shared" si="24" ref="I35:I41">I34+H35</f>
        <v>185</v>
      </c>
      <c r="J35" s="23">
        <f>J32</f>
        <v>185</v>
      </c>
      <c r="L35" s="22">
        <v>3</v>
      </c>
      <c r="M35" s="23">
        <f t="shared" si="22"/>
        <v>36.333333333333336</v>
      </c>
      <c r="N35" s="23">
        <f aca="true" t="shared" si="25" ref="N35:N41">N34+M35</f>
        <v>109</v>
      </c>
      <c r="O35" s="23">
        <f>O32</f>
        <v>109</v>
      </c>
    </row>
    <row r="36" spans="2:15" ht="15">
      <c r="B36" s="22">
        <v>4</v>
      </c>
      <c r="C36" s="23">
        <f t="shared" si="18"/>
        <v>638.3333333333334</v>
      </c>
      <c r="D36" s="23">
        <f>C36</f>
        <v>638.3333333333334</v>
      </c>
      <c r="E36" s="23">
        <f t="shared" si="19"/>
        <v>1276.6666666666665</v>
      </c>
      <c r="G36" s="22">
        <v>4</v>
      </c>
      <c r="H36" s="23">
        <f t="shared" si="20"/>
        <v>61.666666666666664</v>
      </c>
      <c r="I36" s="23">
        <f>H36</f>
        <v>61.666666666666664</v>
      </c>
      <c r="J36" s="23">
        <f t="shared" si="21"/>
        <v>123.33333333333334</v>
      </c>
      <c r="L36" s="22">
        <v>4</v>
      </c>
      <c r="M36" s="23">
        <f t="shared" si="22"/>
        <v>36.333333333333336</v>
      </c>
      <c r="N36" s="23">
        <f>M36</f>
        <v>36.333333333333336</v>
      </c>
      <c r="O36" s="23">
        <f t="shared" si="23"/>
        <v>72.66666666666666</v>
      </c>
    </row>
    <row r="37" spans="2:15" ht="15">
      <c r="B37" s="22">
        <v>5</v>
      </c>
      <c r="C37" s="23">
        <f t="shared" si="18"/>
        <v>638.3333333333334</v>
      </c>
      <c r="D37" s="23">
        <f>D36+C37</f>
        <v>1276.6666666666667</v>
      </c>
      <c r="E37" s="23">
        <f t="shared" si="19"/>
        <v>638.3333333333331</v>
      </c>
      <c r="G37" s="22">
        <v>5</v>
      </c>
      <c r="H37" s="23">
        <f t="shared" si="20"/>
        <v>61.666666666666664</v>
      </c>
      <c r="I37" s="23">
        <f t="shared" si="24"/>
        <v>123.33333333333333</v>
      </c>
      <c r="J37" s="23">
        <f t="shared" si="21"/>
        <v>61.66666666666668</v>
      </c>
      <c r="L37" s="22">
        <v>5</v>
      </c>
      <c r="M37" s="23">
        <f t="shared" si="22"/>
        <v>36.333333333333336</v>
      </c>
      <c r="N37" s="23">
        <f t="shared" si="25"/>
        <v>72.66666666666667</v>
      </c>
      <c r="O37" s="23">
        <f t="shared" si="23"/>
        <v>36.33333333333332</v>
      </c>
    </row>
    <row r="38" spans="2:15" ht="15">
      <c r="B38" s="22">
        <v>6</v>
      </c>
      <c r="C38" s="23">
        <f t="shared" si="18"/>
        <v>638.3333333333334</v>
      </c>
      <c r="D38" s="23">
        <f>C38+D37</f>
        <v>1915</v>
      </c>
      <c r="E38" s="23">
        <f>E35</f>
        <v>1915</v>
      </c>
      <c r="G38" s="22">
        <v>6</v>
      </c>
      <c r="H38" s="23">
        <f t="shared" si="20"/>
        <v>61.666666666666664</v>
      </c>
      <c r="I38" s="23">
        <f t="shared" si="24"/>
        <v>185</v>
      </c>
      <c r="J38" s="23">
        <f>J35</f>
        <v>185</v>
      </c>
      <c r="L38" s="22">
        <v>6</v>
      </c>
      <c r="M38" s="23">
        <f t="shared" si="22"/>
        <v>36.333333333333336</v>
      </c>
      <c r="N38" s="23">
        <f t="shared" si="25"/>
        <v>109</v>
      </c>
      <c r="O38" s="23">
        <f>O35</f>
        <v>109</v>
      </c>
    </row>
    <row r="39" spans="2:15" ht="15">
      <c r="B39" s="22">
        <v>7</v>
      </c>
      <c r="C39" s="23">
        <f t="shared" si="18"/>
        <v>638.3333333333334</v>
      </c>
      <c r="D39" s="23">
        <f>C39</f>
        <v>638.3333333333334</v>
      </c>
      <c r="E39" s="23">
        <f t="shared" si="19"/>
        <v>1276.6666666666665</v>
      </c>
      <c r="G39" s="22">
        <v>7</v>
      </c>
      <c r="H39" s="23">
        <f t="shared" si="20"/>
        <v>61.666666666666664</v>
      </c>
      <c r="I39" s="23">
        <f>H39</f>
        <v>61.666666666666664</v>
      </c>
      <c r="J39" s="23">
        <f t="shared" si="21"/>
        <v>123.33333333333334</v>
      </c>
      <c r="L39" s="22">
        <v>7</v>
      </c>
      <c r="M39" s="23">
        <f t="shared" si="22"/>
        <v>36.333333333333336</v>
      </c>
      <c r="N39" s="23">
        <f>M39</f>
        <v>36.333333333333336</v>
      </c>
      <c r="O39" s="23">
        <f t="shared" si="23"/>
        <v>72.66666666666666</v>
      </c>
    </row>
    <row r="40" spans="2:15" ht="15">
      <c r="B40" s="22">
        <v>8</v>
      </c>
      <c r="C40" s="23">
        <f t="shared" si="18"/>
        <v>638.3333333333334</v>
      </c>
      <c r="D40" s="23">
        <f>D39+C40</f>
        <v>1276.6666666666667</v>
      </c>
      <c r="E40" s="23">
        <f t="shared" si="19"/>
        <v>638.3333333333331</v>
      </c>
      <c r="G40" s="22">
        <v>8</v>
      </c>
      <c r="H40" s="23">
        <f t="shared" si="20"/>
        <v>61.666666666666664</v>
      </c>
      <c r="I40" s="23">
        <f t="shared" si="24"/>
        <v>123.33333333333333</v>
      </c>
      <c r="J40" s="23">
        <f t="shared" si="21"/>
        <v>61.66666666666668</v>
      </c>
      <c r="L40" s="22">
        <v>8</v>
      </c>
      <c r="M40" s="23">
        <f t="shared" si="22"/>
        <v>36.333333333333336</v>
      </c>
      <c r="N40" s="23">
        <f t="shared" si="25"/>
        <v>72.66666666666667</v>
      </c>
      <c r="O40" s="23">
        <f t="shared" si="23"/>
        <v>36.33333333333332</v>
      </c>
    </row>
    <row r="41" spans="2:15" ht="15">
      <c r="B41" s="22">
        <v>9</v>
      </c>
      <c r="C41" s="23">
        <f t="shared" si="18"/>
        <v>638.3333333333334</v>
      </c>
      <c r="D41" s="23">
        <f>D40+C41</f>
        <v>1915</v>
      </c>
      <c r="E41" s="23">
        <f>E38</f>
        <v>1915</v>
      </c>
      <c r="G41" s="22">
        <v>9</v>
      </c>
      <c r="H41" s="23">
        <f t="shared" si="20"/>
        <v>61.666666666666664</v>
      </c>
      <c r="I41" s="23">
        <f t="shared" si="24"/>
        <v>185</v>
      </c>
      <c r="J41" s="23">
        <f>J38</f>
        <v>185</v>
      </c>
      <c r="L41" s="22">
        <v>9</v>
      </c>
      <c r="M41" s="23">
        <f t="shared" si="22"/>
        <v>36.333333333333336</v>
      </c>
      <c r="N41" s="23">
        <f t="shared" si="25"/>
        <v>109</v>
      </c>
      <c r="O41" s="23">
        <f>O38</f>
        <v>109</v>
      </c>
    </row>
    <row r="42" spans="2:15" ht="15">
      <c r="B42" s="22">
        <v>10</v>
      </c>
      <c r="C42" s="23">
        <f t="shared" si="18"/>
        <v>638.3333333333334</v>
      </c>
      <c r="D42" s="23">
        <f>C42</f>
        <v>638.3333333333334</v>
      </c>
      <c r="E42" s="23">
        <f t="shared" si="19"/>
        <v>1276.6666666666665</v>
      </c>
      <c r="G42" s="22">
        <v>10</v>
      </c>
      <c r="H42" s="23">
        <f t="shared" si="20"/>
        <v>61.666666666666664</v>
      </c>
      <c r="I42" s="23">
        <f>H42</f>
        <v>61.666666666666664</v>
      </c>
      <c r="J42" s="23">
        <f t="shared" si="21"/>
        <v>123.33333333333334</v>
      </c>
      <c r="L42" s="22">
        <v>10</v>
      </c>
      <c r="M42" s="23">
        <f t="shared" si="22"/>
        <v>36.333333333333336</v>
      </c>
      <c r="N42" s="23">
        <f>M42</f>
        <v>36.333333333333336</v>
      </c>
      <c r="O42" s="23">
        <f t="shared" si="23"/>
        <v>72.66666666666666</v>
      </c>
    </row>
    <row r="44" spans="2:15" ht="15">
      <c r="B44" s="514" t="str">
        <f>Inversión!A28</f>
        <v>Impresoras a laser </v>
      </c>
      <c r="C44" s="514"/>
      <c r="D44" s="514"/>
      <c r="E44" s="514"/>
      <c r="G44" s="514" t="s">
        <v>159</v>
      </c>
      <c r="H44" s="514"/>
      <c r="I44" s="514"/>
      <c r="J44" s="514"/>
      <c r="L44" s="514" t="str">
        <f>Inversión!A29</f>
        <v>Aire Condicionado Central</v>
      </c>
      <c r="M44" s="514"/>
      <c r="N44" s="514"/>
      <c r="O44" s="514"/>
    </row>
    <row r="45" spans="2:15" ht="15">
      <c r="B45" s="22"/>
      <c r="C45" s="55" t="s">
        <v>155</v>
      </c>
      <c r="D45" s="55" t="s">
        <v>156</v>
      </c>
      <c r="E45" s="55" t="s">
        <v>157</v>
      </c>
      <c r="G45" s="22"/>
      <c r="H45" s="55" t="s">
        <v>155</v>
      </c>
      <c r="I45" s="55" t="s">
        <v>156</v>
      </c>
      <c r="J45" s="55" t="s">
        <v>157</v>
      </c>
      <c r="L45" s="22"/>
      <c r="M45" s="55" t="s">
        <v>155</v>
      </c>
      <c r="N45" s="55" t="s">
        <v>156</v>
      </c>
      <c r="O45" s="55" t="s">
        <v>157</v>
      </c>
    </row>
    <row r="46" spans="2:15" ht="15">
      <c r="B46" s="22">
        <v>0</v>
      </c>
      <c r="C46" s="22"/>
      <c r="D46" s="22"/>
      <c r="E46" s="23">
        <f>Inversión!B28</f>
        <v>250</v>
      </c>
      <c r="G46" s="22">
        <v>0</v>
      </c>
      <c r="H46" s="22"/>
      <c r="I46" s="22"/>
      <c r="J46" s="23">
        <f>Inversión!B33+Inversión!B34+Inversión!B35+Inversión!B36</f>
        <v>1890</v>
      </c>
      <c r="L46" s="22">
        <v>0</v>
      </c>
      <c r="M46" s="22"/>
      <c r="N46" s="22"/>
      <c r="O46" s="23">
        <f>Inversión!B29</f>
        <v>1260</v>
      </c>
    </row>
    <row r="47" spans="2:15" ht="15">
      <c r="B47" s="22">
        <v>1</v>
      </c>
      <c r="C47" s="23">
        <f>$E$46/3</f>
        <v>83.33333333333333</v>
      </c>
      <c r="D47" s="23">
        <f>C47</f>
        <v>83.33333333333333</v>
      </c>
      <c r="E47" s="23">
        <f>E46-C47</f>
        <v>166.66666666666669</v>
      </c>
      <c r="G47" s="22">
        <v>1</v>
      </c>
      <c r="H47" s="23">
        <f>$J$46*10%</f>
        <v>189</v>
      </c>
      <c r="I47" s="23">
        <f>H47</f>
        <v>189</v>
      </c>
      <c r="J47" s="23">
        <f aca="true" t="shared" si="26" ref="J47:J56">J46-H47</f>
        <v>1701</v>
      </c>
      <c r="L47" s="22">
        <v>1</v>
      </c>
      <c r="M47" s="23">
        <f>$O$46*10%</f>
        <v>126</v>
      </c>
      <c r="N47" s="23">
        <f>M47</f>
        <v>126</v>
      </c>
      <c r="O47" s="23">
        <f>O46-M47</f>
        <v>1134</v>
      </c>
    </row>
    <row r="48" spans="2:15" ht="15">
      <c r="B48" s="22">
        <v>2</v>
      </c>
      <c r="C48" s="23">
        <f aca="true" t="shared" si="27" ref="C48:C56">$E$46/3</f>
        <v>83.33333333333333</v>
      </c>
      <c r="D48" s="23">
        <f>D47+C48</f>
        <v>166.66666666666666</v>
      </c>
      <c r="E48" s="23">
        <f>E47-C48</f>
        <v>83.33333333333336</v>
      </c>
      <c r="G48" s="22">
        <v>2</v>
      </c>
      <c r="H48" s="23">
        <f aca="true" t="shared" si="28" ref="H48:H56">$J$46*10%</f>
        <v>189</v>
      </c>
      <c r="I48" s="23">
        <f>I47+H48</f>
        <v>378</v>
      </c>
      <c r="J48" s="23">
        <f t="shared" si="26"/>
        <v>1512</v>
      </c>
      <c r="L48" s="22">
        <v>2</v>
      </c>
      <c r="M48" s="23">
        <f aca="true" t="shared" si="29" ref="M48:M56">$O$46*10%</f>
        <v>126</v>
      </c>
      <c r="N48" s="23">
        <f>N47+M48</f>
        <v>252</v>
      </c>
      <c r="O48" s="23">
        <f>O47-M48</f>
        <v>1008</v>
      </c>
    </row>
    <row r="49" spans="2:15" ht="15">
      <c r="B49" s="22">
        <v>3</v>
      </c>
      <c r="C49" s="23">
        <f t="shared" si="27"/>
        <v>83.33333333333333</v>
      </c>
      <c r="D49" s="23">
        <f>D48+C49</f>
        <v>250</v>
      </c>
      <c r="E49" s="23">
        <f>E46</f>
        <v>250</v>
      </c>
      <c r="G49" s="22">
        <v>3</v>
      </c>
      <c r="H49" s="23">
        <f t="shared" si="28"/>
        <v>189</v>
      </c>
      <c r="I49" s="23">
        <f>I48+H49</f>
        <v>567</v>
      </c>
      <c r="J49" s="23">
        <f t="shared" si="26"/>
        <v>1323</v>
      </c>
      <c r="L49" s="22">
        <v>3</v>
      </c>
      <c r="M49" s="23">
        <f t="shared" si="29"/>
        <v>126</v>
      </c>
      <c r="N49" s="23">
        <f>N48+M49</f>
        <v>378</v>
      </c>
      <c r="O49" s="23">
        <f aca="true" t="shared" si="30" ref="O49:O55">O48-M49</f>
        <v>882</v>
      </c>
    </row>
    <row r="50" spans="2:15" ht="15">
      <c r="B50" s="22">
        <v>4</v>
      </c>
      <c r="C50" s="23">
        <f t="shared" si="27"/>
        <v>83.33333333333333</v>
      </c>
      <c r="D50" s="23">
        <f>C50</f>
        <v>83.33333333333333</v>
      </c>
      <c r="E50" s="23">
        <f>E49-C50</f>
        <v>166.66666666666669</v>
      </c>
      <c r="G50" s="22">
        <v>4</v>
      </c>
      <c r="H50" s="23">
        <f t="shared" si="28"/>
        <v>189</v>
      </c>
      <c r="I50" s="23">
        <f>H50+I49</f>
        <v>756</v>
      </c>
      <c r="J50" s="23">
        <f t="shared" si="26"/>
        <v>1134</v>
      </c>
      <c r="L50" s="22">
        <v>4</v>
      </c>
      <c r="M50" s="23">
        <f t="shared" si="29"/>
        <v>126</v>
      </c>
      <c r="N50" s="23">
        <f>M50</f>
        <v>126</v>
      </c>
      <c r="O50" s="23">
        <f t="shared" si="30"/>
        <v>756</v>
      </c>
    </row>
    <row r="51" spans="2:15" ht="15">
      <c r="B51" s="22">
        <v>5</v>
      </c>
      <c r="C51" s="23">
        <f t="shared" si="27"/>
        <v>83.33333333333333</v>
      </c>
      <c r="D51" s="23">
        <f>D50+C51</f>
        <v>166.66666666666666</v>
      </c>
      <c r="E51" s="23">
        <f>E50-C51</f>
        <v>83.33333333333336</v>
      </c>
      <c r="G51" s="22">
        <v>5</v>
      </c>
      <c r="H51" s="23">
        <f t="shared" si="28"/>
        <v>189</v>
      </c>
      <c r="I51" s="23">
        <f>I50+H51</f>
        <v>945</v>
      </c>
      <c r="J51" s="23">
        <f t="shared" si="26"/>
        <v>945</v>
      </c>
      <c r="L51" s="22">
        <v>5</v>
      </c>
      <c r="M51" s="23">
        <f t="shared" si="29"/>
        <v>126</v>
      </c>
      <c r="N51" s="23">
        <f>N50+M51</f>
        <v>252</v>
      </c>
      <c r="O51" s="23">
        <f t="shared" si="30"/>
        <v>630</v>
      </c>
    </row>
    <row r="52" spans="2:15" ht="15">
      <c r="B52" s="22">
        <v>6</v>
      </c>
      <c r="C52" s="23">
        <f t="shared" si="27"/>
        <v>83.33333333333333</v>
      </c>
      <c r="D52" s="23">
        <f>C52+D51</f>
        <v>250</v>
      </c>
      <c r="E52" s="23">
        <f>E49</f>
        <v>250</v>
      </c>
      <c r="G52" s="22">
        <v>6</v>
      </c>
      <c r="H52" s="23">
        <f t="shared" si="28"/>
        <v>189</v>
      </c>
      <c r="I52" s="23">
        <f>H52+I51</f>
        <v>1134</v>
      </c>
      <c r="J52" s="23">
        <f t="shared" si="26"/>
        <v>756</v>
      </c>
      <c r="L52" s="22">
        <v>6</v>
      </c>
      <c r="M52" s="23">
        <f t="shared" si="29"/>
        <v>126</v>
      </c>
      <c r="N52" s="23">
        <f>M52+N51</f>
        <v>378</v>
      </c>
      <c r="O52" s="23">
        <f t="shared" si="30"/>
        <v>504</v>
      </c>
    </row>
    <row r="53" spans="2:15" ht="15">
      <c r="B53" s="22">
        <v>7</v>
      </c>
      <c r="C53" s="23">
        <f t="shared" si="27"/>
        <v>83.33333333333333</v>
      </c>
      <c r="D53" s="23">
        <f>C53</f>
        <v>83.33333333333333</v>
      </c>
      <c r="E53" s="23">
        <f>E52-C53</f>
        <v>166.66666666666669</v>
      </c>
      <c r="G53" s="22">
        <v>7</v>
      </c>
      <c r="H53" s="23">
        <f t="shared" si="28"/>
        <v>189</v>
      </c>
      <c r="I53" s="23">
        <f>H53+I52</f>
        <v>1323</v>
      </c>
      <c r="J53" s="23">
        <f t="shared" si="26"/>
        <v>567</v>
      </c>
      <c r="L53" s="22">
        <v>7</v>
      </c>
      <c r="M53" s="23">
        <f t="shared" si="29"/>
        <v>126</v>
      </c>
      <c r="N53" s="23">
        <f>M53</f>
        <v>126</v>
      </c>
      <c r="O53" s="23">
        <f t="shared" si="30"/>
        <v>378</v>
      </c>
    </row>
    <row r="54" spans="2:15" ht="15">
      <c r="B54" s="22">
        <v>8</v>
      </c>
      <c r="C54" s="23">
        <f t="shared" si="27"/>
        <v>83.33333333333333</v>
      </c>
      <c r="D54" s="23">
        <f>D53+C54</f>
        <v>166.66666666666666</v>
      </c>
      <c r="E54" s="23">
        <f>E53-C54</f>
        <v>83.33333333333336</v>
      </c>
      <c r="G54" s="22">
        <v>8</v>
      </c>
      <c r="H54" s="23">
        <f t="shared" si="28"/>
        <v>189</v>
      </c>
      <c r="I54" s="23">
        <f>I53+H54</f>
        <v>1512</v>
      </c>
      <c r="J54" s="23">
        <f t="shared" si="26"/>
        <v>378</v>
      </c>
      <c r="L54" s="22">
        <v>8</v>
      </c>
      <c r="M54" s="23">
        <f t="shared" si="29"/>
        <v>126</v>
      </c>
      <c r="N54" s="23">
        <f>N53+M54</f>
        <v>252</v>
      </c>
      <c r="O54" s="23">
        <f t="shared" si="30"/>
        <v>252</v>
      </c>
    </row>
    <row r="55" spans="2:15" ht="15">
      <c r="B55" s="22">
        <v>9</v>
      </c>
      <c r="C55" s="23">
        <f t="shared" si="27"/>
        <v>83.33333333333333</v>
      </c>
      <c r="D55" s="23">
        <f>D54+C55</f>
        <v>250</v>
      </c>
      <c r="E55" s="23">
        <f>E52</f>
        <v>250</v>
      </c>
      <c r="G55" s="22">
        <v>9</v>
      </c>
      <c r="H55" s="23">
        <f t="shared" si="28"/>
        <v>189</v>
      </c>
      <c r="I55" s="23">
        <f>I54+H55</f>
        <v>1701</v>
      </c>
      <c r="J55" s="23">
        <f t="shared" si="26"/>
        <v>189</v>
      </c>
      <c r="L55" s="22">
        <v>9</v>
      </c>
      <c r="M55" s="23">
        <f t="shared" si="29"/>
        <v>126</v>
      </c>
      <c r="N55" s="23">
        <f>N54+M55</f>
        <v>378</v>
      </c>
      <c r="O55" s="23">
        <f t="shared" si="30"/>
        <v>126</v>
      </c>
    </row>
    <row r="56" spans="2:15" ht="15">
      <c r="B56" s="22">
        <v>10</v>
      </c>
      <c r="C56" s="23">
        <f t="shared" si="27"/>
        <v>83.33333333333333</v>
      </c>
      <c r="D56" s="23">
        <f>C56</f>
        <v>83.33333333333333</v>
      </c>
      <c r="E56" s="23">
        <f>E55-C56</f>
        <v>166.66666666666669</v>
      </c>
      <c r="G56" s="22">
        <v>10</v>
      </c>
      <c r="H56" s="23">
        <f t="shared" si="28"/>
        <v>189</v>
      </c>
      <c r="I56" s="23">
        <f>H56+I55</f>
        <v>1890</v>
      </c>
      <c r="J56" s="23">
        <f t="shared" si="26"/>
        <v>0</v>
      </c>
      <c r="L56" s="22">
        <v>10</v>
      </c>
      <c r="M56" s="23">
        <f t="shared" si="29"/>
        <v>126</v>
      </c>
      <c r="N56" s="23">
        <f>M56</f>
        <v>126</v>
      </c>
      <c r="O56" s="23">
        <f>O55-M56</f>
        <v>0</v>
      </c>
    </row>
    <row r="58" spans="2:10" ht="15">
      <c r="B58" s="515" t="str">
        <f>Inversión!A30</f>
        <v>Refrigeradora</v>
      </c>
      <c r="C58" s="515"/>
      <c r="D58" s="515"/>
      <c r="E58" s="515"/>
      <c r="G58" s="515" t="str">
        <f>Inversión!A31</f>
        <v>Microonda LG</v>
      </c>
      <c r="H58" s="515"/>
      <c r="I58" s="515"/>
      <c r="J58" s="515"/>
    </row>
    <row r="59" spans="2:15" ht="18" thickBot="1">
      <c r="B59" s="22"/>
      <c r="C59" s="55" t="s">
        <v>155</v>
      </c>
      <c r="D59" s="55" t="s">
        <v>156</v>
      </c>
      <c r="E59" s="55" t="s">
        <v>157</v>
      </c>
      <c r="G59" s="22"/>
      <c r="H59" s="55" t="s">
        <v>155</v>
      </c>
      <c r="I59" s="55" t="s">
        <v>156</v>
      </c>
      <c r="J59" s="55" t="s">
        <v>157</v>
      </c>
      <c r="L59" s="157" t="s">
        <v>160</v>
      </c>
      <c r="M59" s="26"/>
      <c r="N59" s="26"/>
      <c r="O59" s="26"/>
    </row>
    <row r="60" spans="2:14" ht="30.75" thickBot="1">
      <c r="B60" s="22">
        <v>0</v>
      </c>
      <c r="C60" s="22"/>
      <c r="D60" s="22"/>
      <c r="E60" s="23">
        <f>Inversión!B30</f>
        <v>599</v>
      </c>
      <c r="G60" s="22">
        <v>0</v>
      </c>
      <c r="H60" s="22"/>
      <c r="I60" s="22"/>
      <c r="J60" s="23">
        <f>Inversión!B31</f>
        <v>150</v>
      </c>
      <c r="L60" s="158" t="s">
        <v>161</v>
      </c>
      <c r="M60" s="159" t="s">
        <v>162</v>
      </c>
      <c r="N60" s="160" t="s">
        <v>163</v>
      </c>
    </row>
    <row r="61" spans="2:14" ht="15" customHeight="1">
      <c r="B61" s="22">
        <v>1</v>
      </c>
      <c r="C61" s="23">
        <f>$E$60*10%</f>
        <v>59.900000000000006</v>
      </c>
      <c r="D61" s="23">
        <f>C61</f>
        <v>59.900000000000006</v>
      </c>
      <c r="E61" s="23">
        <f aca="true" t="shared" si="31" ref="E61:E69">E60-C61</f>
        <v>539.1</v>
      </c>
      <c r="G61" s="22">
        <v>1</v>
      </c>
      <c r="H61" s="23">
        <f>$J$60*10%</f>
        <v>15</v>
      </c>
      <c r="I61" s="23">
        <f>H61</f>
        <v>15</v>
      </c>
      <c r="J61" s="23">
        <f aca="true" t="shared" si="32" ref="J61:J67">J60-H61</f>
        <v>135</v>
      </c>
      <c r="L61" s="161" t="str">
        <f>B2</f>
        <v>Cocina Industrial</v>
      </c>
      <c r="M61" s="162">
        <f>N61/12</f>
        <v>14.166666666666666</v>
      </c>
      <c r="N61" s="163">
        <f>C5</f>
        <v>170</v>
      </c>
    </row>
    <row r="62" spans="2:14" ht="15">
      <c r="B62" s="22">
        <v>2</v>
      </c>
      <c r="C62" s="23">
        <f aca="true" t="shared" si="33" ref="C62:C70">$E$60*10%</f>
        <v>59.900000000000006</v>
      </c>
      <c r="D62" s="23">
        <f>D61+C62</f>
        <v>119.80000000000001</v>
      </c>
      <c r="E62" s="23">
        <f t="shared" si="31"/>
        <v>479.20000000000005</v>
      </c>
      <c r="G62" s="22">
        <v>2</v>
      </c>
      <c r="H62" s="23">
        <f aca="true" t="shared" si="34" ref="H62:H70">$J$60*10%</f>
        <v>15</v>
      </c>
      <c r="I62" s="23">
        <f>I61+H62</f>
        <v>30</v>
      </c>
      <c r="J62" s="23">
        <f t="shared" si="32"/>
        <v>120</v>
      </c>
      <c r="L62" s="164" t="str">
        <f>G2</f>
        <v>Ollas Industriales</v>
      </c>
      <c r="M62" s="165">
        <f aca="true" t="shared" si="35" ref="M62:M74">N62/12</f>
        <v>10.5</v>
      </c>
      <c r="N62" s="166">
        <f>H5</f>
        <v>126</v>
      </c>
    </row>
    <row r="63" spans="2:14" ht="15.75" customHeight="1">
      <c r="B63" s="22">
        <v>3</v>
      </c>
      <c r="C63" s="23">
        <f t="shared" si="33"/>
        <v>59.900000000000006</v>
      </c>
      <c r="D63" s="23">
        <f>D62+C63</f>
        <v>179.70000000000002</v>
      </c>
      <c r="E63" s="23">
        <f t="shared" si="31"/>
        <v>419.30000000000007</v>
      </c>
      <c r="G63" s="22">
        <v>3</v>
      </c>
      <c r="H63" s="23">
        <f t="shared" si="34"/>
        <v>15</v>
      </c>
      <c r="I63" s="23">
        <f>I62+H63</f>
        <v>45</v>
      </c>
      <c r="J63" s="23">
        <f t="shared" si="32"/>
        <v>105</v>
      </c>
      <c r="L63" s="164" t="str">
        <f>L2</f>
        <v>Tanque Pulmón</v>
      </c>
      <c r="M63" s="165">
        <f t="shared" si="35"/>
        <v>1</v>
      </c>
      <c r="N63" s="166">
        <f>M5</f>
        <v>12</v>
      </c>
    </row>
    <row r="64" spans="2:14" ht="15" customHeight="1">
      <c r="B64" s="22">
        <v>4</v>
      </c>
      <c r="C64" s="23">
        <f t="shared" si="33"/>
        <v>59.900000000000006</v>
      </c>
      <c r="D64" s="23">
        <f>C64</f>
        <v>59.900000000000006</v>
      </c>
      <c r="E64" s="23">
        <f t="shared" si="31"/>
        <v>359.4000000000001</v>
      </c>
      <c r="G64" s="22">
        <v>4</v>
      </c>
      <c r="H64" s="23">
        <f t="shared" si="34"/>
        <v>15</v>
      </c>
      <c r="I64" s="23">
        <f>H64</f>
        <v>15</v>
      </c>
      <c r="J64" s="23">
        <f t="shared" si="32"/>
        <v>90</v>
      </c>
      <c r="L64" s="170" t="str">
        <f>B16</f>
        <v>Refrigeradoras Industriales</v>
      </c>
      <c r="M64" s="165">
        <f t="shared" si="35"/>
        <v>20</v>
      </c>
      <c r="N64" s="166">
        <f>C19</f>
        <v>240</v>
      </c>
    </row>
    <row r="65" spans="2:14" ht="16.5" customHeight="1">
      <c r="B65" s="22">
        <v>5</v>
      </c>
      <c r="C65" s="23">
        <f t="shared" si="33"/>
        <v>59.900000000000006</v>
      </c>
      <c r="D65" s="23">
        <f>D64+C65</f>
        <v>119.80000000000001</v>
      </c>
      <c r="E65" s="23">
        <f t="shared" si="31"/>
        <v>299.5000000000001</v>
      </c>
      <c r="G65" s="22">
        <v>5</v>
      </c>
      <c r="H65" s="23">
        <f t="shared" si="34"/>
        <v>15</v>
      </c>
      <c r="I65" s="23">
        <f>I64+H65</f>
        <v>30</v>
      </c>
      <c r="J65" s="23">
        <f t="shared" si="32"/>
        <v>75</v>
      </c>
      <c r="L65" s="164" t="str">
        <f>G16</f>
        <v>Envasadora</v>
      </c>
      <c r="M65" s="165">
        <f t="shared" si="35"/>
        <v>25</v>
      </c>
      <c r="N65" s="166">
        <f>H19</f>
        <v>300</v>
      </c>
    </row>
    <row r="66" spans="2:14" ht="15" customHeight="1">
      <c r="B66" s="22">
        <v>6</v>
      </c>
      <c r="C66" s="23">
        <f t="shared" si="33"/>
        <v>59.900000000000006</v>
      </c>
      <c r="D66" s="23">
        <f>C66+D65</f>
        <v>179.70000000000002</v>
      </c>
      <c r="E66" s="23">
        <f t="shared" si="31"/>
        <v>239.6000000000001</v>
      </c>
      <c r="G66" s="22">
        <v>6</v>
      </c>
      <c r="H66" s="23">
        <f t="shared" si="34"/>
        <v>15</v>
      </c>
      <c r="I66" s="23">
        <f>H66+I65</f>
        <v>45</v>
      </c>
      <c r="J66" s="23">
        <f t="shared" si="32"/>
        <v>60</v>
      </c>
      <c r="L66" s="164" t="str">
        <f>L16</f>
        <v>Vehículos:</v>
      </c>
      <c r="M66" s="165">
        <f t="shared" si="35"/>
        <v>333.3333333333333</v>
      </c>
      <c r="N66" s="166">
        <f>M19</f>
        <v>4000</v>
      </c>
    </row>
    <row r="67" spans="2:14" ht="15" customHeight="1">
      <c r="B67" s="22">
        <v>7</v>
      </c>
      <c r="C67" s="23">
        <f t="shared" si="33"/>
        <v>59.900000000000006</v>
      </c>
      <c r="D67" s="23">
        <f>C67</f>
        <v>59.900000000000006</v>
      </c>
      <c r="E67" s="23">
        <f t="shared" si="31"/>
        <v>179.7000000000001</v>
      </c>
      <c r="G67" s="22">
        <v>7</v>
      </c>
      <c r="H67" s="23">
        <f t="shared" si="34"/>
        <v>15</v>
      </c>
      <c r="I67" s="23">
        <f>H67</f>
        <v>15</v>
      </c>
      <c r="J67" s="23">
        <f t="shared" si="32"/>
        <v>45</v>
      </c>
      <c r="L67" s="164" t="str">
        <f>B30</f>
        <v>Computadora</v>
      </c>
      <c r="M67" s="165">
        <f t="shared" si="35"/>
        <v>53.19444444444445</v>
      </c>
      <c r="N67" s="166">
        <f>C33</f>
        <v>638.3333333333334</v>
      </c>
    </row>
    <row r="68" spans="2:14" ht="15.75" customHeight="1">
      <c r="B68" s="22">
        <v>8</v>
      </c>
      <c r="C68" s="23">
        <f t="shared" si="33"/>
        <v>59.900000000000006</v>
      </c>
      <c r="D68" s="23">
        <f>D67+C68</f>
        <v>119.80000000000001</v>
      </c>
      <c r="E68" s="23">
        <f t="shared" si="31"/>
        <v>119.8000000000001</v>
      </c>
      <c r="G68" s="22">
        <v>8</v>
      </c>
      <c r="H68" s="23">
        <f t="shared" si="34"/>
        <v>15</v>
      </c>
      <c r="I68" s="23">
        <f>I67+H68</f>
        <v>30</v>
      </c>
      <c r="J68" s="23">
        <f>J67-H68</f>
        <v>30</v>
      </c>
      <c r="L68" s="164" t="str">
        <f>G30</f>
        <v>Impresora 3 en 1</v>
      </c>
      <c r="M68" s="165">
        <f t="shared" si="35"/>
        <v>5.138888888888888</v>
      </c>
      <c r="N68" s="166">
        <f>H33</f>
        <v>61.666666666666664</v>
      </c>
    </row>
    <row r="69" spans="2:14" ht="15.75" customHeight="1">
      <c r="B69" s="22">
        <v>9</v>
      </c>
      <c r="C69" s="23">
        <f t="shared" si="33"/>
        <v>59.900000000000006</v>
      </c>
      <c r="D69" s="23">
        <f>D68+C69</f>
        <v>179.70000000000002</v>
      </c>
      <c r="E69" s="23">
        <f t="shared" si="31"/>
        <v>59.90000000000009</v>
      </c>
      <c r="G69" s="22">
        <v>9</v>
      </c>
      <c r="H69" s="23">
        <f t="shared" si="34"/>
        <v>15</v>
      </c>
      <c r="I69" s="23">
        <f>I68+H69</f>
        <v>45</v>
      </c>
      <c r="J69" s="23">
        <f>J68-H69</f>
        <v>15</v>
      </c>
      <c r="L69" s="164" t="str">
        <f>L30</f>
        <v>ROUTER</v>
      </c>
      <c r="M69" s="165">
        <f t="shared" si="35"/>
        <v>3.027777777777778</v>
      </c>
      <c r="N69" s="166">
        <f>M33</f>
        <v>36.333333333333336</v>
      </c>
    </row>
    <row r="70" spans="2:14" ht="15">
      <c r="B70" s="22">
        <v>10</v>
      </c>
      <c r="C70" s="23">
        <f t="shared" si="33"/>
        <v>59.900000000000006</v>
      </c>
      <c r="D70" s="23">
        <f>C70</f>
        <v>59.900000000000006</v>
      </c>
      <c r="E70" s="23">
        <f>E69-C70</f>
        <v>8.526512829121202E-14</v>
      </c>
      <c r="G70" s="22">
        <v>10</v>
      </c>
      <c r="H70" s="23">
        <f t="shared" si="34"/>
        <v>15</v>
      </c>
      <c r="I70" s="23">
        <f>H70</f>
        <v>15</v>
      </c>
      <c r="J70" s="23">
        <f>J69-H70</f>
        <v>0</v>
      </c>
      <c r="L70" s="164" t="str">
        <f>B44</f>
        <v>Impresoras a laser </v>
      </c>
      <c r="M70" s="165">
        <f t="shared" si="35"/>
        <v>6.944444444444444</v>
      </c>
      <c r="N70" s="166">
        <f>C47</f>
        <v>83.33333333333333</v>
      </c>
    </row>
    <row r="71" spans="12:14" ht="15">
      <c r="L71" s="164" t="str">
        <f>G44</f>
        <v>Total Muebles de Oficina</v>
      </c>
      <c r="M71" s="165">
        <f t="shared" si="35"/>
        <v>15.75</v>
      </c>
      <c r="N71" s="166">
        <f>H47</f>
        <v>189</v>
      </c>
    </row>
    <row r="72" spans="12:14" ht="15">
      <c r="L72" s="164" t="str">
        <f>L44</f>
        <v>Aire Condicionado Central</v>
      </c>
      <c r="M72" s="165">
        <f t="shared" si="35"/>
        <v>10.5</v>
      </c>
      <c r="N72" s="166">
        <f>M47</f>
        <v>126</v>
      </c>
    </row>
    <row r="73" spans="12:14" ht="15">
      <c r="L73" s="164" t="str">
        <f>B58</f>
        <v>Refrigeradora</v>
      </c>
      <c r="M73" s="165">
        <f t="shared" si="35"/>
        <v>4.991666666666667</v>
      </c>
      <c r="N73" s="166">
        <f>C61</f>
        <v>59.900000000000006</v>
      </c>
    </row>
    <row r="74" spans="7:14" ht="15.75" thickBot="1">
      <c r="G74" t="s">
        <v>282</v>
      </c>
      <c r="H74" s="57">
        <f>E42+J42+O42+E56</f>
        <v>1639.3333333333333</v>
      </c>
      <c r="L74" s="164" t="str">
        <f>G58</f>
        <v>Microonda LG</v>
      </c>
      <c r="M74" s="165">
        <f t="shared" si="35"/>
        <v>1.25</v>
      </c>
      <c r="N74" s="166">
        <f>H61</f>
        <v>15</v>
      </c>
    </row>
    <row r="75" spans="12:15" ht="15.75" thickBot="1">
      <c r="L75" s="167"/>
      <c r="M75" s="168" t="s">
        <v>164</v>
      </c>
      <c r="N75" s="171">
        <f>SUM(M61:M74)</f>
        <v>504.7972222222223</v>
      </c>
      <c r="O75" s="169">
        <f>SUM(N61:N74)</f>
        <v>6057.566666666666</v>
      </c>
    </row>
    <row r="76" ht="15">
      <c r="L76" s="26"/>
    </row>
  </sheetData>
  <sheetProtection/>
  <mergeCells count="14">
    <mergeCell ref="B2:E2"/>
    <mergeCell ref="G2:J2"/>
    <mergeCell ref="G16:J16"/>
    <mergeCell ref="B16:E16"/>
    <mergeCell ref="L2:O2"/>
    <mergeCell ref="L16:O16"/>
    <mergeCell ref="G30:J30"/>
    <mergeCell ref="L30:O30"/>
    <mergeCell ref="B44:E44"/>
    <mergeCell ref="G44:J44"/>
    <mergeCell ref="B58:E58"/>
    <mergeCell ref="G58:J58"/>
    <mergeCell ref="L44:O44"/>
    <mergeCell ref="B30:E3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">
      <selection activeCell="D20" sqref="D20"/>
    </sheetView>
  </sheetViews>
  <sheetFormatPr defaultColWidth="11.421875" defaultRowHeight="15"/>
  <cols>
    <col min="1" max="1" width="26.421875" style="0" customWidth="1"/>
    <col min="3" max="3" width="13.57421875" style="0" customWidth="1"/>
    <col min="4" max="4" width="16.140625" style="0" customWidth="1"/>
    <col min="5" max="5" width="13.28125" style="0" customWidth="1"/>
  </cols>
  <sheetData>
    <row r="1" ht="21">
      <c r="A1" s="1" t="s">
        <v>68</v>
      </c>
    </row>
    <row r="3" spans="1:5" ht="28.5" customHeight="1">
      <c r="A3" s="60" t="s">
        <v>58</v>
      </c>
      <c r="B3" s="59" t="s">
        <v>62</v>
      </c>
      <c r="C3" s="59" t="s">
        <v>59</v>
      </c>
      <c r="D3" s="59" t="s">
        <v>60</v>
      </c>
      <c r="E3" s="59" t="s">
        <v>61</v>
      </c>
    </row>
    <row r="4" spans="1:5" ht="16.5" customHeight="1">
      <c r="A4" s="61" t="s">
        <v>11</v>
      </c>
      <c r="B4" s="62"/>
      <c r="C4" s="63"/>
      <c r="D4" s="64"/>
      <c r="E4" s="53"/>
    </row>
    <row r="5" spans="1:5" ht="16.5" customHeight="1">
      <c r="A5" s="5" t="s">
        <v>76</v>
      </c>
      <c r="B5" s="15">
        <v>1700</v>
      </c>
      <c r="C5" s="13">
        <v>10</v>
      </c>
      <c r="D5" s="65">
        <f>'Tabla depr'!N61</f>
        <v>170</v>
      </c>
      <c r="E5" s="66">
        <f>D5/12</f>
        <v>14.166666666666666</v>
      </c>
    </row>
    <row r="6" spans="1:5" ht="16.5" customHeight="1">
      <c r="A6" s="5" t="s">
        <v>77</v>
      </c>
      <c r="B6" s="15">
        <v>1260</v>
      </c>
      <c r="C6" s="13">
        <v>10</v>
      </c>
      <c r="D6" s="65">
        <f>'Tabla depr'!N62</f>
        <v>126</v>
      </c>
      <c r="E6" s="66">
        <f aca="true" t="shared" si="0" ref="E6:E24">D6/12</f>
        <v>10.5</v>
      </c>
    </row>
    <row r="7" spans="1:5" ht="16.5" customHeight="1">
      <c r="A7" s="67" t="s">
        <v>78</v>
      </c>
      <c r="B7" s="15">
        <v>2400</v>
      </c>
      <c r="C7" s="13">
        <v>10</v>
      </c>
      <c r="D7" s="65">
        <f>'Tabla depr'!N64</f>
        <v>240</v>
      </c>
      <c r="E7" s="66">
        <f>D7/12</f>
        <v>20</v>
      </c>
    </row>
    <row r="8" spans="1:5" ht="16.5" customHeight="1">
      <c r="A8" s="5" t="s">
        <v>79</v>
      </c>
      <c r="B8" s="15">
        <v>3000</v>
      </c>
      <c r="C8" s="13">
        <v>10</v>
      </c>
      <c r="D8" s="65">
        <f>'Tabla depr'!N65</f>
        <v>300</v>
      </c>
      <c r="E8" s="66">
        <f t="shared" si="0"/>
        <v>25</v>
      </c>
    </row>
    <row r="9" spans="1:5" ht="16.5" customHeight="1">
      <c r="A9" s="5" t="s">
        <v>80</v>
      </c>
      <c r="B9" s="15">
        <v>120</v>
      </c>
      <c r="C9" s="13">
        <v>10</v>
      </c>
      <c r="D9" s="65">
        <f>'Tabla depr'!N63</f>
        <v>12</v>
      </c>
      <c r="E9" s="66">
        <f t="shared" si="0"/>
        <v>1</v>
      </c>
    </row>
    <row r="10" spans="1:5" ht="16.5" customHeight="1">
      <c r="A10" s="61" t="s">
        <v>12</v>
      </c>
      <c r="B10" s="17"/>
      <c r="C10" s="13"/>
      <c r="D10" s="65"/>
      <c r="E10" s="66"/>
    </row>
    <row r="11" spans="1:5" ht="16.5" customHeight="1">
      <c r="A11" s="197" t="s">
        <v>429</v>
      </c>
      <c r="B11" s="15">
        <v>20000</v>
      </c>
      <c r="C11" s="13">
        <v>5</v>
      </c>
      <c r="D11" s="65">
        <f>'Tabla depr'!N66</f>
        <v>4000</v>
      </c>
      <c r="E11" s="66">
        <f t="shared" si="0"/>
        <v>333.3333333333333</v>
      </c>
    </row>
    <row r="12" spans="1:5" ht="16.5" customHeight="1">
      <c r="A12" s="10" t="s">
        <v>85</v>
      </c>
      <c r="B12" s="17"/>
      <c r="C12" s="13"/>
      <c r="D12" s="65"/>
      <c r="E12" s="66"/>
    </row>
    <row r="13" spans="1:5" ht="16.5" customHeight="1">
      <c r="A13" s="12" t="s">
        <v>14</v>
      </c>
      <c r="B13" s="15">
        <f>'Inversión y Costos'!E14</f>
        <v>1915</v>
      </c>
      <c r="C13" s="13">
        <v>3</v>
      </c>
      <c r="D13" s="65">
        <f>'Tabla depr'!N67</f>
        <v>638.3333333333334</v>
      </c>
      <c r="E13" s="66">
        <f t="shared" si="0"/>
        <v>53.19444444444445</v>
      </c>
    </row>
    <row r="14" spans="1:5" ht="16.5" customHeight="1">
      <c r="A14" s="89" t="s">
        <v>82</v>
      </c>
      <c r="B14" s="15">
        <f>'Inversión y Costos'!E15</f>
        <v>185</v>
      </c>
      <c r="C14" s="13">
        <v>3</v>
      </c>
      <c r="D14" s="65">
        <f>'Tabla depr'!N67</f>
        <v>638.3333333333334</v>
      </c>
      <c r="E14" s="66">
        <f t="shared" si="0"/>
        <v>53.19444444444445</v>
      </c>
    </row>
    <row r="15" spans="1:5" ht="16.5" customHeight="1">
      <c r="A15" s="89" t="s">
        <v>83</v>
      </c>
      <c r="B15" s="15">
        <v>109</v>
      </c>
      <c r="C15" s="13">
        <v>3</v>
      </c>
      <c r="D15" s="65">
        <f>'Tabla depr'!N68</f>
        <v>61.666666666666664</v>
      </c>
      <c r="E15" s="66">
        <f t="shared" si="0"/>
        <v>5.138888888888888</v>
      </c>
    </row>
    <row r="16" spans="1:5" ht="16.5" customHeight="1">
      <c r="A16" s="89" t="s">
        <v>84</v>
      </c>
      <c r="B16" s="15">
        <f>Inversión!B28</f>
        <v>250</v>
      </c>
      <c r="C16" s="13">
        <v>3</v>
      </c>
      <c r="D16" s="65">
        <f>'Tabla depr'!N70</f>
        <v>83.33333333333333</v>
      </c>
      <c r="E16" s="66">
        <f t="shared" si="0"/>
        <v>6.944444444444444</v>
      </c>
    </row>
    <row r="17" spans="1:5" ht="16.5" customHeight="1">
      <c r="A17" s="89" t="s">
        <v>86</v>
      </c>
      <c r="B17" s="15">
        <v>1260</v>
      </c>
      <c r="C17" s="13">
        <v>10</v>
      </c>
      <c r="D17" s="65">
        <f>'Tabla depr'!N72</f>
        <v>126</v>
      </c>
      <c r="E17" s="66">
        <f t="shared" si="0"/>
        <v>10.5</v>
      </c>
    </row>
    <row r="18" spans="1:5" ht="16.5" customHeight="1">
      <c r="A18" s="89" t="s">
        <v>87</v>
      </c>
      <c r="B18" s="15">
        <v>599</v>
      </c>
      <c r="C18" s="13">
        <v>10</v>
      </c>
      <c r="D18" s="65">
        <f>'Tabla depr'!N73</f>
        <v>59.900000000000006</v>
      </c>
      <c r="E18" s="66">
        <f t="shared" si="0"/>
        <v>4.991666666666667</v>
      </c>
    </row>
    <row r="19" spans="1:5" ht="16.5" customHeight="1">
      <c r="A19" s="89" t="s">
        <v>88</v>
      </c>
      <c r="B19" s="15">
        <v>150</v>
      </c>
      <c r="C19" s="13">
        <v>10</v>
      </c>
      <c r="D19" s="65">
        <f>'Tabla depr'!N74</f>
        <v>15</v>
      </c>
      <c r="E19" s="66">
        <f t="shared" si="0"/>
        <v>1.25</v>
      </c>
    </row>
    <row r="20" spans="1:5" ht="16.5" customHeight="1">
      <c r="A20" s="10" t="s">
        <v>89</v>
      </c>
      <c r="B20" s="17"/>
      <c r="C20" s="13">
        <v>10</v>
      </c>
      <c r="D20" s="65">
        <f>'Tabla depr'!N71</f>
        <v>189</v>
      </c>
      <c r="E20" s="66">
        <f t="shared" si="0"/>
        <v>15.75</v>
      </c>
    </row>
    <row r="21" spans="1:5" ht="16.5" customHeight="1">
      <c r="A21" s="89" t="s">
        <v>90</v>
      </c>
      <c r="B21" s="15">
        <f>Inversión!B33</f>
        <v>900</v>
      </c>
      <c r="C21" s="13">
        <v>10</v>
      </c>
      <c r="D21" s="65"/>
      <c r="E21" s="66">
        <f t="shared" si="0"/>
        <v>0</v>
      </c>
    </row>
    <row r="22" spans="1:5" ht="16.5" customHeight="1">
      <c r="A22" s="89" t="s">
        <v>91</v>
      </c>
      <c r="B22" s="15">
        <f>Inversión!B34</f>
        <v>270</v>
      </c>
      <c r="C22" s="13">
        <v>10</v>
      </c>
      <c r="D22" s="65"/>
      <c r="E22" s="66">
        <f t="shared" si="0"/>
        <v>0</v>
      </c>
    </row>
    <row r="23" spans="1:5" ht="16.5" customHeight="1">
      <c r="A23" s="89" t="s">
        <v>92</v>
      </c>
      <c r="B23" s="15">
        <f>'Inversión y Costos'!E21</f>
        <v>120</v>
      </c>
      <c r="C23" s="13">
        <v>10</v>
      </c>
      <c r="D23" s="65"/>
      <c r="E23" s="66">
        <f t="shared" si="0"/>
        <v>0</v>
      </c>
    </row>
    <row r="24" spans="1:5" ht="16.5" customHeight="1">
      <c r="A24" s="89" t="s">
        <v>93</v>
      </c>
      <c r="B24" s="15">
        <f>'Inversión y Costos'!E25</f>
        <v>600</v>
      </c>
      <c r="C24" s="13">
        <v>10</v>
      </c>
      <c r="D24" s="65"/>
      <c r="E24" s="66">
        <f t="shared" si="0"/>
        <v>0</v>
      </c>
    </row>
    <row r="25" spans="2:10" ht="15.75">
      <c r="B25" s="444">
        <f>SUM(B5:B24)</f>
        <v>34838</v>
      </c>
      <c r="C25" s="68"/>
      <c r="D25" s="69">
        <f>SUM(D5:D24)</f>
        <v>6659.566666666666</v>
      </c>
      <c r="E25" s="69">
        <f>SUM(E5:E24)</f>
        <v>554.963888888889</v>
      </c>
      <c r="J25" s="195"/>
    </row>
    <row r="26" spans="2:10" ht="15">
      <c r="B26" s="2"/>
      <c r="C26" s="2"/>
      <c r="D26" s="2"/>
      <c r="E26" s="2"/>
      <c r="J26" s="195"/>
    </row>
    <row r="27" spans="2:10" ht="15">
      <c r="B27" s="2"/>
      <c r="C27" s="2"/>
      <c r="D27" s="2"/>
      <c r="E27" s="2"/>
      <c r="J27" s="195"/>
    </row>
    <row r="28" spans="1:10" ht="30">
      <c r="A28" s="32" t="s">
        <v>25</v>
      </c>
      <c r="B28" s="32" t="s">
        <v>26</v>
      </c>
      <c r="C28" s="32" t="s">
        <v>63</v>
      </c>
      <c r="D28" s="32" t="s">
        <v>64</v>
      </c>
      <c r="J28" s="195"/>
    </row>
    <row r="29" spans="1:10" ht="15">
      <c r="A29" s="52" t="s">
        <v>27</v>
      </c>
      <c r="B29" s="19">
        <f>'Inv. Inic.'!B4</f>
        <v>700</v>
      </c>
      <c r="C29" s="19">
        <f>B29/5</f>
        <v>140</v>
      </c>
      <c r="D29" s="19">
        <f>C29/12</f>
        <v>11.666666666666666</v>
      </c>
      <c r="J29" s="195"/>
    </row>
    <row r="30" spans="1:10" ht="30">
      <c r="A30" s="52" t="s">
        <v>28</v>
      </c>
      <c r="B30" s="19">
        <f>'Inv. Inic.'!B5</f>
        <v>400</v>
      </c>
      <c r="C30" s="19">
        <f>B30/5</f>
        <v>80</v>
      </c>
      <c r="D30" s="19">
        <f>C30/12</f>
        <v>6.666666666666667</v>
      </c>
      <c r="E30" s="173"/>
      <c r="F30" s="173"/>
      <c r="G30" s="173"/>
      <c r="H30" s="173"/>
      <c r="I30" s="173"/>
      <c r="J30" s="195"/>
    </row>
    <row r="31" spans="1:10" ht="28.5" customHeight="1">
      <c r="A31" s="52" t="s">
        <v>29</v>
      </c>
      <c r="B31" s="19">
        <f>'Inv. Inic.'!B6</f>
        <v>800</v>
      </c>
      <c r="C31" s="19">
        <f>B31/5</f>
        <v>160</v>
      </c>
      <c r="D31" s="19">
        <f>C31/12</f>
        <v>13.333333333333334</v>
      </c>
      <c r="E31" s="175"/>
      <c r="F31" s="173"/>
      <c r="G31" s="173"/>
      <c r="H31" s="173"/>
      <c r="I31" s="173"/>
      <c r="J31" s="195"/>
    </row>
    <row r="32" spans="1:10" ht="16.5" customHeight="1">
      <c r="A32" s="34" t="s">
        <v>6</v>
      </c>
      <c r="B32" s="20">
        <f>SUM(B29:B31)</f>
        <v>1900</v>
      </c>
      <c r="C32" s="20">
        <f>SUM(C29:C31)</f>
        <v>380</v>
      </c>
      <c r="D32" s="20">
        <f>SUM(D29:D31)</f>
        <v>31.666666666666664</v>
      </c>
      <c r="E32" s="177"/>
      <c r="F32" s="173"/>
      <c r="G32" s="173"/>
      <c r="H32" s="173"/>
      <c r="I32" s="173"/>
      <c r="J32" s="196"/>
    </row>
    <row r="33" spans="1:10" ht="16.5" customHeight="1">
      <c r="A33" s="173"/>
      <c r="B33" s="178"/>
      <c r="C33" s="179"/>
      <c r="D33" s="180"/>
      <c r="E33" s="181"/>
      <c r="F33" s="173"/>
      <c r="G33" s="173"/>
      <c r="H33" s="173"/>
      <c r="I33" s="173"/>
      <c r="J33" s="195"/>
    </row>
    <row r="34" spans="1:10" ht="16.5" customHeight="1">
      <c r="A34" s="182"/>
      <c r="B34" s="178"/>
      <c r="C34" s="179"/>
      <c r="D34" s="180"/>
      <c r="E34" s="181"/>
      <c r="F34" s="173"/>
      <c r="G34" s="173"/>
      <c r="H34" s="173"/>
      <c r="I34" s="173"/>
      <c r="J34" s="195"/>
    </row>
    <row r="35" spans="1:10" ht="16.5" customHeight="1">
      <c r="A35" s="173"/>
      <c r="B35" s="178"/>
      <c r="C35" s="179"/>
      <c r="D35" s="180"/>
      <c r="E35" s="181"/>
      <c r="F35" s="173"/>
      <c r="G35" s="173"/>
      <c r="H35" s="173"/>
      <c r="I35" s="173"/>
      <c r="J35" s="195"/>
    </row>
    <row r="36" spans="1:10" ht="16.5" customHeight="1">
      <c r="A36" s="174"/>
      <c r="B36" s="178"/>
      <c r="C36" s="179"/>
      <c r="D36" s="180"/>
      <c r="E36" s="181"/>
      <c r="F36" s="173"/>
      <c r="G36" s="173"/>
      <c r="H36" s="173"/>
      <c r="I36" s="173"/>
      <c r="J36" s="195"/>
    </row>
    <row r="37" spans="1:10" ht="16.5" customHeight="1">
      <c r="A37" s="183"/>
      <c r="B37" s="178"/>
      <c r="C37" s="179"/>
      <c r="D37" s="180"/>
      <c r="E37" s="181"/>
      <c r="F37" s="173"/>
      <c r="G37" s="173"/>
      <c r="H37" s="173"/>
      <c r="I37" s="173"/>
      <c r="J37" s="56"/>
    </row>
    <row r="38" spans="1:9" ht="16.5" customHeight="1">
      <c r="A38" s="184"/>
      <c r="B38" s="178"/>
      <c r="C38" s="179"/>
      <c r="D38" s="180"/>
      <c r="E38" s="181"/>
      <c r="F38" s="173"/>
      <c r="G38" s="173"/>
      <c r="H38" s="173"/>
      <c r="I38" s="173"/>
    </row>
    <row r="39" spans="1:9" ht="16.5" customHeight="1">
      <c r="A39" s="184"/>
      <c r="B39" s="185"/>
      <c r="C39" s="179"/>
      <c r="D39" s="180"/>
      <c r="E39" s="181"/>
      <c r="F39" s="173"/>
      <c r="G39" s="173"/>
      <c r="H39" s="173"/>
      <c r="I39" s="173"/>
    </row>
    <row r="40" spans="1:9" ht="16.5" customHeight="1">
      <c r="A40" s="186"/>
      <c r="B40" s="178"/>
      <c r="C40" s="179"/>
      <c r="D40" s="180"/>
      <c r="E40" s="181"/>
      <c r="F40" s="173"/>
      <c r="G40" s="173"/>
      <c r="H40" s="173"/>
      <c r="I40" s="173"/>
    </row>
    <row r="41" spans="1:9" ht="16.5" customHeight="1">
      <c r="A41" s="184"/>
      <c r="B41" s="185"/>
      <c r="C41" s="179"/>
      <c r="D41" s="180"/>
      <c r="E41" s="181"/>
      <c r="F41" s="173"/>
      <c r="G41" s="173"/>
      <c r="H41" s="173"/>
      <c r="I41" s="173"/>
    </row>
    <row r="42" spans="1:9" ht="16.5" customHeight="1">
      <c r="A42" s="184"/>
      <c r="B42" s="178"/>
      <c r="C42" s="179"/>
      <c r="D42" s="180"/>
      <c r="E42" s="181"/>
      <c r="F42" s="173"/>
      <c r="G42" s="173"/>
      <c r="H42" s="173"/>
      <c r="I42" s="173"/>
    </row>
    <row r="43" spans="1:9" ht="16.5" customHeight="1">
      <c r="A43" s="184"/>
      <c r="B43" s="172"/>
      <c r="C43" s="176"/>
      <c r="D43" s="187"/>
      <c r="E43" s="188"/>
      <c r="F43" s="173"/>
      <c r="G43" s="173"/>
      <c r="H43" s="173"/>
      <c r="I43" s="173"/>
    </row>
    <row r="44" spans="1:9" ht="15.75">
      <c r="A44" s="183"/>
      <c r="B44" s="176"/>
      <c r="C44" s="176"/>
      <c r="D44" s="189"/>
      <c r="E44" s="189"/>
      <c r="F44" s="173"/>
      <c r="G44" s="173"/>
      <c r="H44" s="173"/>
      <c r="I44" s="173"/>
    </row>
    <row r="45" spans="1:9" ht="15">
      <c r="A45" s="172"/>
      <c r="B45" s="173"/>
      <c r="C45" s="173"/>
      <c r="D45" s="173"/>
      <c r="E45" s="173"/>
      <c r="F45" s="173"/>
      <c r="G45" s="173"/>
      <c r="H45" s="173"/>
      <c r="I45" s="173"/>
    </row>
    <row r="46" spans="1:9" ht="15">
      <c r="A46" s="183"/>
      <c r="B46" s="173"/>
      <c r="C46" s="173"/>
      <c r="D46" s="173"/>
      <c r="E46" s="173"/>
      <c r="F46" s="173"/>
      <c r="G46" s="173"/>
      <c r="H46" s="173"/>
      <c r="I46" s="173"/>
    </row>
    <row r="47" spans="1:9" ht="15">
      <c r="A47" s="172"/>
      <c r="B47" s="190"/>
      <c r="C47" s="190"/>
      <c r="D47" s="190"/>
      <c r="E47" s="173"/>
      <c r="F47" s="173"/>
      <c r="G47" s="173"/>
      <c r="H47" s="173"/>
      <c r="I47" s="173"/>
    </row>
    <row r="48" spans="1:9" ht="15">
      <c r="A48" s="172"/>
      <c r="B48" s="191"/>
      <c r="C48" s="191"/>
      <c r="D48" s="191"/>
      <c r="E48" s="173"/>
      <c r="F48" s="173"/>
      <c r="G48" s="173"/>
      <c r="H48" s="173"/>
      <c r="I48" s="173"/>
    </row>
    <row r="49" spans="1:9" ht="15">
      <c r="A49" s="174"/>
      <c r="B49" s="191"/>
      <c r="C49" s="191"/>
      <c r="D49" s="191"/>
      <c r="E49" s="173"/>
      <c r="F49" s="173"/>
      <c r="G49" s="173"/>
      <c r="H49" s="173"/>
      <c r="I49" s="173"/>
    </row>
    <row r="50" spans="1:9" ht="15">
      <c r="A50" s="173"/>
      <c r="B50" s="191"/>
      <c r="C50" s="191"/>
      <c r="D50" s="191"/>
      <c r="E50" s="173"/>
      <c r="F50" s="173"/>
      <c r="G50" s="173"/>
      <c r="H50" s="173"/>
      <c r="I50" s="173"/>
    </row>
    <row r="51" spans="1:9" ht="15">
      <c r="A51" s="173"/>
      <c r="B51" s="192"/>
      <c r="C51" s="192"/>
      <c r="D51" s="192"/>
      <c r="E51" s="173"/>
      <c r="F51" s="173"/>
      <c r="G51" s="173"/>
      <c r="H51" s="173"/>
      <c r="I51" s="173"/>
    </row>
    <row r="52" spans="1:9" ht="15">
      <c r="A52" s="190"/>
      <c r="B52" s="173"/>
      <c r="C52" s="173"/>
      <c r="D52" s="173"/>
      <c r="E52" s="173"/>
      <c r="F52" s="173"/>
      <c r="G52" s="173"/>
      <c r="H52" s="173"/>
      <c r="I52" s="173"/>
    </row>
    <row r="53" spans="1:9" ht="15">
      <c r="A53" s="193"/>
      <c r="B53" s="173"/>
      <c r="C53" s="173"/>
      <c r="D53" s="173"/>
      <c r="E53" s="173"/>
      <c r="F53" s="173"/>
      <c r="G53" s="173"/>
      <c r="H53" s="173"/>
      <c r="I53" s="173"/>
    </row>
    <row r="54" spans="1:9" ht="15">
      <c r="A54" s="193"/>
      <c r="B54" s="173"/>
      <c r="C54" s="173"/>
      <c r="D54" s="173"/>
      <c r="E54" s="173"/>
      <c r="F54" s="173"/>
      <c r="G54" s="173"/>
      <c r="H54" s="173"/>
      <c r="I54" s="173"/>
    </row>
    <row r="55" spans="1:9" ht="15">
      <c r="A55" s="193"/>
      <c r="B55" s="173"/>
      <c r="C55" s="173"/>
      <c r="D55" s="173"/>
      <c r="E55" s="173"/>
      <c r="F55" s="173"/>
      <c r="G55" s="173"/>
      <c r="H55" s="173"/>
      <c r="I55" s="173"/>
    </row>
    <row r="56" spans="1:9" ht="15">
      <c r="A56" s="194"/>
      <c r="B56" s="173"/>
      <c r="C56" s="173"/>
      <c r="D56" s="173"/>
      <c r="E56" s="173"/>
      <c r="F56" s="173"/>
      <c r="G56" s="173"/>
      <c r="H56" s="173"/>
      <c r="I56" s="173"/>
    </row>
    <row r="57" spans="1:9" ht="15">
      <c r="A57" s="173"/>
      <c r="B57" s="173"/>
      <c r="C57" s="173"/>
      <c r="D57" s="173"/>
      <c r="E57" s="173"/>
      <c r="F57" s="173"/>
      <c r="G57" s="173"/>
      <c r="H57" s="173"/>
      <c r="I57" s="1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5:M22"/>
  <sheetViews>
    <sheetView zoomScalePageLayoutView="0" workbookViewId="0" topLeftCell="A1">
      <selection activeCell="F5" sqref="F5"/>
    </sheetView>
  </sheetViews>
  <sheetFormatPr defaultColWidth="9.140625" defaultRowHeight="15"/>
  <cols>
    <col min="1" max="4" width="9.140625" style="255" customWidth="1"/>
    <col min="5" max="5" width="12.421875" style="255" customWidth="1"/>
    <col min="6" max="6" width="13.140625" style="255" bestFit="1" customWidth="1"/>
    <col min="7" max="7" width="12.421875" style="255" bestFit="1" customWidth="1"/>
    <col min="8" max="8" width="12.57421875" style="255" customWidth="1"/>
    <col min="9" max="9" width="9.140625" style="255" customWidth="1"/>
    <col min="10" max="10" width="11.8515625" style="255" bestFit="1" customWidth="1"/>
    <col min="11" max="11" width="16.140625" style="255" customWidth="1"/>
    <col min="12" max="12" width="11.8515625" style="255" bestFit="1" customWidth="1"/>
    <col min="13" max="13" width="11.57421875" style="255" customWidth="1"/>
    <col min="14" max="16384" width="9.140625" style="255" customWidth="1"/>
  </cols>
  <sheetData>
    <row r="5" spans="3:13" ht="12.75">
      <c r="C5" s="520" t="s">
        <v>416</v>
      </c>
      <c r="D5" s="521"/>
      <c r="E5" s="521"/>
      <c r="F5" s="257">
        <f>Inversión!B48</f>
        <v>48336.45090909091</v>
      </c>
      <c r="G5" s="256"/>
      <c r="H5" s="261"/>
      <c r="I5" s="262"/>
      <c r="L5" s="259" t="s">
        <v>355</v>
      </c>
      <c r="M5" s="259" t="s">
        <v>354</v>
      </c>
    </row>
    <row r="6" spans="3:13" ht="12.75">
      <c r="C6" s="520" t="s">
        <v>225</v>
      </c>
      <c r="D6" s="521"/>
      <c r="E6" s="521"/>
      <c r="F6" s="256">
        <f>CapTrabajo!E19</f>
        <v>-9511.421090909093</v>
      </c>
      <c r="G6" s="256"/>
      <c r="K6" s="260" t="s">
        <v>356</v>
      </c>
      <c r="L6" s="256">
        <f>F7</f>
        <v>38825.02981818182</v>
      </c>
      <c r="M6" s="415">
        <f>M7+M8</f>
        <v>1</v>
      </c>
    </row>
    <row r="7" spans="3:13" ht="12.75">
      <c r="C7" s="518" t="s">
        <v>417</v>
      </c>
      <c r="D7" s="519"/>
      <c r="E7" s="519"/>
      <c r="F7" s="256">
        <f>SUM(F5:F6)</f>
        <v>38825.02981818182</v>
      </c>
      <c r="G7" s="257"/>
      <c r="K7" s="260" t="s">
        <v>357</v>
      </c>
      <c r="L7" s="256">
        <f>L6*60%</f>
        <v>23295.017890909094</v>
      </c>
      <c r="M7" s="415">
        <v>0.6</v>
      </c>
    </row>
    <row r="8" spans="11:13" ht="12.75">
      <c r="K8" s="260" t="s">
        <v>358</v>
      </c>
      <c r="L8" s="256">
        <f>F7*40%</f>
        <v>15530.01192727273</v>
      </c>
      <c r="M8" s="415">
        <v>0.4</v>
      </c>
    </row>
    <row r="9" spans="3:4" ht="12.75">
      <c r="C9" s="255" t="s">
        <v>277</v>
      </c>
      <c r="D9" s="258">
        <v>0.1</v>
      </c>
    </row>
    <row r="11" spans="4:12" ht="12.75">
      <c r="D11" s="259" t="s">
        <v>278</v>
      </c>
      <c r="E11" s="259" t="s">
        <v>279</v>
      </c>
      <c r="F11" s="259" t="s">
        <v>280</v>
      </c>
      <c r="G11" s="259" t="s">
        <v>281</v>
      </c>
      <c r="H11" s="259" t="s">
        <v>278</v>
      </c>
      <c r="K11" s="517" t="s">
        <v>361</v>
      </c>
      <c r="L11" s="517"/>
    </row>
    <row r="12" spans="4:12" ht="12.75">
      <c r="D12" s="414">
        <v>0</v>
      </c>
      <c r="E12" s="256">
        <f>L12</f>
        <v>15530.01192727273</v>
      </c>
      <c r="F12" s="256"/>
      <c r="G12" s="256"/>
      <c r="H12" s="256"/>
      <c r="K12" s="260" t="s">
        <v>363</v>
      </c>
      <c r="L12" s="256">
        <f>L8</f>
        <v>15530.01192727273</v>
      </c>
    </row>
    <row r="13" spans="4:12" ht="12.75">
      <c r="D13" s="414">
        <v>1</v>
      </c>
      <c r="E13" s="256">
        <f>E12-F13</f>
        <v>14555.575196365888</v>
      </c>
      <c r="F13" s="256">
        <f>H13-G13</f>
        <v>974.4367309068411</v>
      </c>
      <c r="G13" s="256">
        <f>E12*$D$9</f>
        <v>1553.001192727273</v>
      </c>
      <c r="H13" s="256">
        <f>PMT($D$9,10,-$L$12)</f>
        <v>2527.437923634114</v>
      </c>
      <c r="K13" s="260" t="s">
        <v>359</v>
      </c>
      <c r="L13" s="323" t="s">
        <v>362</v>
      </c>
    </row>
    <row r="14" spans="4:12" ht="12.75">
      <c r="D14" s="414">
        <v>2</v>
      </c>
      <c r="E14" s="256">
        <f aca="true" t="shared" si="0" ref="E14:E22">E13-F14</f>
        <v>13483.694792368362</v>
      </c>
      <c r="F14" s="256">
        <f aca="true" t="shared" si="1" ref="F14:F22">H14-G14</f>
        <v>1071.8804039975253</v>
      </c>
      <c r="G14" s="256">
        <f>E13*$D$9</f>
        <v>1455.557519636589</v>
      </c>
      <c r="H14" s="256">
        <f aca="true" t="shared" si="2" ref="H14:H22">PMT($D$9,10,-$L$12)</f>
        <v>2527.437923634114</v>
      </c>
      <c r="K14" s="260" t="s">
        <v>360</v>
      </c>
      <c r="L14" s="322">
        <v>0.1</v>
      </c>
    </row>
    <row r="15" spans="4:8" ht="12.75">
      <c r="D15" s="414">
        <v>3</v>
      </c>
      <c r="E15" s="256">
        <f t="shared" si="0"/>
        <v>12304.626347971083</v>
      </c>
      <c r="F15" s="256">
        <f t="shared" si="1"/>
        <v>1179.068444397278</v>
      </c>
      <c r="G15" s="256">
        <f aca="true" t="shared" si="3" ref="G15:G22">E14*$D$9</f>
        <v>1348.3694792368362</v>
      </c>
      <c r="H15" s="256">
        <f t="shared" si="2"/>
        <v>2527.437923634114</v>
      </c>
    </row>
    <row r="16" spans="4:8" ht="12.75">
      <c r="D16" s="414">
        <v>4</v>
      </c>
      <c r="E16" s="256">
        <f t="shared" si="0"/>
        <v>11007.651059134078</v>
      </c>
      <c r="F16" s="256">
        <f t="shared" si="1"/>
        <v>1296.9752888370058</v>
      </c>
      <c r="G16" s="256">
        <f t="shared" si="3"/>
        <v>1230.4626347971084</v>
      </c>
      <c r="H16" s="256">
        <f t="shared" si="2"/>
        <v>2527.437923634114</v>
      </c>
    </row>
    <row r="17" spans="4:8" ht="12.75">
      <c r="D17" s="416">
        <v>5</v>
      </c>
      <c r="E17" s="256">
        <f t="shared" si="0"/>
        <v>9580.978241413372</v>
      </c>
      <c r="F17" s="256">
        <f t="shared" si="1"/>
        <v>1426.6728177207065</v>
      </c>
      <c r="G17" s="256">
        <f t="shared" si="3"/>
        <v>1100.7651059134078</v>
      </c>
      <c r="H17" s="256">
        <f t="shared" si="2"/>
        <v>2527.437923634114</v>
      </c>
    </row>
    <row r="18" spans="4:8" ht="12.75">
      <c r="D18" s="416">
        <v>6</v>
      </c>
      <c r="E18" s="256">
        <f t="shared" si="0"/>
        <v>8011.6381419205945</v>
      </c>
      <c r="F18" s="256">
        <f t="shared" si="1"/>
        <v>1569.340099492777</v>
      </c>
      <c r="G18" s="256">
        <f t="shared" si="3"/>
        <v>958.0978241413372</v>
      </c>
      <c r="H18" s="256">
        <f t="shared" si="2"/>
        <v>2527.437923634114</v>
      </c>
    </row>
    <row r="19" spans="4:8" ht="12.75">
      <c r="D19" s="416">
        <v>7</v>
      </c>
      <c r="E19" s="256">
        <f t="shared" si="0"/>
        <v>6285.364032478539</v>
      </c>
      <c r="F19" s="256">
        <f t="shared" si="1"/>
        <v>1726.2741094420549</v>
      </c>
      <c r="G19" s="256">
        <f>E18*$D$9</f>
        <v>801.1638141920595</v>
      </c>
      <c r="H19" s="256">
        <f t="shared" si="2"/>
        <v>2527.437923634114</v>
      </c>
    </row>
    <row r="20" spans="4:8" ht="12.75">
      <c r="D20" s="416">
        <v>8</v>
      </c>
      <c r="E20" s="256">
        <f t="shared" si="0"/>
        <v>4386.462512092279</v>
      </c>
      <c r="F20" s="256">
        <f t="shared" si="1"/>
        <v>1898.9015203862602</v>
      </c>
      <c r="G20" s="256">
        <f t="shared" si="3"/>
        <v>628.536403247854</v>
      </c>
      <c r="H20" s="256">
        <f t="shared" si="2"/>
        <v>2527.437923634114</v>
      </c>
    </row>
    <row r="21" spans="4:8" ht="12.75">
      <c r="D21" s="416">
        <v>9</v>
      </c>
      <c r="E21" s="256">
        <f>E20-F21</f>
        <v>2297.670839667393</v>
      </c>
      <c r="F21" s="256">
        <f t="shared" si="1"/>
        <v>2088.791672424886</v>
      </c>
      <c r="G21" s="256">
        <f>E20*$D$9</f>
        <v>438.64625120922796</v>
      </c>
      <c r="H21" s="256">
        <f t="shared" si="2"/>
        <v>2527.437923634114</v>
      </c>
    </row>
    <row r="22" spans="4:8" ht="12.75">
      <c r="D22" s="416">
        <v>10</v>
      </c>
      <c r="E22" s="256">
        <f t="shared" si="0"/>
        <v>1.8189894035458565E-11</v>
      </c>
      <c r="F22" s="256">
        <f t="shared" si="1"/>
        <v>2297.670839667375</v>
      </c>
      <c r="G22" s="256">
        <f t="shared" si="3"/>
        <v>229.7670839667393</v>
      </c>
      <c r="H22" s="256">
        <f t="shared" si="2"/>
        <v>2527.437923634114</v>
      </c>
    </row>
  </sheetData>
  <sheetProtection/>
  <mergeCells count="4">
    <mergeCell ref="K11:L11"/>
    <mergeCell ref="C7:E7"/>
    <mergeCell ref="C5:E5"/>
    <mergeCell ref="C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S41"/>
  <sheetViews>
    <sheetView zoomScalePageLayoutView="0" workbookViewId="0" topLeftCell="A10">
      <selection activeCell="D12" sqref="D12:M12"/>
    </sheetView>
  </sheetViews>
  <sheetFormatPr defaultColWidth="11.421875" defaultRowHeight="15"/>
  <cols>
    <col min="1" max="1" width="11.421875" style="304" customWidth="1"/>
    <col min="2" max="2" width="42.00390625" style="304" customWidth="1"/>
    <col min="3" max="3" width="8.8515625" style="304" customWidth="1"/>
    <col min="4" max="4" width="14.7109375" style="304" customWidth="1"/>
    <col min="5" max="5" width="13.8515625" style="304" customWidth="1"/>
    <col min="6" max="6" width="14.00390625" style="304" customWidth="1"/>
    <col min="7" max="8" width="13.28125" style="304" customWidth="1"/>
    <col min="9" max="9" width="13.421875" style="304" customWidth="1"/>
    <col min="10" max="10" width="14.00390625" style="304" customWidth="1"/>
    <col min="11" max="12" width="13.00390625" style="304" customWidth="1"/>
    <col min="13" max="13" width="12.8515625" style="304" customWidth="1"/>
    <col min="14" max="16384" width="11.421875" style="304" customWidth="1"/>
  </cols>
  <sheetData>
    <row r="3" spans="2:8" ht="12.75">
      <c r="B3" s="522" t="s">
        <v>342</v>
      </c>
      <c r="C3" s="522"/>
      <c r="D3" s="522"/>
      <c r="E3" s="522"/>
      <c r="F3" s="522"/>
      <c r="G3" s="522"/>
      <c r="H3" s="522"/>
    </row>
    <row r="5" spans="2:13" ht="12.75">
      <c r="B5" s="309" t="s">
        <v>341</v>
      </c>
      <c r="C5" s="309">
        <v>0</v>
      </c>
      <c r="D5" s="309">
        <v>1</v>
      </c>
      <c r="E5" s="309">
        <v>2</v>
      </c>
      <c r="F5" s="309">
        <v>3</v>
      </c>
      <c r="G5" s="309">
        <v>4</v>
      </c>
      <c r="H5" s="309">
        <v>5</v>
      </c>
      <c r="I5" s="309">
        <v>6</v>
      </c>
      <c r="J5" s="309">
        <v>7</v>
      </c>
      <c r="K5" s="309">
        <v>8</v>
      </c>
      <c r="L5" s="309">
        <v>9</v>
      </c>
      <c r="M5" s="309">
        <v>10</v>
      </c>
    </row>
    <row r="6" spans="2:13" ht="12.75">
      <c r="B6" s="306" t="s">
        <v>57</v>
      </c>
      <c r="C6" s="306"/>
      <c r="D6" s="316">
        <f>CapTrabajo!O12</f>
        <v>145309.11142787882</v>
      </c>
      <c r="E6" s="316">
        <f>$D$6*(1+$D$35)^E5</f>
        <v>164348.35166477814</v>
      </c>
      <c r="F6" s="316">
        <f aca="true" t="shared" si="0" ref="F6:M6">$D$6*(1+$D$35)^F5</f>
        <v>174783.97237650247</v>
      </c>
      <c r="G6" s="316">
        <f t="shared" si="0"/>
        <v>185882.22327913434</v>
      </c>
      <c r="H6" s="316">
        <f t="shared" si="0"/>
        <v>197685.1793754006</v>
      </c>
      <c r="I6" s="316">
        <f t="shared" si="0"/>
        <v>210237.58730279322</v>
      </c>
      <c r="J6" s="316">
        <f t="shared" si="0"/>
        <v>223587.03497425516</v>
      </c>
      <c r="K6" s="316">
        <f t="shared" si="0"/>
        <v>237784.13199053405</v>
      </c>
      <c r="L6" s="316">
        <f t="shared" si="0"/>
        <v>252882.70150817168</v>
      </c>
      <c r="M6" s="316">
        <f t="shared" si="0"/>
        <v>268939.984290528</v>
      </c>
    </row>
    <row r="7" spans="2:13" ht="12.75">
      <c r="B7" s="306" t="s">
        <v>333</v>
      </c>
      <c r="C7" s="306"/>
      <c r="D7" s="316">
        <f>Costos!N49</f>
        <v>41897.6708509091</v>
      </c>
      <c r="E7" s="316">
        <f>E6*0.3</f>
        <v>49304.50549943344</v>
      </c>
      <c r="F7" s="316">
        <f aca="true" t="shared" si="1" ref="F7:M7">F6*0.3</f>
        <v>52435.19171295074</v>
      </c>
      <c r="G7" s="316">
        <f t="shared" si="1"/>
        <v>55764.6669837403</v>
      </c>
      <c r="H7" s="316">
        <f t="shared" si="1"/>
        <v>59305.55381262017</v>
      </c>
      <c r="I7" s="316">
        <f t="shared" si="1"/>
        <v>63071.27619083796</v>
      </c>
      <c r="J7" s="316">
        <f t="shared" si="1"/>
        <v>67076.11049227655</v>
      </c>
      <c r="K7" s="316">
        <f t="shared" si="1"/>
        <v>71335.23959716021</v>
      </c>
      <c r="L7" s="316">
        <f t="shared" si="1"/>
        <v>75864.81045245151</v>
      </c>
      <c r="M7" s="316">
        <f t="shared" si="1"/>
        <v>80681.9952871584</v>
      </c>
    </row>
    <row r="8" spans="2:13" ht="12.75">
      <c r="B8" s="307" t="s">
        <v>332</v>
      </c>
      <c r="C8" s="312"/>
      <c r="D8" s="317">
        <f>D6-D7</f>
        <v>103411.44057696972</v>
      </c>
      <c r="E8" s="317">
        <f aca="true" t="shared" si="2" ref="E8:M8">E6-E7</f>
        <v>115043.8461653447</v>
      </c>
      <c r="F8" s="317">
        <f t="shared" si="2"/>
        <v>122348.78066355173</v>
      </c>
      <c r="G8" s="317">
        <f t="shared" si="2"/>
        <v>130117.55629539404</v>
      </c>
      <c r="H8" s="317">
        <f t="shared" si="2"/>
        <v>138379.62556278042</v>
      </c>
      <c r="I8" s="317">
        <f t="shared" si="2"/>
        <v>147166.31111195526</v>
      </c>
      <c r="J8" s="317">
        <f t="shared" si="2"/>
        <v>156510.9244819786</v>
      </c>
      <c r="K8" s="317">
        <f t="shared" si="2"/>
        <v>166448.89239337383</v>
      </c>
      <c r="L8" s="317">
        <f t="shared" si="2"/>
        <v>177017.89105572016</v>
      </c>
      <c r="M8" s="317">
        <f t="shared" si="2"/>
        <v>188257.98900336958</v>
      </c>
    </row>
    <row r="9" spans="2:13" ht="12.75">
      <c r="B9" s="306" t="s">
        <v>331</v>
      </c>
      <c r="C9" s="306"/>
      <c r="D9" s="316">
        <f>-SUM(D10:D15)</f>
        <v>-96590.16666666667</v>
      </c>
      <c r="E9" s="316">
        <f aca="true" t="shared" si="3" ref="E9:M9">-SUM(E10:E15)</f>
        <v>-89769.94666666667</v>
      </c>
      <c r="F9" s="316">
        <f t="shared" si="3"/>
        <v>-89769.94666666667</v>
      </c>
      <c r="G9" s="316">
        <f t="shared" si="3"/>
        <v>-89769.94666666667</v>
      </c>
      <c r="H9" s="316">
        <f t="shared" si="3"/>
        <v>-89769.94666666667</v>
      </c>
      <c r="I9" s="316">
        <f t="shared" si="3"/>
        <v>-89769.94666666667</v>
      </c>
      <c r="J9" s="316">
        <f t="shared" si="3"/>
        <v>-89769.94666666667</v>
      </c>
      <c r="K9" s="316">
        <f t="shared" si="3"/>
        <v>-89769.94666666667</v>
      </c>
      <c r="L9" s="316">
        <f t="shared" si="3"/>
        <v>-89769.94666666667</v>
      </c>
      <c r="M9" s="316">
        <f t="shared" si="3"/>
        <v>-89769.94666666667</v>
      </c>
    </row>
    <row r="10" spans="2:19" ht="12.75" customHeight="1">
      <c r="B10" s="306" t="s">
        <v>330</v>
      </c>
      <c r="C10" s="306"/>
      <c r="D10" s="316">
        <f>'Gastos Administrativos'!D22</f>
        <v>22080</v>
      </c>
      <c r="E10" s="316">
        <f>'Gastos Administrativos'!$D$22</f>
        <v>22080</v>
      </c>
      <c r="F10" s="316">
        <f>'Gastos Administrativos'!$D$22</f>
        <v>22080</v>
      </c>
      <c r="G10" s="316">
        <f>'Gastos Administrativos'!$D$22</f>
        <v>22080</v>
      </c>
      <c r="H10" s="316">
        <f>'Gastos Administrativos'!$D$22</f>
        <v>22080</v>
      </c>
      <c r="I10" s="316">
        <f>'Gastos Administrativos'!$D$22</f>
        <v>22080</v>
      </c>
      <c r="J10" s="316">
        <f>'Gastos Administrativos'!$D$22</f>
        <v>22080</v>
      </c>
      <c r="K10" s="316">
        <f>'Gastos Administrativos'!$D$22</f>
        <v>22080</v>
      </c>
      <c r="L10" s="316">
        <f>'Gastos Administrativos'!$D$22</f>
        <v>22080</v>
      </c>
      <c r="M10" s="316">
        <f>'Gastos Administrativos'!$D$22</f>
        <v>22080</v>
      </c>
      <c r="O10" s="523" t="s">
        <v>329</v>
      </c>
      <c r="P10" s="524"/>
      <c r="Q10" s="524"/>
      <c r="R10" s="524"/>
      <c r="S10" s="525"/>
    </row>
    <row r="11" spans="2:19" ht="12.75">
      <c r="B11" s="306" t="s">
        <v>328</v>
      </c>
      <c r="C11" s="306"/>
      <c r="D11" s="316">
        <f>'Gastos Administrativos'!$L$47</f>
        <v>50900.36</v>
      </c>
      <c r="E11" s="316">
        <f>'Gastos Administrativos'!$L$47</f>
        <v>50900.36</v>
      </c>
      <c r="F11" s="316">
        <f>'Gastos Administrativos'!$L$47</f>
        <v>50900.36</v>
      </c>
      <c r="G11" s="316">
        <f>'Gastos Administrativos'!$L$47</f>
        <v>50900.36</v>
      </c>
      <c r="H11" s="316">
        <f>'Gastos Administrativos'!$L$47</f>
        <v>50900.36</v>
      </c>
      <c r="I11" s="316">
        <f>'Gastos Administrativos'!$L$47</f>
        <v>50900.36</v>
      </c>
      <c r="J11" s="316">
        <f>'Gastos Administrativos'!$L$47</f>
        <v>50900.36</v>
      </c>
      <c r="K11" s="316">
        <f>'Gastos Administrativos'!$L$47</f>
        <v>50900.36</v>
      </c>
      <c r="L11" s="316">
        <f>'Gastos Administrativos'!$L$47</f>
        <v>50900.36</v>
      </c>
      <c r="M11" s="316">
        <f>'Gastos Administrativos'!$L$47</f>
        <v>50900.36</v>
      </c>
      <c r="O11" s="526"/>
      <c r="P11" s="527"/>
      <c r="Q11" s="527"/>
      <c r="R11" s="527"/>
      <c r="S11" s="528"/>
    </row>
    <row r="12" spans="2:19" ht="12.75">
      <c r="B12" s="306" t="s">
        <v>327</v>
      </c>
      <c r="C12" s="306"/>
      <c r="D12" s="316">
        <v>190</v>
      </c>
      <c r="E12" s="316">
        <v>190</v>
      </c>
      <c r="F12" s="316">
        <v>190</v>
      </c>
      <c r="G12" s="316">
        <v>190</v>
      </c>
      <c r="H12" s="316">
        <v>190</v>
      </c>
      <c r="I12" s="316">
        <v>190</v>
      </c>
      <c r="J12" s="316">
        <v>190</v>
      </c>
      <c r="K12" s="316">
        <v>190</v>
      </c>
      <c r="L12" s="316">
        <v>190</v>
      </c>
      <c r="M12" s="316">
        <v>190</v>
      </c>
      <c r="O12" s="526"/>
      <c r="P12" s="527"/>
      <c r="Q12" s="527"/>
      <c r="R12" s="527"/>
      <c r="S12" s="528"/>
    </row>
    <row r="13" spans="2:19" ht="12.75">
      <c r="B13" s="306" t="s">
        <v>326</v>
      </c>
      <c r="C13" s="306"/>
      <c r="D13" s="316">
        <f>Depreciación!$D$25</f>
        <v>6659.566666666666</v>
      </c>
      <c r="E13" s="316">
        <f>Depreciación!$D$25</f>
        <v>6659.566666666666</v>
      </c>
      <c r="F13" s="316">
        <f>Depreciación!$D$25</f>
        <v>6659.566666666666</v>
      </c>
      <c r="G13" s="316">
        <f>Depreciación!$D$25</f>
        <v>6659.566666666666</v>
      </c>
      <c r="H13" s="316">
        <f>Depreciación!$D$25</f>
        <v>6659.566666666666</v>
      </c>
      <c r="I13" s="316">
        <f>Depreciación!$D$25</f>
        <v>6659.566666666666</v>
      </c>
      <c r="J13" s="316">
        <f>Depreciación!$D$25</f>
        <v>6659.566666666666</v>
      </c>
      <c r="K13" s="316">
        <f>Depreciación!$D$25</f>
        <v>6659.566666666666</v>
      </c>
      <c r="L13" s="316">
        <f>Depreciación!$D$25</f>
        <v>6659.566666666666</v>
      </c>
      <c r="M13" s="316">
        <f>Depreciación!$D$25</f>
        <v>6659.566666666666</v>
      </c>
      <c r="O13" s="526"/>
      <c r="P13" s="527"/>
      <c r="Q13" s="527"/>
      <c r="R13" s="527"/>
      <c r="S13" s="528"/>
    </row>
    <row r="14" spans="2:19" ht="12.75">
      <c r="B14" s="306" t="s">
        <v>343</v>
      </c>
      <c r="C14" s="306"/>
      <c r="D14" s="316">
        <f>'Gastos Administrativos'!I22</f>
        <v>7440.24</v>
      </c>
      <c r="E14" s="316">
        <f>'Gastos Administrativos'!$H$22</f>
        <v>620.02</v>
      </c>
      <c r="F14" s="316">
        <f>'Gastos Administrativos'!$H$22</f>
        <v>620.02</v>
      </c>
      <c r="G14" s="316">
        <f>'Gastos Administrativos'!$H$22</f>
        <v>620.02</v>
      </c>
      <c r="H14" s="316">
        <f>'Gastos Administrativos'!$H$22</f>
        <v>620.02</v>
      </c>
      <c r="I14" s="316">
        <f>'Gastos Administrativos'!$H$22</f>
        <v>620.02</v>
      </c>
      <c r="J14" s="316">
        <f>'Gastos Administrativos'!$H$22</f>
        <v>620.02</v>
      </c>
      <c r="K14" s="316">
        <f>'Gastos Administrativos'!$H$22</f>
        <v>620.02</v>
      </c>
      <c r="L14" s="316">
        <f>'Gastos Administrativos'!$H$22</f>
        <v>620.02</v>
      </c>
      <c r="M14" s="316">
        <f>'Gastos Administrativos'!$H$22</f>
        <v>620.02</v>
      </c>
      <c r="O14" s="526"/>
      <c r="P14" s="527"/>
      <c r="Q14" s="527"/>
      <c r="R14" s="527"/>
      <c r="S14" s="528"/>
    </row>
    <row r="15" spans="2:19" ht="12.75">
      <c r="B15" s="306" t="s">
        <v>325</v>
      </c>
      <c r="C15" s="306"/>
      <c r="D15" s="316">
        <f>'Gastos de Ventas'!$D$27</f>
        <v>9320</v>
      </c>
      <c r="E15" s="316">
        <f>'Gastos de Ventas'!$D$27</f>
        <v>9320</v>
      </c>
      <c r="F15" s="316">
        <f>'Gastos de Ventas'!$D$27</f>
        <v>9320</v>
      </c>
      <c r="G15" s="316">
        <f>'Gastos de Ventas'!$D$27</f>
        <v>9320</v>
      </c>
      <c r="H15" s="316">
        <f>'Gastos de Ventas'!$D$27</f>
        <v>9320</v>
      </c>
      <c r="I15" s="316">
        <f>'Gastos de Ventas'!$D$27</f>
        <v>9320</v>
      </c>
      <c r="J15" s="316">
        <f>'Gastos de Ventas'!$D$27</f>
        <v>9320</v>
      </c>
      <c r="K15" s="316">
        <f>'Gastos de Ventas'!$D$27</f>
        <v>9320</v>
      </c>
      <c r="L15" s="316">
        <f>'Gastos de Ventas'!$D$27</f>
        <v>9320</v>
      </c>
      <c r="M15" s="316">
        <f>'Gastos de Ventas'!$D$27</f>
        <v>9320</v>
      </c>
      <c r="O15" s="529"/>
      <c r="P15" s="530"/>
      <c r="Q15" s="530"/>
      <c r="R15" s="530"/>
      <c r="S15" s="531"/>
    </row>
    <row r="16" spans="2:13" ht="12.75">
      <c r="B16" s="307" t="s">
        <v>324</v>
      </c>
      <c r="C16" s="312"/>
      <c r="D16" s="317">
        <f>D8+D9</f>
        <v>6821.273910303047</v>
      </c>
      <c r="E16" s="317">
        <f aca="true" t="shared" si="4" ref="E16:M16">E8+E9</f>
        <v>25273.89949867803</v>
      </c>
      <c r="F16" s="317">
        <f t="shared" si="4"/>
        <v>32578.833996885063</v>
      </c>
      <c r="G16" s="317">
        <f t="shared" si="4"/>
        <v>40347.60962872737</v>
      </c>
      <c r="H16" s="317">
        <f t="shared" si="4"/>
        <v>48609.67889611375</v>
      </c>
      <c r="I16" s="317">
        <f t="shared" si="4"/>
        <v>57396.36444528859</v>
      </c>
      <c r="J16" s="317">
        <f t="shared" si="4"/>
        <v>66740.97781531194</v>
      </c>
      <c r="K16" s="317">
        <f t="shared" si="4"/>
        <v>76678.94572670716</v>
      </c>
      <c r="L16" s="317">
        <f t="shared" si="4"/>
        <v>87247.94438905349</v>
      </c>
      <c r="M16" s="317">
        <f t="shared" si="4"/>
        <v>98488.04233670291</v>
      </c>
    </row>
    <row r="17" spans="2:13" ht="12.75">
      <c r="B17" s="307" t="s">
        <v>323</v>
      </c>
      <c r="C17" s="307"/>
      <c r="D17" s="318">
        <f>D18</f>
        <v>-1553.001192727273</v>
      </c>
      <c r="E17" s="318">
        <f aca="true" t="shared" si="5" ref="E17:M17">E18</f>
        <v>-1455.557519636589</v>
      </c>
      <c r="F17" s="318">
        <f t="shared" si="5"/>
        <v>-1348.3694792368362</v>
      </c>
      <c r="G17" s="318">
        <f t="shared" si="5"/>
        <v>-1230.4626347971084</v>
      </c>
      <c r="H17" s="318">
        <f t="shared" si="5"/>
        <v>-1100.7651059134078</v>
      </c>
      <c r="I17" s="318">
        <f t="shared" si="5"/>
        <v>-958.0978241413372</v>
      </c>
      <c r="J17" s="318">
        <f t="shared" si="5"/>
        <v>-801.1638141920595</v>
      </c>
      <c r="K17" s="318">
        <f t="shared" si="5"/>
        <v>-628.536403247854</v>
      </c>
      <c r="L17" s="318">
        <f t="shared" si="5"/>
        <v>-438.64625120922796</v>
      </c>
      <c r="M17" s="318">
        <f t="shared" si="5"/>
        <v>-229.7670839667393</v>
      </c>
    </row>
    <row r="18" spans="2:19" ht="12.75" customHeight="1">
      <c r="B18" s="306" t="s">
        <v>322</v>
      </c>
      <c r="C18" s="306"/>
      <c r="D18" s="316">
        <f>-Amortización!G13</f>
        <v>-1553.001192727273</v>
      </c>
      <c r="E18" s="316">
        <f>-Amortización!G14</f>
        <v>-1455.557519636589</v>
      </c>
      <c r="F18" s="316">
        <f>-Amortización!G15</f>
        <v>-1348.3694792368362</v>
      </c>
      <c r="G18" s="316">
        <f>-Amortización!G16</f>
        <v>-1230.4626347971084</v>
      </c>
      <c r="H18" s="316">
        <f>-Amortización!G17</f>
        <v>-1100.7651059134078</v>
      </c>
      <c r="I18" s="316">
        <f>-Amortización!G18</f>
        <v>-958.0978241413372</v>
      </c>
      <c r="J18" s="316">
        <f>-Amortización!G19</f>
        <v>-801.1638141920595</v>
      </c>
      <c r="K18" s="316">
        <f>-Amortización!G20</f>
        <v>-628.536403247854</v>
      </c>
      <c r="L18" s="316">
        <f>-Amortización!G21</f>
        <v>-438.64625120922796</v>
      </c>
      <c r="M18" s="316">
        <f>-Amortización!G22</f>
        <v>-229.7670839667393</v>
      </c>
      <c r="O18" s="523" t="s">
        <v>321</v>
      </c>
      <c r="P18" s="524"/>
      <c r="Q18" s="524"/>
      <c r="R18" s="524"/>
      <c r="S18" s="525"/>
    </row>
    <row r="19" spans="2:13" ht="12.75">
      <c r="B19" s="307" t="s">
        <v>320</v>
      </c>
      <c r="C19" s="312"/>
      <c r="D19" s="317">
        <f>SUM(D16:D17)</f>
        <v>5268.272717575774</v>
      </c>
      <c r="E19" s="317">
        <f>SUM(E16:E17)</f>
        <v>23818.34197904144</v>
      </c>
      <c r="F19" s="317">
        <f aca="true" t="shared" si="6" ref="F19:M19">SUM(F16:F17)</f>
        <v>31230.464517648226</v>
      </c>
      <c r="G19" s="317">
        <f t="shared" si="6"/>
        <v>39117.14699393026</v>
      </c>
      <c r="H19" s="317">
        <f t="shared" si="6"/>
        <v>47508.91379020034</v>
      </c>
      <c r="I19" s="317">
        <f t="shared" si="6"/>
        <v>56438.26662114725</v>
      </c>
      <c r="J19" s="317">
        <f t="shared" si="6"/>
        <v>65939.81400111988</v>
      </c>
      <c r="K19" s="317">
        <f t="shared" si="6"/>
        <v>76050.4093234593</v>
      </c>
      <c r="L19" s="317">
        <f t="shared" si="6"/>
        <v>86809.29813784426</v>
      </c>
      <c r="M19" s="317">
        <f t="shared" si="6"/>
        <v>98258.27525273617</v>
      </c>
    </row>
    <row r="20" spans="2:13" ht="12.75">
      <c r="B20" s="306" t="s">
        <v>319</v>
      </c>
      <c r="C20" s="311">
        <v>0.15</v>
      </c>
      <c r="D20" s="316">
        <f>D19*$C$20</f>
        <v>790.240907636366</v>
      </c>
      <c r="E20" s="316">
        <f aca="true" t="shared" si="7" ref="E20:M20">E19*$C$20</f>
        <v>3572.751296856216</v>
      </c>
      <c r="F20" s="316">
        <f t="shared" si="7"/>
        <v>4684.569677647234</v>
      </c>
      <c r="G20" s="316">
        <f t="shared" si="7"/>
        <v>5867.572049089539</v>
      </c>
      <c r="H20" s="316">
        <f t="shared" si="7"/>
        <v>7126.3370685300515</v>
      </c>
      <c r="I20" s="316">
        <f t="shared" si="7"/>
        <v>8465.739993172088</v>
      </c>
      <c r="J20" s="316">
        <f t="shared" si="7"/>
        <v>9890.972100167983</v>
      </c>
      <c r="K20" s="316">
        <f t="shared" si="7"/>
        <v>11407.561398518896</v>
      </c>
      <c r="L20" s="316">
        <f t="shared" si="7"/>
        <v>13021.394720676639</v>
      </c>
      <c r="M20" s="316">
        <f t="shared" si="7"/>
        <v>14738.741287910425</v>
      </c>
    </row>
    <row r="21" spans="2:13" ht="12.75">
      <c r="B21" s="308" t="s">
        <v>318</v>
      </c>
      <c r="C21" s="313"/>
      <c r="D21" s="317">
        <f>D19-D20</f>
        <v>4478.031809939408</v>
      </c>
      <c r="E21" s="317">
        <f aca="true" t="shared" si="8" ref="E21:M21">E19-E20</f>
        <v>20245.590682185226</v>
      </c>
      <c r="F21" s="317">
        <f t="shared" si="8"/>
        <v>26545.89484000099</v>
      </c>
      <c r="G21" s="317">
        <f t="shared" si="8"/>
        <v>33249.57494484072</v>
      </c>
      <c r="H21" s="317">
        <f t="shared" si="8"/>
        <v>40382.57672167029</v>
      </c>
      <c r="I21" s="317">
        <f t="shared" si="8"/>
        <v>47972.52662797517</v>
      </c>
      <c r="J21" s="317">
        <f t="shared" si="8"/>
        <v>56048.8419009519</v>
      </c>
      <c r="K21" s="317">
        <f t="shared" si="8"/>
        <v>64642.847924940404</v>
      </c>
      <c r="L21" s="317">
        <f t="shared" si="8"/>
        <v>73787.90341716763</v>
      </c>
      <c r="M21" s="317">
        <f t="shared" si="8"/>
        <v>83519.53396482575</v>
      </c>
    </row>
    <row r="22" spans="2:13" ht="12.75">
      <c r="B22" s="306" t="s">
        <v>317</v>
      </c>
      <c r="C22" s="311">
        <v>0.23</v>
      </c>
      <c r="D22" s="316">
        <f>D21*$C$22</f>
        <v>1029.9473162860638</v>
      </c>
      <c r="E22" s="316">
        <f>E21*22%</f>
        <v>4454.02995008075</v>
      </c>
      <c r="F22" s="316">
        <f aca="true" t="shared" si="9" ref="F22:M22">F21*22%</f>
        <v>5840.096864800218</v>
      </c>
      <c r="G22" s="316">
        <f t="shared" si="9"/>
        <v>7314.906487864959</v>
      </c>
      <c r="H22" s="316">
        <f t="shared" si="9"/>
        <v>8884.166878767463</v>
      </c>
      <c r="I22" s="316">
        <f t="shared" si="9"/>
        <v>10553.955858154537</v>
      </c>
      <c r="J22" s="316">
        <f t="shared" si="9"/>
        <v>12330.745218209418</v>
      </c>
      <c r="K22" s="316">
        <f t="shared" si="9"/>
        <v>14221.426543486888</v>
      </c>
      <c r="L22" s="316">
        <f t="shared" si="9"/>
        <v>16233.338751776879</v>
      </c>
      <c r="M22" s="316">
        <f t="shared" si="9"/>
        <v>18374.297472261664</v>
      </c>
    </row>
    <row r="23" spans="2:13" ht="12.75">
      <c r="B23" s="307" t="s">
        <v>316</v>
      </c>
      <c r="C23" s="312"/>
      <c r="D23" s="317">
        <f>D21-D22</f>
        <v>3448.084493653344</v>
      </c>
      <c r="E23" s="317">
        <f aca="true" t="shared" si="10" ref="E23:M23">E21-E22</f>
        <v>15791.560732104477</v>
      </c>
      <c r="F23" s="317">
        <f t="shared" si="10"/>
        <v>20705.797975200774</v>
      </c>
      <c r="G23" s="317">
        <f t="shared" si="10"/>
        <v>25934.668456975764</v>
      </c>
      <c r="H23" s="317">
        <f t="shared" si="10"/>
        <v>31498.409842902824</v>
      </c>
      <c r="I23" s="317">
        <f t="shared" si="10"/>
        <v>37418.57076982063</v>
      </c>
      <c r="J23" s="317">
        <f t="shared" si="10"/>
        <v>43718.09668274248</v>
      </c>
      <c r="K23" s="317">
        <f t="shared" si="10"/>
        <v>50421.42138145352</v>
      </c>
      <c r="L23" s="317">
        <f t="shared" si="10"/>
        <v>57554.56466539075</v>
      </c>
      <c r="M23" s="317">
        <f t="shared" si="10"/>
        <v>65145.23649256409</v>
      </c>
    </row>
    <row r="28" spans="2:13" ht="15.75">
      <c r="B28" s="304" t="s">
        <v>341</v>
      </c>
      <c r="D28" s="358" t="s">
        <v>340</v>
      </c>
      <c r="E28" s="358" t="s">
        <v>339</v>
      </c>
      <c r="F28" s="358" t="s">
        <v>338</v>
      </c>
      <c r="G28" s="358" t="s">
        <v>337</v>
      </c>
      <c r="H28" s="358" t="s">
        <v>336</v>
      </c>
      <c r="I28" s="358" t="s">
        <v>344</v>
      </c>
      <c r="J28" s="358" t="s">
        <v>345</v>
      </c>
      <c r="K28" s="358" t="s">
        <v>346</v>
      </c>
      <c r="L28" s="358" t="s">
        <v>347</v>
      </c>
      <c r="M28" s="358" t="s">
        <v>348</v>
      </c>
    </row>
    <row r="29" spans="2:13" ht="15.75">
      <c r="B29" s="304" t="s">
        <v>57</v>
      </c>
      <c r="D29" s="357">
        <f>D6</f>
        <v>145309.11142787882</v>
      </c>
      <c r="E29" s="357">
        <f>E6</f>
        <v>164348.35166477814</v>
      </c>
      <c r="F29" s="357">
        <f aca="true" t="shared" si="11" ref="F29:M29">F6</f>
        <v>174783.97237650247</v>
      </c>
      <c r="G29" s="357">
        <f t="shared" si="11"/>
        <v>185882.22327913434</v>
      </c>
      <c r="H29" s="357">
        <f t="shared" si="11"/>
        <v>197685.1793754006</v>
      </c>
      <c r="I29" s="357">
        <f t="shared" si="11"/>
        <v>210237.58730279322</v>
      </c>
      <c r="J29" s="357">
        <f t="shared" si="11"/>
        <v>223587.03497425516</v>
      </c>
      <c r="K29" s="357">
        <f t="shared" si="11"/>
        <v>237784.13199053405</v>
      </c>
      <c r="L29" s="357">
        <f t="shared" si="11"/>
        <v>252882.70150817168</v>
      </c>
      <c r="M29" s="357">
        <f t="shared" si="11"/>
        <v>268939.984290528</v>
      </c>
    </row>
    <row r="33" spans="2:4" ht="12.75">
      <c r="B33" s="532" t="s">
        <v>380</v>
      </c>
      <c r="C33" s="532"/>
      <c r="D33" s="399">
        <v>0.0144</v>
      </c>
    </row>
    <row r="34" spans="2:4" ht="12.75">
      <c r="B34" s="532" t="s">
        <v>381</v>
      </c>
      <c r="C34" s="532"/>
      <c r="D34" s="399">
        <v>0.0484</v>
      </c>
    </row>
    <row r="35" spans="2:4" ht="12.75">
      <c r="B35" s="533" t="s">
        <v>382</v>
      </c>
      <c r="C35" s="533"/>
      <c r="D35" s="398">
        <f>+D33+D34+(D33*D34)</f>
        <v>0.06349695999999999</v>
      </c>
    </row>
    <row r="37" ht="13.5" thickBot="1"/>
    <row r="38" spans="2:3" ht="14.25" thickBot="1" thickTop="1">
      <c r="B38" s="407" t="s">
        <v>383</v>
      </c>
      <c r="C38" s="400"/>
    </row>
    <row r="39" spans="2:3" ht="13.5" thickTop="1">
      <c r="B39" s="401" t="s">
        <v>384</v>
      </c>
      <c r="C39" s="402">
        <v>0.24</v>
      </c>
    </row>
    <row r="40" spans="2:3" ht="12.75">
      <c r="B40" s="403" t="s">
        <v>385</v>
      </c>
      <c r="C40" s="404">
        <v>0.23</v>
      </c>
    </row>
    <row r="41" spans="2:4" ht="13.5" thickBot="1">
      <c r="B41" s="405" t="s">
        <v>386</v>
      </c>
      <c r="C41" s="406">
        <v>0.22</v>
      </c>
      <c r="D41" s="321"/>
    </row>
    <row r="42" ht="13.5" thickTop="1"/>
  </sheetData>
  <sheetProtection/>
  <mergeCells count="6">
    <mergeCell ref="B3:H3"/>
    <mergeCell ref="O10:S15"/>
    <mergeCell ref="O18:S18"/>
    <mergeCell ref="B33:C33"/>
    <mergeCell ref="B34:C34"/>
    <mergeCell ref="B35:C35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53"/>
  <sheetViews>
    <sheetView zoomScalePageLayoutView="0" workbookViewId="0" topLeftCell="A28">
      <selection activeCell="F51" sqref="F51"/>
    </sheetView>
  </sheetViews>
  <sheetFormatPr defaultColWidth="11.421875" defaultRowHeight="15"/>
  <cols>
    <col min="1" max="1" width="11.421875" style="304" customWidth="1"/>
    <col min="2" max="2" width="29.7109375" style="304" customWidth="1"/>
    <col min="3" max="3" width="10.57421875" style="304" customWidth="1"/>
    <col min="4" max="4" width="12.421875" style="304" customWidth="1"/>
    <col min="5" max="5" width="12.28125" style="304" customWidth="1"/>
    <col min="6" max="6" width="12.7109375" style="304" customWidth="1"/>
    <col min="7" max="8" width="12.00390625" style="304" customWidth="1"/>
    <col min="9" max="9" width="13.00390625" style="304" customWidth="1"/>
    <col min="10" max="10" width="12.00390625" style="304" customWidth="1"/>
    <col min="11" max="11" width="12.140625" style="304" customWidth="1"/>
    <col min="12" max="12" width="12.421875" style="304" customWidth="1"/>
    <col min="13" max="13" width="11.140625" style="304" customWidth="1"/>
    <col min="14" max="14" width="11.421875" style="304" customWidth="1"/>
    <col min="15" max="15" width="30.421875" style="304" customWidth="1"/>
    <col min="16" max="16384" width="11.421875" style="304" customWidth="1"/>
  </cols>
  <sheetData>
    <row r="1" spans="2:13" ht="12.75">
      <c r="B1" s="320"/>
      <c r="C1" s="320"/>
      <c r="D1" s="320">
        <v>1</v>
      </c>
      <c r="E1" s="320">
        <v>2</v>
      </c>
      <c r="F1" s="320">
        <v>3</v>
      </c>
      <c r="G1" s="320">
        <v>4</v>
      </c>
      <c r="H1" s="320">
        <v>5</v>
      </c>
      <c r="I1" s="320">
        <v>6</v>
      </c>
      <c r="J1" s="320">
        <v>7</v>
      </c>
      <c r="K1" s="320">
        <v>8</v>
      </c>
      <c r="L1" s="320">
        <v>9</v>
      </c>
      <c r="M1" s="320">
        <v>10</v>
      </c>
    </row>
    <row r="2" spans="2:13" ht="12.75">
      <c r="B2" s="324"/>
      <c r="C2" s="325" t="s">
        <v>334</v>
      </c>
      <c r="D2" s="325">
        <v>1</v>
      </c>
      <c r="E2" s="325">
        <v>2</v>
      </c>
      <c r="F2" s="325">
        <v>3</v>
      </c>
      <c r="G2" s="325">
        <v>4</v>
      </c>
      <c r="H2" s="325">
        <v>5</v>
      </c>
      <c r="I2" s="325">
        <v>6</v>
      </c>
      <c r="J2" s="325">
        <v>7</v>
      </c>
      <c r="K2" s="325">
        <v>8</v>
      </c>
      <c r="L2" s="325">
        <v>9</v>
      </c>
      <c r="M2" s="325">
        <v>10</v>
      </c>
    </row>
    <row r="3" spans="2:13" ht="12.75">
      <c r="B3" s="326" t="s">
        <v>57</v>
      </c>
      <c r="C3" s="326"/>
      <c r="D3" s="327">
        <f>CapTrabajo!O12</f>
        <v>145309.11142787882</v>
      </c>
      <c r="E3" s="327">
        <f>$D$3*(1+$Q$7)^E2</f>
        <v>164348.35166477814</v>
      </c>
      <c r="F3" s="327">
        <f aca="true" t="shared" si="0" ref="F3:M3">$D$3*(1+$Q$7)^F2</f>
        <v>174783.97237650247</v>
      </c>
      <c r="G3" s="327">
        <f t="shared" si="0"/>
        <v>185882.22327913434</v>
      </c>
      <c r="H3" s="327">
        <f t="shared" si="0"/>
        <v>197685.1793754006</v>
      </c>
      <c r="I3" s="327">
        <f t="shared" si="0"/>
        <v>210237.58730279322</v>
      </c>
      <c r="J3" s="327">
        <f t="shared" si="0"/>
        <v>223587.03497425516</v>
      </c>
      <c r="K3" s="327">
        <f t="shared" si="0"/>
        <v>237784.13199053405</v>
      </c>
      <c r="L3" s="327">
        <f t="shared" si="0"/>
        <v>252882.70150817168</v>
      </c>
      <c r="M3" s="327">
        <f t="shared" si="0"/>
        <v>268939.984290528</v>
      </c>
    </row>
    <row r="4" spans="2:13" ht="12.75">
      <c r="B4" s="326" t="s">
        <v>333</v>
      </c>
      <c r="C4" s="326"/>
      <c r="D4" s="327">
        <f>Costos!N49</f>
        <v>41897.6708509091</v>
      </c>
      <c r="E4" s="327">
        <f>E3*39%</f>
        <v>64095.85714926347</v>
      </c>
      <c r="F4" s="327">
        <f aca="true" t="shared" si="1" ref="F4:M4">F3*39%</f>
        <v>68165.74922683596</v>
      </c>
      <c r="G4" s="327">
        <f t="shared" si="1"/>
        <v>72494.0670788624</v>
      </c>
      <c r="H4" s="327">
        <f t="shared" si="1"/>
        <v>77097.21995640623</v>
      </c>
      <c r="I4" s="327">
        <f t="shared" si="1"/>
        <v>81992.65904808936</v>
      </c>
      <c r="J4" s="327">
        <f t="shared" si="1"/>
        <v>87198.94363995951</v>
      </c>
      <c r="K4" s="327">
        <f t="shared" si="1"/>
        <v>92735.81147630828</v>
      </c>
      <c r="L4" s="327">
        <f t="shared" si="1"/>
        <v>98624.25358818696</v>
      </c>
      <c r="M4" s="327">
        <f t="shared" si="1"/>
        <v>104886.59387330592</v>
      </c>
    </row>
    <row r="5" spans="2:17" s="321" customFormat="1" ht="12.75">
      <c r="B5" s="328" t="s">
        <v>332</v>
      </c>
      <c r="C5" s="328"/>
      <c r="D5" s="329">
        <f>D3-D4</f>
        <v>103411.44057696972</v>
      </c>
      <c r="E5" s="329">
        <f aca="true" t="shared" si="2" ref="E5:M5">E3-E4</f>
        <v>100252.49451551467</v>
      </c>
      <c r="F5" s="329">
        <f t="shared" si="2"/>
        <v>106618.2231496665</v>
      </c>
      <c r="G5" s="329">
        <f t="shared" si="2"/>
        <v>113388.15620027194</v>
      </c>
      <c r="H5" s="329">
        <f t="shared" si="2"/>
        <v>120587.95941899436</v>
      </c>
      <c r="I5" s="329">
        <f t="shared" si="2"/>
        <v>128244.92825470386</v>
      </c>
      <c r="J5" s="329">
        <f t="shared" si="2"/>
        <v>136388.09133429563</v>
      </c>
      <c r="K5" s="329">
        <f t="shared" si="2"/>
        <v>145048.32051422575</v>
      </c>
      <c r="L5" s="329">
        <f t="shared" si="2"/>
        <v>154258.44791998473</v>
      </c>
      <c r="M5" s="329">
        <f t="shared" si="2"/>
        <v>164053.39041722208</v>
      </c>
      <c r="O5" s="537" t="s">
        <v>380</v>
      </c>
      <c r="P5" s="537"/>
      <c r="Q5" s="408">
        <v>0.0144</v>
      </c>
    </row>
    <row r="6" spans="2:17" ht="12.75">
      <c r="B6" s="326" t="s">
        <v>331</v>
      </c>
      <c r="C6" s="326"/>
      <c r="D6" s="327">
        <f aca="true" t="shared" si="3" ref="D6:M6">SUM(D7:D12)</f>
        <v>96590.16666666667</v>
      </c>
      <c r="E6" s="327">
        <f t="shared" si="3"/>
        <v>89769.94666666667</v>
      </c>
      <c r="F6" s="327">
        <f t="shared" si="3"/>
        <v>89769.94666666667</v>
      </c>
      <c r="G6" s="327">
        <f t="shared" si="3"/>
        <v>89769.94666666667</v>
      </c>
      <c r="H6" s="327">
        <f t="shared" si="3"/>
        <v>89769.94666666667</v>
      </c>
      <c r="I6" s="327">
        <f t="shared" si="3"/>
        <v>89769.94666666667</v>
      </c>
      <c r="J6" s="327">
        <f t="shared" si="3"/>
        <v>89769.94666666667</v>
      </c>
      <c r="K6" s="327">
        <f t="shared" si="3"/>
        <v>89769.94666666667</v>
      </c>
      <c r="L6" s="327">
        <f t="shared" si="3"/>
        <v>89769.94666666667</v>
      </c>
      <c r="M6" s="327">
        <f t="shared" si="3"/>
        <v>89769.94666666667</v>
      </c>
      <c r="O6" s="537" t="s">
        <v>381</v>
      </c>
      <c r="P6" s="537"/>
      <c r="Q6" s="408">
        <v>0.0484</v>
      </c>
    </row>
    <row r="7" spans="2:17" ht="12.75" customHeight="1">
      <c r="B7" s="326" t="s">
        <v>330</v>
      </c>
      <c r="C7" s="326"/>
      <c r="D7" s="327">
        <f>'Gastos Administrativos'!$D$22</f>
        <v>22080</v>
      </c>
      <c r="E7" s="327">
        <f>'Gastos Administrativos'!$D$22</f>
        <v>22080</v>
      </c>
      <c r="F7" s="327">
        <f>'Gastos Administrativos'!$D$22</f>
        <v>22080</v>
      </c>
      <c r="G7" s="327">
        <f>'Gastos Administrativos'!$D$22</f>
        <v>22080</v>
      </c>
      <c r="H7" s="327">
        <f>'Gastos Administrativos'!$D$22</f>
        <v>22080</v>
      </c>
      <c r="I7" s="327">
        <f>'Gastos Administrativos'!$D$22</f>
        <v>22080</v>
      </c>
      <c r="J7" s="327">
        <f>'Gastos Administrativos'!$D$22</f>
        <v>22080</v>
      </c>
      <c r="K7" s="327">
        <f>'Gastos Administrativos'!$D$22</f>
        <v>22080</v>
      </c>
      <c r="L7" s="327">
        <f>'Gastos Administrativos'!$D$22</f>
        <v>22080</v>
      </c>
      <c r="M7" s="327">
        <f>'Gastos Administrativos'!$D$22</f>
        <v>22080</v>
      </c>
      <c r="O7" s="537" t="s">
        <v>382</v>
      </c>
      <c r="P7" s="537"/>
      <c r="Q7" s="408">
        <f>+Q5+Q6+(Q5*Q6)</f>
        <v>0.06349695999999999</v>
      </c>
    </row>
    <row r="8" spans="2:13" ht="12.75">
      <c r="B8" s="326" t="s">
        <v>328</v>
      </c>
      <c r="C8" s="326"/>
      <c r="D8" s="327">
        <f>'Gastos Administrativos'!$L$47</f>
        <v>50900.36</v>
      </c>
      <c r="E8" s="327">
        <f>'Gastos Administrativos'!$L$47</f>
        <v>50900.36</v>
      </c>
      <c r="F8" s="327">
        <f>'Gastos Administrativos'!$L$47</f>
        <v>50900.36</v>
      </c>
      <c r="G8" s="327">
        <f>'Gastos Administrativos'!$L$47</f>
        <v>50900.36</v>
      </c>
      <c r="H8" s="327">
        <f>'Gastos Administrativos'!$L$47</f>
        <v>50900.36</v>
      </c>
      <c r="I8" s="327">
        <f>'Gastos Administrativos'!$L$47</f>
        <v>50900.36</v>
      </c>
      <c r="J8" s="327">
        <f>'Gastos Administrativos'!$L$47</f>
        <v>50900.36</v>
      </c>
      <c r="K8" s="327">
        <f>'Gastos Administrativos'!$L$47</f>
        <v>50900.36</v>
      </c>
      <c r="L8" s="327">
        <f>'Gastos Administrativos'!$L$47</f>
        <v>50900.36</v>
      </c>
      <c r="M8" s="327">
        <f>'Gastos Administrativos'!$L$47</f>
        <v>50900.36</v>
      </c>
    </row>
    <row r="9" spans="2:13" ht="12.75">
      <c r="B9" s="326" t="s">
        <v>327</v>
      </c>
      <c r="C9" s="326"/>
      <c r="D9" s="327">
        <v>190</v>
      </c>
      <c r="E9" s="327">
        <v>190</v>
      </c>
      <c r="F9" s="327">
        <v>190</v>
      </c>
      <c r="G9" s="327">
        <v>190</v>
      </c>
      <c r="H9" s="327">
        <v>190</v>
      </c>
      <c r="I9" s="327">
        <v>190</v>
      </c>
      <c r="J9" s="327">
        <v>190</v>
      </c>
      <c r="K9" s="327">
        <v>190</v>
      </c>
      <c r="L9" s="327">
        <v>190</v>
      </c>
      <c r="M9" s="327">
        <v>190</v>
      </c>
    </row>
    <row r="10" spans="2:16" ht="12.75">
      <c r="B10" s="326" t="s">
        <v>326</v>
      </c>
      <c r="C10" s="326"/>
      <c r="D10" s="327">
        <f>Depreciación!$D$25</f>
        <v>6659.566666666666</v>
      </c>
      <c r="E10" s="327">
        <f>Depreciación!$D$25</f>
        <v>6659.566666666666</v>
      </c>
      <c r="F10" s="327">
        <f>Depreciación!$D$25</f>
        <v>6659.566666666666</v>
      </c>
      <c r="G10" s="327">
        <f>Depreciación!$D$25</f>
        <v>6659.566666666666</v>
      </c>
      <c r="H10" s="327">
        <f>Depreciación!$D$25</f>
        <v>6659.566666666666</v>
      </c>
      <c r="I10" s="327">
        <f>Depreciación!$D$25</f>
        <v>6659.566666666666</v>
      </c>
      <c r="J10" s="327">
        <f>Depreciación!$D$25</f>
        <v>6659.566666666666</v>
      </c>
      <c r="K10" s="327">
        <f>Depreciación!$D$25</f>
        <v>6659.566666666666</v>
      </c>
      <c r="L10" s="327">
        <f>Depreciación!$D$25</f>
        <v>6659.566666666666</v>
      </c>
      <c r="M10" s="327">
        <f>Depreciación!$D$25</f>
        <v>6659.566666666666</v>
      </c>
      <c r="O10" s="409" t="s">
        <v>383</v>
      </c>
      <c r="P10" s="410"/>
    </row>
    <row r="11" spans="2:16" ht="12.75">
      <c r="B11" s="326" t="s">
        <v>343</v>
      </c>
      <c r="C11" s="326"/>
      <c r="D11" s="327">
        <f>'Gastos Administrativos'!I22</f>
        <v>7440.24</v>
      </c>
      <c r="E11" s="327">
        <f>'Gastos Administrativos'!$H$22</f>
        <v>620.02</v>
      </c>
      <c r="F11" s="327">
        <f>'Gastos Administrativos'!$H$22</f>
        <v>620.02</v>
      </c>
      <c r="G11" s="327">
        <f>'Gastos Administrativos'!$H$22</f>
        <v>620.02</v>
      </c>
      <c r="H11" s="327">
        <f>'Gastos Administrativos'!$H$22</f>
        <v>620.02</v>
      </c>
      <c r="I11" s="327">
        <f>'Gastos Administrativos'!$H$22</f>
        <v>620.02</v>
      </c>
      <c r="J11" s="327">
        <f>'Gastos Administrativos'!$H$22</f>
        <v>620.02</v>
      </c>
      <c r="K11" s="327">
        <f>'Gastos Administrativos'!$H$22</f>
        <v>620.02</v>
      </c>
      <c r="L11" s="327">
        <f>'Gastos Administrativos'!$H$22</f>
        <v>620.02</v>
      </c>
      <c r="M11" s="327">
        <f>'Gastos Administrativos'!$H$22</f>
        <v>620.02</v>
      </c>
      <c r="O11" s="410" t="s">
        <v>384</v>
      </c>
      <c r="P11" s="411">
        <v>0.24</v>
      </c>
    </row>
    <row r="12" spans="2:16" ht="12.75">
      <c r="B12" s="326" t="s">
        <v>325</v>
      </c>
      <c r="C12" s="326"/>
      <c r="D12" s="327">
        <f>'Gastos de Ventas'!$D$27</f>
        <v>9320</v>
      </c>
      <c r="E12" s="327">
        <f>'Gastos de Ventas'!$D$27</f>
        <v>9320</v>
      </c>
      <c r="F12" s="327">
        <f>'Gastos de Ventas'!$D$27</f>
        <v>9320</v>
      </c>
      <c r="G12" s="327">
        <f>'Gastos de Ventas'!$D$27</f>
        <v>9320</v>
      </c>
      <c r="H12" s="327">
        <f>'Gastos de Ventas'!$D$27</f>
        <v>9320</v>
      </c>
      <c r="I12" s="327">
        <f>'Gastos de Ventas'!$D$27</f>
        <v>9320</v>
      </c>
      <c r="J12" s="327">
        <f>'Gastos de Ventas'!$D$27</f>
        <v>9320</v>
      </c>
      <c r="K12" s="327">
        <f>'Gastos de Ventas'!$D$27</f>
        <v>9320</v>
      </c>
      <c r="L12" s="327">
        <f>'Gastos de Ventas'!$D$27</f>
        <v>9320</v>
      </c>
      <c r="M12" s="327">
        <f>'Gastos de Ventas'!$D$27</f>
        <v>9320</v>
      </c>
      <c r="O12" s="410" t="s">
        <v>385</v>
      </c>
      <c r="P12" s="411">
        <v>0.23</v>
      </c>
    </row>
    <row r="13" spans="2:16" s="321" customFormat="1" ht="12.75">
      <c r="B13" s="328" t="s">
        <v>324</v>
      </c>
      <c r="C13" s="328"/>
      <c r="D13" s="329">
        <f aca="true" t="shared" si="4" ref="D13:M13">D5-D6</f>
        <v>6821.273910303047</v>
      </c>
      <c r="E13" s="329">
        <f t="shared" si="4"/>
        <v>10482.547848848</v>
      </c>
      <c r="F13" s="329">
        <f t="shared" si="4"/>
        <v>16848.276482999834</v>
      </c>
      <c r="G13" s="329">
        <f t="shared" si="4"/>
        <v>23618.209533605273</v>
      </c>
      <c r="H13" s="329">
        <f t="shared" si="4"/>
        <v>30818.01275232769</v>
      </c>
      <c r="I13" s="329">
        <f t="shared" si="4"/>
        <v>38474.98158803719</v>
      </c>
      <c r="J13" s="329">
        <f t="shared" si="4"/>
        <v>46618.14466762896</v>
      </c>
      <c r="K13" s="329">
        <f t="shared" si="4"/>
        <v>55278.37384755908</v>
      </c>
      <c r="L13" s="329">
        <f t="shared" si="4"/>
        <v>64488.501253318056</v>
      </c>
      <c r="M13" s="329">
        <f t="shared" si="4"/>
        <v>74283.44375055541</v>
      </c>
      <c r="O13" s="410" t="s">
        <v>386</v>
      </c>
      <c r="P13" s="411">
        <v>0.22</v>
      </c>
    </row>
    <row r="14" spans="2:13" ht="12.75">
      <c r="B14" s="328" t="s">
        <v>323</v>
      </c>
      <c r="C14" s="326"/>
      <c r="D14" s="327">
        <f>SUM(D15)</f>
        <v>-1553.001192727273</v>
      </c>
      <c r="E14" s="327">
        <f aca="true" t="shared" si="5" ref="E14:M14">SUM(E15)</f>
        <v>-1455.557519636589</v>
      </c>
      <c r="F14" s="327">
        <f t="shared" si="5"/>
        <v>-1348.3694792368362</v>
      </c>
      <c r="G14" s="327">
        <f t="shared" si="5"/>
        <v>-1230.4626347971084</v>
      </c>
      <c r="H14" s="327">
        <f t="shared" si="5"/>
        <v>-1100.7651059134078</v>
      </c>
      <c r="I14" s="327">
        <f t="shared" si="5"/>
        <v>-958.0978241413372</v>
      </c>
      <c r="J14" s="327">
        <f t="shared" si="5"/>
        <v>-801.1638141920595</v>
      </c>
      <c r="K14" s="327">
        <f t="shared" si="5"/>
        <v>-628.536403247854</v>
      </c>
      <c r="L14" s="327">
        <f t="shared" si="5"/>
        <v>-438.64625120922796</v>
      </c>
      <c r="M14" s="327">
        <f t="shared" si="5"/>
        <v>-229.7670839667393</v>
      </c>
    </row>
    <row r="15" spans="2:13" ht="12.75">
      <c r="B15" s="326" t="s">
        <v>322</v>
      </c>
      <c r="C15" s="326"/>
      <c r="D15" s="327">
        <f>-Amortización!G13</f>
        <v>-1553.001192727273</v>
      </c>
      <c r="E15" s="327">
        <f>-Amortización!G14</f>
        <v>-1455.557519636589</v>
      </c>
      <c r="F15" s="327">
        <f>-Amortización!G15</f>
        <v>-1348.3694792368362</v>
      </c>
      <c r="G15" s="327">
        <f>-Amortización!G16</f>
        <v>-1230.4626347971084</v>
      </c>
      <c r="H15" s="327">
        <f>-Amortización!G17</f>
        <v>-1100.7651059134078</v>
      </c>
      <c r="I15" s="327">
        <f>-Amortización!G18</f>
        <v>-958.0978241413372</v>
      </c>
      <c r="J15" s="327">
        <f>-Amortización!G19</f>
        <v>-801.1638141920595</v>
      </c>
      <c r="K15" s="327">
        <f>-Amortización!G20</f>
        <v>-628.536403247854</v>
      </c>
      <c r="L15" s="327">
        <f>-Amortización!G21</f>
        <v>-438.64625120922796</v>
      </c>
      <c r="M15" s="327">
        <f>-Amortización!G22</f>
        <v>-229.7670839667393</v>
      </c>
    </row>
    <row r="16" spans="2:13" s="321" customFormat="1" ht="12.75">
      <c r="B16" s="328" t="s">
        <v>320</v>
      </c>
      <c r="C16" s="328"/>
      <c r="D16" s="329">
        <f>SUM(D13:D14)</f>
        <v>5268.272717575774</v>
      </c>
      <c r="E16" s="329">
        <f aca="true" t="shared" si="6" ref="E16:M16">SUM(E13:E14)</f>
        <v>9026.99032921141</v>
      </c>
      <c r="F16" s="329">
        <f t="shared" si="6"/>
        <v>15499.907003762997</v>
      </c>
      <c r="G16" s="329">
        <f t="shared" si="6"/>
        <v>22387.746898808164</v>
      </c>
      <c r="H16" s="329">
        <f t="shared" si="6"/>
        <v>29717.247646414282</v>
      </c>
      <c r="I16" s="329">
        <f t="shared" si="6"/>
        <v>37516.88376389585</v>
      </c>
      <c r="J16" s="329">
        <f t="shared" si="6"/>
        <v>45816.9808534369</v>
      </c>
      <c r="K16" s="329">
        <f t="shared" si="6"/>
        <v>54649.837444311226</v>
      </c>
      <c r="L16" s="329">
        <f t="shared" si="6"/>
        <v>64049.85500210883</v>
      </c>
      <c r="M16" s="329">
        <f t="shared" si="6"/>
        <v>74053.67666658867</v>
      </c>
    </row>
    <row r="17" spans="2:13" ht="12.75">
      <c r="B17" s="326" t="s">
        <v>319</v>
      </c>
      <c r="C17" s="330">
        <v>0.15</v>
      </c>
      <c r="D17" s="327">
        <f>D16*$C$17</f>
        <v>790.240907636366</v>
      </c>
      <c r="E17" s="327">
        <f aca="true" t="shared" si="7" ref="E17:M17">E16*$C$17</f>
        <v>1354.0485493817116</v>
      </c>
      <c r="F17" s="327">
        <f t="shared" si="7"/>
        <v>2324.9860505644497</v>
      </c>
      <c r="G17" s="327">
        <f t="shared" si="7"/>
        <v>3358.1620348212246</v>
      </c>
      <c r="H17" s="327">
        <f t="shared" si="7"/>
        <v>4457.5871469621425</v>
      </c>
      <c r="I17" s="327">
        <f t="shared" si="7"/>
        <v>5627.532564584378</v>
      </c>
      <c r="J17" s="327">
        <f t="shared" si="7"/>
        <v>6872.547128015535</v>
      </c>
      <c r="K17" s="327">
        <f t="shared" si="7"/>
        <v>8197.475616646683</v>
      </c>
      <c r="L17" s="327">
        <f t="shared" si="7"/>
        <v>9607.478250316324</v>
      </c>
      <c r="M17" s="327">
        <f t="shared" si="7"/>
        <v>11108.0514999883</v>
      </c>
    </row>
    <row r="18" spans="2:13" s="321" customFormat="1" ht="12.75">
      <c r="B18" s="331" t="s">
        <v>318</v>
      </c>
      <c r="C18" s="328"/>
      <c r="D18" s="329">
        <f>D16-D17</f>
        <v>4478.031809939408</v>
      </c>
      <c r="E18" s="329">
        <f aca="true" t="shared" si="8" ref="E18:M18">E16-E17</f>
        <v>7672.941779829699</v>
      </c>
      <c r="F18" s="329">
        <f t="shared" si="8"/>
        <v>13174.920953198547</v>
      </c>
      <c r="G18" s="329">
        <f t="shared" si="8"/>
        <v>19029.58486398694</v>
      </c>
      <c r="H18" s="329">
        <f t="shared" si="8"/>
        <v>25259.66049945214</v>
      </c>
      <c r="I18" s="329">
        <f t="shared" si="8"/>
        <v>31889.351199311473</v>
      </c>
      <c r="J18" s="329">
        <f t="shared" si="8"/>
        <v>38944.43372542137</v>
      </c>
      <c r="K18" s="329">
        <f t="shared" si="8"/>
        <v>46452.36182766454</v>
      </c>
      <c r="L18" s="329">
        <f t="shared" si="8"/>
        <v>54442.37675179251</v>
      </c>
      <c r="M18" s="329">
        <f t="shared" si="8"/>
        <v>62945.625166600366</v>
      </c>
    </row>
    <row r="19" spans="2:13" ht="12.75">
      <c r="B19" s="326" t="s">
        <v>317</v>
      </c>
      <c r="C19" s="330">
        <v>0.23</v>
      </c>
      <c r="D19" s="327">
        <f>D18*$C$19</f>
        <v>1029.9473162860638</v>
      </c>
      <c r="E19" s="327">
        <f>E18*22%</f>
        <v>1688.0471915625337</v>
      </c>
      <c r="F19" s="327">
        <f aca="true" t="shared" si="9" ref="F19:M19">F18*22%</f>
        <v>2898.4826097036803</v>
      </c>
      <c r="G19" s="327">
        <f t="shared" si="9"/>
        <v>4186.508670077127</v>
      </c>
      <c r="H19" s="327">
        <f t="shared" si="9"/>
        <v>5557.1253098794705</v>
      </c>
      <c r="I19" s="327">
        <f t="shared" si="9"/>
        <v>7015.657263848524</v>
      </c>
      <c r="J19" s="327">
        <f t="shared" si="9"/>
        <v>8567.775419592701</v>
      </c>
      <c r="K19" s="327">
        <f t="shared" si="9"/>
        <v>10219.5196020862</v>
      </c>
      <c r="L19" s="327">
        <f t="shared" si="9"/>
        <v>11977.322885394351</v>
      </c>
      <c r="M19" s="327">
        <f t="shared" si="9"/>
        <v>13848.03753665208</v>
      </c>
    </row>
    <row r="20" spans="2:13" s="321" customFormat="1" ht="12.75">
      <c r="B20" s="328" t="s">
        <v>316</v>
      </c>
      <c r="C20" s="328"/>
      <c r="D20" s="329">
        <f>D18-D19</f>
        <v>3448.084493653344</v>
      </c>
      <c r="E20" s="329">
        <f aca="true" t="shared" si="10" ref="E20:M20">E18-E19</f>
        <v>5984.894588267165</v>
      </c>
      <c r="F20" s="329">
        <f t="shared" si="10"/>
        <v>10276.438343494867</v>
      </c>
      <c r="G20" s="329">
        <f t="shared" si="10"/>
        <v>14843.076193909812</v>
      </c>
      <c r="H20" s="329">
        <f t="shared" si="10"/>
        <v>19702.53518957267</v>
      </c>
      <c r="I20" s="329">
        <f t="shared" si="10"/>
        <v>24873.69393546295</v>
      </c>
      <c r="J20" s="329">
        <f t="shared" si="10"/>
        <v>30376.658305828667</v>
      </c>
      <c r="K20" s="329">
        <f t="shared" si="10"/>
        <v>36232.842225578344</v>
      </c>
      <c r="L20" s="329">
        <f t="shared" si="10"/>
        <v>42465.05386639816</v>
      </c>
      <c r="M20" s="329">
        <f t="shared" si="10"/>
        <v>49097.587629948284</v>
      </c>
    </row>
    <row r="21" spans="2:13" s="305" customFormat="1" ht="12.75">
      <c r="B21" s="332" t="s">
        <v>315</v>
      </c>
      <c r="C21" s="333"/>
      <c r="D21" s="327">
        <f>D9</f>
        <v>190</v>
      </c>
      <c r="E21" s="327">
        <f aca="true" t="shared" si="11" ref="E21:M21">E9</f>
        <v>190</v>
      </c>
      <c r="F21" s="327">
        <f t="shared" si="11"/>
        <v>190</v>
      </c>
      <c r="G21" s="327">
        <f t="shared" si="11"/>
        <v>190</v>
      </c>
      <c r="H21" s="327">
        <f t="shared" si="11"/>
        <v>190</v>
      </c>
      <c r="I21" s="327">
        <f t="shared" si="11"/>
        <v>190</v>
      </c>
      <c r="J21" s="327">
        <f t="shared" si="11"/>
        <v>190</v>
      </c>
      <c r="K21" s="327">
        <f t="shared" si="11"/>
        <v>190</v>
      </c>
      <c r="L21" s="327">
        <f t="shared" si="11"/>
        <v>190</v>
      </c>
      <c r="M21" s="327">
        <f t="shared" si="11"/>
        <v>190</v>
      </c>
    </row>
    <row r="22" spans="2:13" s="305" customFormat="1" ht="12.75">
      <c r="B22" s="332" t="s">
        <v>314</v>
      </c>
      <c r="C22" s="333"/>
      <c r="D22" s="327">
        <f>D10</f>
        <v>6659.566666666666</v>
      </c>
      <c r="E22" s="327">
        <f aca="true" t="shared" si="12" ref="E22:M22">E10</f>
        <v>6659.566666666666</v>
      </c>
      <c r="F22" s="327">
        <f t="shared" si="12"/>
        <v>6659.566666666666</v>
      </c>
      <c r="G22" s="327">
        <f t="shared" si="12"/>
        <v>6659.566666666666</v>
      </c>
      <c r="H22" s="327">
        <f t="shared" si="12"/>
        <v>6659.566666666666</v>
      </c>
      <c r="I22" s="327">
        <f t="shared" si="12"/>
        <v>6659.566666666666</v>
      </c>
      <c r="J22" s="327">
        <f t="shared" si="12"/>
        <v>6659.566666666666</v>
      </c>
      <c r="K22" s="327">
        <f t="shared" si="12"/>
        <v>6659.566666666666</v>
      </c>
      <c r="L22" s="327">
        <f t="shared" si="12"/>
        <v>6659.566666666666</v>
      </c>
      <c r="M22" s="327">
        <f t="shared" si="12"/>
        <v>6659.566666666666</v>
      </c>
    </row>
    <row r="23" spans="2:13" ht="12.75">
      <c r="B23" s="334" t="s">
        <v>283</v>
      </c>
      <c r="C23" s="335">
        <f>-'Inv. Inic.'!B12</f>
        <v>-48336.45090909091</v>
      </c>
      <c r="D23" s="327"/>
      <c r="E23" s="327"/>
      <c r="F23" s="327">
        <f>-('Tabla depr'!D35+'Tabla depr'!I35+'Tabla depr'!N35+'Tabla depr'!D49)</f>
        <v>-2459</v>
      </c>
      <c r="G23" s="327"/>
      <c r="H23" s="327">
        <f>-'Tabla depr'!N23</f>
        <v>-20000</v>
      </c>
      <c r="I23" s="327">
        <f>-('Tabla depr'!D38+'Tabla depr'!I38+'Tabla depr'!N38+'Tabla depr'!D52)</f>
        <v>-2459</v>
      </c>
      <c r="J23" s="327"/>
      <c r="K23" s="327"/>
      <c r="L23" s="327">
        <f>-('Tabla depr'!D41+'Tabla depr'!I41+'Tabla depr'!N41+'Tabla depr'!D55)</f>
        <v>-2459</v>
      </c>
      <c r="M23" s="327"/>
    </row>
    <row r="24" spans="2:13" ht="12.75">
      <c r="B24" s="336" t="s">
        <v>65</v>
      </c>
      <c r="C24" s="337">
        <f>Amortización!L8</f>
        <v>15530.01192727273</v>
      </c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2:13" ht="12.75">
      <c r="B25" s="332" t="s">
        <v>284</v>
      </c>
      <c r="C25" s="327"/>
      <c r="D25" s="327">
        <f>Amortización!F13</f>
        <v>974.4367309068411</v>
      </c>
      <c r="E25" s="327">
        <f>Amortización!F14</f>
        <v>1071.8804039975253</v>
      </c>
      <c r="F25" s="327">
        <f>Amortización!F15</f>
        <v>1179.068444397278</v>
      </c>
      <c r="G25" s="327">
        <f>Amortización!F16</f>
        <v>1296.9752888370058</v>
      </c>
      <c r="H25" s="327">
        <f>Amortización!F17</f>
        <v>1426.6728177207065</v>
      </c>
      <c r="I25" s="327">
        <f>Amortización!F18</f>
        <v>1569.340099492777</v>
      </c>
      <c r="J25" s="327">
        <f>Amortización!F19</f>
        <v>1726.2741094420549</v>
      </c>
      <c r="K25" s="327">
        <f>Amortización!F20</f>
        <v>1898.9015203862602</v>
      </c>
      <c r="L25" s="327">
        <f>Amortización!F21</f>
        <v>2088.791672424886</v>
      </c>
      <c r="M25" s="327">
        <f>Amortización!F22</f>
        <v>2297.670839667375</v>
      </c>
    </row>
    <row r="26" spans="2:13" ht="12.75">
      <c r="B26" s="338" t="s">
        <v>285</v>
      </c>
      <c r="C26" s="339">
        <f>CapTrabajo!E19</f>
        <v>-9511.421090909093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</row>
    <row r="27" spans="2:13" ht="12.75">
      <c r="B27" s="332" t="s">
        <v>286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39">
        <f>-C26</f>
        <v>9511.421090909093</v>
      </c>
    </row>
    <row r="28" spans="2:13" ht="12.75">
      <c r="B28" s="340" t="s">
        <v>287</v>
      </c>
      <c r="C28" s="327"/>
      <c r="D28" s="327"/>
      <c r="E28" s="327"/>
      <c r="F28" s="327"/>
      <c r="G28" s="327"/>
      <c r="H28" s="327">
        <v>5000</v>
      </c>
      <c r="I28" s="327"/>
      <c r="J28" s="327"/>
      <c r="K28" s="327"/>
      <c r="L28" s="327"/>
      <c r="M28" s="341">
        <f>'Tabla depr'!E42+'Tabla depr'!J42+'Tabla depr'!O42+'Tabla depr'!E56</f>
        <v>1639.3333333333333</v>
      </c>
    </row>
    <row r="29" spans="2:13" ht="12.75">
      <c r="B29" s="342" t="s">
        <v>313</v>
      </c>
      <c r="C29" s="329">
        <f>SUM(C23:C28)</f>
        <v>-42317.86007272727</v>
      </c>
      <c r="D29" s="329">
        <f>SUM(D20:D28)</f>
        <v>11272.087891226849</v>
      </c>
      <c r="E29" s="329">
        <f aca="true" t="shared" si="13" ref="E29:M29">SUM(E20:E28)</f>
        <v>13906.341658931357</v>
      </c>
      <c r="F29" s="329">
        <f t="shared" si="13"/>
        <v>15846.073454558813</v>
      </c>
      <c r="G29" s="329">
        <f t="shared" si="13"/>
        <v>22989.618149413483</v>
      </c>
      <c r="H29" s="329">
        <f t="shared" si="13"/>
        <v>12978.774673960042</v>
      </c>
      <c r="I29" s="329">
        <f t="shared" si="13"/>
        <v>30833.600701622392</v>
      </c>
      <c r="J29" s="329">
        <f t="shared" si="13"/>
        <v>38952.499081937385</v>
      </c>
      <c r="K29" s="329">
        <f t="shared" si="13"/>
        <v>44981.31041263127</v>
      </c>
      <c r="L29" s="329">
        <f t="shared" si="13"/>
        <v>48944.41220548971</v>
      </c>
      <c r="M29" s="329">
        <f t="shared" si="13"/>
        <v>69395.57956052474</v>
      </c>
    </row>
    <row r="30" ht="12.75"/>
    <row r="31" spans="2:7" ht="15">
      <c r="B31" s="304" t="s">
        <v>312</v>
      </c>
      <c r="F31" s="343" t="s">
        <v>67</v>
      </c>
      <c r="G31" s="344">
        <f>NPV(G33,D29:M29)+C29</f>
        <v>84752.68437384313</v>
      </c>
    </row>
    <row r="32" spans="6:7" ht="15">
      <c r="F32" s="345" t="s">
        <v>66</v>
      </c>
      <c r="G32" s="346">
        <f>IRR(C29:M29)</f>
        <v>0.4195893434371086</v>
      </c>
    </row>
    <row r="33" spans="6:7" ht="15">
      <c r="F33" s="278" t="s">
        <v>353</v>
      </c>
      <c r="G33" s="315">
        <f>E48</f>
        <v>0.14545</v>
      </c>
    </row>
    <row r="34" ht="12.75"/>
    <row r="35" spans="3:13" ht="12.75">
      <c r="C35" s="448">
        <v>0</v>
      </c>
      <c r="D35" s="448">
        <v>1</v>
      </c>
      <c r="E35" s="448">
        <v>2</v>
      </c>
      <c r="F35" s="448">
        <v>3</v>
      </c>
      <c r="G35" s="448">
        <v>4</v>
      </c>
      <c r="H35" s="448">
        <v>5</v>
      </c>
      <c r="I35" s="448">
        <v>6</v>
      </c>
      <c r="J35" s="448">
        <v>7</v>
      </c>
      <c r="K35" s="448">
        <v>8</v>
      </c>
      <c r="L35" s="448">
        <v>9</v>
      </c>
      <c r="M35" s="448">
        <v>10</v>
      </c>
    </row>
    <row r="36" spans="2:13" ht="12.75">
      <c r="B36" s="348" t="s">
        <v>288</v>
      </c>
      <c r="C36" s="327">
        <f>C29</f>
        <v>-42317.86007272727</v>
      </c>
      <c r="D36" s="327">
        <f aca="true" t="shared" si="14" ref="D36:M36">D29</f>
        <v>11272.087891226849</v>
      </c>
      <c r="E36" s="327">
        <f t="shared" si="14"/>
        <v>13906.341658931357</v>
      </c>
      <c r="F36" s="327">
        <f t="shared" si="14"/>
        <v>15846.073454558813</v>
      </c>
      <c r="G36" s="327">
        <f t="shared" si="14"/>
        <v>22989.618149413483</v>
      </c>
      <c r="H36" s="327">
        <f t="shared" si="14"/>
        <v>12978.774673960042</v>
      </c>
      <c r="I36" s="327">
        <f t="shared" si="14"/>
        <v>30833.600701622392</v>
      </c>
      <c r="J36" s="327">
        <f t="shared" si="14"/>
        <v>38952.499081937385</v>
      </c>
      <c r="K36" s="327">
        <f t="shared" si="14"/>
        <v>44981.31041263127</v>
      </c>
      <c r="L36" s="327">
        <f t="shared" si="14"/>
        <v>48944.41220548971</v>
      </c>
      <c r="M36" s="327">
        <f t="shared" si="14"/>
        <v>69395.57956052474</v>
      </c>
    </row>
    <row r="37" spans="2:13" ht="12.75">
      <c r="B37" s="348" t="s">
        <v>289</v>
      </c>
      <c r="C37" s="327">
        <f>C36</f>
        <v>-42317.86007272727</v>
      </c>
      <c r="D37" s="327">
        <f aca="true" t="shared" si="15" ref="D37:M37">D36/(1+$G$33)^D1</f>
        <v>9840.75070166908</v>
      </c>
      <c r="E37" s="327">
        <f t="shared" si="15"/>
        <v>10598.89578806305</v>
      </c>
      <c r="F37" s="327">
        <f t="shared" si="15"/>
        <v>10543.705210829008</v>
      </c>
      <c r="G37" s="327">
        <f t="shared" si="15"/>
        <v>13354.487058529872</v>
      </c>
      <c r="H37" s="327">
        <f t="shared" si="15"/>
        <v>6581.926221004764</v>
      </c>
      <c r="I37" s="327">
        <f t="shared" si="15"/>
        <v>13651.092974717809</v>
      </c>
      <c r="J37" s="327">
        <f t="shared" si="15"/>
        <v>15055.749145296713</v>
      </c>
      <c r="K37" s="327">
        <f t="shared" si="15"/>
        <v>15178.29574888451</v>
      </c>
      <c r="L37" s="327">
        <f t="shared" si="15"/>
        <v>14418.42717270722</v>
      </c>
      <c r="M37" s="327">
        <f t="shared" si="15"/>
        <v>17847.214424868405</v>
      </c>
    </row>
    <row r="38" spans="2:13" ht="12.75">
      <c r="B38" s="348" t="s">
        <v>290</v>
      </c>
      <c r="C38" s="327">
        <f>C37</f>
        <v>-42317.86007272727</v>
      </c>
      <c r="D38" s="327">
        <f>C38+D37</f>
        <v>-32477.10937105819</v>
      </c>
      <c r="E38" s="327">
        <f aca="true" t="shared" si="16" ref="E38:M38">D38+E37</f>
        <v>-21878.213582995144</v>
      </c>
      <c r="F38" s="446">
        <f t="shared" si="16"/>
        <v>-11334.508372166136</v>
      </c>
      <c r="G38" s="446">
        <f t="shared" si="16"/>
        <v>2019.9786863637364</v>
      </c>
      <c r="H38" s="445">
        <f t="shared" si="16"/>
        <v>8601.9049073685</v>
      </c>
      <c r="I38" s="445">
        <f t="shared" si="16"/>
        <v>22252.99788208631</v>
      </c>
      <c r="J38" s="327">
        <f t="shared" si="16"/>
        <v>37308.747027383026</v>
      </c>
      <c r="K38" s="327">
        <f t="shared" si="16"/>
        <v>52487.04277626754</v>
      </c>
      <c r="L38" s="327">
        <f t="shared" si="16"/>
        <v>66905.46994897476</v>
      </c>
      <c r="M38" s="327">
        <f t="shared" si="16"/>
        <v>84752.68437384316</v>
      </c>
    </row>
    <row r="39" ht="12.75"/>
    <row r="40" spans="6:8" ht="12.75">
      <c r="F40" s="321" t="s">
        <v>291</v>
      </c>
      <c r="G40" s="347">
        <f>4+(G38/-F38)</f>
        <v>4.178214936196452</v>
      </c>
      <c r="H40" s="321" t="s">
        <v>432</v>
      </c>
    </row>
    <row r="41" ht="13.5" thickBot="1"/>
    <row r="42" spans="2:12" ht="16.5" thickBot="1">
      <c r="B42" s="272" t="s">
        <v>292</v>
      </c>
      <c r="C42" s="270"/>
      <c r="H42" s="534" t="s">
        <v>291</v>
      </c>
      <c r="I42" s="535"/>
      <c r="J42" s="535"/>
      <c r="K42" s="535"/>
      <c r="L42" s="536"/>
    </row>
    <row r="43" spans="5:12" ht="39" thickBot="1">
      <c r="E43" s="271" t="s">
        <v>293</v>
      </c>
      <c r="F43" s="273">
        <v>0.6</v>
      </c>
      <c r="H43" s="279" t="s">
        <v>301</v>
      </c>
      <c r="I43" s="280" t="s">
        <v>302</v>
      </c>
      <c r="J43" s="279" t="s">
        <v>303</v>
      </c>
      <c r="K43" s="280" t="s">
        <v>304</v>
      </c>
      <c r="L43" s="281" t="s">
        <v>305</v>
      </c>
    </row>
    <row r="44" spans="5:12" ht="12.75">
      <c r="E44" s="271" t="s">
        <v>295</v>
      </c>
      <c r="F44" s="273">
        <v>0.4</v>
      </c>
      <c r="H44" s="282">
        <v>1</v>
      </c>
      <c r="I44" s="283">
        <f>-C29</f>
        <v>42317.86007272727</v>
      </c>
      <c r="J44" s="286">
        <f>D29</f>
        <v>11272.087891226849</v>
      </c>
      <c r="K44" s="286">
        <f>I44*$G$33</f>
        <v>6155.132747578182</v>
      </c>
      <c r="L44" s="284">
        <f>J44-K44</f>
        <v>5116.955143648667</v>
      </c>
    </row>
    <row r="45" spans="8:12" ht="12.75">
      <c r="H45" s="285">
        <v>2</v>
      </c>
      <c r="I45" s="286">
        <f>I44-L44</f>
        <v>37200.904929078606</v>
      </c>
      <c r="J45" s="286">
        <f>E29</f>
        <v>13906.341658931357</v>
      </c>
      <c r="K45" s="286">
        <f aca="true" t="shared" si="17" ref="K45:K52">I45*$G$33</f>
        <v>5410.871621934483</v>
      </c>
      <c r="L45" s="287">
        <f>J45-K45</f>
        <v>8495.470036996874</v>
      </c>
    </row>
    <row r="46" spans="8:12" ht="12.75">
      <c r="H46" s="285">
        <v>3</v>
      </c>
      <c r="I46" s="286">
        <f>I45-L45</f>
        <v>28705.434892081732</v>
      </c>
      <c r="J46" s="286">
        <f>F29</f>
        <v>15846.073454558813</v>
      </c>
      <c r="K46" s="286">
        <f t="shared" si="17"/>
        <v>4175.205505053288</v>
      </c>
      <c r="L46" s="287">
        <f>J46-K46</f>
        <v>11670.867949505526</v>
      </c>
    </row>
    <row r="47" spans="8:12" ht="12.75">
      <c r="H47" s="285">
        <v>4</v>
      </c>
      <c r="I47" s="286">
        <f aca="true" t="shared" si="18" ref="I47:I52">I46-L46</f>
        <v>17034.566942576206</v>
      </c>
      <c r="J47" s="286">
        <f>G29</f>
        <v>22989.618149413483</v>
      </c>
      <c r="K47" s="286">
        <f t="shared" si="17"/>
        <v>2477.677761797709</v>
      </c>
      <c r="L47" s="287">
        <f aca="true" t="shared" si="19" ref="L47:L53">J47-K47</f>
        <v>20511.940387615774</v>
      </c>
    </row>
    <row r="48" spans="4:12" ht="12.75">
      <c r="D48" s="314" t="s">
        <v>300</v>
      </c>
      <c r="E48" s="275">
        <f>E50+E52*(E51-E50)+E53</f>
        <v>0.14545</v>
      </c>
      <c r="H48" s="285">
        <v>5</v>
      </c>
      <c r="I48" s="286">
        <f t="shared" si="18"/>
        <v>-3477.3734450395677</v>
      </c>
      <c r="J48" s="286">
        <f>H29</f>
        <v>12978.774673960042</v>
      </c>
      <c r="K48" s="286">
        <f t="shared" si="17"/>
        <v>-505.78396758100513</v>
      </c>
      <c r="L48" s="287">
        <f t="shared" si="19"/>
        <v>13484.558641541047</v>
      </c>
    </row>
    <row r="49" spans="4:12" ht="12.75">
      <c r="D49" s="274" t="s">
        <v>294</v>
      </c>
      <c r="E49" s="275">
        <v>0.1</v>
      </c>
      <c r="H49" s="285">
        <v>6</v>
      </c>
      <c r="I49" s="286">
        <f t="shared" si="18"/>
        <v>-16961.932086580615</v>
      </c>
      <c r="J49" s="286">
        <f>I29</f>
        <v>30833.600701622392</v>
      </c>
      <c r="K49" s="286">
        <f t="shared" si="17"/>
        <v>-2467.11302199315</v>
      </c>
      <c r="L49" s="287">
        <f t="shared" si="19"/>
        <v>33300.71372361554</v>
      </c>
    </row>
    <row r="50" spans="4:12" ht="12.75">
      <c r="D50" s="274" t="s">
        <v>296</v>
      </c>
      <c r="E50" s="275">
        <v>0.0193</v>
      </c>
      <c r="H50" s="285">
        <v>7</v>
      </c>
      <c r="I50" s="286">
        <f t="shared" si="18"/>
        <v>-50262.645810196154</v>
      </c>
      <c r="J50" s="286">
        <f>J29</f>
        <v>38952.499081937385</v>
      </c>
      <c r="K50" s="286">
        <f t="shared" si="17"/>
        <v>-7310.7018330930305</v>
      </c>
      <c r="L50" s="287">
        <f t="shared" si="19"/>
        <v>46263.200915030415</v>
      </c>
    </row>
    <row r="51" spans="4:12" ht="15">
      <c r="D51" s="274" t="s">
        <v>297</v>
      </c>
      <c r="E51" s="275">
        <v>0.11</v>
      </c>
      <c r="H51" s="288">
        <v>8</v>
      </c>
      <c r="I51" s="286">
        <f t="shared" si="18"/>
        <v>-96525.84672522657</v>
      </c>
      <c r="J51" s="286">
        <f>K29</f>
        <v>44981.31041263127</v>
      </c>
      <c r="K51" s="286">
        <f t="shared" si="17"/>
        <v>-14039.684406184204</v>
      </c>
      <c r="L51" s="287">
        <f t="shared" si="19"/>
        <v>59020.994818815474</v>
      </c>
    </row>
    <row r="52" spans="4:12" ht="12.75">
      <c r="D52" s="274" t="s">
        <v>298</v>
      </c>
      <c r="E52" s="276">
        <v>0.5</v>
      </c>
      <c r="H52" s="285">
        <v>9</v>
      </c>
      <c r="I52" s="286">
        <f t="shared" si="18"/>
        <v>-155546.84154404205</v>
      </c>
      <c r="J52" s="286">
        <f>L29</f>
        <v>48944.41220548971</v>
      </c>
      <c r="K52" s="286">
        <f t="shared" si="17"/>
        <v>-22624.288102580915</v>
      </c>
      <c r="L52" s="287">
        <f t="shared" si="19"/>
        <v>71568.70030807062</v>
      </c>
    </row>
    <row r="53" spans="4:12" ht="13.5" thickBot="1">
      <c r="D53" s="274" t="s">
        <v>299</v>
      </c>
      <c r="E53" s="277">
        <v>0.0808</v>
      </c>
      <c r="H53" s="298">
        <v>10</v>
      </c>
      <c r="I53" s="299">
        <f>I52-L52</f>
        <v>-227115.54185211268</v>
      </c>
      <c r="J53" s="286">
        <f>M29</f>
        <v>69395.57956052474</v>
      </c>
      <c r="K53" s="286">
        <f>I53*$G$33</f>
        <v>-33033.95556238979</v>
      </c>
      <c r="L53" s="300">
        <f t="shared" si="19"/>
        <v>102429.53512291453</v>
      </c>
    </row>
  </sheetData>
  <sheetProtection/>
  <mergeCells count="4">
    <mergeCell ref="H42:L42"/>
    <mergeCell ref="O5:P5"/>
    <mergeCell ref="O6:P6"/>
    <mergeCell ref="O7:P7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D4:K37"/>
  <sheetViews>
    <sheetView zoomScalePageLayoutView="0" workbookViewId="0" topLeftCell="A10">
      <selection activeCell="F7" sqref="F7"/>
    </sheetView>
  </sheetViews>
  <sheetFormatPr defaultColWidth="11.421875" defaultRowHeight="15"/>
  <cols>
    <col min="6" max="6" width="13.7109375" style="0" customWidth="1"/>
    <col min="7" max="7" width="9.7109375" style="0" customWidth="1"/>
    <col min="9" max="9" width="18.00390625" style="0" customWidth="1"/>
    <col min="11" max="11" width="14.8515625" style="0" customWidth="1"/>
  </cols>
  <sheetData>
    <row r="4" spans="4:9" ht="15">
      <c r="D4" s="538" t="s">
        <v>306</v>
      </c>
      <c r="E4" s="538"/>
      <c r="F4" s="538"/>
      <c r="G4" s="538"/>
      <c r="H4" s="538"/>
      <c r="I4" s="538"/>
    </row>
    <row r="5" spans="4:9" ht="15">
      <c r="D5" s="539" t="s">
        <v>307</v>
      </c>
      <c r="E5" s="289"/>
      <c r="F5" s="290" t="s">
        <v>67</v>
      </c>
      <c r="G5" s="290" t="s">
        <v>434</v>
      </c>
      <c r="H5" s="290" t="s">
        <v>308</v>
      </c>
      <c r="I5" s="291" t="s">
        <v>309</v>
      </c>
    </row>
    <row r="6" spans="4:11" ht="15">
      <c r="D6" s="539"/>
      <c r="E6" s="292">
        <v>0.05</v>
      </c>
      <c r="F6" s="293">
        <v>129190.99705651416</v>
      </c>
      <c r="G6" s="447">
        <v>0.1455</v>
      </c>
      <c r="H6" s="294">
        <v>0.579382365573039</v>
      </c>
      <c r="I6" s="289" t="s">
        <v>310</v>
      </c>
      <c r="K6" s="142"/>
    </row>
    <row r="7" spans="4:9" ht="15">
      <c r="D7" s="539"/>
      <c r="E7" s="295">
        <v>0</v>
      </c>
      <c r="F7" s="297">
        <f>'Flujo de Caja'!G31</f>
        <v>84752.68437384313</v>
      </c>
      <c r="G7" s="447">
        <v>0.1455</v>
      </c>
      <c r="H7" s="296">
        <f>'Flujo de Caja'!G32</f>
        <v>0.4195893434371086</v>
      </c>
      <c r="I7" s="289" t="s">
        <v>310</v>
      </c>
    </row>
    <row r="8" spans="4:11" ht="15">
      <c r="D8" s="539"/>
      <c r="E8" s="292">
        <v>-0.05</v>
      </c>
      <c r="F8" s="293">
        <v>31186.577641672862</v>
      </c>
      <c r="G8" s="447">
        <v>0.1455</v>
      </c>
      <c r="H8" s="294">
        <v>0.25282756956956426</v>
      </c>
      <c r="I8" s="289" t="s">
        <v>310</v>
      </c>
      <c r="K8" s="301"/>
    </row>
    <row r="9" spans="4:9" ht="15">
      <c r="D9" s="539"/>
      <c r="E9" s="294">
        <v>-0.1</v>
      </c>
      <c r="F9" s="293">
        <v>-17815.632065747683</v>
      </c>
      <c r="G9" s="447">
        <v>0.1455</v>
      </c>
      <c r="H9" s="294">
        <v>0.08075953472091701</v>
      </c>
      <c r="I9" s="289" t="s">
        <v>311</v>
      </c>
    </row>
    <row r="10" spans="4:9" ht="15">
      <c r="D10" s="539"/>
      <c r="E10" s="294">
        <v>-0.15</v>
      </c>
      <c r="F10" s="293">
        <v>-66817.84177316833</v>
      </c>
      <c r="G10" s="447">
        <v>0.1455</v>
      </c>
      <c r="H10" s="294" t="e">
        <v>#NUM!</v>
      </c>
      <c r="I10" s="289" t="s">
        <v>311</v>
      </c>
    </row>
    <row r="29" spans="4:9" ht="15">
      <c r="D29" s="538" t="s">
        <v>433</v>
      </c>
      <c r="E29" s="538"/>
      <c r="F29" s="538"/>
      <c r="G29" s="538"/>
      <c r="H29" s="538"/>
      <c r="I29" s="538"/>
    </row>
    <row r="30" spans="4:9" ht="15">
      <c r="D30" s="539" t="s">
        <v>307</v>
      </c>
      <c r="E30" s="289"/>
      <c r="F30" s="290" t="s">
        <v>67</v>
      </c>
      <c r="G30" s="290" t="s">
        <v>434</v>
      </c>
      <c r="H30" s="290" t="s">
        <v>308</v>
      </c>
      <c r="I30" s="291" t="s">
        <v>309</v>
      </c>
    </row>
    <row r="31" spans="4:9" ht="15">
      <c r="D31" s="539"/>
      <c r="E31" s="294">
        <v>0.25</v>
      </c>
      <c r="F31" s="293">
        <v>-36157.04764477358</v>
      </c>
      <c r="G31" s="293">
        <v>0.15</v>
      </c>
      <c r="H31" s="294">
        <v>0.035252925788806</v>
      </c>
      <c r="I31" s="289" t="s">
        <v>310</v>
      </c>
    </row>
    <row r="32" spans="4:9" ht="15">
      <c r="D32" s="539"/>
      <c r="E32" s="292">
        <v>0.2</v>
      </c>
      <c r="F32" s="293">
        <v>-12887.880646000158</v>
      </c>
      <c r="G32" s="293"/>
      <c r="H32" s="294">
        <v>0.1057128153775371</v>
      </c>
      <c r="I32" s="289" t="s">
        <v>311</v>
      </c>
    </row>
    <row r="33" spans="4:9" ht="15">
      <c r="D33" s="539"/>
      <c r="E33" s="292">
        <v>0.15</v>
      </c>
      <c r="F33" s="293">
        <v>10381.286352773248</v>
      </c>
      <c r="G33" s="293"/>
      <c r="H33" s="294">
        <v>0.1780305843538385</v>
      </c>
      <c r="I33" s="289" t="s">
        <v>310</v>
      </c>
    </row>
    <row r="34" spans="4:9" ht="15">
      <c r="D34" s="539"/>
      <c r="E34" s="292">
        <v>0.1</v>
      </c>
      <c r="F34" s="293">
        <v>33650.45335154666</v>
      </c>
      <c r="G34" s="293"/>
      <c r="H34" s="294">
        <v>0.2534136207446687</v>
      </c>
      <c r="I34" s="289" t="s">
        <v>310</v>
      </c>
    </row>
    <row r="35" spans="4:9" ht="15">
      <c r="D35" s="539"/>
      <c r="E35" s="294">
        <v>0.05</v>
      </c>
      <c r="F35" s="293">
        <v>56919.62035032008</v>
      </c>
      <c r="G35" s="293"/>
      <c r="H35" s="294">
        <v>0.33265873588921896</v>
      </c>
      <c r="I35" s="289" t="s">
        <v>310</v>
      </c>
    </row>
    <row r="36" spans="4:9" ht="15">
      <c r="D36" s="539"/>
      <c r="E36" s="296">
        <v>0</v>
      </c>
      <c r="F36" s="302">
        <f>'Flujo de Caja'!G31</f>
        <v>84752.68437384313</v>
      </c>
      <c r="G36" s="302"/>
      <c r="H36" s="296">
        <f>'Flujo de Caja'!G32</f>
        <v>0.4195893434371086</v>
      </c>
      <c r="I36" s="289" t="s">
        <v>310</v>
      </c>
    </row>
    <row r="37" spans="4:9" ht="15">
      <c r="D37" s="539"/>
      <c r="E37" s="294">
        <v>-0.05</v>
      </c>
      <c r="F37" s="293">
        <v>103457.9543478669</v>
      </c>
      <c r="G37" s="293"/>
      <c r="H37" s="294">
        <v>0.504019970928116</v>
      </c>
      <c r="I37" s="289" t="s">
        <v>310</v>
      </c>
    </row>
  </sheetData>
  <sheetProtection/>
  <mergeCells count="4">
    <mergeCell ref="D4:I4"/>
    <mergeCell ref="D5:D10"/>
    <mergeCell ref="D29:I29"/>
    <mergeCell ref="D30:D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9">
      <selection activeCell="D44" sqref="D44"/>
    </sheetView>
  </sheetViews>
  <sheetFormatPr defaultColWidth="11.421875" defaultRowHeight="15"/>
  <cols>
    <col min="1" max="1" width="31.7109375" style="0" customWidth="1"/>
    <col min="2" max="2" width="14.28125" style="0" customWidth="1"/>
    <col min="3" max="3" width="12.7109375" style="0" customWidth="1"/>
  </cols>
  <sheetData>
    <row r="1" ht="18.75">
      <c r="A1" s="8" t="s">
        <v>17</v>
      </c>
    </row>
    <row r="3" spans="1:3" s="2" customFormat="1" ht="21" customHeight="1">
      <c r="A3" s="3" t="s">
        <v>0</v>
      </c>
      <c r="B3" s="4" t="s">
        <v>1</v>
      </c>
      <c r="C3" s="83"/>
    </row>
    <row r="4" spans="1:3" s="2" customFormat="1" ht="30" customHeight="1">
      <c r="A4" s="5" t="s">
        <v>2</v>
      </c>
      <c r="B4" s="19">
        <v>800</v>
      </c>
      <c r="C4" s="84"/>
    </row>
    <row r="5" spans="1:3" s="2" customFormat="1" ht="30" customHeight="1">
      <c r="A5" s="5" t="s">
        <v>3</v>
      </c>
      <c r="B5" s="19">
        <v>1200</v>
      </c>
      <c r="C5" s="84"/>
    </row>
    <row r="6" spans="1:3" s="2" customFormat="1" ht="30" customHeight="1">
      <c r="A6" s="5" t="s">
        <v>4</v>
      </c>
      <c r="B6" s="19">
        <v>1000</v>
      </c>
      <c r="C6" s="84"/>
    </row>
    <row r="7" spans="1:3" s="2" customFormat="1" ht="30" customHeight="1">
      <c r="A7" s="5" t="s">
        <v>5</v>
      </c>
      <c r="B7" s="19">
        <v>2500</v>
      </c>
      <c r="C7" s="84"/>
    </row>
    <row r="8" spans="1:3" s="2" customFormat="1" ht="30" customHeight="1">
      <c r="A8" s="67" t="s">
        <v>74</v>
      </c>
      <c r="B8" s="19">
        <v>4000</v>
      </c>
      <c r="C8" s="84"/>
    </row>
    <row r="9" spans="1:3" ht="15">
      <c r="A9" s="6" t="s">
        <v>6</v>
      </c>
      <c r="B9" s="20">
        <f>SUM(B4:B8)</f>
        <v>9500</v>
      </c>
      <c r="C9" s="85"/>
    </row>
    <row r="12" ht="18.75">
      <c r="A12" s="8" t="s">
        <v>18</v>
      </c>
    </row>
    <row r="14" spans="1:6" ht="15">
      <c r="A14" s="460" t="s">
        <v>7</v>
      </c>
      <c r="B14" s="462" t="s">
        <v>22</v>
      </c>
      <c r="C14" s="462" t="s">
        <v>8</v>
      </c>
      <c r="D14" s="462" t="s">
        <v>9</v>
      </c>
      <c r="E14" s="462" t="s">
        <v>75</v>
      </c>
      <c r="F14" s="462" t="s">
        <v>10</v>
      </c>
    </row>
    <row r="15" spans="1:6" ht="15">
      <c r="A15" s="461"/>
      <c r="B15" s="462"/>
      <c r="C15" s="462"/>
      <c r="D15" s="462"/>
      <c r="E15" s="462"/>
      <c r="F15" s="462"/>
    </row>
    <row r="16" spans="1:6" ht="15">
      <c r="A16" s="10" t="s">
        <v>11</v>
      </c>
      <c r="B16" s="11"/>
      <c r="C16" s="11"/>
      <c r="D16" s="16">
        <f>SUM(B17:B21)</f>
        <v>8480</v>
      </c>
      <c r="E16" s="16"/>
      <c r="F16" s="11"/>
    </row>
    <row r="17" spans="1:6" ht="15">
      <c r="A17" s="82" t="s">
        <v>76</v>
      </c>
      <c r="B17" s="15">
        <f>C17*E17</f>
        <v>1700</v>
      </c>
      <c r="C17" s="15">
        <v>850</v>
      </c>
      <c r="D17" s="16"/>
      <c r="E17" s="443">
        <v>2</v>
      </c>
      <c r="F17" s="13">
        <v>10</v>
      </c>
    </row>
    <row r="18" spans="1:6" ht="15">
      <c r="A18" s="82" t="s">
        <v>77</v>
      </c>
      <c r="B18" s="15">
        <f>C18*E18</f>
        <v>1260</v>
      </c>
      <c r="C18" s="15">
        <v>210</v>
      </c>
      <c r="D18" s="16"/>
      <c r="E18" s="443">
        <v>6</v>
      </c>
      <c r="F18" s="13">
        <v>10</v>
      </c>
    </row>
    <row r="19" spans="1:6" ht="15">
      <c r="A19" s="82" t="s">
        <v>78</v>
      </c>
      <c r="B19" s="15">
        <f>C19*E19</f>
        <v>2400</v>
      </c>
      <c r="C19" s="15">
        <v>1200</v>
      </c>
      <c r="D19" s="16"/>
      <c r="E19" s="443">
        <v>2</v>
      </c>
      <c r="F19" s="13">
        <v>10</v>
      </c>
    </row>
    <row r="20" spans="1:6" ht="15">
      <c r="A20" s="82" t="s">
        <v>79</v>
      </c>
      <c r="B20" s="15">
        <f>C20*E20</f>
        <v>3000</v>
      </c>
      <c r="C20" s="15">
        <v>3000</v>
      </c>
      <c r="D20" s="16"/>
      <c r="E20" s="443">
        <v>1</v>
      </c>
      <c r="F20" s="13">
        <v>10</v>
      </c>
    </row>
    <row r="21" spans="1:6" ht="15">
      <c r="A21" s="82" t="s">
        <v>80</v>
      </c>
      <c r="B21" s="15">
        <f>C21*E21</f>
        <v>120</v>
      </c>
      <c r="C21" s="15">
        <v>120</v>
      </c>
      <c r="D21" s="16"/>
      <c r="E21" s="443">
        <v>1</v>
      </c>
      <c r="F21" s="13">
        <v>10</v>
      </c>
    </row>
    <row r="22" spans="1:6" ht="15.75" customHeight="1">
      <c r="A22" s="10" t="s">
        <v>12</v>
      </c>
      <c r="B22" s="17"/>
      <c r="C22" s="17"/>
      <c r="D22" s="16">
        <f>SUM(B23:B23)</f>
        <v>20000</v>
      </c>
      <c r="E22" s="443"/>
      <c r="F22" s="13"/>
    </row>
    <row r="23" spans="1:6" ht="15.75" customHeight="1">
      <c r="A23" s="12" t="s">
        <v>81</v>
      </c>
      <c r="B23" s="15">
        <f>E23*C23</f>
        <v>20000</v>
      </c>
      <c r="C23" s="15">
        <v>20000</v>
      </c>
      <c r="D23" s="16"/>
      <c r="E23" s="443">
        <v>1</v>
      </c>
      <c r="F23" s="13">
        <v>5</v>
      </c>
    </row>
    <row r="24" spans="1:6" ht="15">
      <c r="A24" s="10" t="s">
        <v>85</v>
      </c>
      <c r="B24" s="17"/>
      <c r="C24" s="17"/>
      <c r="D24" s="16">
        <f>SUM(B25:B31)</f>
        <v>4468</v>
      </c>
      <c r="E24" s="443"/>
      <c r="F24" s="13"/>
    </row>
    <row r="25" spans="1:6" ht="15">
      <c r="A25" s="12" t="s">
        <v>14</v>
      </c>
      <c r="B25" s="15">
        <f>'Inversión y Costos'!E14</f>
        <v>1915</v>
      </c>
      <c r="C25" s="15">
        <v>383</v>
      </c>
      <c r="D25" s="16"/>
      <c r="E25" s="443">
        <v>10</v>
      </c>
      <c r="F25" s="13">
        <v>3</v>
      </c>
    </row>
    <row r="26" spans="1:6" ht="15">
      <c r="A26" s="89" t="s">
        <v>82</v>
      </c>
      <c r="B26" s="15">
        <f>'Inversión y Costos'!E15</f>
        <v>185</v>
      </c>
      <c r="C26" s="15">
        <v>185</v>
      </c>
      <c r="D26" s="16"/>
      <c r="E26" s="443">
        <v>2</v>
      </c>
      <c r="F26" s="13">
        <v>3</v>
      </c>
    </row>
    <row r="27" spans="1:6" ht="15">
      <c r="A27" s="89" t="s">
        <v>83</v>
      </c>
      <c r="B27" s="15">
        <f>C27*E27</f>
        <v>109</v>
      </c>
      <c r="C27" s="15">
        <v>109</v>
      </c>
      <c r="D27" s="16"/>
      <c r="E27" s="443">
        <v>1</v>
      </c>
      <c r="F27" s="13">
        <v>3</v>
      </c>
    </row>
    <row r="28" spans="1:6" ht="15">
      <c r="A28" s="89" t="s">
        <v>84</v>
      </c>
      <c r="B28" s="15">
        <f>'Inversión y Costos'!E22</f>
        <v>250</v>
      </c>
      <c r="C28" s="15">
        <v>250</v>
      </c>
      <c r="D28" s="16"/>
      <c r="E28" s="443">
        <v>2</v>
      </c>
      <c r="F28" s="13">
        <v>3</v>
      </c>
    </row>
    <row r="29" spans="1:6" ht="15">
      <c r="A29" s="89" t="s">
        <v>86</v>
      </c>
      <c r="B29" s="15">
        <f>C29*E29</f>
        <v>1260</v>
      </c>
      <c r="C29" s="15">
        <v>1260</v>
      </c>
      <c r="D29" s="16"/>
      <c r="E29" s="443">
        <v>1</v>
      </c>
      <c r="F29" s="13">
        <v>10</v>
      </c>
    </row>
    <row r="30" spans="1:6" ht="15">
      <c r="A30" s="89" t="s">
        <v>87</v>
      </c>
      <c r="B30" s="15">
        <f>C30*E30</f>
        <v>599</v>
      </c>
      <c r="C30" s="15">
        <v>599</v>
      </c>
      <c r="D30" s="16"/>
      <c r="E30" s="443">
        <v>1</v>
      </c>
      <c r="F30" s="13">
        <v>10</v>
      </c>
    </row>
    <row r="31" spans="1:6" ht="15">
      <c r="A31" s="89" t="s">
        <v>88</v>
      </c>
      <c r="B31" s="15">
        <f>C31*E31</f>
        <v>150</v>
      </c>
      <c r="C31" s="15">
        <v>150</v>
      </c>
      <c r="D31" s="16"/>
      <c r="E31" s="443">
        <v>1</v>
      </c>
      <c r="F31" s="13">
        <v>10</v>
      </c>
    </row>
    <row r="32" spans="1:6" ht="15">
      <c r="A32" s="10" t="s">
        <v>89</v>
      </c>
      <c r="B32" s="17"/>
      <c r="C32" s="17"/>
      <c r="D32" s="16">
        <f>SUM(B33:B36)</f>
        <v>1890</v>
      </c>
      <c r="E32" s="443"/>
      <c r="F32" s="13"/>
    </row>
    <row r="33" spans="1:6" ht="15">
      <c r="A33" s="89" t="s">
        <v>90</v>
      </c>
      <c r="B33" s="15">
        <f>'Inversión y Costos'!E19</f>
        <v>900</v>
      </c>
      <c r="C33" s="15">
        <v>150</v>
      </c>
      <c r="D33" s="16"/>
      <c r="E33" s="443">
        <v>10</v>
      </c>
      <c r="F33" s="13">
        <v>10</v>
      </c>
    </row>
    <row r="34" spans="1:6" ht="15">
      <c r="A34" s="89" t="s">
        <v>91</v>
      </c>
      <c r="B34" s="15">
        <f>'Inversión y Costos'!E20</f>
        <v>270</v>
      </c>
      <c r="C34" s="15">
        <v>45</v>
      </c>
      <c r="D34" s="16"/>
      <c r="E34" s="443">
        <v>10</v>
      </c>
      <c r="F34" s="13">
        <v>10</v>
      </c>
    </row>
    <row r="35" spans="1:6" ht="15">
      <c r="A35" s="89" t="s">
        <v>92</v>
      </c>
      <c r="B35" s="15">
        <f>'Inversión y Costos'!E21</f>
        <v>120</v>
      </c>
      <c r="C35" s="15">
        <v>20</v>
      </c>
      <c r="D35" s="16"/>
      <c r="E35" s="443">
        <v>30</v>
      </c>
      <c r="F35" s="13">
        <v>10</v>
      </c>
    </row>
    <row r="36" spans="1:6" ht="15">
      <c r="A36" s="89" t="s">
        <v>93</v>
      </c>
      <c r="B36" s="15">
        <f>'Inversión y Costos'!E25</f>
        <v>600</v>
      </c>
      <c r="C36" s="15">
        <v>150</v>
      </c>
      <c r="D36" s="16"/>
      <c r="E36" s="443">
        <v>8</v>
      </c>
      <c r="F36" s="13">
        <v>10</v>
      </c>
    </row>
    <row r="37" spans="1:6" ht="15">
      <c r="A37" s="14" t="s">
        <v>15</v>
      </c>
      <c r="B37" s="18">
        <f>SUM(B17:B36)</f>
        <v>34838</v>
      </c>
      <c r="C37" s="18"/>
      <c r="D37" s="18">
        <f>SUM(D16:D32)</f>
        <v>34838</v>
      </c>
      <c r="E37" s="18"/>
      <c r="F37" s="9"/>
    </row>
    <row r="41" ht="18.75">
      <c r="A41" s="8" t="s">
        <v>16</v>
      </c>
    </row>
    <row r="42" ht="15">
      <c r="A42" s="7"/>
    </row>
    <row r="43" spans="1:3" ht="15">
      <c r="A43" s="21" t="s">
        <v>21</v>
      </c>
      <c r="B43" s="21" t="s">
        <v>22</v>
      </c>
      <c r="C43" s="86"/>
    </row>
    <row r="44" spans="1:3" ht="15">
      <c r="A44" s="22" t="s">
        <v>19</v>
      </c>
      <c r="B44" s="23">
        <f>B9</f>
        <v>9500</v>
      </c>
      <c r="C44" s="87"/>
    </row>
    <row r="45" spans="1:3" ht="15">
      <c r="A45" s="22" t="s">
        <v>25</v>
      </c>
      <c r="B45" s="23">
        <v>1900</v>
      </c>
      <c r="C45" s="87"/>
    </row>
    <row r="46" spans="1:3" ht="15">
      <c r="A46" s="22" t="s">
        <v>18</v>
      </c>
      <c r="B46" s="23">
        <f>B37</f>
        <v>34838</v>
      </c>
      <c r="C46" s="87"/>
    </row>
    <row r="47" spans="1:3" ht="15">
      <c r="A47" s="22" t="s">
        <v>431</v>
      </c>
      <c r="B47" s="23">
        <f>Costos!B49</f>
        <v>2098.450909090909</v>
      </c>
      <c r="C47" s="87"/>
    </row>
    <row r="48" spans="1:3" ht="15">
      <c r="A48" s="24" t="s">
        <v>20</v>
      </c>
      <c r="B48" s="25">
        <f>SUM(B44:B47)</f>
        <v>48336.45090909091</v>
      </c>
      <c r="C48" s="88"/>
    </row>
  </sheetData>
  <sheetProtection/>
  <mergeCells count="6">
    <mergeCell ref="A14:A15"/>
    <mergeCell ref="D14:D15"/>
    <mergeCell ref="F14:F15"/>
    <mergeCell ref="B14:B15"/>
    <mergeCell ref="E14:E15"/>
    <mergeCell ref="C14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1">
      <selection activeCell="K15" sqref="K15"/>
    </sheetView>
  </sheetViews>
  <sheetFormatPr defaultColWidth="11.421875" defaultRowHeight="15"/>
  <cols>
    <col min="1" max="1" width="11.421875" style="90" customWidth="1"/>
    <col min="2" max="2" width="23.421875" style="90" customWidth="1"/>
    <col min="3" max="3" width="13.8515625" style="90" customWidth="1"/>
    <col min="4" max="4" width="12.28125" style="90" customWidth="1"/>
    <col min="5" max="12" width="11.421875" style="90" customWidth="1"/>
    <col min="13" max="13" width="11.8515625" style="90" bestFit="1" customWidth="1"/>
    <col min="14" max="16384" width="11.421875" style="90" customWidth="1"/>
  </cols>
  <sheetData>
    <row r="2" spans="2:12" ht="15">
      <c r="B2" s="145" t="s">
        <v>94</v>
      </c>
      <c r="C2" s="146" t="s">
        <v>95</v>
      </c>
      <c r="D2" s="146" t="s">
        <v>96</v>
      </c>
      <c r="E2" s="97">
        <f>K14*5</f>
        <v>700</v>
      </c>
      <c r="G2" s="150"/>
      <c r="H2" s="150"/>
      <c r="I2" s="150"/>
      <c r="J2"/>
      <c r="K2"/>
      <c r="L2"/>
    </row>
    <row r="3" spans="2:12" ht="15">
      <c r="B3" s="147" t="s">
        <v>145</v>
      </c>
      <c r="C3" s="148">
        <v>0.4</v>
      </c>
      <c r="D3" s="148">
        <v>0.6</v>
      </c>
      <c r="E3" s="151"/>
      <c r="F3" s="97"/>
      <c r="G3" s="151"/>
      <c r="H3" s="151"/>
      <c r="I3" s="151"/>
      <c r="J3"/>
      <c r="K3"/>
      <c r="L3"/>
    </row>
    <row r="4" spans="2:12" ht="15">
      <c r="B4" s="149" t="s">
        <v>144</v>
      </c>
      <c r="C4" s="120">
        <f>E2*C3</f>
        <v>280</v>
      </c>
      <c r="D4" s="120">
        <f>D3*E2</f>
        <v>420</v>
      </c>
      <c r="E4" s="152">
        <f>C4+D4</f>
        <v>700</v>
      </c>
      <c r="F4" s="463" t="s">
        <v>97</v>
      </c>
      <c r="G4" s="463"/>
      <c r="L4" s="56"/>
    </row>
    <row r="5" spans="2:7" ht="15">
      <c r="B5" s="93"/>
      <c r="C5" s="94"/>
      <c r="D5" s="94"/>
      <c r="E5" s="94"/>
      <c r="F5" s="94"/>
      <c r="G5" s="93"/>
    </row>
    <row r="6" spans="2:3" ht="15">
      <c r="B6" s="91" t="s">
        <v>98</v>
      </c>
      <c r="C6" s="95">
        <f>E4*4</f>
        <v>2800</v>
      </c>
    </row>
    <row r="7" spans="2:3" ht="15">
      <c r="B7" s="91" t="s">
        <v>99</v>
      </c>
      <c r="C7" s="95">
        <f>SUM(C6*12)</f>
        <v>33600</v>
      </c>
    </row>
    <row r="8" spans="2:11" ht="15">
      <c r="B8" s="96"/>
      <c r="C8" s="96"/>
      <c r="D8" s="96"/>
      <c r="E8" s="96"/>
      <c r="F8" s="96"/>
      <c r="G8" s="96"/>
      <c r="H8" s="96"/>
      <c r="I8" s="97"/>
      <c r="J8" s="97"/>
      <c r="K8" s="97"/>
    </row>
    <row r="9" spans="2:12" ht="15">
      <c r="B9" s="98"/>
      <c r="C9" s="98" t="s">
        <v>100</v>
      </c>
      <c r="D9" s="98" t="s">
        <v>101</v>
      </c>
      <c r="E9" s="98"/>
      <c r="F9" s="98"/>
      <c r="G9" s="98"/>
      <c r="H9" s="98"/>
      <c r="I9" s="99"/>
      <c r="J9" s="97"/>
      <c r="K9" s="97"/>
      <c r="L9" s="97"/>
    </row>
    <row r="10" spans="2:12" ht="15">
      <c r="B10" s="100" t="s">
        <v>102</v>
      </c>
      <c r="C10" s="101">
        <v>0.4</v>
      </c>
      <c r="D10" s="102">
        <v>3.5</v>
      </c>
      <c r="E10" s="103"/>
      <c r="F10" s="103"/>
      <c r="G10" s="103"/>
      <c r="H10" s="103"/>
      <c r="I10" s="104"/>
      <c r="J10" s="97"/>
      <c r="K10" s="97"/>
      <c r="L10" s="97"/>
    </row>
    <row r="11" spans="2:11" ht="15">
      <c r="B11" s="100" t="s">
        <v>103</v>
      </c>
      <c r="C11" s="101">
        <v>0.6</v>
      </c>
      <c r="D11" s="102">
        <v>5</v>
      </c>
      <c r="E11" s="103"/>
      <c r="F11" s="103"/>
      <c r="G11" s="103"/>
      <c r="H11" s="103"/>
      <c r="I11" s="97"/>
      <c r="J11" s="97"/>
      <c r="K11" s="97"/>
    </row>
    <row r="12" spans="2:11" ht="15">
      <c r="B12" s="105"/>
      <c r="C12" s="105"/>
      <c r="D12" s="105"/>
      <c r="E12" s="105"/>
      <c r="F12" s="105"/>
      <c r="G12" s="97"/>
      <c r="H12" s="97"/>
      <c r="I12" s="97"/>
      <c r="J12" s="97"/>
      <c r="K12" s="97"/>
    </row>
    <row r="13" spans="2:11" ht="15">
      <c r="B13" s="97"/>
      <c r="C13" s="105"/>
      <c r="D13" s="97"/>
      <c r="E13" s="97"/>
      <c r="F13" s="97"/>
      <c r="G13" s="97"/>
      <c r="H13" s="97"/>
      <c r="I13" s="105"/>
      <c r="J13" s="97"/>
      <c r="K13" s="97"/>
    </row>
    <row r="14" spans="2:12" ht="15">
      <c r="B14" s="106" t="s">
        <v>104</v>
      </c>
      <c r="C14" s="107">
        <f>(((C10*C7)*D10)+((C11*C7)*D11))</f>
        <v>147840</v>
      </c>
      <c r="D14" s="108" t="s">
        <v>105</v>
      </c>
      <c r="E14" s="108"/>
      <c r="F14" s="97"/>
      <c r="G14" s="97"/>
      <c r="H14" s="105"/>
      <c r="I14" s="108"/>
      <c r="J14" s="108"/>
      <c r="K14" s="97">
        <v>140</v>
      </c>
      <c r="L14" s="97">
        <f>K14*20</f>
        <v>2800</v>
      </c>
    </row>
    <row r="15" spans="2:11" ht="15">
      <c r="B15" s="99"/>
      <c r="C15" s="99"/>
      <c r="D15" s="99"/>
      <c r="E15" s="99"/>
      <c r="F15" s="97"/>
      <c r="G15" s="97"/>
      <c r="H15" s="99"/>
      <c r="I15" s="99"/>
      <c r="J15" s="99"/>
      <c r="K15" s="99"/>
    </row>
    <row r="16" spans="2:14" ht="15">
      <c r="B16" s="105"/>
      <c r="C16" s="105"/>
      <c r="D16" s="105"/>
      <c r="E16" s="105"/>
      <c r="F16" s="97"/>
      <c r="G16" s="465" t="s">
        <v>106</v>
      </c>
      <c r="H16" s="466"/>
      <c r="I16" s="465" t="s">
        <v>117</v>
      </c>
      <c r="J16" s="466"/>
      <c r="K16" s="464" t="s">
        <v>143</v>
      </c>
      <c r="L16" s="464"/>
      <c r="M16" s="464" t="s">
        <v>146</v>
      </c>
      <c r="N16" s="464"/>
    </row>
    <row r="17" spans="3:15" ht="15">
      <c r="C17" s="464" t="s">
        <v>114</v>
      </c>
      <c r="D17" s="464"/>
      <c r="F17" s="110" t="s">
        <v>109</v>
      </c>
      <c r="G17" s="110" t="s">
        <v>118</v>
      </c>
      <c r="H17" s="110" t="s">
        <v>115</v>
      </c>
      <c r="I17" s="110" t="s">
        <v>118</v>
      </c>
      <c r="J17" s="110" t="s">
        <v>115</v>
      </c>
      <c r="K17" s="110" t="s">
        <v>118</v>
      </c>
      <c r="L17" s="110" t="s">
        <v>115</v>
      </c>
      <c r="M17" s="110" t="s">
        <v>118</v>
      </c>
      <c r="N17" s="110" t="s">
        <v>115</v>
      </c>
      <c r="O17" s="144">
        <f>SUM(O18:O21)</f>
        <v>33600</v>
      </c>
    </row>
    <row r="18" spans="2:15" ht="15">
      <c r="B18" s="110" t="s">
        <v>109</v>
      </c>
      <c r="C18" s="111" t="s">
        <v>116</v>
      </c>
      <c r="D18" s="110" t="s">
        <v>115</v>
      </c>
      <c r="F18" s="113" t="s">
        <v>110</v>
      </c>
      <c r="G18" s="92">
        <f>K14*C19</f>
        <v>21</v>
      </c>
      <c r="H18" s="92">
        <f>$K$14*D19</f>
        <v>33.6</v>
      </c>
      <c r="I18" s="92">
        <f aca="true" t="shared" si="0" ref="I18:J21">G18*20</f>
        <v>420</v>
      </c>
      <c r="J18" s="92">
        <f t="shared" si="0"/>
        <v>672</v>
      </c>
      <c r="K18" s="92">
        <f aca="true" t="shared" si="1" ref="K18:L21">G18/8</f>
        <v>2.625</v>
      </c>
      <c r="L18" s="92">
        <f t="shared" si="1"/>
        <v>4.2</v>
      </c>
      <c r="M18" s="92">
        <f aca="true" t="shared" si="2" ref="M18:N21">I18*12</f>
        <v>5040</v>
      </c>
      <c r="N18" s="92">
        <f t="shared" si="2"/>
        <v>8064</v>
      </c>
      <c r="O18" s="144">
        <f>M18+N18</f>
        <v>13104</v>
      </c>
    </row>
    <row r="19" spans="2:15" ht="15">
      <c r="B19" s="109" t="s">
        <v>110</v>
      </c>
      <c r="C19" s="101">
        <v>0.15</v>
      </c>
      <c r="D19" s="101">
        <v>0.24</v>
      </c>
      <c r="E19" s="99"/>
      <c r="F19" s="113" t="s">
        <v>111</v>
      </c>
      <c r="G19" s="92">
        <f>K14*C20</f>
        <v>7</v>
      </c>
      <c r="H19" s="92">
        <f>$K$14*D20</f>
        <v>12.6</v>
      </c>
      <c r="I19" s="92">
        <f t="shared" si="0"/>
        <v>140</v>
      </c>
      <c r="J19" s="92">
        <f t="shared" si="0"/>
        <v>252</v>
      </c>
      <c r="K19" s="92">
        <f t="shared" si="1"/>
        <v>0.875</v>
      </c>
      <c r="L19" s="92">
        <f t="shared" si="1"/>
        <v>1.575</v>
      </c>
      <c r="M19" s="92">
        <f t="shared" si="2"/>
        <v>1680</v>
      </c>
      <c r="N19" s="92">
        <f t="shared" si="2"/>
        <v>3024</v>
      </c>
      <c r="O19" s="144">
        <f>M19+N19</f>
        <v>4704</v>
      </c>
    </row>
    <row r="20" spans="2:15" ht="15">
      <c r="B20" s="109" t="s">
        <v>111</v>
      </c>
      <c r="C20" s="101">
        <v>0.05</v>
      </c>
      <c r="D20" s="101">
        <v>0.09</v>
      </c>
      <c r="E20" s="108"/>
      <c r="F20" s="113" t="s">
        <v>112</v>
      </c>
      <c r="G20" s="92">
        <f>K14*C21</f>
        <v>14</v>
      </c>
      <c r="H20" s="92">
        <f>$K$14*D21</f>
        <v>19.6</v>
      </c>
      <c r="I20" s="92">
        <f t="shared" si="0"/>
        <v>280</v>
      </c>
      <c r="J20" s="92">
        <f t="shared" si="0"/>
        <v>392</v>
      </c>
      <c r="K20" s="92">
        <f t="shared" si="1"/>
        <v>1.75</v>
      </c>
      <c r="L20" s="92">
        <f t="shared" si="1"/>
        <v>2.45</v>
      </c>
      <c r="M20" s="92">
        <f t="shared" si="2"/>
        <v>3360</v>
      </c>
      <c r="N20" s="92">
        <f t="shared" si="2"/>
        <v>4704</v>
      </c>
      <c r="O20" s="144">
        <f>M20+N20</f>
        <v>8064</v>
      </c>
    </row>
    <row r="21" spans="2:15" ht="15">
      <c r="B21" s="109" t="s">
        <v>112</v>
      </c>
      <c r="C21" s="101">
        <v>0.1</v>
      </c>
      <c r="D21" s="101">
        <v>0.14</v>
      </c>
      <c r="E21" s="99"/>
      <c r="F21" s="113" t="s">
        <v>113</v>
      </c>
      <c r="G21" s="92">
        <f>K14*C22</f>
        <v>14</v>
      </c>
      <c r="H21" s="92">
        <f>$K$14*D22</f>
        <v>18.2</v>
      </c>
      <c r="I21" s="92">
        <f t="shared" si="0"/>
        <v>280</v>
      </c>
      <c r="J21" s="92">
        <f t="shared" si="0"/>
        <v>364</v>
      </c>
      <c r="K21" s="92">
        <f t="shared" si="1"/>
        <v>1.75</v>
      </c>
      <c r="L21" s="92">
        <f t="shared" si="1"/>
        <v>2.275</v>
      </c>
      <c r="M21" s="92">
        <f t="shared" si="2"/>
        <v>3360</v>
      </c>
      <c r="N21" s="92">
        <f t="shared" si="2"/>
        <v>4368</v>
      </c>
      <c r="O21" s="144">
        <f>M21+N21</f>
        <v>7728</v>
      </c>
    </row>
    <row r="22" spans="2:15" ht="15">
      <c r="B22" s="109" t="s">
        <v>113</v>
      </c>
      <c r="C22" s="101">
        <v>0.1</v>
      </c>
      <c r="D22" s="101">
        <v>0.13</v>
      </c>
      <c r="E22" s="105"/>
      <c r="F22" s="359">
        <f>SUM(G22+H22)</f>
        <v>140</v>
      </c>
      <c r="G22" s="143">
        <f aca="true" t="shared" si="3" ref="G22:N22">SUM(G18:G21)</f>
        <v>56</v>
      </c>
      <c r="H22" s="143">
        <f t="shared" si="3"/>
        <v>84.00000000000001</v>
      </c>
      <c r="I22" s="360">
        <f t="shared" si="3"/>
        <v>1120</v>
      </c>
      <c r="J22" s="143">
        <f t="shared" si="3"/>
        <v>1680</v>
      </c>
      <c r="K22" s="143">
        <f t="shared" si="3"/>
        <v>7</v>
      </c>
      <c r="L22" s="143">
        <f t="shared" si="3"/>
        <v>10.500000000000002</v>
      </c>
      <c r="M22" s="143">
        <f t="shared" si="3"/>
        <v>13440</v>
      </c>
      <c r="N22" s="143">
        <f t="shared" si="3"/>
        <v>20160</v>
      </c>
      <c r="O22" s="154">
        <f>M22+N22</f>
        <v>33600</v>
      </c>
    </row>
    <row r="23" spans="3:12" ht="15">
      <c r="C23" s="112">
        <f>SUM(C19:C22)</f>
        <v>0.4</v>
      </c>
      <c r="D23" s="112">
        <f>SUM(D19:D22)</f>
        <v>0.6</v>
      </c>
      <c r="I23" s="99"/>
      <c r="J23" s="97"/>
      <c r="K23" s="97"/>
      <c r="L23" s="97"/>
    </row>
    <row r="24" spans="9:12" ht="15">
      <c r="I24" s="104"/>
      <c r="J24" s="97"/>
      <c r="K24" s="97"/>
      <c r="L24" s="97"/>
    </row>
    <row r="25" spans="9:11" ht="15">
      <c r="I25" s="97"/>
      <c r="J25" s="97"/>
      <c r="K25" s="97"/>
    </row>
    <row r="26" spans="9:11" ht="15">
      <c r="I26" s="97"/>
      <c r="J26" s="97"/>
      <c r="K26" s="97"/>
    </row>
    <row r="27" spans="9:11" ht="15">
      <c r="I27" s="97"/>
      <c r="J27" s="97"/>
      <c r="K27" s="97"/>
    </row>
    <row r="28" spans="9:12" ht="15">
      <c r="I28" s="104"/>
      <c r="J28" s="97"/>
      <c r="K28" s="97"/>
      <c r="L28" s="97"/>
    </row>
    <row r="29" spans="9:11" ht="15">
      <c r="I29" s="97"/>
      <c r="J29" s="97"/>
      <c r="K29" s="97"/>
    </row>
  </sheetData>
  <sheetProtection/>
  <mergeCells count="6">
    <mergeCell ref="F4:G4"/>
    <mergeCell ref="M16:N16"/>
    <mergeCell ref="C17:D17"/>
    <mergeCell ref="G16:H16"/>
    <mergeCell ref="I16:J16"/>
    <mergeCell ref="K16:L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PageLayoutView="0" workbookViewId="0" topLeftCell="A35">
      <selection activeCell="L46" sqref="L46:M46"/>
    </sheetView>
  </sheetViews>
  <sheetFormatPr defaultColWidth="11.421875" defaultRowHeight="15"/>
  <cols>
    <col min="1" max="1" width="22.57421875" style="26" customWidth="1"/>
    <col min="2" max="2" width="13.421875" style="26" customWidth="1"/>
    <col min="3" max="3" width="10.7109375" style="26" customWidth="1"/>
    <col min="4" max="4" width="11.8515625" style="26" customWidth="1"/>
    <col min="5" max="5" width="12.7109375" style="26" customWidth="1"/>
    <col min="6" max="6" width="13.7109375" style="26" customWidth="1"/>
    <col min="7" max="7" width="10.8515625" style="26" customWidth="1"/>
    <col min="8" max="8" width="12.140625" style="26" customWidth="1"/>
    <col min="9" max="9" width="11.57421875" style="26" bestFit="1" customWidth="1"/>
    <col min="10" max="10" width="12.28125" style="26" bestFit="1" customWidth="1"/>
    <col min="11" max="11" width="13.421875" style="26" bestFit="1" customWidth="1"/>
    <col min="12" max="12" width="15.28125" style="26" customWidth="1"/>
    <col min="13" max="15" width="11.421875" style="26" customWidth="1"/>
    <col min="16" max="16" width="14.8515625" style="26" customWidth="1"/>
    <col min="17" max="16384" width="11.421875" style="26" customWidth="1"/>
  </cols>
  <sheetData>
    <row r="1" spans="2:9" ht="15.75" thickBot="1">
      <c r="B1" s="480" t="s">
        <v>69</v>
      </c>
      <c r="C1" s="481"/>
      <c r="D1" s="481"/>
      <c r="E1" s="481"/>
      <c r="F1" s="481"/>
      <c r="G1" s="481"/>
      <c r="H1" s="482"/>
      <c r="I1" s="70"/>
    </row>
    <row r="2" ht="15"/>
    <row r="3" ht="15.75" thickBot="1"/>
    <row r="4" spans="1:17" s="76" customFormat="1" ht="45">
      <c r="A4" s="483" t="s">
        <v>70</v>
      </c>
      <c r="B4" s="78" t="s">
        <v>71</v>
      </c>
      <c r="C4" s="79" t="s">
        <v>72</v>
      </c>
      <c r="D4" s="79" t="s">
        <v>165</v>
      </c>
      <c r="E4" s="80" t="s">
        <v>45</v>
      </c>
      <c r="F4" s="78" t="s">
        <v>71</v>
      </c>
      <c r="G4" s="79" t="s">
        <v>72</v>
      </c>
      <c r="H4" s="79" t="s">
        <v>166</v>
      </c>
      <c r="I4" s="80" t="s">
        <v>45</v>
      </c>
      <c r="J4" s="78" t="s">
        <v>71</v>
      </c>
      <c r="K4" s="79" t="s">
        <v>72</v>
      </c>
      <c r="L4" s="79" t="s">
        <v>73</v>
      </c>
      <c r="M4" s="80" t="s">
        <v>45</v>
      </c>
      <c r="N4" s="78" t="s">
        <v>71</v>
      </c>
      <c r="O4" s="79" t="s">
        <v>72</v>
      </c>
      <c r="P4" s="79" t="s">
        <v>73</v>
      </c>
      <c r="Q4" s="80" t="s">
        <v>45</v>
      </c>
    </row>
    <row r="5" spans="1:17" s="76" customFormat="1" ht="15">
      <c r="A5" s="483"/>
      <c r="B5" s="484" t="s">
        <v>167</v>
      </c>
      <c r="C5" s="485"/>
      <c r="D5" s="485"/>
      <c r="E5" s="486"/>
      <c r="F5" s="484" t="s">
        <v>168</v>
      </c>
      <c r="G5" s="485"/>
      <c r="H5" s="485"/>
      <c r="I5" s="486"/>
      <c r="J5" s="477" t="s">
        <v>169</v>
      </c>
      <c r="K5" s="478"/>
      <c r="L5" s="478"/>
      <c r="M5" s="479"/>
      <c r="N5" s="477" t="s">
        <v>170</v>
      </c>
      <c r="O5" s="478"/>
      <c r="P5" s="478"/>
      <c r="Q5" s="479"/>
    </row>
    <row r="6" spans="1:17" s="76" customFormat="1" ht="15">
      <c r="A6" s="198" t="s">
        <v>171</v>
      </c>
      <c r="B6" s="71" t="s">
        <v>71</v>
      </c>
      <c r="C6" s="72">
        <v>0.75</v>
      </c>
      <c r="D6" s="73" t="s">
        <v>172</v>
      </c>
      <c r="E6" s="74">
        <f>2*C6</f>
        <v>1.5</v>
      </c>
      <c r="F6" s="77"/>
      <c r="G6" s="72"/>
      <c r="H6" s="72"/>
      <c r="I6" s="199"/>
      <c r="J6" s="77"/>
      <c r="K6" s="72"/>
      <c r="L6" s="72"/>
      <c r="M6" s="199"/>
      <c r="N6" s="77"/>
      <c r="O6" s="72"/>
      <c r="P6" s="72"/>
      <c r="Q6" s="199"/>
    </row>
    <row r="7" spans="1:17" s="76" customFormat="1" ht="15">
      <c r="A7" s="198" t="s">
        <v>113</v>
      </c>
      <c r="B7" s="71" t="s">
        <v>71</v>
      </c>
      <c r="C7" s="72"/>
      <c r="D7" s="73"/>
      <c r="E7" s="74"/>
      <c r="F7" s="71" t="s">
        <v>71</v>
      </c>
      <c r="G7" s="75">
        <v>0.25</v>
      </c>
      <c r="H7" s="73">
        <v>15</v>
      </c>
      <c r="I7" s="74">
        <f>G7*H7</f>
        <v>3.75</v>
      </c>
      <c r="J7" s="71"/>
      <c r="K7" s="75"/>
      <c r="L7" s="73"/>
      <c r="M7" s="74"/>
      <c r="N7" s="71"/>
      <c r="O7" s="75"/>
      <c r="P7" s="73"/>
      <c r="Q7" s="74"/>
    </row>
    <row r="8" spans="1:17" s="76" customFormat="1" ht="15">
      <c r="A8" s="198" t="s">
        <v>173</v>
      </c>
      <c r="B8" s="71" t="s">
        <v>71</v>
      </c>
      <c r="C8" s="72"/>
      <c r="D8" s="73"/>
      <c r="E8" s="74"/>
      <c r="F8" s="71"/>
      <c r="G8" s="75"/>
      <c r="H8" s="73"/>
      <c r="I8" s="74"/>
      <c r="J8" s="71" t="s">
        <v>71</v>
      </c>
      <c r="K8" s="75">
        <v>0.1</v>
      </c>
      <c r="L8" s="73">
        <v>30</v>
      </c>
      <c r="M8" s="74">
        <f>L8*0.1</f>
        <v>3</v>
      </c>
      <c r="N8" s="71"/>
      <c r="O8" s="75"/>
      <c r="P8" s="73"/>
      <c r="Q8" s="74"/>
    </row>
    <row r="9" spans="1:17" s="76" customFormat="1" ht="15">
      <c r="A9" s="198" t="s">
        <v>110</v>
      </c>
      <c r="B9" s="71" t="s">
        <v>71</v>
      </c>
      <c r="C9" s="72"/>
      <c r="D9" s="73"/>
      <c r="E9" s="74"/>
      <c r="F9" s="71"/>
      <c r="G9" s="75"/>
      <c r="H9" s="73"/>
      <c r="I9" s="74"/>
      <c r="J9" s="71"/>
      <c r="K9" s="75"/>
      <c r="L9" s="73"/>
      <c r="M9" s="74"/>
      <c r="N9" s="71" t="s">
        <v>71</v>
      </c>
      <c r="O9" s="75">
        <v>0.5</v>
      </c>
      <c r="P9" s="73">
        <v>1</v>
      </c>
      <c r="Q9" s="74">
        <f>P9*O9</f>
        <v>0.5</v>
      </c>
    </row>
    <row r="10" spans="1:17" s="76" customFormat="1" ht="15">
      <c r="A10" s="198" t="s">
        <v>174</v>
      </c>
      <c r="B10" s="71" t="s">
        <v>175</v>
      </c>
      <c r="C10" s="72">
        <v>35</v>
      </c>
      <c r="D10" s="73" t="s">
        <v>176</v>
      </c>
      <c r="E10" s="74">
        <f>(C10/100)*4</f>
        <v>1.4</v>
      </c>
      <c r="F10" s="71" t="s">
        <v>175</v>
      </c>
      <c r="G10" s="72">
        <v>35</v>
      </c>
      <c r="H10" s="73" t="s">
        <v>176</v>
      </c>
      <c r="I10" s="74">
        <f>(G10/100)*4</f>
        <v>1.4</v>
      </c>
      <c r="J10" s="71" t="s">
        <v>175</v>
      </c>
      <c r="K10" s="72">
        <v>35</v>
      </c>
      <c r="L10" s="73" t="s">
        <v>176</v>
      </c>
      <c r="M10" s="74">
        <f>(K10/100)*4</f>
        <v>1.4</v>
      </c>
      <c r="N10" s="71" t="s">
        <v>175</v>
      </c>
      <c r="O10" s="72">
        <v>35</v>
      </c>
      <c r="P10" s="73" t="s">
        <v>176</v>
      </c>
      <c r="Q10" s="74">
        <f>(O10/100)*4</f>
        <v>1.4</v>
      </c>
    </row>
    <row r="11" spans="1:17" s="76" customFormat="1" ht="15">
      <c r="A11" s="198" t="s">
        <v>177</v>
      </c>
      <c r="B11" s="71" t="s">
        <v>178</v>
      </c>
      <c r="C11" s="72">
        <v>1.5</v>
      </c>
      <c r="D11" s="73" t="s">
        <v>179</v>
      </c>
      <c r="E11" s="74">
        <f>($C$11)*0.5</f>
        <v>0.75</v>
      </c>
      <c r="F11" s="71" t="s">
        <v>178</v>
      </c>
      <c r="G11" s="72"/>
      <c r="H11" s="73" t="s">
        <v>179</v>
      </c>
      <c r="I11" s="74">
        <f>($C$11/3.5)*0.5</f>
        <v>0.21428571428571427</v>
      </c>
      <c r="J11" s="71" t="s">
        <v>178</v>
      </c>
      <c r="K11" s="72"/>
      <c r="L11" s="73" t="s">
        <v>179</v>
      </c>
      <c r="M11" s="74">
        <f>($C$11/3.5)*0.5</f>
        <v>0.21428571428571427</v>
      </c>
      <c r="N11" s="71" t="s">
        <v>178</v>
      </c>
      <c r="O11" s="72"/>
      <c r="P11" s="73" t="s">
        <v>179</v>
      </c>
      <c r="Q11" s="74">
        <f>($C$11/3.5)*0.5</f>
        <v>0.21428571428571427</v>
      </c>
    </row>
    <row r="12" spans="1:17" s="76" customFormat="1" ht="15">
      <c r="A12" s="200" t="s">
        <v>127</v>
      </c>
      <c r="B12" s="71" t="s">
        <v>178</v>
      </c>
      <c r="C12" s="72"/>
      <c r="D12" s="73" t="s">
        <v>180</v>
      </c>
      <c r="E12" s="74">
        <f>($C$12/3.5)*4</f>
        <v>0</v>
      </c>
      <c r="F12" s="71" t="s">
        <v>178</v>
      </c>
      <c r="G12" s="72"/>
      <c r="H12" s="73" t="s">
        <v>180</v>
      </c>
      <c r="I12" s="74">
        <f>($C$12/3.5)*4</f>
        <v>0</v>
      </c>
      <c r="J12" s="71" t="s">
        <v>178</v>
      </c>
      <c r="K12" s="72"/>
      <c r="L12" s="73" t="s">
        <v>180</v>
      </c>
      <c r="M12" s="74">
        <f>($C$12/3.5)*4</f>
        <v>0</v>
      </c>
      <c r="N12" s="71" t="s">
        <v>178</v>
      </c>
      <c r="O12" s="72"/>
      <c r="P12" s="73" t="s">
        <v>180</v>
      </c>
      <c r="Q12" s="74">
        <f>($C$12/3.5)*4</f>
        <v>0</v>
      </c>
    </row>
    <row r="13" spans="1:17" ht="15">
      <c r="A13" s="62" t="s">
        <v>33</v>
      </c>
      <c r="B13" s="201"/>
      <c r="C13" s="201"/>
      <c r="D13" s="201"/>
      <c r="E13" s="202">
        <f>SUM(E6:E12)</f>
        <v>3.65</v>
      </c>
      <c r="F13" s="201"/>
      <c r="G13" s="201"/>
      <c r="H13" s="201"/>
      <c r="I13" s="202">
        <f>SUM(I7:I12)</f>
        <v>5.364285714285715</v>
      </c>
      <c r="J13" s="201"/>
      <c r="K13" s="201"/>
      <c r="L13" s="201"/>
      <c r="M13" s="202">
        <f>SUM(M8:M12)</f>
        <v>4.614285714285715</v>
      </c>
      <c r="N13" s="201"/>
      <c r="O13" s="201"/>
      <c r="P13" s="201"/>
      <c r="Q13" s="202">
        <f>SUM(Q9:Q12)</f>
        <v>2.1142857142857143</v>
      </c>
    </row>
    <row r="14" spans="1:17" ht="15">
      <c r="A14" s="203"/>
      <c r="B14" s="204"/>
      <c r="C14" s="204"/>
      <c r="D14" s="204"/>
      <c r="E14" s="205"/>
      <c r="F14" s="204"/>
      <c r="G14" s="204"/>
      <c r="H14" s="204"/>
      <c r="I14" s="205"/>
      <c r="J14" s="204"/>
      <c r="K14" s="204"/>
      <c r="L14" s="204"/>
      <c r="M14" s="205"/>
      <c r="N14" s="204"/>
      <c r="O14" s="204"/>
      <c r="P14" s="204"/>
      <c r="Q14" s="205"/>
    </row>
    <row r="15" spans="1:17" ht="15">
      <c r="A15" s="203"/>
      <c r="B15" s="204"/>
      <c r="C15" s="204"/>
      <c r="D15" s="204"/>
      <c r="E15" s="205"/>
      <c r="F15" s="204"/>
      <c r="G15" s="204"/>
      <c r="H15" s="204"/>
      <c r="I15" s="205"/>
      <c r="J15" s="204"/>
      <c r="K15" s="204"/>
      <c r="L15" s="204"/>
      <c r="M15" s="205"/>
      <c r="N15" s="204"/>
      <c r="O15" s="204"/>
      <c r="P15" s="204"/>
      <c r="Q15" s="205"/>
    </row>
    <row r="16" spans="1:17" ht="60">
      <c r="A16" s="81"/>
      <c r="B16" s="54" t="s">
        <v>181</v>
      </c>
      <c r="C16" s="54" t="s">
        <v>182</v>
      </c>
      <c r="D16" s="54" t="s">
        <v>183</v>
      </c>
      <c r="E16" s="54" t="s">
        <v>184</v>
      </c>
      <c r="F16" s="54" t="s">
        <v>181</v>
      </c>
      <c r="G16" s="54" t="s">
        <v>182</v>
      </c>
      <c r="H16" s="54" t="s">
        <v>183</v>
      </c>
      <c r="I16" s="54" t="s">
        <v>184</v>
      </c>
      <c r="J16" s="54" t="s">
        <v>181</v>
      </c>
      <c r="K16" s="54" t="s">
        <v>182</v>
      </c>
      <c r="L16" s="54" t="s">
        <v>183</v>
      </c>
      <c r="M16" s="54" t="s">
        <v>184</v>
      </c>
      <c r="N16" s="54" t="s">
        <v>181</v>
      </c>
      <c r="O16" s="54" t="s">
        <v>182</v>
      </c>
      <c r="P16" s="54" t="s">
        <v>183</v>
      </c>
      <c r="Q16" s="54" t="s">
        <v>184</v>
      </c>
    </row>
    <row r="17" spans="1:17" ht="15">
      <c r="A17" s="81"/>
      <c r="B17" s="206">
        <v>550</v>
      </c>
      <c r="C17" s="201">
        <v>2</v>
      </c>
      <c r="D17" s="207">
        <f>B17*C17</f>
        <v>1100</v>
      </c>
      <c r="E17" s="22">
        <f>D17/D19</f>
        <v>0.205607476635514</v>
      </c>
      <c r="F17" s="206">
        <v>550</v>
      </c>
      <c r="G17" s="201">
        <v>2</v>
      </c>
      <c r="H17" s="207">
        <f>F17*G17</f>
        <v>1100</v>
      </c>
      <c r="I17" s="22">
        <f>H17/H19</f>
        <v>0.205607476635514</v>
      </c>
      <c r="J17" s="206">
        <v>550</v>
      </c>
      <c r="K17" s="201">
        <v>2</v>
      </c>
      <c r="L17" s="207">
        <f>J17*K17</f>
        <v>1100</v>
      </c>
      <c r="M17" s="22">
        <f>L17/L19</f>
        <v>0.205607476635514</v>
      </c>
      <c r="N17" s="206">
        <v>550</v>
      </c>
      <c r="O17" s="201">
        <v>2</v>
      </c>
      <c r="P17" s="207">
        <f>N17*O17</f>
        <v>1100</v>
      </c>
      <c r="Q17" s="22">
        <f>P17/P19</f>
        <v>0.205607476635514</v>
      </c>
    </row>
    <row r="18" spans="1:17" ht="15">
      <c r="A18" s="81"/>
      <c r="B18" s="206">
        <v>850</v>
      </c>
      <c r="C18" s="201">
        <v>5</v>
      </c>
      <c r="D18" s="207">
        <f>B18*C18</f>
        <v>4250</v>
      </c>
      <c r="E18" s="22">
        <f>D18/D19</f>
        <v>0.794392523364486</v>
      </c>
      <c r="F18" s="206">
        <v>850</v>
      </c>
      <c r="G18" s="201">
        <v>5</v>
      </c>
      <c r="H18" s="207">
        <f>F18*G18</f>
        <v>4250</v>
      </c>
      <c r="I18" s="22">
        <f>H18/H19</f>
        <v>0.794392523364486</v>
      </c>
      <c r="J18" s="206">
        <v>850</v>
      </c>
      <c r="K18" s="201">
        <v>5</v>
      </c>
      <c r="L18" s="207">
        <f>J18*K18</f>
        <v>4250</v>
      </c>
      <c r="M18" s="22">
        <f>L18/L19</f>
        <v>0.794392523364486</v>
      </c>
      <c r="N18" s="206">
        <v>850</v>
      </c>
      <c r="O18" s="201">
        <v>5</v>
      </c>
      <c r="P18" s="207">
        <f>N18*O18</f>
        <v>4250</v>
      </c>
      <c r="Q18" s="22">
        <f>P18/P19</f>
        <v>0.794392523364486</v>
      </c>
    </row>
    <row r="19" spans="1:17" ht="15">
      <c r="A19" s="81"/>
      <c r="B19" s="206">
        <f aca="true" t="shared" si="0" ref="B19:Q19">SUM(B17:B18)</f>
        <v>1400</v>
      </c>
      <c r="C19" s="201">
        <f t="shared" si="0"/>
        <v>7</v>
      </c>
      <c r="D19" s="207">
        <f t="shared" si="0"/>
        <v>5350</v>
      </c>
      <c r="E19" s="22">
        <f t="shared" si="0"/>
        <v>1</v>
      </c>
      <c r="F19" s="206">
        <f t="shared" si="0"/>
        <v>1400</v>
      </c>
      <c r="G19" s="201">
        <f t="shared" si="0"/>
        <v>7</v>
      </c>
      <c r="H19" s="207">
        <f t="shared" si="0"/>
        <v>5350</v>
      </c>
      <c r="I19" s="22">
        <f t="shared" si="0"/>
        <v>1</v>
      </c>
      <c r="J19" s="206">
        <f t="shared" si="0"/>
        <v>1400</v>
      </c>
      <c r="K19" s="201">
        <f t="shared" si="0"/>
        <v>7</v>
      </c>
      <c r="L19" s="207">
        <f t="shared" si="0"/>
        <v>5350</v>
      </c>
      <c r="M19" s="22">
        <f t="shared" si="0"/>
        <v>1</v>
      </c>
      <c r="N19" s="206">
        <f t="shared" si="0"/>
        <v>1400</v>
      </c>
      <c r="O19" s="201">
        <f t="shared" si="0"/>
        <v>7</v>
      </c>
      <c r="P19" s="207">
        <f t="shared" si="0"/>
        <v>5350</v>
      </c>
      <c r="Q19" s="22">
        <f t="shared" si="0"/>
        <v>1</v>
      </c>
    </row>
    <row r="20" spans="1:3" ht="15">
      <c r="A20" s="81"/>
      <c r="B20" s="208"/>
      <c r="C20"/>
    </row>
    <row r="21" ht="15">
      <c r="A21" s="81"/>
    </row>
    <row r="22" ht="15">
      <c r="A22" s="81"/>
    </row>
    <row r="23" spans="1:17" ht="15">
      <c r="A23" s="81"/>
      <c r="C23" s="473" t="s">
        <v>167</v>
      </c>
      <c r="D23" s="473"/>
      <c r="E23" s="473"/>
      <c r="G23" s="473" t="s">
        <v>168</v>
      </c>
      <c r="H23" s="473"/>
      <c r="I23" s="473"/>
      <c r="K23" s="473" t="s">
        <v>185</v>
      </c>
      <c r="L23" s="473"/>
      <c r="M23" s="473"/>
      <c r="O23" s="473" t="s">
        <v>170</v>
      </c>
      <c r="P23" s="473"/>
      <c r="Q23" s="473"/>
    </row>
    <row r="24" spans="1:17" ht="15">
      <c r="A24" s="81"/>
      <c r="C24" s="121" t="s">
        <v>186</v>
      </c>
      <c r="D24" s="121" t="s">
        <v>45</v>
      </c>
      <c r="E24" s="121" t="s">
        <v>187</v>
      </c>
      <c r="G24" s="209" t="s">
        <v>186</v>
      </c>
      <c r="H24" s="209" t="s">
        <v>188</v>
      </c>
      <c r="I24" s="209" t="s">
        <v>187</v>
      </c>
      <c r="K24" s="209" t="s">
        <v>186</v>
      </c>
      <c r="L24" s="209" t="s">
        <v>188</v>
      </c>
      <c r="M24" s="209" t="s">
        <v>187</v>
      </c>
      <c r="O24" s="209" t="s">
        <v>186</v>
      </c>
      <c r="P24" s="209" t="s">
        <v>188</v>
      </c>
      <c r="Q24" s="209" t="s">
        <v>187</v>
      </c>
    </row>
    <row r="25" spans="1:17" ht="15">
      <c r="A25" s="210" t="s">
        <v>116</v>
      </c>
      <c r="C25" s="201">
        <f>E17</f>
        <v>0.205607476635514</v>
      </c>
      <c r="D25" s="211">
        <v>2</v>
      </c>
      <c r="E25" s="212">
        <f>(E13*C25)/D25</f>
        <v>0.3752336448598131</v>
      </c>
      <c r="G25" s="201">
        <f>I17</f>
        <v>0.205607476635514</v>
      </c>
      <c r="H25" s="211">
        <v>2</v>
      </c>
      <c r="I25" s="212">
        <f>(I13*G25)/H25</f>
        <v>0.5514686248331109</v>
      </c>
      <c r="K25" s="201">
        <f>M17</f>
        <v>0.205607476635514</v>
      </c>
      <c r="L25" s="211">
        <v>6</v>
      </c>
      <c r="M25" s="212">
        <f>(M13*K25)/L25</f>
        <v>0.15812194036493102</v>
      </c>
      <c r="O25" s="201">
        <f>Q17</f>
        <v>0.205607476635514</v>
      </c>
      <c r="P25" s="211">
        <v>2</v>
      </c>
      <c r="Q25" s="212">
        <f>(O25*Q13)/P25</f>
        <v>0.21735647530040053</v>
      </c>
    </row>
    <row r="26" spans="1:17" ht="15">
      <c r="A26" s="210" t="s">
        <v>189</v>
      </c>
      <c r="C26" s="201"/>
      <c r="D26" s="211">
        <v>0.05</v>
      </c>
      <c r="E26" s="212">
        <f>D26</f>
        <v>0.05</v>
      </c>
      <c r="G26" s="201"/>
      <c r="H26" s="303">
        <v>0.05</v>
      </c>
      <c r="I26" s="212">
        <f>H26</f>
        <v>0.05</v>
      </c>
      <c r="K26" s="201"/>
      <c r="L26" s="303">
        <v>0.05</v>
      </c>
      <c r="M26" s="212">
        <f>L26</f>
        <v>0.05</v>
      </c>
      <c r="O26" s="201"/>
      <c r="P26" s="303">
        <v>0.05</v>
      </c>
      <c r="Q26" s="212">
        <f>P26</f>
        <v>0.05</v>
      </c>
    </row>
    <row r="27" spans="1:17" ht="15">
      <c r="A27" s="210" t="s">
        <v>190</v>
      </c>
      <c r="C27" s="201"/>
      <c r="D27" s="211"/>
      <c r="E27" s="212">
        <f>E25+E26</f>
        <v>0.4252336448598131</v>
      </c>
      <c r="G27" s="201"/>
      <c r="H27" s="211"/>
      <c r="I27" s="212">
        <f>I25+I26</f>
        <v>0.6014686248331109</v>
      </c>
      <c r="K27" s="201"/>
      <c r="L27" s="211"/>
      <c r="M27" s="212">
        <f>M25+M26</f>
        <v>0.20812194036493104</v>
      </c>
      <c r="O27" s="201"/>
      <c r="P27" s="211"/>
      <c r="Q27" s="212">
        <f>Q25+Q26</f>
        <v>0.2673564753004005</v>
      </c>
    </row>
    <row r="28" spans="1:17" ht="15">
      <c r="A28" s="210" t="s">
        <v>115</v>
      </c>
      <c r="C28" s="201">
        <f>E18</f>
        <v>0.794392523364486</v>
      </c>
      <c r="D28" s="211">
        <v>5</v>
      </c>
      <c r="E28" s="212">
        <f>(E13*C28)/D28</f>
        <v>0.5799065420560747</v>
      </c>
      <c r="G28" s="201">
        <f>I18</f>
        <v>0.794392523364486</v>
      </c>
      <c r="H28" s="211">
        <v>5</v>
      </c>
      <c r="I28" s="212">
        <f>(G28*I13)/H28</f>
        <v>0.8522696929238986</v>
      </c>
      <c r="K28" s="201">
        <f>M18</f>
        <v>0.794392523364486</v>
      </c>
      <c r="L28" s="211">
        <v>8</v>
      </c>
      <c r="M28" s="212">
        <f>(M13*K28)/L28</f>
        <v>0.45819425901201605</v>
      </c>
      <c r="O28" s="201">
        <f>Q18</f>
        <v>0.794392523364486</v>
      </c>
      <c r="P28" s="211">
        <v>5</v>
      </c>
      <c r="Q28" s="212">
        <f>(O28*Q13)/P28</f>
        <v>0.3359145527369826</v>
      </c>
    </row>
    <row r="29" spans="1:17" ht="15">
      <c r="A29" s="210" t="s">
        <v>191</v>
      </c>
      <c r="C29" s="201"/>
      <c r="D29" s="211">
        <v>0.08</v>
      </c>
      <c r="E29" s="212">
        <f>D29</f>
        <v>0.08</v>
      </c>
      <c r="G29" s="201"/>
      <c r="H29" s="303">
        <v>0.08</v>
      </c>
      <c r="I29" s="212">
        <f>H29</f>
        <v>0.08</v>
      </c>
      <c r="K29" s="201"/>
      <c r="L29" s="303">
        <v>0.08</v>
      </c>
      <c r="M29" s="212">
        <f>L29</f>
        <v>0.08</v>
      </c>
      <c r="O29" s="201"/>
      <c r="P29" s="303">
        <v>0.08</v>
      </c>
      <c r="Q29" s="212">
        <f>P29</f>
        <v>0.08</v>
      </c>
    </row>
    <row r="30" spans="1:17" ht="15">
      <c r="A30" s="210" t="s">
        <v>192</v>
      </c>
      <c r="C30" s="201"/>
      <c r="D30" s="211"/>
      <c r="E30" s="212">
        <f>E28+E29</f>
        <v>0.6599065420560747</v>
      </c>
      <c r="G30" s="201"/>
      <c r="H30" s="211"/>
      <c r="I30" s="212">
        <f>I28+I29</f>
        <v>0.9322696929238986</v>
      </c>
      <c r="K30" s="201"/>
      <c r="L30" s="211"/>
      <c r="M30" s="212">
        <f>M28+M29</f>
        <v>0.538194259012016</v>
      </c>
      <c r="O30" s="201"/>
      <c r="P30" s="211"/>
      <c r="Q30" s="212">
        <f>Q28+Q29</f>
        <v>0.41591455273698263</v>
      </c>
    </row>
    <row r="31" spans="4:16" ht="15">
      <c r="D31" s="213">
        <v>7</v>
      </c>
      <c r="H31" s="213">
        <v>7</v>
      </c>
      <c r="L31" s="213">
        <v>14</v>
      </c>
      <c r="P31" s="213">
        <f>SUM(P25:P28)</f>
        <v>7.05</v>
      </c>
    </row>
    <row r="32" spans="1:2" ht="15">
      <c r="A32" s="81"/>
      <c r="B32" s="114"/>
    </row>
    <row r="33" spans="1:15" ht="15">
      <c r="A33" s="81"/>
      <c r="B33" s="114" t="s">
        <v>23</v>
      </c>
      <c r="G33" s="214"/>
      <c r="I33" s="488"/>
      <c r="J33" s="489"/>
      <c r="K33" s="489"/>
      <c r="L33" s="489"/>
      <c r="M33" s="489"/>
      <c r="N33" s="489"/>
      <c r="O33" s="489"/>
    </row>
    <row r="34" spans="1:15" ht="15" customHeight="1">
      <c r="A34" s="81"/>
      <c r="B34" s="115" t="s">
        <v>119</v>
      </c>
      <c r="C34" s="115" t="s">
        <v>100</v>
      </c>
      <c r="D34" s="115" t="s">
        <v>120</v>
      </c>
      <c r="E34" s="115" t="s">
        <v>107</v>
      </c>
      <c r="F34" s="115" t="s">
        <v>108</v>
      </c>
      <c r="G34" s="216"/>
      <c r="I34" s="204"/>
      <c r="J34" s="204"/>
      <c r="K34" s="204"/>
      <c r="L34" s="204"/>
      <c r="M34" s="204"/>
      <c r="N34" s="204"/>
      <c r="O34" s="204"/>
    </row>
    <row r="35" spans="1:15" ht="15" customHeight="1">
      <c r="A35" s="81"/>
      <c r="B35" s="116" t="s">
        <v>121</v>
      </c>
      <c r="C35" s="117">
        <v>3</v>
      </c>
      <c r="D35" s="118">
        <v>270</v>
      </c>
      <c r="E35" s="118">
        <f>C35*D35</f>
        <v>810</v>
      </c>
      <c r="F35" s="118">
        <f>E35*12</f>
        <v>9720</v>
      </c>
      <c r="G35" s="216"/>
      <c r="I35" s="204"/>
      <c r="J35" s="204"/>
      <c r="K35" s="204"/>
      <c r="L35" s="204"/>
      <c r="M35" s="204"/>
      <c r="N35" s="204"/>
      <c r="O35" s="204"/>
    </row>
    <row r="36" spans="1:15" ht="27.75" customHeight="1">
      <c r="A36" s="81"/>
      <c r="B36" s="116" t="s">
        <v>193</v>
      </c>
      <c r="C36" s="117">
        <v>2</v>
      </c>
      <c r="D36" s="118">
        <v>264</v>
      </c>
      <c r="E36" s="118">
        <f>C36*D36</f>
        <v>528</v>
      </c>
      <c r="F36" s="118">
        <f>E36*12</f>
        <v>6336</v>
      </c>
      <c r="G36" s="216"/>
      <c r="I36" s="204"/>
      <c r="J36" s="204"/>
      <c r="K36" s="204"/>
      <c r="L36" s="204"/>
      <c r="M36" s="204"/>
      <c r="N36" s="204"/>
      <c r="O36" s="204"/>
    </row>
    <row r="37" spans="1:15" ht="15">
      <c r="A37" s="81"/>
      <c r="E37" s="119">
        <f>SUM(E35:E36)</f>
        <v>1338</v>
      </c>
      <c r="F37" s="119">
        <f>SUM(F35:F36)</f>
        <v>16056</v>
      </c>
      <c r="G37" s="216"/>
      <c r="H37" s="396"/>
      <c r="I37" s="204"/>
      <c r="J37" s="204"/>
      <c r="K37" s="392"/>
      <c r="L37" s="204"/>
      <c r="M37" s="204"/>
      <c r="N37" s="204"/>
      <c r="O37" s="204"/>
    </row>
    <row r="38" spans="1:15" ht="15">
      <c r="A38" s="81"/>
      <c r="H38" s="396"/>
      <c r="I38" s="204"/>
      <c r="J38" s="204"/>
      <c r="K38" s="392"/>
      <c r="L38" s="204"/>
      <c r="M38" s="204"/>
      <c r="N38" s="204"/>
      <c r="O38" s="204"/>
    </row>
    <row r="39" spans="1:15" ht="15">
      <c r="A39" s="490"/>
      <c r="B39" s="490"/>
      <c r="C39" s="490"/>
      <c r="D39" s="490"/>
      <c r="E39" s="490"/>
      <c r="F39" s="490"/>
      <c r="G39" s="490"/>
      <c r="H39" s="396"/>
      <c r="I39" s="393"/>
      <c r="J39" s="393"/>
      <c r="K39" s="393"/>
      <c r="L39" s="393"/>
      <c r="M39" s="393"/>
      <c r="N39" s="393"/>
      <c r="O39" s="393"/>
    </row>
    <row r="40" spans="1:8" ht="15" customHeight="1">
      <c r="A40" s="27"/>
      <c r="H40" s="396"/>
    </row>
    <row r="41" spans="2:13" ht="15">
      <c r="B41" s="487" t="s">
        <v>393</v>
      </c>
      <c r="C41" s="487"/>
      <c r="E41" s="475" t="s">
        <v>393</v>
      </c>
      <c r="F41" s="476"/>
      <c r="H41" s="396"/>
      <c r="I41" s="473" t="s">
        <v>194</v>
      </c>
      <c r="J41" s="473"/>
      <c r="L41" s="473" t="s">
        <v>195</v>
      </c>
      <c r="M41" s="473"/>
    </row>
    <row r="42" spans="1:13" ht="15" customHeight="1">
      <c r="A42" s="379"/>
      <c r="B42" s="473" t="s">
        <v>117</v>
      </c>
      <c r="C42" s="473"/>
      <c r="D42" s="379"/>
      <c r="E42" s="473" t="s">
        <v>146</v>
      </c>
      <c r="F42" s="473"/>
      <c r="H42" s="396"/>
      <c r="I42" s="473" t="s">
        <v>54</v>
      </c>
      <c r="J42" s="473"/>
      <c r="L42" s="473" t="s">
        <v>54</v>
      </c>
      <c r="M42" s="473"/>
    </row>
    <row r="43" spans="1:13" ht="15.75">
      <c r="A43" s="380"/>
      <c r="B43" s="349" t="s">
        <v>118</v>
      </c>
      <c r="C43" s="349" t="s">
        <v>115</v>
      </c>
      <c r="D43" s="378"/>
      <c r="E43" s="349" t="s">
        <v>118</v>
      </c>
      <c r="F43" s="349" t="s">
        <v>115</v>
      </c>
      <c r="H43" s="396"/>
      <c r="I43" s="474">
        <f>L85*3.5</f>
        <v>3.3869318181818184</v>
      </c>
      <c r="J43" s="474"/>
      <c r="L43" s="474">
        <f>M85*3.5</f>
        <v>4.323863636363637</v>
      </c>
      <c r="M43" s="474"/>
    </row>
    <row r="44" spans="1:13" ht="15.75">
      <c r="A44" s="380"/>
      <c r="B44" s="369">
        <f>'Demanda e Ingresos'!I18</f>
        <v>420</v>
      </c>
      <c r="C44" s="369">
        <f>'Demanda e Ingresos'!J18</f>
        <v>672</v>
      </c>
      <c r="D44" s="378"/>
      <c r="E44" s="369">
        <f>'Demanda e Ingresos'!M18</f>
        <v>5040</v>
      </c>
      <c r="F44" s="369">
        <f>'Demanda e Ingresos'!N18</f>
        <v>8064</v>
      </c>
      <c r="I44" s="474">
        <f>L95*3.5</f>
        <v>4.49375</v>
      </c>
      <c r="J44" s="474"/>
      <c r="L44" s="474">
        <f>M95*3.5</f>
        <v>5.759722222222222</v>
      </c>
      <c r="M44" s="474"/>
    </row>
    <row r="45" spans="1:13" ht="15.75">
      <c r="A45" s="380"/>
      <c r="B45" s="369">
        <f>'Demanda e Ingresos'!I19</f>
        <v>140</v>
      </c>
      <c r="C45" s="369">
        <f>'Demanda e Ingresos'!J19</f>
        <v>252</v>
      </c>
      <c r="D45" s="378"/>
      <c r="E45" s="369">
        <f>'Demanda e Ingresos'!M19</f>
        <v>1680</v>
      </c>
      <c r="F45" s="369">
        <f>'Demanda e Ingresos'!N19</f>
        <v>3024</v>
      </c>
      <c r="I45" s="474">
        <f>L106*3.5</f>
        <v>3.286931818181818</v>
      </c>
      <c r="J45" s="474"/>
      <c r="L45" s="474">
        <f>M106*3.5</f>
        <v>4.4625</v>
      </c>
      <c r="M45" s="474"/>
    </row>
    <row r="46" spans="1:13" ht="15.75">
      <c r="A46" s="380"/>
      <c r="B46" s="369">
        <f>'Demanda e Ingresos'!I20</f>
        <v>280</v>
      </c>
      <c r="C46" s="369">
        <f>'Demanda e Ingresos'!J20</f>
        <v>392</v>
      </c>
      <c r="D46" s="378"/>
      <c r="E46" s="369">
        <f>'Demanda e Ingresos'!M20</f>
        <v>3360</v>
      </c>
      <c r="F46" s="369">
        <f>'Demanda e Ingresos'!N20</f>
        <v>4704</v>
      </c>
      <c r="I46" s="474">
        <f>L116*3.5</f>
        <v>3.968750000000001</v>
      </c>
      <c r="J46" s="474"/>
      <c r="L46" s="474">
        <f>M116*3.5</f>
        <v>5.635576923076924</v>
      </c>
      <c r="M46" s="474"/>
    </row>
    <row r="47" spans="1:6" ht="15.75">
      <c r="A47" s="380"/>
      <c r="B47" s="369">
        <f>'Demanda e Ingresos'!I21</f>
        <v>280</v>
      </c>
      <c r="C47" s="369">
        <f>'Demanda e Ingresos'!J21</f>
        <v>364</v>
      </c>
      <c r="D47" s="378"/>
      <c r="E47" s="369">
        <f>'Demanda e Ingresos'!M21</f>
        <v>3360</v>
      </c>
      <c r="F47" s="369">
        <f>'Demanda e Ingresos'!N21</f>
        <v>4368</v>
      </c>
    </row>
    <row r="48" spans="1:6" ht="15.75">
      <c r="A48" s="380"/>
      <c r="B48" s="349">
        <f>SUM(B44:B47)</f>
        <v>1120</v>
      </c>
      <c r="C48" s="389">
        <f>SUM(C44:C47)</f>
        <v>1680</v>
      </c>
      <c r="D48" s="378"/>
      <c r="E48" s="371">
        <v>165792</v>
      </c>
      <c r="F48" s="371">
        <v>248688</v>
      </c>
    </row>
    <row r="49" spans="1:5" ht="15.75">
      <c r="A49" s="218"/>
      <c r="B49" s="219"/>
      <c r="C49" s="219"/>
      <c r="D49" s="219"/>
      <c r="E49" s="219"/>
    </row>
    <row r="50" spans="1:5" ht="15">
      <c r="A50" s="381"/>
      <c r="B50" s="381"/>
      <c r="C50" s="381"/>
      <c r="D50" s="381"/>
      <c r="E50" s="381"/>
    </row>
    <row r="51" spans="4:13" ht="15">
      <c r="D51" s="473" t="s">
        <v>408</v>
      </c>
      <c r="E51" s="473"/>
      <c r="F51" s="473"/>
      <c r="G51" s="473"/>
      <c r="H51" s="473"/>
      <c r="I51" s="473"/>
      <c r="J51" s="473"/>
      <c r="K51" s="473"/>
      <c r="L51" s="473"/>
      <c r="M51" s="473"/>
    </row>
    <row r="52" spans="1:7" ht="15">
      <c r="A52" s="383"/>
      <c r="B52" s="381"/>
      <c r="D52" s="470" t="s">
        <v>100</v>
      </c>
      <c r="E52" s="471"/>
      <c r="F52" s="470" t="s">
        <v>402</v>
      </c>
      <c r="G52" s="471"/>
    </row>
    <row r="53" spans="4:13" ht="15" customHeight="1">
      <c r="D53" s="350" t="s">
        <v>118</v>
      </c>
      <c r="E53" s="350" t="s">
        <v>122</v>
      </c>
      <c r="F53" s="350" t="s">
        <v>118</v>
      </c>
      <c r="G53" s="350" t="s">
        <v>122</v>
      </c>
      <c r="H53" s="468" t="s">
        <v>399</v>
      </c>
      <c r="I53" s="472"/>
      <c r="J53" s="469" t="s">
        <v>400</v>
      </c>
      <c r="K53" s="472"/>
      <c r="L53" s="469" t="s">
        <v>401</v>
      </c>
      <c r="M53" s="469"/>
    </row>
    <row r="54" spans="3:13" ht="15">
      <c r="C54" s="22" t="s">
        <v>403</v>
      </c>
      <c r="D54" s="217">
        <f>B44/14</f>
        <v>30</v>
      </c>
      <c r="E54" s="217">
        <f>C44/7</f>
        <v>96</v>
      </c>
      <c r="F54" s="217">
        <f aca="true" t="shared" si="1" ref="F54:G57">D54*4</f>
        <v>120</v>
      </c>
      <c r="G54" s="217">
        <f t="shared" si="1"/>
        <v>384</v>
      </c>
      <c r="H54" s="369">
        <f aca="true" t="shared" si="2" ref="H54:I57">F54/110</f>
        <v>1.0909090909090908</v>
      </c>
      <c r="I54" s="369">
        <f t="shared" si="2"/>
        <v>3.4909090909090907</v>
      </c>
      <c r="J54" s="369">
        <f aca="true" t="shared" si="3" ref="J54:K57">D54*0.5</f>
        <v>15</v>
      </c>
      <c r="K54" s="369">
        <f t="shared" si="3"/>
        <v>48</v>
      </c>
      <c r="L54" s="369">
        <f aca="true" t="shared" si="4" ref="L54:M57">D54*4</f>
        <v>120</v>
      </c>
      <c r="M54" s="369">
        <f t="shared" si="4"/>
        <v>384</v>
      </c>
    </row>
    <row r="55" spans="3:13" ht="15">
      <c r="C55" s="22" t="s">
        <v>404</v>
      </c>
      <c r="D55" s="217">
        <f>B45/14</f>
        <v>10</v>
      </c>
      <c r="E55" s="217">
        <f>C45/7</f>
        <v>36</v>
      </c>
      <c r="F55" s="217">
        <f t="shared" si="1"/>
        <v>40</v>
      </c>
      <c r="G55" s="217">
        <f t="shared" si="1"/>
        <v>144</v>
      </c>
      <c r="H55" s="369">
        <f t="shared" si="2"/>
        <v>0.36363636363636365</v>
      </c>
      <c r="I55" s="369">
        <f>G55/110</f>
        <v>1.309090909090909</v>
      </c>
      <c r="J55" s="369">
        <f t="shared" si="3"/>
        <v>5</v>
      </c>
      <c r="K55" s="369">
        <f t="shared" si="3"/>
        <v>18</v>
      </c>
      <c r="L55" s="369">
        <f t="shared" si="4"/>
        <v>40</v>
      </c>
      <c r="M55" s="369">
        <f t="shared" si="4"/>
        <v>144</v>
      </c>
    </row>
    <row r="56" spans="3:13" ht="15">
      <c r="C56" s="22" t="s">
        <v>405</v>
      </c>
      <c r="D56" s="217">
        <f>B46/14</f>
        <v>20</v>
      </c>
      <c r="E56" s="217">
        <f>C46/7</f>
        <v>56</v>
      </c>
      <c r="F56" s="217">
        <f t="shared" si="1"/>
        <v>80</v>
      </c>
      <c r="G56" s="217">
        <f t="shared" si="1"/>
        <v>224</v>
      </c>
      <c r="H56" s="369">
        <f t="shared" si="2"/>
        <v>0.7272727272727273</v>
      </c>
      <c r="I56" s="369">
        <f t="shared" si="2"/>
        <v>2.036363636363636</v>
      </c>
      <c r="J56" s="369">
        <f t="shared" si="3"/>
        <v>10</v>
      </c>
      <c r="K56" s="369">
        <f t="shared" si="3"/>
        <v>28</v>
      </c>
      <c r="L56" s="369">
        <f t="shared" si="4"/>
        <v>80</v>
      </c>
      <c r="M56" s="369">
        <f t="shared" si="4"/>
        <v>224</v>
      </c>
    </row>
    <row r="57" spans="3:13" ht="15">
      <c r="C57" s="22" t="s">
        <v>406</v>
      </c>
      <c r="D57" s="217">
        <f>B47/14</f>
        <v>20</v>
      </c>
      <c r="E57" s="217">
        <f>C47/7</f>
        <v>52</v>
      </c>
      <c r="F57" s="217">
        <f t="shared" si="1"/>
        <v>80</v>
      </c>
      <c r="G57" s="217">
        <f t="shared" si="1"/>
        <v>208</v>
      </c>
      <c r="H57" s="369">
        <f t="shared" si="2"/>
        <v>0.7272727272727273</v>
      </c>
      <c r="I57" s="369">
        <f t="shared" si="2"/>
        <v>1.8909090909090909</v>
      </c>
      <c r="J57" s="369">
        <f t="shared" si="3"/>
        <v>10</v>
      </c>
      <c r="K57" s="369">
        <f t="shared" si="3"/>
        <v>26</v>
      </c>
      <c r="L57" s="369">
        <f t="shared" si="4"/>
        <v>80</v>
      </c>
      <c r="M57" s="369">
        <f t="shared" si="4"/>
        <v>208</v>
      </c>
    </row>
    <row r="58" ht="15.75">
      <c r="C58" s="378"/>
    </row>
    <row r="59" spans="4:13" ht="15">
      <c r="D59" s="473" t="s">
        <v>407</v>
      </c>
      <c r="E59" s="473"/>
      <c r="F59" s="473"/>
      <c r="G59" s="473"/>
      <c r="H59" s="473"/>
      <c r="I59" s="473"/>
      <c r="J59" s="473"/>
      <c r="K59" s="473"/>
      <c r="L59" s="473"/>
      <c r="M59" s="473"/>
    </row>
    <row r="60" spans="1:13" ht="15">
      <c r="A60" s="381"/>
      <c r="B60" s="381"/>
      <c r="D60" s="470" t="s">
        <v>100</v>
      </c>
      <c r="E60" s="471"/>
      <c r="F60" s="470" t="s">
        <v>402</v>
      </c>
      <c r="G60" s="471"/>
      <c r="H60" s="213"/>
      <c r="I60" s="213"/>
      <c r="J60" s="213"/>
      <c r="K60" s="213"/>
      <c r="L60" s="213"/>
      <c r="M60" s="213"/>
    </row>
    <row r="61" spans="1:13" ht="15">
      <c r="A61" s="381"/>
      <c r="B61" s="381"/>
      <c r="D61" s="350" t="s">
        <v>118</v>
      </c>
      <c r="E61" s="350" t="s">
        <v>122</v>
      </c>
      <c r="F61" s="350" t="s">
        <v>118</v>
      </c>
      <c r="G61" s="350" t="s">
        <v>122</v>
      </c>
      <c r="H61" s="468" t="s">
        <v>399</v>
      </c>
      <c r="I61" s="472"/>
      <c r="J61" s="469" t="s">
        <v>400</v>
      </c>
      <c r="K61" s="472"/>
      <c r="L61" s="469" t="s">
        <v>401</v>
      </c>
      <c r="M61" s="469"/>
    </row>
    <row r="62" spans="1:13" ht="15" customHeight="1">
      <c r="A62" s="384"/>
      <c r="B62" s="385"/>
      <c r="C62" s="22" t="s">
        <v>403</v>
      </c>
      <c r="D62" s="217">
        <f>E44/14</f>
        <v>360</v>
      </c>
      <c r="E62" s="217">
        <f>F44/7</f>
        <v>1152</v>
      </c>
      <c r="F62" s="217">
        <f aca="true" t="shared" si="5" ref="F62:G65">D62*4</f>
        <v>1440</v>
      </c>
      <c r="G62" s="217">
        <f t="shared" si="5"/>
        <v>4608</v>
      </c>
      <c r="H62" s="217">
        <f aca="true" t="shared" si="6" ref="H62:I65">F62/110</f>
        <v>13.090909090909092</v>
      </c>
      <c r="I62" s="217">
        <f t="shared" si="6"/>
        <v>41.89090909090909</v>
      </c>
      <c r="J62" s="217">
        <f aca="true" t="shared" si="7" ref="J62:K65">D62*0.5</f>
        <v>180</v>
      </c>
      <c r="K62" s="217">
        <f t="shared" si="7"/>
        <v>576</v>
      </c>
      <c r="L62" s="217">
        <f aca="true" t="shared" si="8" ref="L62:M65">D62*4</f>
        <v>1440</v>
      </c>
      <c r="M62" s="217">
        <f t="shared" si="8"/>
        <v>4608</v>
      </c>
    </row>
    <row r="63" spans="1:13" ht="15">
      <c r="A63" s="386"/>
      <c r="B63" s="385"/>
      <c r="C63" s="22" t="s">
        <v>404</v>
      </c>
      <c r="D63" s="217">
        <f>E45/14</f>
        <v>120</v>
      </c>
      <c r="E63" s="217">
        <f>F45/7</f>
        <v>432</v>
      </c>
      <c r="F63" s="217">
        <f t="shared" si="5"/>
        <v>480</v>
      </c>
      <c r="G63" s="217">
        <f t="shared" si="5"/>
        <v>1728</v>
      </c>
      <c r="H63" s="217">
        <f t="shared" si="6"/>
        <v>4.363636363636363</v>
      </c>
      <c r="I63" s="217">
        <f t="shared" si="6"/>
        <v>15.709090909090909</v>
      </c>
      <c r="J63" s="217">
        <f t="shared" si="7"/>
        <v>60</v>
      </c>
      <c r="K63" s="217">
        <f t="shared" si="7"/>
        <v>216</v>
      </c>
      <c r="L63" s="217">
        <f t="shared" si="8"/>
        <v>480</v>
      </c>
      <c r="M63" s="217">
        <f t="shared" si="8"/>
        <v>1728</v>
      </c>
    </row>
    <row r="64" spans="1:13" ht="15.75">
      <c r="A64" s="387"/>
      <c r="B64" s="388"/>
      <c r="C64" s="22" t="s">
        <v>405</v>
      </c>
      <c r="D64" s="217">
        <f>E46/14</f>
        <v>240</v>
      </c>
      <c r="E64" s="217">
        <f>F46/7</f>
        <v>672</v>
      </c>
      <c r="F64" s="217">
        <f t="shared" si="5"/>
        <v>960</v>
      </c>
      <c r="G64" s="217">
        <f t="shared" si="5"/>
        <v>2688</v>
      </c>
      <c r="H64" s="217">
        <f t="shared" si="6"/>
        <v>8.727272727272727</v>
      </c>
      <c r="I64" s="217">
        <f t="shared" si="6"/>
        <v>24.436363636363637</v>
      </c>
      <c r="J64" s="217">
        <f t="shared" si="7"/>
        <v>120</v>
      </c>
      <c r="K64" s="217">
        <f t="shared" si="7"/>
        <v>336</v>
      </c>
      <c r="L64" s="217">
        <f t="shared" si="8"/>
        <v>960</v>
      </c>
      <c r="M64" s="217">
        <f t="shared" si="8"/>
        <v>2688</v>
      </c>
    </row>
    <row r="65" spans="1:13" ht="15.75">
      <c r="A65" s="387"/>
      <c r="B65" s="388"/>
      <c r="C65" s="22" t="s">
        <v>406</v>
      </c>
      <c r="D65" s="217">
        <f>E47/14</f>
        <v>240</v>
      </c>
      <c r="E65" s="217">
        <f>F47/7</f>
        <v>624</v>
      </c>
      <c r="F65" s="217">
        <f t="shared" si="5"/>
        <v>960</v>
      </c>
      <c r="G65" s="217">
        <f t="shared" si="5"/>
        <v>2496</v>
      </c>
      <c r="H65" s="217">
        <f t="shared" si="6"/>
        <v>8.727272727272727</v>
      </c>
      <c r="I65" s="217">
        <f t="shared" si="6"/>
        <v>22.69090909090909</v>
      </c>
      <c r="J65" s="217">
        <f t="shared" si="7"/>
        <v>120</v>
      </c>
      <c r="K65" s="217">
        <f t="shared" si="7"/>
        <v>312</v>
      </c>
      <c r="L65" s="217">
        <f t="shared" si="8"/>
        <v>960</v>
      </c>
      <c r="M65" s="217">
        <f t="shared" si="8"/>
        <v>2496</v>
      </c>
    </row>
    <row r="66" spans="1:3" ht="15.75">
      <c r="A66" s="387"/>
      <c r="B66" s="388"/>
      <c r="C66" s="378"/>
    </row>
    <row r="67" spans="1:3" ht="15.75">
      <c r="A67" s="387"/>
      <c r="B67" s="388"/>
      <c r="C67" s="378"/>
    </row>
    <row r="68" spans="1:3" ht="15.75">
      <c r="A68" s="218"/>
      <c r="B68" s="382"/>
      <c r="C68" s="219"/>
    </row>
    <row r="69" spans="1:5" ht="15.75">
      <c r="A69" s="218"/>
      <c r="B69" s="219"/>
      <c r="C69" s="219"/>
      <c r="D69" s="219"/>
      <c r="E69"/>
    </row>
    <row r="70" spans="1:5" ht="15.75">
      <c r="A70" s="218"/>
      <c r="B70" s="219"/>
      <c r="C70" s="219"/>
      <c r="D70" s="219"/>
      <c r="E70"/>
    </row>
    <row r="71" spans="1:5" ht="15.75">
      <c r="A71" s="228"/>
      <c r="B71" s="28"/>
      <c r="C71" s="28"/>
      <c r="D71" s="219"/>
      <c r="E71"/>
    </row>
    <row r="72" spans="1:5" ht="15.75">
      <c r="A72" s="229"/>
      <c r="B72" s="29"/>
      <c r="C72" s="29"/>
      <c r="D72" s="219"/>
      <c r="E72"/>
    </row>
    <row r="73" spans="1:4" ht="15.75">
      <c r="A73" s="229"/>
      <c r="B73" s="29"/>
      <c r="C73" s="29"/>
      <c r="D73" s="29"/>
    </row>
    <row r="74" ht="15.75">
      <c r="A74" s="230"/>
    </row>
    <row r="75" spans="2:9" ht="15">
      <c r="B75" s="483" t="s">
        <v>107</v>
      </c>
      <c r="C75" s="492"/>
      <c r="D75" s="492"/>
      <c r="E75" s="491"/>
      <c r="F75" s="483" t="s">
        <v>108</v>
      </c>
      <c r="G75" s="492"/>
      <c r="H75" s="492"/>
      <c r="I75" s="491"/>
    </row>
    <row r="76" spans="2:9" ht="15">
      <c r="B76" s="361" t="s">
        <v>364</v>
      </c>
      <c r="C76" s="361"/>
      <c r="D76" s="361" t="s">
        <v>187</v>
      </c>
      <c r="E76" s="361"/>
      <c r="F76" s="361" t="s">
        <v>364</v>
      </c>
      <c r="G76" s="361"/>
      <c r="H76" s="361" t="s">
        <v>187</v>
      </c>
      <c r="I76" s="361"/>
    </row>
    <row r="77" spans="1:9" ht="30">
      <c r="A77" s="363" t="s">
        <v>40</v>
      </c>
      <c r="B77" s="54" t="s">
        <v>368</v>
      </c>
      <c r="C77" s="54" t="s">
        <v>369</v>
      </c>
      <c r="D77" s="54" t="s">
        <v>368</v>
      </c>
      <c r="E77" s="54" t="s">
        <v>370</v>
      </c>
      <c r="F77" s="54" t="s">
        <v>368</v>
      </c>
      <c r="G77" s="54" t="s">
        <v>369</v>
      </c>
      <c r="H77" s="54" t="s">
        <v>368</v>
      </c>
      <c r="I77" s="54" t="s">
        <v>369</v>
      </c>
    </row>
    <row r="78" spans="1:9" ht="15">
      <c r="A78" s="364" t="s">
        <v>365</v>
      </c>
      <c r="B78" s="362">
        <f>D54</f>
        <v>30</v>
      </c>
      <c r="C78" s="362">
        <f>E54</f>
        <v>96</v>
      </c>
      <c r="D78" s="365">
        <f>D54*O9</f>
        <v>15</v>
      </c>
      <c r="E78" s="365">
        <f>C78*O9</f>
        <v>48</v>
      </c>
      <c r="F78" s="362">
        <f>D62</f>
        <v>360</v>
      </c>
      <c r="G78" s="362">
        <f>E62</f>
        <v>1152</v>
      </c>
      <c r="H78" s="365">
        <f>D62*O9</f>
        <v>180</v>
      </c>
      <c r="I78" s="365">
        <f>E62*O9</f>
        <v>576</v>
      </c>
    </row>
    <row r="79" spans="1:9" ht="15">
      <c r="A79" s="364" t="s">
        <v>372</v>
      </c>
      <c r="B79" s="362">
        <f>H54</f>
        <v>1.0909090909090908</v>
      </c>
      <c r="C79" s="362">
        <f>I54</f>
        <v>3.4909090909090907</v>
      </c>
      <c r="D79" s="365">
        <f>B79*35</f>
        <v>38.18181818181818</v>
      </c>
      <c r="E79" s="365">
        <f>C79*35</f>
        <v>122.18181818181817</v>
      </c>
      <c r="F79" s="362">
        <f>H62</f>
        <v>13.090909090909092</v>
      </c>
      <c r="G79" s="362">
        <f>I62</f>
        <v>41.89090909090909</v>
      </c>
      <c r="H79" s="365">
        <f>F79*35</f>
        <v>458.1818181818182</v>
      </c>
      <c r="I79" s="365">
        <f>G79*35</f>
        <v>1466.1818181818182</v>
      </c>
    </row>
    <row r="80" spans="1:13" ht="15">
      <c r="A80" s="364" t="s">
        <v>366</v>
      </c>
      <c r="B80" s="362">
        <f>J54</f>
        <v>15</v>
      </c>
      <c r="C80" s="362">
        <f>K54</f>
        <v>48</v>
      </c>
      <c r="D80" s="365">
        <f>B80*0.75</f>
        <v>11.25</v>
      </c>
      <c r="E80" s="365">
        <f>C80*0.75</f>
        <v>36</v>
      </c>
      <c r="F80" s="362">
        <f>J62</f>
        <v>180</v>
      </c>
      <c r="G80" s="362">
        <f>K62</f>
        <v>576</v>
      </c>
      <c r="H80" s="365">
        <f>F80*0.75</f>
        <v>135</v>
      </c>
      <c r="I80" s="365">
        <f>G80*0.75</f>
        <v>432</v>
      </c>
      <c r="L80" s="350" t="s">
        <v>194</v>
      </c>
      <c r="M80" s="350" t="s">
        <v>195</v>
      </c>
    </row>
    <row r="81" spans="1:13" ht="15">
      <c r="A81" s="364" t="s">
        <v>367</v>
      </c>
      <c r="B81" s="362">
        <f>L54</f>
        <v>120</v>
      </c>
      <c r="C81" s="362">
        <f>M54</f>
        <v>384</v>
      </c>
      <c r="D81" s="365">
        <f>B81*0.4</f>
        <v>48</v>
      </c>
      <c r="E81" s="365">
        <f>C81*0.4</f>
        <v>153.60000000000002</v>
      </c>
      <c r="F81" s="362">
        <f>L62</f>
        <v>1440</v>
      </c>
      <c r="G81" s="362">
        <f>M62</f>
        <v>4608</v>
      </c>
      <c r="H81" s="365">
        <f>F81*0.4</f>
        <v>576</v>
      </c>
      <c r="I81" s="365">
        <f>G81*0.4</f>
        <v>1843.2</v>
      </c>
      <c r="J81" s="349" t="s">
        <v>394</v>
      </c>
      <c r="K81" s="349" t="s">
        <v>395</v>
      </c>
      <c r="L81" s="467" t="s">
        <v>392</v>
      </c>
      <c r="M81" s="468"/>
    </row>
    <row r="82" spans="2:13" ht="15">
      <c r="B82" s="493" t="s">
        <v>373</v>
      </c>
      <c r="C82" s="494"/>
      <c r="D82" s="366">
        <f>SUM(D78:D81)</f>
        <v>112.43181818181819</v>
      </c>
      <c r="E82" s="366">
        <f>SUM(E78:E81)</f>
        <v>359.7818181818182</v>
      </c>
      <c r="F82" s="495" t="s">
        <v>371</v>
      </c>
      <c r="G82" s="496"/>
      <c r="H82" s="366">
        <f>SUM(H78:H81)</f>
        <v>1349.1818181818182</v>
      </c>
      <c r="I82" s="366">
        <f>SUM(I78:I81)</f>
        <v>4317.381818181818</v>
      </c>
      <c r="J82" s="390">
        <f>SUM(H82:I82)</f>
        <v>5666.563636363636</v>
      </c>
      <c r="K82" s="391">
        <f>D82+E82</f>
        <v>472.2136363636364</v>
      </c>
      <c r="L82" s="365">
        <f>D82/B44</f>
        <v>0.2676948051948052</v>
      </c>
      <c r="M82" s="365">
        <f>E82/C44</f>
        <v>0.5353896103896104</v>
      </c>
    </row>
    <row r="83" spans="1:13" ht="15">
      <c r="A83" s="72"/>
      <c r="B83" s="375"/>
      <c r="C83" s="375"/>
      <c r="D83" s="376"/>
      <c r="E83" s="376"/>
      <c r="F83" s="70"/>
      <c r="G83" s="70"/>
      <c r="H83" s="376"/>
      <c r="I83" s="376"/>
      <c r="J83" s="122"/>
      <c r="K83" s="372"/>
      <c r="L83" s="365">
        <v>0.6</v>
      </c>
      <c r="M83" s="365">
        <v>0.6</v>
      </c>
    </row>
    <row r="84" spans="1:13" ht="15">
      <c r="A84" s="72"/>
      <c r="L84" s="365">
        <v>0.1</v>
      </c>
      <c r="M84" s="365">
        <v>0.1</v>
      </c>
    </row>
    <row r="85" spans="2:13" ht="15">
      <c r="B85" s="483" t="s">
        <v>107</v>
      </c>
      <c r="C85" s="492"/>
      <c r="D85" s="492"/>
      <c r="E85" s="491"/>
      <c r="F85" s="483" t="s">
        <v>108</v>
      </c>
      <c r="G85" s="492"/>
      <c r="H85" s="492"/>
      <c r="I85" s="491"/>
      <c r="L85" s="395">
        <f>SUM(L82:L84)</f>
        <v>0.9676948051948052</v>
      </c>
      <c r="M85" s="395">
        <f>SUM(M82:M84)</f>
        <v>1.2353896103896105</v>
      </c>
    </row>
    <row r="86" spans="1:9" ht="15">
      <c r="A86" s="62" t="s">
        <v>40</v>
      </c>
      <c r="B86" s="483" t="s">
        <v>364</v>
      </c>
      <c r="C86" s="491"/>
      <c r="D86" s="483" t="s">
        <v>187</v>
      </c>
      <c r="E86" s="491"/>
      <c r="F86" s="483" t="s">
        <v>364</v>
      </c>
      <c r="G86" s="491"/>
      <c r="H86" s="483" t="s">
        <v>187</v>
      </c>
      <c r="I86" s="491"/>
    </row>
    <row r="87" spans="1:12" ht="30">
      <c r="A87" s="364" t="s">
        <v>374</v>
      </c>
      <c r="B87" s="54" t="s">
        <v>368</v>
      </c>
      <c r="C87" s="54" t="s">
        <v>369</v>
      </c>
      <c r="D87" s="54" t="s">
        <v>368</v>
      </c>
      <c r="E87" s="54" t="s">
        <v>370</v>
      </c>
      <c r="F87" s="54" t="s">
        <v>368</v>
      </c>
      <c r="G87" s="54" t="s">
        <v>369</v>
      </c>
      <c r="H87" s="54" t="s">
        <v>368</v>
      </c>
      <c r="I87" s="54" t="s">
        <v>369</v>
      </c>
      <c r="L87" s="373"/>
    </row>
    <row r="88" spans="1:9" ht="15">
      <c r="A88" s="364" t="s">
        <v>372</v>
      </c>
      <c r="B88" s="362">
        <f>D55*30</f>
        <v>300</v>
      </c>
      <c r="C88" s="362">
        <f>E55*30</f>
        <v>1080</v>
      </c>
      <c r="D88" s="365">
        <f>B88*0.09</f>
        <v>27</v>
      </c>
      <c r="E88" s="365">
        <f>C88*0.09</f>
        <v>97.2</v>
      </c>
      <c r="F88" s="362">
        <f>D63*30</f>
        <v>3600</v>
      </c>
      <c r="G88" s="362">
        <f>E63*30</f>
        <v>12960</v>
      </c>
      <c r="H88" s="365">
        <f>F88*0.09</f>
        <v>324</v>
      </c>
      <c r="I88" s="365">
        <f>H88*0.09</f>
        <v>29.16</v>
      </c>
    </row>
    <row r="89" spans="1:9" ht="15">
      <c r="A89" s="364" t="s">
        <v>366</v>
      </c>
      <c r="B89" s="362">
        <v>1</v>
      </c>
      <c r="C89" s="362">
        <v>2</v>
      </c>
      <c r="D89" s="365">
        <f>B89*35</f>
        <v>35</v>
      </c>
      <c r="E89" s="365">
        <f>C89*35</f>
        <v>70</v>
      </c>
      <c r="F89" s="362">
        <v>12</v>
      </c>
      <c r="G89" s="362">
        <f>I63</f>
        <v>15.709090909090909</v>
      </c>
      <c r="H89" s="365">
        <f>F89*35</f>
        <v>420</v>
      </c>
      <c r="I89" s="365">
        <f>G89*35</f>
        <v>549.8181818181819</v>
      </c>
    </row>
    <row r="90" spans="1:13" ht="15">
      <c r="A90" s="364" t="s">
        <v>367</v>
      </c>
      <c r="B90" s="362">
        <f>J55</f>
        <v>5</v>
      </c>
      <c r="C90" s="362">
        <f>K55</f>
        <v>18</v>
      </c>
      <c r="D90" s="365">
        <f>B90*0.75</f>
        <v>3.75</v>
      </c>
      <c r="E90" s="365">
        <f>C90*0.75</f>
        <v>13.5</v>
      </c>
      <c r="F90" s="362">
        <f>J63</f>
        <v>60</v>
      </c>
      <c r="G90" s="362">
        <f>K63</f>
        <v>216</v>
      </c>
      <c r="H90" s="365">
        <f>F90*0.75</f>
        <v>45</v>
      </c>
      <c r="I90" s="365">
        <f>G90*0.75</f>
        <v>162</v>
      </c>
      <c r="L90" s="350" t="s">
        <v>194</v>
      </c>
      <c r="M90" s="350" t="s">
        <v>195</v>
      </c>
    </row>
    <row r="91" spans="1:13" ht="15">
      <c r="A91" s="367"/>
      <c r="B91" s="362">
        <f>L55</f>
        <v>40</v>
      </c>
      <c r="C91" s="362">
        <f>M55</f>
        <v>144</v>
      </c>
      <c r="D91" s="365">
        <f>B91*0.4</f>
        <v>16</v>
      </c>
      <c r="E91" s="365">
        <f>C91*0.4</f>
        <v>57.6</v>
      </c>
      <c r="F91" s="362">
        <f>L63</f>
        <v>480</v>
      </c>
      <c r="G91" s="362">
        <f>M63</f>
        <v>1728</v>
      </c>
      <c r="H91" s="365">
        <f>F91*0.4</f>
        <v>192</v>
      </c>
      <c r="I91" s="365">
        <f>G91*0.4</f>
        <v>691.2</v>
      </c>
      <c r="J91" s="349" t="s">
        <v>394</v>
      </c>
      <c r="K91" s="349" t="s">
        <v>395</v>
      </c>
      <c r="L91" s="467" t="s">
        <v>392</v>
      </c>
      <c r="M91" s="468"/>
    </row>
    <row r="92" spans="2:13" ht="15">
      <c r="B92" s="483" t="s">
        <v>373</v>
      </c>
      <c r="C92" s="491"/>
      <c r="D92" s="368">
        <f>SUM(D88:D91)</f>
        <v>81.75</v>
      </c>
      <c r="E92" s="368">
        <f>SUM(E88:E91)</f>
        <v>238.29999999999998</v>
      </c>
      <c r="F92" s="483" t="s">
        <v>371</v>
      </c>
      <c r="G92" s="491"/>
      <c r="H92" s="368">
        <f>SUM(H88:H91)</f>
        <v>981</v>
      </c>
      <c r="I92" s="368">
        <f>SUM(I88:I91)</f>
        <v>1432.1781818181819</v>
      </c>
      <c r="J92" s="390">
        <f>SUM(H92:I92)</f>
        <v>2413.1781818181817</v>
      </c>
      <c r="K92" s="391">
        <f>D92+E92</f>
        <v>320.04999999999995</v>
      </c>
      <c r="L92" s="365">
        <f>D92/B45</f>
        <v>0.5839285714285715</v>
      </c>
      <c r="M92" s="365">
        <f>E92/C45</f>
        <v>0.9456349206349206</v>
      </c>
    </row>
    <row r="93" spans="1:13" ht="15">
      <c r="A93" s="72"/>
      <c r="B93" s="203"/>
      <c r="C93" s="203"/>
      <c r="D93" s="377"/>
      <c r="E93" s="377"/>
      <c r="F93" s="203"/>
      <c r="G93" s="203"/>
      <c r="H93" s="377"/>
      <c r="I93" s="377"/>
      <c r="J93" s="122"/>
      <c r="K93" s="372"/>
      <c r="L93" s="365">
        <v>0.6</v>
      </c>
      <c r="M93" s="365">
        <v>0.6</v>
      </c>
    </row>
    <row r="94" spans="1:13" ht="15">
      <c r="A94" s="72"/>
      <c r="L94" s="365">
        <v>0.1</v>
      </c>
      <c r="M94" s="365">
        <v>0.1</v>
      </c>
    </row>
    <row r="95" spans="12:13" ht="15">
      <c r="L95" s="395">
        <f>SUM(L92:L94)</f>
        <v>1.2839285714285715</v>
      </c>
      <c r="M95" s="395">
        <f>SUM(M92:M94)</f>
        <v>1.6456349206349206</v>
      </c>
    </row>
    <row r="96" spans="2:9" ht="15">
      <c r="B96" s="483" t="s">
        <v>107</v>
      </c>
      <c r="C96" s="492"/>
      <c r="D96" s="492"/>
      <c r="E96" s="491"/>
      <c r="F96" s="483" t="s">
        <v>108</v>
      </c>
      <c r="G96" s="492"/>
      <c r="H96" s="492"/>
      <c r="I96" s="491"/>
    </row>
    <row r="97" spans="2:9" ht="15">
      <c r="B97" s="483" t="s">
        <v>364</v>
      </c>
      <c r="C97" s="491"/>
      <c r="D97" s="483" t="s">
        <v>187</v>
      </c>
      <c r="E97" s="491"/>
      <c r="F97" s="483" t="s">
        <v>364</v>
      </c>
      <c r="G97" s="491"/>
      <c r="H97" s="483" t="s">
        <v>187</v>
      </c>
      <c r="I97" s="491"/>
    </row>
    <row r="98" spans="1:9" ht="30">
      <c r="A98" s="62" t="s">
        <v>40</v>
      </c>
      <c r="B98" s="54" t="s">
        <v>368</v>
      </c>
      <c r="C98" s="54" t="s">
        <v>369</v>
      </c>
      <c r="D98" s="54" t="s">
        <v>368</v>
      </c>
      <c r="E98" s="54" t="s">
        <v>370</v>
      </c>
      <c r="F98" s="54" t="s">
        <v>368</v>
      </c>
      <c r="G98" s="54" t="s">
        <v>369</v>
      </c>
      <c r="H98" s="54" t="s">
        <v>368</v>
      </c>
      <c r="I98" s="54" t="s">
        <v>369</v>
      </c>
    </row>
    <row r="99" spans="1:9" ht="15">
      <c r="A99" s="364" t="s">
        <v>375</v>
      </c>
      <c r="B99" s="369">
        <f>D56*2</f>
        <v>40</v>
      </c>
      <c r="C99" s="369">
        <f>E56*2</f>
        <v>112</v>
      </c>
      <c r="D99" s="365">
        <f>B99*0.75</f>
        <v>30</v>
      </c>
      <c r="E99" s="365">
        <f>C99*0.75</f>
        <v>84</v>
      </c>
      <c r="F99" s="369">
        <f>D64*2</f>
        <v>480</v>
      </c>
      <c r="G99" s="369">
        <f>E64*2</f>
        <v>1344</v>
      </c>
      <c r="H99" s="365">
        <f>F99*0.75</f>
        <v>360</v>
      </c>
      <c r="I99" s="365">
        <f>G99*0.75</f>
        <v>1008</v>
      </c>
    </row>
    <row r="100" spans="1:9" ht="15">
      <c r="A100" s="364" t="s">
        <v>372</v>
      </c>
      <c r="B100" s="369">
        <f>H56</f>
        <v>0.7272727272727273</v>
      </c>
      <c r="C100" s="369">
        <v>2</v>
      </c>
      <c r="D100" s="365">
        <f>B100*35</f>
        <v>25.454545454545457</v>
      </c>
      <c r="E100" s="365">
        <f>C100*35</f>
        <v>70</v>
      </c>
      <c r="F100" s="369">
        <f>H64</f>
        <v>8.727272727272727</v>
      </c>
      <c r="G100" s="369">
        <v>30</v>
      </c>
      <c r="H100" s="365">
        <f>F100*35</f>
        <v>305.45454545454544</v>
      </c>
      <c r="I100" s="365">
        <f>G100*35</f>
        <v>1050</v>
      </c>
    </row>
    <row r="101" spans="1:13" ht="15">
      <c r="A101" s="364" t="s">
        <v>366</v>
      </c>
      <c r="B101" s="369">
        <f>J56</f>
        <v>10</v>
      </c>
      <c r="C101" s="369">
        <f>K56</f>
        <v>28</v>
      </c>
      <c r="D101" s="365">
        <f>B101*0.75</f>
        <v>7.5</v>
      </c>
      <c r="E101" s="365">
        <f>C101*0.75</f>
        <v>21</v>
      </c>
      <c r="F101" s="369">
        <f>J64</f>
        <v>120</v>
      </c>
      <c r="G101" s="369">
        <f>K64</f>
        <v>336</v>
      </c>
      <c r="H101" s="365">
        <f>F101*0.75</f>
        <v>90</v>
      </c>
      <c r="I101" s="365">
        <f>G101*0.75</f>
        <v>252</v>
      </c>
      <c r="L101" s="350" t="s">
        <v>194</v>
      </c>
      <c r="M101" s="350" t="s">
        <v>195</v>
      </c>
    </row>
    <row r="102" spans="1:13" ht="15">
      <c r="A102" s="364" t="s">
        <v>367</v>
      </c>
      <c r="B102" s="369">
        <f>L56</f>
        <v>80</v>
      </c>
      <c r="C102" s="369">
        <f>M56</f>
        <v>224</v>
      </c>
      <c r="D102" s="365">
        <f>B102*0.4</f>
        <v>32</v>
      </c>
      <c r="E102" s="365">
        <f>C102*0.4</f>
        <v>89.60000000000001</v>
      </c>
      <c r="F102" s="369">
        <f>L64</f>
        <v>960</v>
      </c>
      <c r="G102" s="369">
        <f>M64</f>
        <v>2688</v>
      </c>
      <c r="H102" s="365">
        <f>F102*0.4</f>
        <v>384</v>
      </c>
      <c r="I102" s="365">
        <f>G102*0.4</f>
        <v>1075.2</v>
      </c>
      <c r="J102" s="349" t="s">
        <v>394</v>
      </c>
      <c r="K102" s="349" t="s">
        <v>395</v>
      </c>
      <c r="L102" s="467" t="s">
        <v>45</v>
      </c>
      <c r="M102" s="468"/>
    </row>
    <row r="103" spans="2:13" ht="15">
      <c r="B103" s="483" t="s">
        <v>373</v>
      </c>
      <c r="C103" s="491"/>
      <c r="D103" s="368">
        <f>SUM(D99:D102)</f>
        <v>94.95454545454545</v>
      </c>
      <c r="E103" s="368">
        <f>SUM(E99:E102)</f>
        <v>264.6</v>
      </c>
      <c r="F103" s="483" t="s">
        <v>371</v>
      </c>
      <c r="G103" s="491"/>
      <c r="H103" s="368">
        <f>SUM(H99:H102)</f>
        <v>1139.4545454545455</v>
      </c>
      <c r="I103" s="368">
        <f>SUM(I99:I102)</f>
        <v>3385.2</v>
      </c>
      <c r="J103" s="390">
        <f>SUM(H103:I103)</f>
        <v>4524.654545454545</v>
      </c>
      <c r="K103" s="391">
        <f>D103+E103</f>
        <v>359.55454545454546</v>
      </c>
      <c r="L103" s="365">
        <f>D103/B46</f>
        <v>0.3391233766233766</v>
      </c>
      <c r="M103" s="365">
        <f>E103/C46</f>
        <v>0.675</v>
      </c>
    </row>
    <row r="104" spans="1:13" ht="15">
      <c r="A104" s="72"/>
      <c r="B104" s="203"/>
      <c r="C104" s="203"/>
      <c r="D104" s="377"/>
      <c r="E104" s="377"/>
      <c r="F104" s="203"/>
      <c r="G104" s="203"/>
      <c r="H104" s="377"/>
      <c r="I104" s="377"/>
      <c r="J104" s="122"/>
      <c r="K104" s="372"/>
      <c r="L104" s="365">
        <v>0.5</v>
      </c>
      <c r="M104" s="365">
        <v>0.5</v>
      </c>
    </row>
    <row r="105" spans="1:13" ht="15">
      <c r="A105" s="72"/>
      <c r="L105" s="365">
        <f>0.1</f>
        <v>0.1</v>
      </c>
      <c r="M105" s="365">
        <f>0.1</f>
        <v>0.1</v>
      </c>
    </row>
    <row r="106" spans="2:13" ht="15">
      <c r="B106" s="483" t="s">
        <v>107</v>
      </c>
      <c r="C106" s="492"/>
      <c r="D106" s="492"/>
      <c r="E106" s="491"/>
      <c r="F106" s="483" t="s">
        <v>108</v>
      </c>
      <c r="G106" s="492"/>
      <c r="H106" s="492"/>
      <c r="I106" s="491"/>
      <c r="L106" s="395">
        <f>SUM(L103:L105)</f>
        <v>0.9391233766233765</v>
      </c>
      <c r="M106" s="395">
        <f>SUM(M103:M105)</f>
        <v>1.2750000000000001</v>
      </c>
    </row>
    <row r="107" spans="2:9" ht="15">
      <c r="B107" s="483" t="s">
        <v>364</v>
      </c>
      <c r="C107" s="491"/>
      <c r="D107" s="483" t="s">
        <v>187</v>
      </c>
      <c r="E107" s="491"/>
      <c r="F107" s="483" t="s">
        <v>364</v>
      </c>
      <c r="G107" s="491"/>
      <c r="H107" s="483" t="s">
        <v>187</v>
      </c>
      <c r="I107" s="491"/>
    </row>
    <row r="108" spans="1:9" ht="30">
      <c r="A108" s="62" t="s">
        <v>40</v>
      </c>
      <c r="B108" s="54" t="s">
        <v>377</v>
      </c>
      <c r="C108" s="54" t="s">
        <v>378</v>
      </c>
      <c r="D108" s="54" t="s">
        <v>377</v>
      </c>
      <c r="E108" s="54" t="s">
        <v>379</v>
      </c>
      <c r="F108" s="54" t="s">
        <v>377</v>
      </c>
      <c r="G108" s="54" t="s">
        <v>378</v>
      </c>
      <c r="H108" s="54" t="s">
        <v>377</v>
      </c>
      <c r="I108" s="54" t="s">
        <v>378</v>
      </c>
    </row>
    <row r="109" spans="1:9" ht="15">
      <c r="A109" s="364" t="s">
        <v>376</v>
      </c>
      <c r="B109" s="370">
        <f>D57*15</f>
        <v>300</v>
      </c>
      <c r="C109" s="370">
        <f>E57*15</f>
        <v>780</v>
      </c>
      <c r="D109" s="365">
        <f>B109*0.25</f>
        <v>75</v>
      </c>
      <c r="E109" s="365">
        <f>C109*0.25</f>
        <v>195</v>
      </c>
      <c r="F109" s="369">
        <f>D65*15</f>
        <v>3600</v>
      </c>
      <c r="G109" s="369">
        <f>E65*15</f>
        <v>9360</v>
      </c>
      <c r="H109" s="365">
        <f>F109*0.25</f>
        <v>900</v>
      </c>
      <c r="I109" s="365">
        <f>G109*0.25</f>
        <v>2340</v>
      </c>
    </row>
    <row r="110" spans="1:9" ht="15">
      <c r="A110" s="364" t="s">
        <v>372</v>
      </c>
      <c r="B110" s="370">
        <v>1</v>
      </c>
      <c r="C110" s="370">
        <v>2</v>
      </c>
      <c r="D110" s="365">
        <f>B110*35</f>
        <v>35</v>
      </c>
      <c r="E110" s="365">
        <f>C110*35</f>
        <v>70</v>
      </c>
      <c r="F110" s="369">
        <v>12</v>
      </c>
      <c r="G110" s="369">
        <v>25</v>
      </c>
      <c r="H110" s="365">
        <f>F110*35</f>
        <v>420</v>
      </c>
      <c r="I110" s="365">
        <f>G110*35</f>
        <v>875</v>
      </c>
    </row>
    <row r="111" spans="1:13" ht="15">
      <c r="A111" s="364" t="s">
        <v>366</v>
      </c>
      <c r="B111" s="370">
        <f>J57</f>
        <v>10</v>
      </c>
      <c r="C111" s="370">
        <f>K57</f>
        <v>26</v>
      </c>
      <c r="D111" s="365">
        <f>B111*0.75</f>
        <v>7.5</v>
      </c>
      <c r="E111" s="365">
        <f>C111*0.75</f>
        <v>19.5</v>
      </c>
      <c r="F111" s="369">
        <f>J65</f>
        <v>120</v>
      </c>
      <c r="G111" s="369">
        <f>K65</f>
        <v>312</v>
      </c>
      <c r="H111" s="365">
        <f>F111*0.75</f>
        <v>90</v>
      </c>
      <c r="I111" s="365">
        <f>G111*0.75</f>
        <v>234</v>
      </c>
      <c r="L111" s="22" t="s">
        <v>194</v>
      </c>
      <c r="M111" s="22" t="s">
        <v>195</v>
      </c>
    </row>
    <row r="112" spans="1:13" ht="15">
      <c r="A112" s="364" t="s">
        <v>367</v>
      </c>
      <c r="B112" s="370">
        <f>L57</f>
        <v>80</v>
      </c>
      <c r="C112" s="370">
        <f>M57</f>
        <v>208</v>
      </c>
      <c r="D112" s="365">
        <f>B112*0.4</f>
        <v>32</v>
      </c>
      <c r="E112" s="365">
        <f>C112*0.4</f>
        <v>83.2</v>
      </c>
      <c r="F112" s="369">
        <f>L65</f>
        <v>960</v>
      </c>
      <c r="G112" s="369">
        <f>M65</f>
        <v>2496</v>
      </c>
      <c r="H112" s="365">
        <f>F112*0.4</f>
        <v>384</v>
      </c>
      <c r="I112" s="365">
        <f>G112*0.4</f>
        <v>998.4000000000001</v>
      </c>
      <c r="J112" s="349" t="s">
        <v>394</v>
      </c>
      <c r="K112" s="349" t="s">
        <v>395</v>
      </c>
      <c r="L112" s="467" t="s">
        <v>45</v>
      </c>
      <c r="M112" s="468"/>
    </row>
    <row r="113" spans="2:13" ht="15">
      <c r="B113" s="361" t="s">
        <v>373</v>
      </c>
      <c r="C113" s="361"/>
      <c r="D113" s="368">
        <f>SUM(D109:D112)</f>
        <v>149.5</v>
      </c>
      <c r="E113" s="368">
        <f>SUM(E109:E112)</f>
        <v>367.7</v>
      </c>
      <c r="F113" s="361" t="s">
        <v>371</v>
      </c>
      <c r="G113" s="361"/>
      <c r="H113" s="368">
        <f>SUM(H109:H112)</f>
        <v>1794</v>
      </c>
      <c r="I113" s="368">
        <f>SUM(I109:I112)</f>
        <v>4447.4</v>
      </c>
      <c r="J113" s="390">
        <f>SUM(H113:I113)</f>
        <v>6241.4</v>
      </c>
      <c r="K113" s="391">
        <f>D113+E113</f>
        <v>517.2</v>
      </c>
      <c r="L113" s="365">
        <f>D113/B47</f>
        <v>0.5339285714285714</v>
      </c>
      <c r="M113" s="365">
        <f>E113/C47</f>
        <v>1.0101648351648351</v>
      </c>
    </row>
    <row r="114" spans="1:13" ht="15">
      <c r="A114" s="72"/>
      <c r="B114" s="203"/>
      <c r="C114" s="203"/>
      <c r="D114" s="377"/>
      <c r="E114" s="377"/>
      <c r="F114" s="203"/>
      <c r="G114" s="203"/>
      <c r="H114" s="377"/>
      <c r="I114" s="377"/>
      <c r="J114" s="122"/>
      <c r="K114" s="372"/>
      <c r="L114" s="365">
        <v>0.5</v>
      </c>
      <c r="M114" s="365">
        <v>0.5</v>
      </c>
    </row>
    <row r="115" spans="1:13" ht="15">
      <c r="A115" s="72"/>
      <c r="K115" s="372">
        <f>K113+K103+K92+K82</f>
        <v>1669.0181818181818</v>
      </c>
      <c r="L115" s="365">
        <v>0.1</v>
      </c>
      <c r="M115" s="365">
        <v>0.1</v>
      </c>
    </row>
    <row r="116" spans="8:13" ht="15">
      <c r="H116" s="473" t="s">
        <v>396</v>
      </c>
      <c r="I116" s="473"/>
      <c r="J116" s="394">
        <f>SUM(J82:J113)</f>
        <v>18845.796363636364</v>
      </c>
      <c r="K116" s="122">
        <f>E37</f>
        <v>1338</v>
      </c>
      <c r="L116" s="395">
        <f>SUM(L113:L115)</f>
        <v>1.1339285714285716</v>
      </c>
      <c r="M116" s="395">
        <f>SUM(M113:M115)</f>
        <v>1.6101648351648352</v>
      </c>
    </row>
    <row r="117" spans="3:11" ht="15">
      <c r="C117" s="473" t="s">
        <v>390</v>
      </c>
      <c r="D117" s="473"/>
      <c r="E117" s="473"/>
      <c r="H117" s="473" t="s">
        <v>389</v>
      </c>
      <c r="I117" s="473"/>
      <c r="J117" s="394">
        <f>F37</f>
        <v>16056</v>
      </c>
      <c r="K117" s="372">
        <f>SUM(K115:K116)</f>
        <v>3007.018181818182</v>
      </c>
    </row>
    <row r="118" spans="3:10" ht="15">
      <c r="C118" s="473" t="s">
        <v>387</v>
      </c>
      <c r="D118" s="473"/>
      <c r="E118" s="119">
        <f>J118</f>
        <v>34901.796363636364</v>
      </c>
      <c r="H118" s="473" t="s">
        <v>33</v>
      </c>
      <c r="I118" s="473"/>
      <c r="J118" s="394">
        <f>SUM(J116:J117)</f>
        <v>34901.796363636364</v>
      </c>
    </row>
    <row r="119" spans="3:10" ht="15">
      <c r="C119" s="473" t="s">
        <v>388</v>
      </c>
      <c r="D119" s="473"/>
      <c r="E119" s="119">
        <f>J119</f>
        <v>3603.7</v>
      </c>
      <c r="H119" s="473" t="s">
        <v>397</v>
      </c>
      <c r="I119" s="473"/>
      <c r="J119" s="394">
        <v>3603.7</v>
      </c>
    </row>
    <row r="120" spans="3:10" ht="15">
      <c r="C120" s="473" t="s">
        <v>391</v>
      </c>
      <c r="D120" s="473"/>
      <c r="E120" s="366">
        <f>SUM(E118:E119)</f>
        <v>38505.49636363636</v>
      </c>
      <c r="H120" s="473" t="s">
        <v>398</v>
      </c>
      <c r="I120" s="473"/>
      <c r="J120" s="374">
        <f>SUM(J118:J119)</f>
        <v>38505.49636363636</v>
      </c>
    </row>
  </sheetData>
  <sheetProtection/>
  <mergeCells count="81">
    <mergeCell ref="B107:C107"/>
    <mergeCell ref="D107:E107"/>
    <mergeCell ref="F107:G107"/>
    <mergeCell ref="H107:I107"/>
    <mergeCell ref="B82:C82"/>
    <mergeCell ref="F82:G82"/>
    <mergeCell ref="B92:C92"/>
    <mergeCell ref="F92:G92"/>
    <mergeCell ref="B106:E106"/>
    <mergeCell ref="F106:I106"/>
    <mergeCell ref="B103:C103"/>
    <mergeCell ref="F103:G103"/>
    <mergeCell ref="B85:E85"/>
    <mergeCell ref="F85:I85"/>
    <mergeCell ref="B86:C86"/>
    <mergeCell ref="D86:E86"/>
    <mergeCell ref="F86:G86"/>
    <mergeCell ref="H86:I86"/>
    <mergeCell ref="B96:E96"/>
    <mergeCell ref="F96:I96"/>
    <mergeCell ref="B97:C97"/>
    <mergeCell ref="D97:E97"/>
    <mergeCell ref="F97:G97"/>
    <mergeCell ref="H97:I97"/>
    <mergeCell ref="I45:J45"/>
    <mergeCell ref="C23:E23"/>
    <mergeCell ref="G23:I23"/>
    <mergeCell ref="I46:J46"/>
    <mergeCell ref="B75:E75"/>
    <mergeCell ref="F75:I75"/>
    <mergeCell ref="K23:M23"/>
    <mergeCell ref="O23:Q23"/>
    <mergeCell ref="I33:O33"/>
    <mergeCell ref="A39:C39"/>
    <mergeCell ref="D39:E39"/>
    <mergeCell ref="F39:G39"/>
    <mergeCell ref="L42:M42"/>
    <mergeCell ref="N5:Q5"/>
    <mergeCell ref="B1:H1"/>
    <mergeCell ref="A4:A5"/>
    <mergeCell ref="B5:E5"/>
    <mergeCell ref="F5:I5"/>
    <mergeCell ref="J5:M5"/>
    <mergeCell ref="I42:J42"/>
    <mergeCell ref="B41:C41"/>
    <mergeCell ref="B42:C42"/>
    <mergeCell ref="C118:D118"/>
    <mergeCell ref="C119:D119"/>
    <mergeCell ref="C120:D120"/>
    <mergeCell ref="C117:E117"/>
    <mergeCell ref="H53:I53"/>
    <mergeCell ref="J53:K53"/>
    <mergeCell ref="D60:E60"/>
    <mergeCell ref="J61:K61"/>
    <mergeCell ref="H118:I118"/>
    <mergeCell ref="H119:I119"/>
    <mergeCell ref="L41:M41"/>
    <mergeCell ref="I41:J41"/>
    <mergeCell ref="E42:F42"/>
    <mergeCell ref="E41:F41"/>
    <mergeCell ref="H116:I116"/>
    <mergeCell ref="H117:I117"/>
    <mergeCell ref="L45:M45"/>
    <mergeCell ref="L46:M46"/>
    <mergeCell ref="L112:M112"/>
    <mergeCell ref="L102:M102"/>
    <mergeCell ref="F52:G52"/>
    <mergeCell ref="D52:E52"/>
    <mergeCell ref="I43:J43"/>
    <mergeCell ref="I44:J44"/>
    <mergeCell ref="L61:M61"/>
    <mergeCell ref="D51:M51"/>
    <mergeCell ref="D59:M59"/>
    <mergeCell ref="L43:M43"/>
    <mergeCell ref="L44:M44"/>
    <mergeCell ref="L91:M91"/>
    <mergeCell ref="L81:M81"/>
    <mergeCell ref="L53:M53"/>
    <mergeCell ref="F60:G60"/>
    <mergeCell ref="H61:I61"/>
    <mergeCell ref="H120:I120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8.140625" style="0" customWidth="1"/>
    <col min="2" max="2" width="13.140625" style="51" customWidth="1"/>
    <col min="3" max="3" width="12.140625" style="0" customWidth="1"/>
    <col min="4" max="4" width="11.28125" style="0" customWidth="1"/>
    <col min="5" max="5" width="12.140625" style="0" customWidth="1"/>
    <col min="6" max="6" width="14.57421875" style="0" customWidth="1"/>
    <col min="7" max="7" width="14.140625" style="0" customWidth="1"/>
    <col min="8" max="8" width="13.421875" style="0" customWidth="1"/>
    <col min="9" max="9" width="14.7109375" style="0" customWidth="1"/>
  </cols>
  <sheetData>
    <row r="1" ht="21">
      <c r="A1" s="1" t="s">
        <v>56</v>
      </c>
    </row>
    <row r="3" spans="1:14" s="2" customFormat="1" ht="24" customHeight="1">
      <c r="A3" s="351" t="s">
        <v>39</v>
      </c>
      <c r="B3" s="352" t="s">
        <v>54</v>
      </c>
      <c r="C3" s="353">
        <v>1</v>
      </c>
      <c r="D3" s="353">
        <v>2</v>
      </c>
      <c r="E3" s="353">
        <v>3</v>
      </c>
      <c r="F3" s="353">
        <v>4</v>
      </c>
      <c r="G3" s="353">
        <v>5</v>
      </c>
      <c r="H3" s="353">
        <v>6</v>
      </c>
      <c r="I3" s="353">
        <v>7</v>
      </c>
      <c r="J3" s="353">
        <v>8</v>
      </c>
      <c r="K3" s="353">
        <v>9</v>
      </c>
      <c r="L3" s="353">
        <v>10</v>
      </c>
      <c r="M3" s="353">
        <v>11</v>
      </c>
      <c r="N3" s="353">
        <v>12</v>
      </c>
    </row>
    <row r="4" spans="1:14" s="2" customFormat="1" ht="15">
      <c r="A4" s="354" t="s">
        <v>147</v>
      </c>
      <c r="B4" s="355">
        <f>'costo de ventas'!I43</f>
        <v>3.3869318181818184</v>
      </c>
      <c r="C4" s="355">
        <f>$B$4*Costos!B17</f>
        <v>853.5068181818183</v>
      </c>
      <c r="D4" s="355">
        <f>$B$4*Costos!C17</f>
        <v>853.5068181818183</v>
      </c>
      <c r="E4" s="355">
        <f>$B$4*Costos!D17</f>
        <v>768.1561363636364</v>
      </c>
      <c r="F4" s="355">
        <f>$B$4*Costos!E17</f>
        <v>1024.2081818181819</v>
      </c>
      <c r="G4" s="355">
        <f>$B$4*Costos!F17</f>
        <v>1194.9095454545457</v>
      </c>
      <c r="H4" s="355">
        <f>$B$4*Costos!G17</f>
        <v>1365.6109090909092</v>
      </c>
      <c r="I4" s="355">
        <f>$B$4*Costos!H17</f>
        <v>1877.7150000000001</v>
      </c>
      <c r="J4" s="355">
        <f>$B$4*Costos!I17</f>
        <v>1707.0136363636366</v>
      </c>
      <c r="K4" s="355">
        <f>$B$4*Costos!J17</f>
        <v>1707.0136363636366</v>
      </c>
      <c r="L4" s="355">
        <f>$B$4*Costos!K17</f>
        <v>1877.7150000000001</v>
      </c>
      <c r="M4" s="355">
        <f>$B$4*Costos!L17</f>
        <v>1707.0136363636366</v>
      </c>
      <c r="N4" s="355">
        <f>$B$4*Costos!M17</f>
        <v>2104.747813636364</v>
      </c>
    </row>
    <row r="5" spans="1:14" s="2" customFormat="1" ht="15">
      <c r="A5" s="354" t="s">
        <v>148</v>
      </c>
      <c r="B5" s="355">
        <f>'costo de ventas'!L43</f>
        <v>4.323863636363637</v>
      </c>
      <c r="C5" s="355">
        <f>$B$5*Costos!B18</f>
        <v>1743.3818181818185</v>
      </c>
      <c r="D5" s="355">
        <f>$B$5*Costos!C18</f>
        <v>1743.3818181818185</v>
      </c>
      <c r="E5" s="355">
        <f>$B$5*Costos!D18</f>
        <v>1569.0436363636366</v>
      </c>
      <c r="F5" s="355">
        <f>$B$5*Costos!E18</f>
        <v>2092.0581818181818</v>
      </c>
      <c r="G5" s="355">
        <f>$B$5*Costos!F18</f>
        <v>2440.7345454545457</v>
      </c>
      <c r="H5" s="355">
        <f>$B$5*Costos!G18</f>
        <v>2789.410909090909</v>
      </c>
      <c r="I5" s="355">
        <f>$B$5*Costos!H18</f>
        <v>3835.44</v>
      </c>
      <c r="J5" s="355">
        <f>$B$5*Costos!I18</f>
        <v>3486.763636363637</v>
      </c>
      <c r="K5" s="355">
        <f>$B$5*Costos!J18</f>
        <v>3486.763636363637</v>
      </c>
      <c r="L5" s="355">
        <f>$B$5*Costos!K18</f>
        <v>3835.44</v>
      </c>
      <c r="M5" s="355">
        <f>$B$5*Costos!L18</f>
        <v>3486.763636363637</v>
      </c>
      <c r="N5" s="355">
        <f>$B$5*Costos!M18</f>
        <v>4299.179563636364</v>
      </c>
    </row>
    <row r="6" spans="1:14" s="2" customFormat="1" ht="15">
      <c r="A6" s="354" t="s">
        <v>149</v>
      </c>
      <c r="B6" s="355">
        <f>'costo de ventas'!I44</f>
        <v>4.49375</v>
      </c>
      <c r="C6" s="355">
        <f>$B$5*Costos!B19</f>
        <v>363.2045454545455</v>
      </c>
      <c r="D6" s="355">
        <f>$B$5*Costos!C19</f>
        <v>363.2045454545455</v>
      </c>
      <c r="E6" s="355">
        <f>$B$5*Costos!D19</f>
        <v>326.8840909090909</v>
      </c>
      <c r="F6" s="355">
        <f>$B$5*Costos!E19</f>
        <v>435.8454545454546</v>
      </c>
      <c r="G6" s="355">
        <f>$B$5*Costos!F19</f>
        <v>508.4863636363637</v>
      </c>
      <c r="H6" s="355">
        <f>$B$5*Costos!G19</f>
        <v>581.1272727272728</v>
      </c>
      <c r="I6" s="355">
        <f>$B$5*Costos!H19</f>
        <v>799.0500000000001</v>
      </c>
      <c r="J6" s="355">
        <f>$B$5*Costos!I19</f>
        <v>726.409090909091</v>
      </c>
      <c r="K6" s="355">
        <f>$B$5*Costos!J19</f>
        <v>726.409090909091</v>
      </c>
      <c r="L6" s="355">
        <f>$B$5*Costos!K19</f>
        <v>799.0500000000001</v>
      </c>
      <c r="M6" s="355">
        <f>$B$5*Costos!L19</f>
        <v>726.409090909091</v>
      </c>
      <c r="N6" s="355">
        <f>$B$5*Costos!M19</f>
        <v>895.6624090909091</v>
      </c>
    </row>
    <row r="7" spans="1:14" s="2" customFormat="1" ht="15">
      <c r="A7" s="354" t="s">
        <v>150</v>
      </c>
      <c r="B7" s="355">
        <f>'costo de ventas'!L44</f>
        <v>5.759722222222222</v>
      </c>
      <c r="C7" s="355">
        <f>$B$6*Costos!B20</f>
        <v>679.4550000000002</v>
      </c>
      <c r="D7" s="355">
        <f>$B$6*Costos!C20</f>
        <v>679.4550000000002</v>
      </c>
      <c r="E7" s="355">
        <f>$B$6*Costos!D20</f>
        <v>611.5095</v>
      </c>
      <c r="F7" s="355">
        <f>$B$6*Costos!E20</f>
        <v>815.346</v>
      </c>
      <c r="G7" s="355">
        <f>$B$6*Costos!F20</f>
        <v>951.2370000000001</v>
      </c>
      <c r="H7" s="355">
        <f>$B$6*Costos!G20</f>
        <v>1087.1280000000002</v>
      </c>
      <c r="I7" s="355">
        <f>$B$6*Costos!H20</f>
        <v>1494.8010000000002</v>
      </c>
      <c r="J7" s="355">
        <f>$B$6*Costos!I20</f>
        <v>1358.9100000000003</v>
      </c>
      <c r="K7" s="355">
        <f>$B$6*Costos!J20</f>
        <v>1358.9100000000003</v>
      </c>
      <c r="L7" s="355">
        <f>$B$6*Costos!K20</f>
        <v>1494.8010000000002</v>
      </c>
      <c r="M7" s="355">
        <f>$B$6*Costos!L20</f>
        <v>1358.9100000000003</v>
      </c>
      <c r="N7" s="355">
        <f>$B$6*Costos!M20</f>
        <v>1675.5360300000004</v>
      </c>
    </row>
    <row r="8" spans="1:14" s="2" customFormat="1" ht="15">
      <c r="A8" s="354" t="s">
        <v>151</v>
      </c>
      <c r="B8" s="355">
        <f>'costo de ventas'!I45</f>
        <v>3.286931818181818</v>
      </c>
      <c r="C8" s="355">
        <f>$B$7*Costos!B21</f>
        <v>967.6333333333333</v>
      </c>
      <c r="D8" s="355">
        <f>$B$7*Costos!C21</f>
        <v>967.6333333333333</v>
      </c>
      <c r="E8" s="355">
        <f>$B$7*Costos!D21</f>
        <v>870.8699999999999</v>
      </c>
      <c r="F8" s="355">
        <f>$B$7*Costos!E21</f>
        <v>1161.1599999999999</v>
      </c>
      <c r="G8" s="355">
        <f>$B$7*Costos!F21</f>
        <v>1354.6866666666667</v>
      </c>
      <c r="H8" s="355">
        <f>$B$7*Costos!G21</f>
        <v>1548.2133333333334</v>
      </c>
      <c r="I8" s="355">
        <f>$B$7*Costos!H21</f>
        <v>2128.7933333333335</v>
      </c>
      <c r="J8" s="355">
        <f>$B$7*Costos!I21</f>
        <v>1935.2666666666667</v>
      </c>
      <c r="K8" s="355">
        <f>$B$7*Costos!J21</f>
        <v>1935.2666666666667</v>
      </c>
      <c r="L8" s="355">
        <f>$B$7*Costos!K21</f>
        <v>2128.7933333333335</v>
      </c>
      <c r="M8" s="355">
        <f>$B$7*Costos!L21</f>
        <v>1935.2666666666667</v>
      </c>
      <c r="N8" s="355">
        <f>$B$7*Costos!M21</f>
        <v>2386.1838</v>
      </c>
    </row>
    <row r="9" spans="1:14" s="2" customFormat="1" ht="15">
      <c r="A9" s="354" t="s">
        <v>152</v>
      </c>
      <c r="B9" s="355">
        <f>'costo de ventas'!L45</f>
        <v>4.4625</v>
      </c>
      <c r="C9" s="355">
        <f>$B$8*Costos!B22</f>
        <v>773.0863636363637</v>
      </c>
      <c r="D9" s="355">
        <f>$B$8*Costos!C22</f>
        <v>773.0863636363637</v>
      </c>
      <c r="E9" s="355">
        <f>$B$8*Costos!D22</f>
        <v>695.7777272727271</v>
      </c>
      <c r="F9" s="355">
        <f>$B$8*Costos!E22</f>
        <v>927.7036363636363</v>
      </c>
      <c r="G9" s="355">
        <f>$B$8*Costos!F22</f>
        <v>1082.320909090909</v>
      </c>
      <c r="H9" s="355">
        <f>$B$8*Costos!G22</f>
        <v>1236.9381818181816</v>
      </c>
      <c r="I9" s="355">
        <f>$B$8*Costos!H22</f>
        <v>1700.79</v>
      </c>
      <c r="J9" s="355">
        <f>$B$8*Costos!I22</f>
        <v>1546.1727272727273</v>
      </c>
      <c r="K9" s="355">
        <f>$B$8*Costos!J22</f>
        <v>1546.1727272727273</v>
      </c>
      <c r="L9" s="355">
        <f>$B$8*Costos!K22</f>
        <v>1700.79</v>
      </c>
      <c r="M9" s="355">
        <f>$B$8*Costos!L22</f>
        <v>1546.1727272727273</v>
      </c>
      <c r="N9" s="355">
        <f>$B$8*Costos!M22</f>
        <v>1906.4309727272725</v>
      </c>
    </row>
    <row r="10" spans="1:14" s="2" customFormat="1" ht="18.75" customHeight="1">
      <c r="A10" s="354" t="s">
        <v>153</v>
      </c>
      <c r="B10" s="355">
        <f>'costo de ventas'!I46</f>
        <v>3.968750000000001</v>
      </c>
      <c r="C10" s="355">
        <f>$B$10*Costos!B21</f>
        <v>666.7500000000001</v>
      </c>
      <c r="D10" s="355">
        <f>$B$10*Costos!C21</f>
        <v>666.7500000000001</v>
      </c>
      <c r="E10" s="355">
        <f>$B$10*Costos!D21</f>
        <v>600.075</v>
      </c>
      <c r="F10" s="355">
        <f>$B$10*Costos!E21</f>
        <v>800.1000000000001</v>
      </c>
      <c r="G10" s="355">
        <f>$B$10*Costos!F21</f>
        <v>933.4500000000003</v>
      </c>
      <c r="H10" s="355">
        <f>$B$10*Costos!G21</f>
        <v>1066.8000000000002</v>
      </c>
      <c r="I10" s="355">
        <f>$B$10*Costos!H21</f>
        <v>1466.8500000000004</v>
      </c>
      <c r="J10" s="355">
        <f>$B$10*Costos!I21</f>
        <v>1333.5000000000002</v>
      </c>
      <c r="K10" s="355">
        <f>$B$10*Costos!J21</f>
        <v>1333.5000000000002</v>
      </c>
      <c r="L10" s="355">
        <f>$B$10*Costos!K21</f>
        <v>1466.8500000000004</v>
      </c>
      <c r="M10" s="355">
        <f>$B$10*Costos!L21</f>
        <v>1333.5000000000002</v>
      </c>
      <c r="N10" s="355">
        <f>$B$10*Costos!M21</f>
        <v>1644.2055000000005</v>
      </c>
    </row>
    <row r="11" spans="1:14" s="2" customFormat="1" ht="15">
      <c r="A11" s="354" t="s">
        <v>154</v>
      </c>
      <c r="B11" s="355">
        <f>'costo de ventas'!L46</f>
        <v>5.635576923076924</v>
      </c>
      <c r="C11" s="355">
        <f>$B$11*Costos!B24</f>
        <v>1230.8100000000002</v>
      </c>
      <c r="D11" s="355">
        <f>$B$11*Costos!C24</f>
        <v>1230.8100000000002</v>
      </c>
      <c r="E11" s="355">
        <f>$B$11*Costos!D24</f>
        <v>1107.729</v>
      </c>
      <c r="F11" s="355">
        <f>$B$11*Costos!E24</f>
        <v>1476.972</v>
      </c>
      <c r="G11" s="355">
        <f>$B$11*Costos!F24</f>
        <v>1723.1340000000005</v>
      </c>
      <c r="H11" s="355">
        <f>$B$11*Costos!G24</f>
        <v>1969.2960000000003</v>
      </c>
      <c r="I11" s="355">
        <f>$B$11*Costos!H24</f>
        <v>2707.7820000000006</v>
      </c>
      <c r="J11" s="355">
        <f>$B$11*Costos!I24</f>
        <v>2461.6200000000003</v>
      </c>
      <c r="K11" s="355">
        <f>$B$11*Costos!J24</f>
        <v>2461.6200000000003</v>
      </c>
      <c r="L11" s="355">
        <f>$B$11*Costos!K24</f>
        <v>2707.7820000000006</v>
      </c>
      <c r="M11" s="355">
        <f>$B$11*Costos!L24</f>
        <v>2461.6200000000003</v>
      </c>
      <c r="N11" s="355">
        <f>$B$11*Costos!M24</f>
        <v>3035.177460000001</v>
      </c>
    </row>
    <row r="12" spans="1:15" s="2" customFormat="1" ht="21" customHeight="1">
      <c r="A12" s="351" t="s">
        <v>55</v>
      </c>
      <c r="B12" s="355"/>
      <c r="C12" s="356">
        <f>SUM(C4:C11)</f>
        <v>7277.82787878788</v>
      </c>
      <c r="D12" s="356">
        <f aca="true" t="shared" si="0" ref="D12:N12">SUM(D4:D11)</f>
        <v>7277.82787878788</v>
      </c>
      <c r="E12" s="356">
        <f t="shared" si="0"/>
        <v>6550.0450909090905</v>
      </c>
      <c r="F12" s="356">
        <f t="shared" si="0"/>
        <v>8733.393454545454</v>
      </c>
      <c r="G12" s="356">
        <f t="shared" si="0"/>
        <v>10188.95903030303</v>
      </c>
      <c r="H12" s="356">
        <f t="shared" si="0"/>
        <v>11644.524606060606</v>
      </c>
      <c r="I12" s="356">
        <f t="shared" si="0"/>
        <v>16011.221333333335</v>
      </c>
      <c r="J12" s="356">
        <f t="shared" si="0"/>
        <v>14555.65575757576</v>
      </c>
      <c r="K12" s="356">
        <f t="shared" si="0"/>
        <v>14555.65575757576</v>
      </c>
      <c r="L12" s="356">
        <f t="shared" si="0"/>
        <v>16011.221333333335</v>
      </c>
      <c r="M12" s="356">
        <f t="shared" si="0"/>
        <v>14555.65575757576</v>
      </c>
      <c r="N12" s="356">
        <f t="shared" si="0"/>
        <v>17947.12354909091</v>
      </c>
      <c r="O12" s="50">
        <f>SUM(C12:N12)</f>
        <v>145309.11142787882</v>
      </c>
    </row>
    <row r="14" spans="1:14" ht="15">
      <c r="A14" s="254"/>
      <c r="B14" s="412" t="s">
        <v>205</v>
      </c>
      <c r="C14" s="412" t="s">
        <v>206</v>
      </c>
      <c r="D14" s="412" t="s">
        <v>207</v>
      </c>
      <c r="E14" s="412" t="s">
        <v>208</v>
      </c>
      <c r="F14" s="412" t="s">
        <v>209</v>
      </c>
      <c r="G14" s="412" t="s">
        <v>210</v>
      </c>
      <c r="H14" s="412" t="s">
        <v>211</v>
      </c>
      <c r="I14" s="412" t="s">
        <v>212</v>
      </c>
      <c r="J14" s="412" t="s">
        <v>213</v>
      </c>
      <c r="K14" s="412" t="s">
        <v>214</v>
      </c>
      <c r="L14" s="412" t="s">
        <v>215</v>
      </c>
      <c r="M14" s="412" t="s">
        <v>216</v>
      </c>
      <c r="N14" s="49"/>
    </row>
    <row r="15" spans="1:14" ht="15" customHeight="1">
      <c r="A15" s="141" t="s">
        <v>57</v>
      </c>
      <c r="B15" s="355">
        <f>C12</f>
        <v>7277.82787878788</v>
      </c>
      <c r="C15" s="355">
        <f aca="true" t="shared" si="1" ref="C15:M15">D12</f>
        <v>7277.82787878788</v>
      </c>
      <c r="D15" s="355">
        <f t="shared" si="1"/>
        <v>6550.0450909090905</v>
      </c>
      <c r="E15" s="355">
        <f t="shared" si="1"/>
        <v>8733.393454545454</v>
      </c>
      <c r="F15" s="355">
        <f t="shared" si="1"/>
        <v>10188.95903030303</v>
      </c>
      <c r="G15" s="355">
        <f t="shared" si="1"/>
        <v>11644.524606060606</v>
      </c>
      <c r="H15" s="355">
        <f t="shared" si="1"/>
        <v>16011.221333333335</v>
      </c>
      <c r="I15" s="355">
        <f t="shared" si="1"/>
        <v>14555.65575757576</v>
      </c>
      <c r="J15" s="355">
        <f t="shared" si="1"/>
        <v>14555.65575757576</v>
      </c>
      <c r="K15" s="355">
        <f t="shared" si="1"/>
        <v>16011.221333333335</v>
      </c>
      <c r="L15" s="355">
        <f t="shared" si="1"/>
        <v>14555.65575757576</v>
      </c>
      <c r="M15" s="355">
        <f t="shared" si="1"/>
        <v>17947.12354909091</v>
      </c>
      <c r="N15" s="22"/>
    </row>
    <row r="16" spans="1:14" ht="18" customHeight="1">
      <c r="A16" s="141" t="s">
        <v>272</v>
      </c>
      <c r="B16" s="355">
        <f>Costos!C40</f>
        <v>2098.450909090909</v>
      </c>
      <c r="C16" s="355">
        <f>Costos!D40</f>
        <v>2098.450909090909</v>
      </c>
      <c r="D16" s="355">
        <f>Costos!E40</f>
        <v>1888.605818181818</v>
      </c>
      <c r="E16" s="355">
        <f>Costos!F40</f>
        <v>2518.141090909091</v>
      </c>
      <c r="F16" s="355">
        <f>Costos!G40</f>
        <v>2937.831272727273</v>
      </c>
      <c r="G16" s="355">
        <f>Costos!H40</f>
        <v>3357.521454545455</v>
      </c>
      <c r="H16" s="355">
        <f>Costos!I40</f>
        <v>4616.592000000001</v>
      </c>
      <c r="I16" s="355">
        <f>Costos!J40</f>
        <v>4196.901818181818</v>
      </c>
      <c r="J16" s="355">
        <f>Costos!K40</f>
        <v>4196.901818181818</v>
      </c>
      <c r="K16" s="355">
        <f>Costos!L40</f>
        <v>4616.592000000001</v>
      </c>
      <c r="L16" s="355">
        <f>Costos!M40</f>
        <v>4196.901818181818</v>
      </c>
      <c r="M16" s="355">
        <f>Costos!N40</f>
        <v>5174.779941818182</v>
      </c>
      <c r="N16" s="49"/>
    </row>
    <row r="17" spans="1:14" ht="15">
      <c r="A17" s="141" t="s">
        <v>273</v>
      </c>
      <c r="B17" s="355">
        <f>Costos!B54</f>
        <v>9561.716666666667</v>
      </c>
      <c r="C17" s="355">
        <f>Costos!C54</f>
        <v>7061.716666666667</v>
      </c>
      <c r="D17" s="355">
        <f>Costos!D54</f>
        <v>7061.716666666667</v>
      </c>
      <c r="E17" s="355">
        <f aca="true" t="shared" si="2" ref="E17:L17">D17</f>
        <v>7061.716666666667</v>
      </c>
      <c r="F17" s="355">
        <f t="shared" si="2"/>
        <v>7061.716666666667</v>
      </c>
      <c r="G17" s="355">
        <f t="shared" si="2"/>
        <v>7061.716666666667</v>
      </c>
      <c r="H17" s="355">
        <f t="shared" si="2"/>
        <v>7061.716666666667</v>
      </c>
      <c r="I17" s="355">
        <f t="shared" si="2"/>
        <v>7061.716666666667</v>
      </c>
      <c r="J17" s="355">
        <f t="shared" si="2"/>
        <v>7061.716666666667</v>
      </c>
      <c r="K17" s="355">
        <f t="shared" si="2"/>
        <v>7061.716666666667</v>
      </c>
      <c r="L17" s="355">
        <f t="shared" si="2"/>
        <v>7061.716666666667</v>
      </c>
      <c r="M17" s="355">
        <f>B17</f>
        <v>9561.716666666667</v>
      </c>
      <c r="N17" s="215"/>
    </row>
    <row r="18" spans="1:14" ht="15">
      <c r="A18" s="141" t="s">
        <v>274</v>
      </c>
      <c r="B18" s="355">
        <f>B15-(B16+B17)</f>
        <v>-4382.339696969696</v>
      </c>
      <c r="C18" s="355">
        <f aca="true" t="shared" si="3" ref="C18:M18">C15-(C16+C17)</f>
        <v>-1882.339696969696</v>
      </c>
      <c r="D18" s="355">
        <f t="shared" si="3"/>
        <v>-2400.2773939393956</v>
      </c>
      <c r="E18" s="355">
        <f t="shared" si="3"/>
        <v>-846.464303030305</v>
      </c>
      <c r="F18" s="355">
        <f t="shared" si="3"/>
        <v>189.4110909090905</v>
      </c>
      <c r="G18" s="355">
        <f t="shared" si="3"/>
        <v>1225.2864848484842</v>
      </c>
      <c r="H18" s="355">
        <f t="shared" si="3"/>
        <v>4332.912666666667</v>
      </c>
      <c r="I18" s="355">
        <f t="shared" si="3"/>
        <v>3297.037272727275</v>
      </c>
      <c r="J18" s="355">
        <f t="shared" si="3"/>
        <v>3297.037272727275</v>
      </c>
      <c r="K18" s="355">
        <f t="shared" si="3"/>
        <v>4332.912666666667</v>
      </c>
      <c r="L18" s="355">
        <f t="shared" si="3"/>
        <v>3297.037272727275</v>
      </c>
      <c r="M18" s="355">
        <f t="shared" si="3"/>
        <v>3210.62694060606</v>
      </c>
      <c r="N18" s="215"/>
    </row>
    <row r="19" spans="1:14" ht="15">
      <c r="A19" s="141" t="s">
        <v>275</v>
      </c>
      <c r="B19" s="355">
        <f>B18</f>
        <v>-4382.339696969696</v>
      </c>
      <c r="C19" s="355">
        <f aca="true" t="shared" si="4" ref="C19:J19">B19+C18</f>
        <v>-6264.679393939392</v>
      </c>
      <c r="D19" s="441">
        <f t="shared" si="4"/>
        <v>-8664.956787878788</v>
      </c>
      <c r="E19" s="413">
        <f t="shared" si="4"/>
        <v>-9511.421090909093</v>
      </c>
      <c r="F19" s="441">
        <f t="shared" si="4"/>
        <v>-9322.010000000002</v>
      </c>
      <c r="G19" s="441">
        <f t="shared" si="4"/>
        <v>-8096.723515151518</v>
      </c>
      <c r="H19" s="355">
        <f t="shared" si="4"/>
        <v>-3763.810848484851</v>
      </c>
      <c r="I19" s="355">
        <f t="shared" si="4"/>
        <v>-466.7735757575756</v>
      </c>
      <c r="J19" s="355">
        <f t="shared" si="4"/>
        <v>2830.2636969696996</v>
      </c>
      <c r="K19" s="355">
        <f>J19+K18</f>
        <v>7163.176363636367</v>
      </c>
      <c r="L19" s="355">
        <f>K19+L18</f>
        <v>10460.213636363642</v>
      </c>
      <c r="M19" s="355">
        <f>L19+M18</f>
        <v>13670.840576969702</v>
      </c>
      <c r="N19" s="21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32.57421875" style="0" customWidth="1"/>
    <col min="2" max="2" width="11.421875" style="0" customWidth="1"/>
  </cols>
  <sheetData>
    <row r="1" ht="15">
      <c r="A1" s="7" t="s">
        <v>30</v>
      </c>
    </row>
    <row r="3" spans="1:2" ht="15">
      <c r="A3" s="32" t="s">
        <v>25</v>
      </c>
      <c r="B3" s="32" t="s">
        <v>26</v>
      </c>
    </row>
    <row r="4" spans="1:2" s="2" customFormat="1" ht="32.25" customHeight="1">
      <c r="A4" s="33" t="s">
        <v>27</v>
      </c>
      <c r="B4" s="19">
        <v>700</v>
      </c>
    </row>
    <row r="5" spans="1:2" s="2" customFormat="1" ht="32.25" customHeight="1">
      <c r="A5" s="33" t="s">
        <v>28</v>
      </c>
      <c r="B5" s="19">
        <v>400</v>
      </c>
    </row>
    <row r="6" spans="1:2" s="2" customFormat="1" ht="32.25" customHeight="1">
      <c r="A6" s="33" t="s">
        <v>29</v>
      </c>
      <c r="B6" s="19">
        <v>800</v>
      </c>
    </row>
    <row r="7" spans="1:2" ht="15">
      <c r="A7" s="34" t="s">
        <v>6</v>
      </c>
      <c r="B7" s="20">
        <f>SUM(B4:B6)</f>
        <v>1900</v>
      </c>
    </row>
    <row r="10" ht="18.75">
      <c r="A10" s="8" t="s">
        <v>31</v>
      </c>
    </row>
    <row r="11" spans="1:2" ht="15">
      <c r="A11" s="22" t="s">
        <v>34</v>
      </c>
      <c r="B11" s="22" t="s">
        <v>35</v>
      </c>
    </row>
    <row r="12" spans="1:2" ht="15">
      <c r="A12" s="22" t="s">
        <v>32</v>
      </c>
      <c r="B12" s="23">
        <f>Inversión!B48</f>
        <v>48336.45090909091</v>
      </c>
    </row>
    <row r="13" spans="1:2" ht="15">
      <c r="A13" s="22" t="s">
        <v>24</v>
      </c>
      <c r="B13" s="23">
        <f>CapTrabajo!E19</f>
        <v>-9511.421090909093</v>
      </c>
    </row>
    <row r="14" spans="1:2" ht="15">
      <c r="A14" s="24" t="s">
        <v>33</v>
      </c>
      <c r="B14" s="25">
        <f>SUM(B12:B13)</f>
        <v>38825.02981818182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4">
      <selection activeCell="D14" sqref="D14"/>
    </sheetView>
  </sheetViews>
  <sheetFormatPr defaultColWidth="9.140625" defaultRowHeight="15"/>
  <cols>
    <col min="1" max="2" width="9.140625" style="221" customWidth="1"/>
    <col min="3" max="3" width="14.7109375" style="221" customWidth="1"/>
    <col min="4" max="4" width="11.8515625" style="221" customWidth="1"/>
    <col min="5" max="6" width="9.140625" style="221" customWidth="1"/>
    <col min="7" max="7" width="33.28125" style="221" bestFit="1" customWidth="1"/>
    <col min="8" max="8" width="18.57421875" style="221" customWidth="1"/>
    <col min="9" max="16384" width="9.140625" style="221" customWidth="1"/>
  </cols>
  <sheetData>
    <row r="2" ht="15">
      <c r="B2" s="220" t="s">
        <v>196</v>
      </c>
    </row>
    <row r="4" spans="2:7" ht="15">
      <c r="B4" s="220" t="s">
        <v>197</v>
      </c>
      <c r="G4" s="220" t="s">
        <v>198</v>
      </c>
    </row>
    <row r="5" spans="2:8" ht="15">
      <c r="B5" s="497"/>
      <c r="C5" s="498"/>
      <c r="D5" s="429"/>
      <c r="G5" s="223" t="s">
        <v>199</v>
      </c>
      <c r="H5" s="128">
        <f>'[1]Demanda e Ingresos'!C15</f>
        <v>135527.04000000004</v>
      </c>
    </row>
    <row r="6" spans="2:4" ht="15">
      <c r="B6" s="497"/>
      <c r="C6" s="498"/>
      <c r="D6" s="222"/>
    </row>
    <row r="7" spans="2:4" ht="15">
      <c r="B7" s="497"/>
      <c r="C7" s="498"/>
      <c r="D7" s="428"/>
    </row>
    <row r="8" spans="2:4" ht="15">
      <c r="B8" s="497" t="s">
        <v>201</v>
      </c>
      <c r="C8" s="498"/>
      <c r="D8" s="429">
        <v>18</v>
      </c>
    </row>
    <row r="9" spans="2:4" ht="15">
      <c r="B9" s="497" t="s">
        <v>200</v>
      </c>
      <c r="C9" s="498"/>
      <c r="D9" s="222">
        <v>20</v>
      </c>
    </row>
    <row r="10" spans="2:4" ht="15">
      <c r="B10" s="497" t="s">
        <v>107</v>
      </c>
      <c r="C10" s="498"/>
      <c r="D10" s="442">
        <f>D8*D9</f>
        <v>360</v>
      </c>
    </row>
    <row r="11" spans="2:4" ht="15">
      <c r="B11" s="500" t="s">
        <v>427</v>
      </c>
      <c r="C11" s="501"/>
      <c r="D11" s="442">
        <f>D10</f>
        <v>360</v>
      </c>
    </row>
    <row r="12" spans="2:4" ht="15">
      <c r="B12" s="497" t="s">
        <v>424</v>
      </c>
      <c r="C12" s="498"/>
      <c r="D12" s="429">
        <v>2500</v>
      </c>
    </row>
    <row r="13" spans="2:4" ht="15">
      <c r="B13" s="497" t="s">
        <v>425</v>
      </c>
      <c r="C13" s="498"/>
      <c r="D13" s="429">
        <v>5000</v>
      </c>
    </row>
    <row r="14" spans="2:4" ht="15">
      <c r="B14" s="499" t="s">
        <v>426</v>
      </c>
      <c r="C14" s="499"/>
      <c r="D14" s="428">
        <f>(D7*12)+(D10*12)+D13</f>
        <v>9320</v>
      </c>
    </row>
    <row r="16" spans="2:4" ht="15">
      <c r="B16" s="502" t="s">
        <v>352</v>
      </c>
      <c r="C16" s="498"/>
      <c r="D16" s="222">
        <v>0</v>
      </c>
    </row>
    <row r="17" spans="2:4" ht="15">
      <c r="B17" s="497"/>
      <c r="C17" s="498"/>
      <c r="D17" s="222"/>
    </row>
    <row r="18" spans="2:4" ht="15">
      <c r="B18" s="502" t="s">
        <v>107</v>
      </c>
      <c r="C18" s="498"/>
      <c r="D18" s="222">
        <v>0</v>
      </c>
    </row>
    <row r="19" spans="2:4" ht="15">
      <c r="B19" s="224"/>
      <c r="C19" s="224"/>
      <c r="D19" s="223"/>
    </row>
    <row r="20" spans="2:4" ht="15">
      <c r="B20" s="220" t="s">
        <v>202</v>
      </c>
      <c r="D20" s="131" t="e">
        <f>D7+#REF!+D18</f>
        <v>#REF!</v>
      </c>
    </row>
    <row r="25" spans="2:4" ht="15">
      <c r="B25" s="220" t="s">
        <v>203</v>
      </c>
      <c r="D25" s="225">
        <f>D7</f>
        <v>0</v>
      </c>
    </row>
    <row r="27" spans="2:4" ht="15">
      <c r="B27" s="220" t="s">
        <v>204</v>
      </c>
      <c r="D27" s="226">
        <f>D14</f>
        <v>9320</v>
      </c>
    </row>
    <row r="31" ht="15">
      <c r="E31" s="319"/>
    </row>
  </sheetData>
  <sheetProtection/>
  <mergeCells count="13">
    <mergeCell ref="B18:C18"/>
    <mergeCell ref="B5:C5"/>
    <mergeCell ref="B6:C6"/>
    <mergeCell ref="B7:C7"/>
    <mergeCell ref="B12:C12"/>
    <mergeCell ref="B13:C13"/>
    <mergeCell ref="B16:C16"/>
    <mergeCell ref="B17:C17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L47"/>
  <sheetViews>
    <sheetView zoomScalePageLayoutView="0" workbookViewId="0" topLeftCell="A7">
      <selection activeCell="C25" sqref="C25"/>
    </sheetView>
  </sheetViews>
  <sheetFormatPr defaultColWidth="9.140625" defaultRowHeight="15"/>
  <cols>
    <col min="1" max="1" width="9.140625" style="123" customWidth="1"/>
    <col min="2" max="2" width="32.8515625" style="123" customWidth="1"/>
    <col min="3" max="3" width="12.57421875" style="123" customWidth="1"/>
    <col min="4" max="4" width="13.421875" style="123" customWidth="1"/>
    <col min="5" max="5" width="12.421875" style="123" customWidth="1"/>
    <col min="6" max="6" width="11.7109375" style="123" customWidth="1"/>
    <col min="7" max="7" width="11.00390625" style="123" customWidth="1"/>
    <col min="8" max="8" width="10.57421875" style="123" customWidth="1"/>
    <col min="9" max="9" width="10.00390625" style="123" customWidth="1"/>
    <col min="10" max="10" width="11.8515625" style="123" customWidth="1"/>
    <col min="11" max="11" width="11.28125" style="123" customWidth="1"/>
    <col min="12" max="12" width="10.8515625" style="123" customWidth="1"/>
    <col min="13" max="16384" width="9.140625" style="123" customWidth="1"/>
  </cols>
  <sheetData>
    <row r="1" ht="15"/>
    <row r="2" ht="15"/>
    <row r="3" ht="15">
      <c r="B3" s="125" t="s">
        <v>141</v>
      </c>
    </row>
    <row r="4" spans="2:6" ht="33" customHeight="1">
      <c r="B4" s="137" t="s">
        <v>140</v>
      </c>
      <c r="C4" s="137" t="s">
        <v>100</v>
      </c>
      <c r="D4" s="137" t="s">
        <v>139</v>
      </c>
      <c r="E4" s="137" t="s">
        <v>107</v>
      </c>
      <c r="F4" s="137" t="s">
        <v>108</v>
      </c>
    </row>
    <row r="5" spans="2:6" ht="17.25" customHeight="1">
      <c r="B5" s="136" t="s">
        <v>138</v>
      </c>
      <c r="C5" s="134">
        <v>1</v>
      </c>
      <c r="D5" s="133">
        <v>1000</v>
      </c>
      <c r="E5" s="133">
        <f aca="true" t="shared" si="0" ref="E5:E12">C5*D5</f>
        <v>1000</v>
      </c>
      <c r="F5" s="133">
        <f aca="true" t="shared" si="1" ref="F5:F12">E5*12</f>
        <v>12000</v>
      </c>
    </row>
    <row r="6" spans="2:6" ht="17.25" customHeight="1">
      <c r="B6" s="135" t="s">
        <v>137</v>
      </c>
      <c r="C6" s="134">
        <v>1</v>
      </c>
      <c r="D6" s="133">
        <v>550</v>
      </c>
      <c r="E6" s="133">
        <f t="shared" si="0"/>
        <v>550</v>
      </c>
      <c r="F6" s="133">
        <f t="shared" si="1"/>
        <v>6600</v>
      </c>
    </row>
    <row r="7" spans="2:6" ht="17.25" customHeight="1">
      <c r="B7" s="135" t="s">
        <v>136</v>
      </c>
      <c r="C7" s="134">
        <v>1</v>
      </c>
      <c r="D7" s="133">
        <v>550</v>
      </c>
      <c r="E7" s="133">
        <f t="shared" si="0"/>
        <v>550</v>
      </c>
      <c r="F7" s="133">
        <f t="shared" si="1"/>
        <v>6600</v>
      </c>
    </row>
    <row r="8" spans="2:6" ht="17.25" customHeight="1">
      <c r="B8" s="136" t="s">
        <v>135</v>
      </c>
      <c r="C8" s="134">
        <v>1</v>
      </c>
      <c r="D8" s="133">
        <v>435</v>
      </c>
      <c r="E8" s="133">
        <f t="shared" si="0"/>
        <v>435</v>
      </c>
      <c r="F8" s="133">
        <f t="shared" si="1"/>
        <v>5220</v>
      </c>
    </row>
    <row r="9" spans="2:6" ht="17.25" customHeight="1">
      <c r="B9" s="135" t="s">
        <v>134</v>
      </c>
      <c r="C9" s="134">
        <v>1</v>
      </c>
      <c r="D9" s="133">
        <v>300</v>
      </c>
      <c r="E9" s="133">
        <f t="shared" si="0"/>
        <v>300</v>
      </c>
      <c r="F9" s="133">
        <f t="shared" si="1"/>
        <v>3600</v>
      </c>
    </row>
    <row r="10" spans="2:6" ht="17.25" customHeight="1">
      <c r="B10" s="135" t="s">
        <v>133</v>
      </c>
      <c r="C10" s="134">
        <v>1</v>
      </c>
      <c r="D10" s="133">
        <v>300</v>
      </c>
      <c r="E10" s="133">
        <f t="shared" si="0"/>
        <v>300</v>
      </c>
      <c r="F10" s="133">
        <f t="shared" si="1"/>
        <v>3600</v>
      </c>
    </row>
    <row r="11" spans="2:6" ht="17.25" customHeight="1">
      <c r="B11" s="135" t="s">
        <v>132</v>
      </c>
      <c r="C11" s="134">
        <v>1</v>
      </c>
      <c r="D11" s="133">
        <v>264</v>
      </c>
      <c r="E11" s="133">
        <f t="shared" si="0"/>
        <v>264</v>
      </c>
      <c r="F11" s="133">
        <f t="shared" si="1"/>
        <v>3168</v>
      </c>
    </row>
    <row r="12" spans="2:6" ht="17.25" customHeight="1">
      <c r="B12" s="135" t="s">
        <v>131</v>
      </c>
      <c r="C12" s="134">
        <v>1</v>
      </c>
      <c r="D12" s="133">
        <v>264</v>
      </c>
      <c r="E12" s="133">
        <f t="shared" si="0"/>
        <v>264</v>
      </c>
      <c r="F12" s="133">
        <f t="shared" si="1"/>
        <v>3168</v>
      </c>
    </row>
    <row r="13" spans="2:6" ht="15">
      <c r="B13" s="138" t="s">
        <v>33</v>
      </c>
      <c r="C13" s="139"/>
      <c r="D13" s="139"/>
      <c r="E13" s="140">
        <f>SUM(E5:E12)</f>
        <v>3663</v>
      </c>
      <c r="F13" s="133">
        <f>SUM(F5:F12)</f>
        <v>43956</v>
      </c>
    </row>
    <row r="14" ht="15">
      <c r="F14" s="124"/>
    </row>
    <row r="15" ht="15">
      <c r="G15" s="124"/>
    </row>
    <row r="16" spans="2:10" ht="15">
      <c r="B16" s="131" t="s">
        <v>52</v>
      </c>
      <c r="C16" s="132" t="s">
        <v>130</v>
      </c>
      <c r="D16" s="132" t="s">
        <v>129</v>
      </c>
      <c r="E16" s="126"/>
      <c r="F16" s="126"/>
      <c r="G16" s="131" t="s">
        <v>343</v>
      </c>
      <c r="H16" s="126"/>
      <c r="I16" s="126"/>
      <c r="J16" s="126"/>
    </row>
    <row r="17" spans="2:10" ht="15">
      <c r="B17" s="130" t="s">
        <v>335</v>
      </c>
      <c r="C17" s="132">
        <v>1200</v>
      </c>
      <c r="D17" s="132">
        <f>C17*12</f>
        <v>14400</v>
      </c>
      <c r="E17" s="126"/>
      <c r="F17" s="126"/>
      <c r="G17" s="130" t="str">
        <f>'Inversión y Costos'!B75</f>
        <v>Personal</v>
      </c>
      <c r="H17" s="130">
        <f>'Inversión y Costos'!E82</f>
        <v>246.23000000000002</v>
      </c>
      <c r="I17" s="126"/>
      <c r="J17" s="126"/>
    </row>
    <row r="18" spans="2:10" ht="15">
      <c r="B18" s="130" t="s">
        <v>128</v>
      </c>
      <c r="C18" s="130">
        <v>250</v>
      </c>
      <c r="D18" s="130">
        <f>C18*12</f>
        <v>3000</v>
      </c>
      <c r="E18" s="126"/>
      <c r="F18" s="126"/>
      <c r="G18" s="130" t="s">
        <v>262</v>
      </c>
      <c r="H18" s="130">
        <f>'Inversión y Costos'!E72</f>
        <v>75</v>
      </c>
      <c r="I18" s="126"/>
      <c r="J18" s="126"/>
    </row>
    <row r="19" spans="2:10" ht="15">
      <c r="B19" s="130" t="s">
        <v>127</v>
      </c>
      <c r="C19" s="130">
        <v>200</v>
      </c>
      <c r="D19" s="130">
        <f>C19*12</f>
        <v>2400</v>
      </c>
      <c r="E19" s="126"/>
      <c r="F19" s="126"/>
      <c r="G19" s="130" t="s">
        <v>349</v>
      </c>
      <c r="H19" s="130">
        <f>'Inversión y Costos'!E66</f>
        <v>40.68</v>
      </c>
      <c r="I19" s="126"/>
      <c r="J19" s="126"/>
    </row>
    <row r="20" spans="2:10" ht="15">
      <c r="B20" s="130" t="s">
        <v>126</v>
      </c>
      <c r="C20" s="130">
        <v>90</v>
      </c>
      <c r="D20" s="130">
        <f>C20*12</f>
        <v>1080</v>
      </c>
      <c r="E20" s="126"/>
      <c r="F20" s="126"/>
      <c r="G20" s="130" t="s">
        <v>350</v>
      </c>
      <c r="H20" s="130">
        <f>'Inversión y Costos'!E49</f>
        <v>158.10999999999999</v>
      </c>
      <c r="I20" s="126"/>
      <c r="J20" s="126"/>
    </row>
    <row r="21" spans="2:10" ht="15">
      <c r="B21" s="130" t="s">
        <v>125</v>
      </c>
      <c r="C21" s="130">
        <v>100</v>
      </c>
      <c r="D21" s="130">
        <f>C21*12</f>
        <v>1200</v>
      </c>
      <c r="E21" s="126"/>
      <c r="F21" s="126"/>
      <c r="G21" s="310" t="s">
        <v>351</v>
      </c>
      <c r="H21" s="130">
        <v>100</v>
      </c>
      <c r="I21" s="126"/>
      <c r="J21" s="126"/>
    </row>
    <row r="22" spans="2:10" ht="15">
      <c r="B22" s="126"/>
      <c r="C22" s="126">
        <f>SUM(C17:C21)</f>
        <v>1840</v>
      </c>
      <c r="D22" s="129">
        <f>SUM(D17:D21)</f>
        <v>22080</v>
      </c>
      <c r="E22" s="126"/>
      <c r="F22" s="126"/>
      <c r="G22" s="130" t="s">
        <v>33</v>
      </c>
      <c r="H22" s="130">
        <f>SUM(H17:H21)</f>
        <v>620.02</v>
      </c>
      <c r="I22" s="126">
        <f>H22*12</f>
        <v>7440.24</v>
      </c>
      <c r="J22" s="126"/>
    </row>
    <row r="23" spans="2:10" ht="15">
      <c r="B23" s="126"/>
      <c r="C23" s="126"/>
      <c r="D23" s="126"/>
      <c r="E23" s="126"/>
      <c r="F23" s="126"/>
      <c r="G23" s="126"/>
      <c r="H23" s="126"/>
      <c r="I23" s="126"/>
      <c r="J23" s="126"/>
    </row>
    <row r="24" spans="2:10" ht="15">
      <c r="B24" s="128" t="s">
        <v>124</v>
      </c>
      <c r="C24" s="127"/>
      <c r="D24" s="127">
        <f>'Inversión y Costos'!E49</f>
        <v>158.10999999999999</v>
      </c>
      <c r="E24" s="126"/>
      <c r="F24" s="126"/>
      <c r="G24" s="126"/>
      <c r="H24" s="126"/>
      <c r="I24" s="126"/>
      <c r="J24" s="126"/>
    </row>
    <row r="25" spans="2:10" ht="15">
      <c r="B25" s="126"/>
      <c r="C25" s="126"/>
      <c r="D25" s="126"/>
      <c r="E25" s="126"/>
      <c r="F25" s="126"/>
      <c r="G25" s="126"/>
      <c r="H25" s="126"/>
      <c r="I25" s="126"/>
      <c r="J25" s="126"/>
    </row>
    <row r="26" spans="2:10" ht="15">
      <c r="B26" s="128" t="s">
        <v>123</v>
      </c>
      <c r="C26" s="126"/>
      <c r="D26" s="127">
        <f>'Inversión y Costos'!E66</f>
        <v>40.68</v>
      </c>
      <c r="E26" s="126"/>
      <c r="F26" s="126"/>
      <c r="G26" s="126"/>
      <c r="H26" s="126"/>
      <c r="I26" s="126"/>
      <c r="J26" s="126"/>
    </row>
    <row r="27" ht="15">
      <c r="B27" s="125"/>
    </row>
    <row r="28" ht="15">
      <c r="D28" s="124">
        <f>F13+D22+D24+D26</f>
        <v>66234.79</v>
      </c>
    </row>
    <row r="29" ht="15"/>
    <row r="30" ht="15"/>
    <row r="31" ht="15"/>
    <row r="32" ht="15"/>
    <row r="33" ht="15"/>
    <row r="34" ht="15"/>
    <row r="35" ht="15"/>
    <row r="36" spans="2:12" s="431" customFormat="1" ht="60">
      <c r="B36" s="397" t="s">
        <v>409</v>
      </c>
      <c r="C36" s="430" t="s">
        <v>423</v>
      </c>
      <c r="D36" s="430" t="s">
        <v>418</v>
      </c>
      <c r="E36" s="430" t="s">
        <v>419</v>
      </c>
      <c r="F36" s="430" t="s">
        <v>420</v>
      </c>
      <c r="G36" s="430" t="s">
        <v>421</v>
      </c>
      <c r="H36" s="430" t="s">
        <v>422</v>
      </c>
      <c r="I36" s="397" t="s">
        <v>410</v>
      </c>
      <c r="J36" s="397" t="s">
        <v>411</v>
      </c>
      <c r="K36" s="397" t="s">
        <v>412</v>
      </c>
      <c r="L36" s="397" t="s">
        <v>6</v>
      </c>
    </row>
    <row r="37" spans="2:12" ht="15">
      <c r="B37" s="437" t="s">
        <v>138</v>
      </c>
      <c r="C37" s="432">
        <v>1</v>
      </c>
      <c r="D37" s="433">
        <v>900</v>
      </c>
      <c r="E37" s="433">
        <f>C37*D37</f>
        <v>900</v>
      </c>
      <c r="F37" s="434">
        <f>E37*11.15%</f>
        <v>100.35000000000001</v>
      </c>
      <c r="G37" s="434">
        <f>E37/12</f>
        <v>75</v>
      </c>
      <c r="H37" s="434">
        <f>292/12</f>
        <v>24.333333333333332</v>
      </c>
      <c r="I37" s="434">
        <f>E37/24</f>
        <v>37.5</v>
      </c>
      <c r="J37" s="434">
        <f>E37*1%</f>
        <v>9</v>
      </c>
      <c r="K37" s="434">
        <f>E37*9.35%</f>
        <v>84.15</v>
      </c>
      <c r="L37" s="434">
        <f aca="true" t="shared" si="2" ref="L37:L44">SUM(E37:J37)-K37</f>
        <v>1062.033333333333</v>
      </c>
    </row>
    <row r="38" spans="2:12" ht="15">
      <c r="B38" s="437" t="s">
        <v>414</v>
      </c>
      <c r="C38" s="432">
        <v>1</v>
      </c>
      <c r="D38" s="433">
        <v>550</v>
      </c>
      <c r="E38" s="433">
        <f>C38*D38</f>
        <v>550</v>
      </c>
      <c r="F38" s="434">
        <f aca="true" t="shared" si="3" ref="F38:F44">E38*11.15%</f>
        <v>61.325</v>
      </c>
      <c r="G38" s="434">
        <f aca="true" t="shared" si="4" ref="G38:G44">E38/12</f>
        <v>45.833333333333336</v>
      </c>
      <c r="H38" s="434">
        <f aca="true" t="shared" si="5" ref="H38:H44">292/12</f>
        <v>24.333333333333332</v>
      </c>
      <c r="I38" s="434">
        <f aca="true" t="shared" si="6" ref="I38:I44">E38/24</f>
        <v>22.916666666666668</v>
      </c>
      <c r="J38" s="434">
        <f aca="true" t="shared" si="7" ref="J38:J44">E38*1%</f>
        <v>5.5</v>
      </c>
      <c r="K38" s="434">
        <f aca="true" t="shared" si="8" ref="K38:K44">E38*9.35%</f>
        <v>51.425</v>
      </c>
      <c r="L38" s="434">
        <f t="shared" si="2"/>
        <v>658.4833333333335</v>
      </c>
    </row>
    <row r="39" spans="2:12" ht="15">
      <c r="B39" s="437" t="s">
        <v>136</v>
      </c>
      <c r="C39" s="432">
        <v>1</v>
      </c>
      <c r="D39" s="433">
        <v>550</v>
      </c>
      <c r="E39" s="433">
        <f aca="true" t="shared" si="9" ref="E39:E44">C39*D39</f>
        <v>550</v>
      </c>
      <c r="F39" s="434">
        <f t="shared" si="3"/>
        <v>61.325</v>
      </c>
      <c r="G39" s="434">
        <f t="shared" si="4"/>
        <v>45.833333333333336</v>
      </c>
      <c r="H39" s="434">
        <f t="shared" si="5"/>
        <v>24.333333333333332</v>
      </c>
      <c r="I39" s="434">
        <f t="shared" si="6"/>
        <v>22.916666666666668</v>
      </c>
      <c r="J39" s="434">
        <f t="shared" si="7"/>
        <v>5.5</v>
      </c>
      <c r="K39" s="434">
        <f t="shared" si="8"/>
        <v>51.425</v>
      </c>
      <c r="L39" s="434">
        <f t="shared" si="2"/>
        <v>658.4833333333335</v>
      </c>
    </row>
    <row r="40" spans="2:12" ht="15">
      <c r="B40" s="438" t="s">
        <v>428</v>
      </c>
      <c r="C40" s="432">
        <v>1</v>
      </c>
      <c r="D40" s="433">
        <v>270</v>
      </c>
      <c r="E40" s="433">
        <f t="shared" si="9"/>
        <v>270</v>
      </c>
      <c r="F40" s="434">
        <f t="shared" si="3"/>
        <v>30.105</v>
      </c>
      <c r="G40" s="434">
        <f t="shared" si="4"/>
        <v>22.5</v>
      </c>
      <c r="H40" s="434">
        <f t="shared" si="5"/>
        <v>24.333333333333332</v>
      </c>
      <c r="I40" s="434">
        <f t="shared" si="6"/>
        <v>11.25</v>
      </c>
      <c r="J40" s="434">
        <f t="shared" si="7"/>
        <v>2.7</v>
      </c>
      <c r="K40" s="434">
        <f t="shared" si="8"/>
        <v>25.245</v>
      </c>
      <c r="L40" s="434">
        <f t="shared" si="2"/>
        <v>335.6433333333333</v>
      </c>
    </row>
    <row r="41" spans="2:12" ht="15">
      <c r="B41" s="439" t="s">
        <v>134</v>
      </c>
      <c r="C41" s="432">
        <v>1</v>
      </c>
      <c r="D41" s="433">
        <v>350</v>
      </c>
      <c r="E41" s="433">
        <f t="shared" si="9"/>
        <v>350</v>
      </c>
      <c r="F41" s="434">
        <f t="shared" si="3"/>
        <v>39.025</v>
      </c>
      <c r="G41" s="434">
        <f t="shared" si="4"/>
        <v>29.166666666666668</v>
      </c>
      <c r="H41" s="434">
        <f>292/12</f>
        <v>24.333333333333332</v>
      </c>
      <c r="I41" s="434">
        <f t="shared" si="6"/>
        <v>14.583333333333334</v>
      </c>
      <c r="J41" s="434">
        <f t="shared" si="7"/>
        <v>3.5</v>
      </c>
      <c r="K41" s="434">
        <f t="shared" si="8"/>
        <v>32.725</v>
      </c>
      <c r="L41" s="434">
        <f t="shared" si="2"/>
        <v>427.88333333333327</v>
      </c>
    </row>
    <row r="42" spans="2:12" ht="15">
      <c r="B42" s="439" t="s">
        <v>430</v>
      </c>
      <c r="C42" s="432">
        <v>1</v>
      </c>
      <c r="D42" s="433">
        <v>350</v>
      </c>
      <c r="E42" s="433">
        <f t="shared" si="9"/>
        <v>350</v>
      </c>
      <c r="F42" s="434">
        <f t="shared" si="3"/>
        <v>39.025</v>
      </c>
      <c r="G42" s="434">
        <f t="shared" si="4"/>
        <v>29.166666666666668</v>
      </c>
      <c r="H42" s="434">
        <f>292/12</f>
        <v>24.333333333333332</v>
      </c>
      <c r="I42" s="434">
        <f t="shared" si="6"/>
        <v>14.583333333333334</v>
      </c>
      <c r="J42" s="434">
        <f t="shared" si="7"/>
        <v>3.5</v>
      </c>
      <c r="K42" s="434">
        <f t="shared" si="8"/>
        <v>32.725</v>
      </c>
      <c r="L42" s="434">
        <f t="shared" si="2"/>
        <v>427.88333333333327</v>
      </c>
    </row>
    <row r="43" spans="2:12" ht="15">
      <c r="B43" s="439" t="s">
        <v>132</v>
      </c>
      <c r="C43" s="432">
        <v>1</v>
      </c>
      <c r="D43" s="433">
        <v>270</v>
      </c>
      <c r="E43" s="433">
        <f>C43*D43</f>
        <v>270</v>
      </c>
      <c r="F43" s="434">
        <f>E43*11.15%</f>
        <v>30.105</v>
      </c>
      <c r="G43" s="434">
        <f t="shared" si="4"/>
        <v>22.5</v>
      </c>
      <c r="H43" s="434">
        <f>292/12</f>
        <v>24.333333333333332</v>
      </c>
      <c r="I43" s="434">
        <f t="shared" si="6"/>
        <v>11.25</v>
      </c>
      <c r="J43" s="434">
        <f t="shared" si="7"/>
        <v>2.7</v>
      </c>
      <c r="K43" s="434">
        <f t="shared" si="8"/>
        <v>25.245</v>
      </c>
      <c r="L43" s="434">
        <f t="shared" si="2"/>
        <v>335.6433333333333</v>
      </c>
    </row>
    <row r="44" spans="2:12" ht="15">
      <c r="B44" s="439" t="s">
        <v>131</v>
      </c>
      <c r="C44" s="432">
        <v>1</v>
      </c>
      <c r="D44" s="433">
        <v>270</v>
      </c>
      <c r="E44" s="433">
        <f t="shared" si="9"/>
        <v>270</v>
      </c>
      <c r="F44" s="434">
        <f t="shared" si="3"/>
        <v>30.105</v>
      </c>
      <c r="G44" s="434">
        <f t="shared" si="4"/>
        <v>22.5</v>
      </c>
      <c r="H44" s="434">
        <f t="shared" si="5"/>
        <v>24.333333333333332</v>
      </c>
      <c r="I44" s="434">
        <f t="shared" si="6"/>
        <v>11.25</v>
      </c>
      <c r="J44" s="434">
        <f t="shared" si="7"/>
        <v>2.7</v>
      </c>
      <c r="K44" s="434">
        <f t="shared" si="8"/>
        <v>25.245</v>
      </c>
      <c r="L44" s="434">
        <f t="shared" si="2"/>
        <v>335.6433333333333</v>
      </c>
    </row>
    <row r="45" spans="2:12" ht="15">
      <c r="B45" s="440" t="s">
        <v>413</v>
      </c>
      <c r="C45" s="435">
        <f aca="true" t="shared" si="10" ref="C45:L45">SUM(C37:C44)</f>
        <v>8</v>
      </c>
      <c r="D45" s="436">
        <f t="shared" si="10"/>
        <v>3510</v>
      </c>
      <c r="E45" s="436">
        <f t="shared" si="10"/>
        <v>3510</v>
      </c>
      <c r="F45" s="436">
        <f t="shared" si="10"/>
        <v>391.365</v>
      </c>
      <c r="G45" s="436">
        <f t="shared" si="10"/>
        <v>292.5</v>
      </c>
      <c r="H45" s="436">
        <f t="shared" si="10"/>
        <v>194.66666666666669</v>
      </c>
      <c r="I45" s="436">
        <f t="shared" si="10"/>
        <v>146.25</v>
      </c>
      <c r="J45" s="436">
        <f t="shared" si="10"/>
        <v>35.1</v>
      </c>
      <c r="K45" s="436">
        <f t="shared" si="10"/>
        <v>328.185</v>
      </c>
      <c r="L45" s="436">
        <f t="shared" si="10"/>
        <v>4241.696666666667</v>
      </c>
    </row>
    <row r="47" ht="15">
      <c r="L47" s="123">
        <f>L45*12</f>
        <v>50900.36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5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28.8515625" style="0" customWidth="1"/>
    <col min="2" max="2" width="11.140625" style="0" customWidth="1"/>
    <col min="3" max="13" width="9.421875" style="0" customWidth="1"/>
    <col min="14" max="14" width="10.140625" style="0" customWidth="1"/>
    <col min="15" max="15" width="12.421875" style="0" customWidth="1"/>
    <col min="16" max="16" width="11.57421875" style="0" customWidth="1"/>
    <col min="17" max="27" width="7.7109375" style="0" customWidth="1"/>
  </cols>
  <sheetData>
    <row r="2" ht="18.75">
      <c r="A2" s="8" t="s">
        <v>38</v>
      </c>
    </row>
    <row r="3" spans="1:2" ht="30">
      <c r="A3" s="38" t="s">
        <v>34</v>
      </c>
      <c r="B3" s="39" t="s">
        <v>42</v>
      </c>
    </row>
    <row r="4" spans="1:2" s="2" customFormat="1" ht="30.75" customHeight="1">
      <c r="A4" s="35" t="s">
        <v>276</v>
      </c>
      <c r="B4" s="19">
        <v>1200</v>
      </c>
    </row>
    <row r="5" spans="1:2" s="2" customFormat="1" ht="30.75" customHeight="1">
      <c r="A5" s="35" t="s">
        <v>142</v>
      </c>
      <c r="B5" s="19">
        <f>'Gastos Administrativos'!L45</f>
        <v>4241.696666666667</v>
      </c>
    </row>
    <row r="6" spans="1:2" s="2" customFormat="1" ht="30.75" customHeight="1">
      <c r="A6" s="35" t="s">
        <v>36</v>
      </c>
      <c r="B6" s="19">
        <f>'Gastos Administrativos'!C22</f>
        <v>1840</v>
      </c>
    </row>
    <row r="7" spans="1:2" s="2" customFormat="1" ht="30.75" customHeight="1">
      <c r="A7" s="35" t="s">
        <v>37</v>
      </c>
      <c r="B7" s="19">
        <f>'Gastos Administrativos'!H22</f>
        <v>620.02</v>
      </c>
    </row>
    <row r="8" spans="1:3" ht="15.75">
      <c r="A8" s="43" t="s">
        <v>33</v>
      </c>
      <c r="B8" s="44">
        <f>SUM(B4:B7)</f>
        <v>7901.716666666667</v>
      </c>
      <c r="C8">
        <f>B8*12</f>
        <v>94820.6</v>
      </c>
    </row>
    <row r="11" ht="18.75">
      <c r="A11" s="8" t="s">
        <v>43</v>
      </c>
    </row>
    <row r="13" spans="1:27" ht="15">
      <c r="A13" t="s">
        <v>44</v>
      </c>
      <c r="P13">
        <v>1</v>
      </c>
      <c r="Q13">
        <v>2</v>
      </c>
      <c r="R13">
        <v>3</v>
      </c>
      <c r="S13">
        <v>4</v>
      </c>
      <c r="T13">
        <v>5</v>
      </c>
      <c r="U13">
        <v>6</v>
      </c>
      <c r="V13">
        <v>7</v>
      </c>
      <c r="W13">
        <v>8</v>
      </c>
      <c r="X13">
        <v>9</v>
      </c>
      <c r="Y13">
        <v>10</v>
      </c>
      <c r="Z13">
        <v>11</v>
      </c>
      <c r="AA13">
        <v>12</v>
      </c>
    </row>
    <row r="14" spans="1:28" ht="15">
      <c r="A14" s="512" t="s">
        <v>39</v>
      </c>
      <c r="B14" s="503" t="s">
        <v>41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5"/>
      <c r="P14" s="155">
        <f>0.05</f>
        <v>0.05</v>
      </c>
      <c r="Q14" s="155">
        <v>0.05</v>
      </c>
      <c r="R14" s="155">
        <v>0.045</v>
      </c>
      <c r="S14" s="155">
        <v>0.06</v>
      </c>
      <c r="T14" s="155">
        <v>0.07</v>
      </c>
      <c r="U14" s="155">
        <v>0.08</v>
      </c>
      <c r="V14" s="155">
        <v>0.11</v>
      </c>
      <c r="W14" s="155">
        <v>0.1</v>
      </c>
      <c r="X14" s="155">
        <v>0.1</v>
      </c>
      <c r="Y14" s="155">
        <v>0.11</v>
      </c>
      <c r="Z14" s="155">
        <v>0.1</v>
      </c>
      <c r="AA14" s="155">
        <v>0.1233</v>
      </c>
      <c r="AB14" s="156">
        <f>SUM(P14:AA14)</f>
        <v>0.9983</v>
      </c>
    </row>
    <row r="15" spans="1:28" ht="15">
      <c r="A15" s="513"/>
      <c r="B15" s="506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8"/>
      <c r="P15">
        <f>P14/2</f>
        <v>0.025</v>
      </c>
      <c r="Q15">
        <f aca="true" t="shared" si="0" ref="Q15:AA15">Q14/2</f>
        <v>0.025</v>
      </c>
      <c r="R15">
        <f t="shared" si="0"/>
        <v>0.0225</v>
      </c>
      <c r="S15">
        <f t="shared" si="0"/>
        <v>0.03</v>
      </c>
      <c r="T15">
        <f t="shared" si="0"/>
        <v>0.035</v>
      </c>
      <c r="U15">
        <f t="shared" si="0"/>
        <v>0.04</v>
      </c>
      <c r="V15">
        <f t="shared" si="0"/>
        <v>0.055</v>
      </c>
      <c r="W15">
        <f t="shared" si="0"/>
        <v>0.05</v>
      </c>
      <c r="X15">
        <f t="shared" si="0"/>
        <v>0.05</v>
      </c>
      <c r="Y15">
        <f t="shared" si="0"/>
        <v>0.055</v>
      </c>
      <c r="Z15">
        <f t="shared" si="0"/>
        <v>0.05</v>
      </c>
      <c r="AA15">
        <f t="shared" si="0"/>
        <v>0.06165</v>
      </c>
      <c r="AB15">
        <f>SUM(P15:AA15)</f>
        <v>0.49915</v>
      </c>
    </row>
    <row r="16" spans="1:13" ht="15">
      <c r="A16" s="36" t="s">
        <v>40</v>
      </c>
      <c r="B16" s="30">
        <v>1</v>
      </c>
      <c r="C16" s="30">
        <v>2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  <c r="M16" s="30">
        <v>12</v>
      </c>
    </row>
    <row r="17" spans="1:16" ht="15">
      <c r="A17" s="141" t="s">
        <v>147</v>
      </c>
      <c r="B17" s="153">
        <f>'Demanda e Ingresos'!$M$18*P14</f>
        <v>252</v>
      </c>
      <c r="C17" s="153">
        <f>'Demanda e Ingresos'!$M$18*Q14</f>
        <v>252</v>
      </c>
      <c r="D17" s="153">
        <f>'Demanda e Ingresos'!$M$18*R14</f>
        <v>226.79999999999998</v>
      </c>
      <c r="E17" s="153">
        <f>'Demanda e Ingresos'!$M$18*S14</f>
        <v>302.4</v>
      </c>
      <c r="F17" s="153">
        <f>'Demanda e Ingresos'!$M$18*T14</f>
        <v>352.8</v>
      </c>
      <c r="G17" s="153">
        <f>'Demanda e Ingresos'!$M$18*U14</f>
        <v>403.2</v>
      </c>
      <c r="H17" s="153">
        <f>'Demanda e Ingresos'!$M$18*V14</f>
        <v>554.4</v>
      </c>
      <c r="I17" s="153">
        <f>'Demanda e Ingresos'!$M$18*W14</f>
        <v>504</v>
      </c>
      <c r="J17" s="153">
        <f>'Demanda e Ingresos'!$M$18*X14</f>
        <v>504</v>
      </c>
      <c r="K17" s="153">
        <f>'Demanda e Ingresos'!$M$18*Y14</f>
        <v>554.4</v>
      </c>
      <c r="L17" s="153">
        <f>'Demanda e Ingresos'!$M$18*Z14</f>
        <v>504</v>
      </c>
      <c r="M17" s="153">
        <f>'Demanda e Ingresos'!$M$18*AA14</f>
        <v>621.432</v>
      </c>
      <c r="N17" s="58">
        <f aca="true" t="shared" si="1" ref="N17:N24">SUM(B17:M17)</f>
        <v>5031.432</v>
      </c>
      <c r="O17" s="57">
        <f>B32</f>
        <v>0.9676948051948052</v>
      </c>
      <c r="P17" s="58">
        <f>N17*O17</f>
        <v>4868.890609090909</v>
      </c>
    </row>
    <row r="18" spans="1:16" ht="15">
      <c r="A18" s="141" t="s">
        <v>148</v>
      </c>
      <c r="B18" s="153">
        <f>'Demanda e Ingresos'!$N$18*P14</f>
        <v>403.20000000000005</v>
      </c>
      <c r="C18" s="153">
        <f>'Demanda e Ingresos'!$N$18*Q14</f>
        <v>403.20000000000005</v>
      </c>
      <c r="D18" s="153">
        <f>'Demanda e Ingresos'!$N$18*R14</f>
        <v>362.88</v>
      </c>
      <c r="E18" s="153">
        <f>'Demanda e Ingresos'!$N$18*S14</f>
        <v>483.84</v>
      </c>
      <c r="F18" s="153">
        <f>'Demanda e Ingresos'!$N$18*T14</f>
        <v>564.48</v>
      </c>
      <c r="G18" s="153">
        <f>'Demanda e Ingresos'!$N$18*U14</f>
        <v>645.12</v>
      </c>
      <c r="H18" s="153">
        <f>'Demanda e Ingresos'!$N$18*V14</f>
        <v>887.04</v>
      </c>
      <c r="I18" s="153">
        <f>'Demanda e Ingresos'!$N$18*W14</f>
        <v>806.4000000000001</v>
      </c>
      <c r="J18" s="153">
        <f>'Demanda e Ingresos'!$N$18*X14</f>
        <v>806.4000000000001</v>
      </c>
      <c r="K18" s="153">
        <f>'Demanda e Ingresos'!$N$18*Y14</f>
        <v>887.04</v>
      </c>
      <c r="L18" s="153">
        <f>'Demanda e Ingresos'!$N$18*Z14</f>
        <v>806.4000000000001</v>
      </c>
      <c r="M18" s="153">
        <f>'Demanda e Ingresos'!$N$18*AA14</f>
        <v>994.2912</v>
      </c>
      <c r="N18" s="58">
        <f t="shared" si="1"/>
        <v>8050.2912</v>
      </c>
      <c r="O18" s="57">
        <f aca="true" t="shared" si="2" ref="O18:O25">B33</f>
        <v>1.2353896103896105</v>
      </c>
      <c r="P18" s="58">
        <f aca="true" t="shared" si="3" ref="P18:P24">N18*O18</f>
        <v>9945.24610909091</v>
      </c>
    </row>
    <row r="19" spans="1:16" ht="15">
      <c r="A19" s="141" t="s">
        <v>149</v>
      </c>
      <c r="B19" s="153">
        <f>'Demanda e Ingresos'!$M$19*P14</f>
        <v>84</v>
      </c>
      <c r="C19" s="153">
        <f>'Demanda e Ingresos'!$M$19*Q14</f>
        <v>84</v>
      </c>
      <c r="D19" s="153">
        <f>'Demanda e Ingresos'!$M$19*R14</f>
        <v>75.6</v>
      </c>
      <c r="E19" s="153">
        <f>'Demanda e Ingresos'!$M$19*S14</f>
        <v>100.8</v>
      </c>
      <c r="F19" s="153">
        <f>'Demanda e Ingresos'!$M$19*T14</f>
        <v>117.60000000000001</v>
      </c>
      <c r="G19" s="153">
        <f>'Demanda e Ingresos'!$M$19*U14</f>
        <v>134.4</v>
      </c>
      <c r="H19" s="153">
        <f>'Demanda e Ingresos'!$M$19*V14</f>
        <v>184.8</v>
      </c>
      <c r="I19" s="153">
        <f>'Demanda e Ingresos'!$M$19*W14</f>
        <v>168</v>
      </c>
      <c r="J19" s="153">
        <f>'Demanda e Ingresos'!$M$19*X14</f>
        <v>168</v>
      </c>
      <c r="K19" s="153">
        <f>'Demanda e Ingresos'!$M$19*Y14</f>
        <v>184.8</v>
      </c>
      <c r="L19" s="153">
        <f>'Demanda e Ingresos'!$M$19*Z14</f>
        <v>168</v>
      </c>
      <c r="M19" s="153">
        <f>'Demanda e Ingresos'!$M$19*AA14</f>
        <v>207.144</v>
      </c>
      <c r="N19" s="58">
        <f t="shared" si="1"/>
        <v>1677.144</v>
      </c>
      <c r="O19" s="57">
        <f t="shared" si="2"/>
        <v>1.2839285714285715</v>
      </c>
      <c r="P19" s="58">
        <f t="shared" si="3"/>
        <v>2153.3331000000003</v>
      </c>
    </row>
    <row r="20" spans="1:16" ht="15">
      <c r="A20" s="141" t="s">
        <v>150</v>
      </c>
      <c r="B20" s="153">
        <f>'Demanda e Ingresos'!$N$19*P14</f>
        <v>151.20000000000002</v>
      </c>
      <c r="C20" s="153">
        <f>'Demanda e Ingresos'!$N$19*Q14</f>
        <v>151.20000000000002</v>
      </c>
      <c r="D20" s="153">
        <f>'Demanda e Ingresos'!$N$19*R14</f>
        <v>136.07999999999998</v>
      </c>
      <c r="E20" s="153">
        <f>'Demanda e Ingresos'!$N$19*S14</f>
        <v>181.44</v>
      </c>
      <c r="F20" s="153">
        <f>'Demanda e Ingresos'!$N$19*T14</f>
        <v>211.68</v>
      </c>
      <c r="G20" s="153">
        <f>'Demanda e Ingresos'!$N$19*U14</f>
        <v>241.92000000000002</v>
      </c>
      <c r="H20" s="153">
        <f>'Demanda e Ingresos'!$N$19*V14</f>
        <v>332.64</v>
      </c>
      <c r="I20" s="153">
        <f>'Demanda e Ingresos'!$N$19*W14</f>
        <v>302.40000000000003</v>
      </c>
      <c r="J20" s="153">
        <f>'Demanda e Ingresos'!$N$19*X14</f>
        <v>302.40000000000003</v>
      </c>
      <c r="K20" s="153">
        <f>'Demanda e Ingresos'!$N$19*Y14</f>
        <v>332.64</v>
      </c>
      <c r="L20" s="153">
        <f>'Demanda e Ingresos'!$N$19*Z14</f>
        <v>302.40000000000003</v>
      </c>
      <c r="M20" s="153">
        <f>'Demanda e Ingresos'!$N$19*AA14</f>
        <v>372.85920000000004</v>
      </c>
      <c r="N20" s="58">
        <f t="shared" si="1"/>
        <v>3018.8592000000003</v>
      </c>
      <c r="O20" s="57">
        <f t="shared" si="2"/>
        <v>1.6456349206349206</v>
      </c>
      <c r="P20" s="58">
        <f t="shared" si="3"/>
        <v>4967.94012</v>
      </c>
    </row>
    <row r="21" spans="1:16" ht="15">
      <c r="A21" s="141" t="s">
        <v>151</v>
      </c>
      <c r="B21" s="153">
        <f>'Demanda e Ingresos'!$M$20*P14</f>
        <v>168</v>
      </c>
      <c r="C21" s="153">
        <f>'Demanda e Ingresos'!$M$20*Q14</f>
        <v>168</v>
      </c>
      <c r="D21" s="153">
        <f>'Demanda e Ingresos'!$M$20*R14</f>
        <v>151.2</v>
      </c>
      <c r="E21" s="153">
        <f>'Demanda e Ingresos'!$M$20*S14</f>
        <v>201.6</v>
      </c>
      <c r="F21" s="153">
        <f>'Demanda e Ingresos'!$M$20*T14</f>
        <v>235.20000000000002</v>
      </c>
      <c r="G21" s="153">
        <f>'Demanda e Ingresos'!$M$20*U14</f>
        <v>268.8</v>
      </c>
      <c r="H21" s="153">
        <f>'Demanda e Ingresos'!$M$20*V14</f>
        <v>369.6</v>
      </c>
      <c r="I21" s="153">
        <f>'Demanda e Ingresos'!$M$20*W14</f>
        <v>336</v>
      </c>
      <c r="J21" s="153">
        <f>'Demanda e Ingresos'!$M$20*X14</f>
        <v>336</v>
      </c>
      <c r="K21" s="153">
        <f>'Demanda e Ingresos'!$M$20*Y14</f>
        <v>369.6</v>
      </c>
      <c r="L21" s="153">
        <f>'Demanda e Ingresos'!$M$20*Z14</f>
        <v>336</v>
      </c>
      <c r="M21" s="153">
        <f>'Demanda e Ingresos'!$M$20*AA14</f>
        <v>414.288</v>
      </c>
      <c r="N21" s="58">
        <f t="shared" si="1"/>
        <v>3354.288</v>
      </c>
      <c r="O21" s="57">
        <f t="shared" si="2"/>
        <v>0.9391233766233765</v>
      </c>
      <c r="P21" s="58">
        <f t="shared" si="3"/>
        <v>3150.0902727272723</v>
      </c>
    </row>
    <row r="22" spans="1:16" ht="15">
      <c r="A22" s="141" t="s">
        <v>152</v>
      </c>
      <c r="B22" s="153">
        <f>'Demanda e Ingresos'!$N$20*P14</f>
        <v>235.20000000000002</v>
      </c>
      <c r="C22" s="153">
        <f>'Demanda e Ingresos'!$N$20*Q14</f>
        <v>235.20000000000002</v>
      </c>
      <c r="D22" s="153">
        <f>'Demanda e Ingresos'!$N$20*R14</f>
        <v>211.67999999999998</v>
      </c>
      <c r="E22" s="153">
        <f>'Demanda e Ingresos'!$N$20*S14</f>
        <v>282.24</v>
      </c>
      <c r="F22" s="153">
        <f>'Demanda e Ingresos'!$N$20*T14</f>
        <v>329.28000000000003</v>
      </c>
      <c r="G22" s="153">
        <f>'Demanda e Ingresos'!$N$20*U14</f>
        <v>376.32</v>
      </c>
      <c r="H22" s="153">
        <f>'Demanda e Ingresos'!$N$20*V14</f>
        <v>517.44</v>
      </c>
      <c r="I22" s="153">
        <f>'Demanda e Ingresos'!$N$20*W14</f>
        <v>470.40000000000003</v>
      </c>
      <c r="J22" s="153">
        <f>'Demanda e Ingresos'!$N$20*X14</f>
        <v>470.40000000000003</v>
      </c>
      <c r="K22" s="153">
        <f>'Demanda e Ingresos'!$N$20*Y14</f>
        <v>517.44</v>
      </c>
      <c r="L22" s="153">
        <f>'Demanda e Ingresos'!$N$20*Z14</f>
        <v>470.40000000000003</v>
      </c>
      <c r="M22" s="153">
        <f>'Demanda e Ingresos'!$N$20*AA14</f>
        <v>580.0032</v>
      </c>
      <c r="N22" s="58">
        <f t="shared" si="1"/>
        <v>4696.0032</v>
      </c>
      <c r="O22" s="57">
        <f t="shared" si="2"/>
        <v>1.2750000000000001</v>
      </c>
      <c r="P22" s="58">
        <f t="shared" si="3"/>
        <v>5987.404080000001</v>
      </c>
    </row>
    <row r="23" spans="1:16" ht="15">
      <c r="A23" s="141" t="s">
        <v>153</v>
      </c>
      <c r="B23" s="153">
        <f>'Demanda e Ingresos'!$M$21*P14</f>
        <v>168</v>
      </c>
      <c r="C23" s="153">
        <f>'Demanda e Ingresos'!$M$21*Q14</f>
        <v>168</v>
      </c>
      <c r="D23" s="153">
        <f>'Demanda e Ingresos'!$M$21*R14</f>
        <v>151.2</v>
      </c>
      <c r="E23" s="153">
        <f>'Demanda e Ingresos'!$M$21*S14</f>
        <v>201.6</v>
      </c>
      <c r="F23" s="153">
        <f>'Demanda e Ingresos'!$M$21*T14</f>
        <v>235.20000000000002</v>
      </c>
      <c r="G23" s="153">
        <f>'Demanda e Ingresos'!$M$21*U14</f>
        <v>268.8</v>
      </c>
      <c r="H23" s="153">
        <f>'Demanda e Ingresos'!$M$21*V14</f>
        <v>369.6</v>
      </c>
      <c r="I23" s="153">
        <f>'Demanda e Ingresos'!$M$21*W14</f>
        <v>336</v>
      </c>
      <c r="J23" s="153">
        <f>'Demanda e Ingresos'!$M$21*X14</f>
        <v>336</v>
      </c>
      <c r="K23" s="153">
        <f>'Demanda e Ingresos'!$M$21*Y14</f>
        <v>369.6</v>
      </c>
      <c r="L23" s="153">
        <f>'Demanda e Ingresos'!$M$21*Z14</f>
        <v>336</v>
      </c>
      <c r="M23" s="153">
        <f>'Demanda e Ingresos'!$M$21*AA14</f>
        <v>414.288</v>
      </c>
      <c r="N23" s="58">
        <f t="shared" si="1"/>
        <v>3354.288</v>
      </c>
      <c r="O23" s="57">
        <f t="shared" si="2"/>
        <v>1.1339285714285716</v>
      </c>
      <c r="P23" s="58">
        <f t="shared" si="3"/>
        <v>3803.5230000000006</v>
      </c>
    </row>
    <row r="24" spans="1:16" ht="15">
      <c r="A24" s="141" t="s">
        <v>154</v>
      </c>
      <c r="B24" s="153">
        <f>'Demanda e Ingresos'!$N$21*P14</f>
        <v>218.4</v>
      </c>
      <c r="C24" s="153">
        <f>'Demanda e Ingresos'!$N$21*Q14</f>
        <v>218.4</v>
      </c>
      <c r="D24" s="153">
        <f>'Demanda e Ingresos'!$N$21*R14</f>
        <v>196.56</v>
      </c>
      <c r="E24" s="153">
        <f>'Demanda e Ingresos'!$N$21*S14</f>
        <v>262.08</v>
      </c>
      <c r="F24" s="153">
        <f>'Demanda e Ingresos'!$N$21*T14</f>
        <v>305.76000000000005</v>
      </c>
      <c r="G24" s="153">
        <f>'Demanda e Ingresos'!$N$21*U14</f>
        <v>349.44</v>
      </c>
      <c r="H24" s="153">
        <f>'Demanda e Ingresos'!$N$21*V14</f>
        <v>480.48</v>
      </c>
      <c r="I24" s="153">
        <f>'Demanda e Ingresos'!$N$21*W14</f>
        <v>436.8</v>
      </c>
      <c r="J24" s="153">
        <f>'Demanda e Ingresos'!$N$21*X14</f>
        <v>436.8</v>
      </c>
      <c r="K24" s="153">
        <f>'Demanda e Ingresos'!$N$21*Y14</f>
        <v>480.48</v>
      </c>
      <c r="L24" s="153">
        <f>'Demanda e Ingresos'!$N$21*Z14</f>
        <v>436.8</v>
      </c>
      <c r="M24" s="153">
        <f>'Demanda e Ingresos'!$N$21*AA14</f>
        <v>538.5744000000001</v>
      </c>
      <c r="N24" s="58">
        <f t="shared" si="1"/>
        <v>4360.5744</v>
      </c>
      <c r="O24" s="57">
        <f t="shared" si="2"/>
        <v>1.6101648351648352</v>
      </c>
      <c r="P24" s="58">
        <f t="shared" si="3"/>
        <v>7021.243560000001</v>
      </c>
    </row>
    <row r="25" spans="2:16" ht="15">
      <c r="B25">
        <f>SUM(B16:B24)</f>
        <v>1681.0000000000002</v>
      </c>
      <c r="N25" s="58">
        <f>SUM(N17:N24)</f>
        <v>33542.88</v>
      </c>
      <c r="O25" s="57">
        <f t="shared" si="2"/>
        <v>10.090864690864692</v>
      </c>
      <c r="P25" s="58">
        <f>SUM(P17:P24)</f>
        <v>41897.67085090909</v>
      </c>
    </row>
    <row r="27" ht="15">
      <c r="A27" s="45" t="s">
        <v>47</v>
      </c>
    </row>
    <row r="29" spans="1:14" ht="15">
      <c r="A29" s="509" t="s">
        <v>39</v>
      </c>
      <c r="B29" s="510" t="s">
        <v>45</v>
      </c>
      <c r="C29" s="511" t="s">
        <v>41</v>
      </c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</row>
    <row r="30" spans="1:16" ht="15">
      <c r="A30" s="509"/>
      <c r="B30" s="510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P30" s="142"/>
    </row>
    <row r="31" spans="1:14" ht="15">
      <c r="A31" s="40" t="s">
        <v>40</v>
      </c>
      <c r="B31" s="30"/>
      <c r="C31" s="30">
        <v>1</v>
      </c>
      <c r="D31" s="30">
        <v>2</v>
      </c>
      <c r="E31" s="30">
        <v>3</v>
      </c>
      <c r="F31" s="30">
        <v>4</v>
      </c>
      <c r="G31" s="30">
        <v>5</v>
      </c>
      <c r="H31" s="30">
        <v>6</v>
      </c>
      <c r="I31" s="30">
        <v>7</v>
      </c>
      <c r="J31" s="30">
        <v>8</v>
      </c>
      <c r="K31" s="30">
        <v>9</v>
      </c>
      <c r="L31" s="30">
        <v>10</v>
      </c>
      <c r="M31" s="30">
        <v>11</v>
      </c>
      <c r="N31" s="30">
        <v>12</v>
      </c>
    </row>
    <row r="32" spans="1:14" ht="15">
      <c r="A32" s="141" t="s">
        <v>147</v>
      </c>
      <c r="B32" s="41">
        <f>'costo de ventas'!L85</f>
        <v>0.9676948051948052</v>
      </c>
      <c r="C32" s="41">
        <f>B17*$B$32</f>
        <v>243.85909090909092</v>
      </c>
      <c r="D32" s="41">
        <f>C17*$B$32</f>
        <v>243.85909090909092</v>
      </c>
      <c r="E32" s="41">
        <f>D17*$B$32</f>
        <v>219.4731818181818</v>
      </c>
      <c r="F32" s="41">
        <f aca="true" t="shared" si="4" ref="F32:N32">E17*$B$32</f>
        <v>292.6309090909091</v>
      </c>
      <c r="G32" s="41">
        <f t="shared" si="4"/>
        <v>341.4027272727273</v>
      </c>
      <c r="H32" s="41">
        <f t="shared" si="4"/>
        <v>390.17454545454547</v>
      </c>
      <c r="I32" s="41">
        <f t="shared" si="4"/>
        <v>536.49</v>
      </c>
      <c r="J32" s="41">
        <f t="shared" si="4"/>
        <v>487.71818181818185</v>
      </c>
      <c r="K32" s="41">
        <f t="shared" si="4"/>
        <v>487.71818181818185</v>
      </c>
      <c r="L32" s="41">
        <f t="shared" si="4"/>
        <v>536.49</v>
      </c>
      <c r="M32" s="41">
        <f t="shared" si="4"/>
        <v>487.71818181818185</v>
      </c>
      <c r="N32" s="41">
        <f t="shared" si="4"/>
        <v>601.3565181818182</v>
      </c>
    </row>
    <row r="33" spans="1:14" ht="15">
      <c r="A33" s="141" t="s">
        <v>148</v>
      </c>
      <c r="B33" s="41">
        <f>'costo de ventas'!M85</f>
        <v>1.2353896103896105</v>
      </c>
      <c r="C33" s="41">
        <f>B18*$B$33</f>
        <v>498.109090909091</v>
      </c>
      <c r="D33" s="41">
        <f aca="true" t="shared" si="5" ref="D33:N33">C18*$B$33</f>
        <v>498.109090909091</v>
      </c>
      <c r="E33" s="41">
        <f>D18*$B$33</f>
        <v>448.29818181818183</v>
      </c>
      <c r="F33" s="41">
        <f>E18*$B$33</f>
        <v>597.7309090909091</v>
      </c>
      <c r="G33" s="41">
        <f t="shared" si="5"/>
        <v>697.3527272727273</v>
      </c>
      <c r="H33" s="41">
        <f t="shared" si="5"/>
        <v>796.9745454545455</v>
      </c>
      <c r="I33" s="41">
        <f t="shared" si="5"/>
        <v>1095.8400000000001</v>
      </c>
      <c r="J33" s="41">
        <f t="shared" si="5"/>
        <v>996.218181818182</v>
      </c>
      <c r="K33" s="41">
        <f t="shared" si="5"/>
        <v>996.218181818182</v>
      </c>
      <c r="L33" s="41">
        <f t="shared" si="5"/>
        <v>1095.8400000000001</v>
      </c>
      <c r="M33" s="41">
        <f t="shared" si="5"/>
        <v>996.218181818182</v>
      </c>
      <c r="N33" s="41">
        <f t="shared" si="5"/>
        <v>1228.3370181818182</v>
      </c>
    </row>
    <row r="34" spans="1:14" ht="15">
      <c r="A34" s="141" t="s">
        <v>149</v>
      </c>
      <c r="B34" s="41">
        <f>'costo de ventas'!L95</f>
        <v>1.2839285714285715</v>
      </c>
      <c r="C34" s="41">
        <f>B19*$B$34</f>
        <v>107.85000000000001</v>
      </c>
      <c r="D34" s="41">
        <f aca="true" t="shared" si="6" ref="D34:N34">C19*$B$34</f>
        <v>107.85000000000001</v>
      </c>
      <c r="E34" s="41">
        <f>D19*$B$34</f>
        <v>97.065</v>
      </c>
      <c r="F34" s="41">
        <f t="shared" si="6"/>
        <v>129.42000000000002</v>
      </c>
      <c r="G34" s="41">
        <f t="shared" si="6"/>
        <v>150.99</v>
      </c>
      <c r="H34" s="41">
        <f t="shared" si="6"/>
        <v>172.56000000000003</v>
      </c>
      <c r="I34" s="41">
        <f t="shared" si="6"/>
        <v>237.27000000000004</v>
      </c>
      <c r="J34" s="41">
        <f t="shared" si="6"/>
        <v>215.70000000000002</v>
      </c>
      <c r="K34" s="41">
        <f t="shared" si="6"/>
        <v>215.70000000000002</v>
      </c>
      <c r="L34" s="41">
        <f t="shared" si="6"/>
        <v>237.27000000000004</v>
      </c>
      <c r="M34" s="41">
        <f t="shared" si="6"/>
        <v>215.70000000000002</v>
      </c>
      <c r="N34" s="41">
        <f t="shared" si="6"/>
        <v>265.9581</v>
      </c>
    </row>
    <row r="35" spans="1:14" ht="15">
      <c r="A35" s="141" t="s">
        <v>150</v>
      </c>
      <c r="B35" s="41">
        <f>'costo de ventas'!M95</f>
        <v>1.6456349206349206</v>
      </c>
      <c r="C35" s="41">
        <f>B20*$B$35</f>
        <v>248.82000000000002</v>
      </c>
      <c r="D35" s="41">
        <f aca="true" t="shared" si="7" ref="D35:N35">C20*$B$35</f>
        <v>248.82000000000002</v>
      </c>
      <c r="E35" s="41">
        <f t="shared" si="7"/>
        <v>223.93799999999996</v>
      </c>
      <c r="F35" s="41">
        <f t="shared" si="7"/>
        <v>298.584</v>
      </c>
      <c r="G35" s="41">
        <f t="shared" si="7"/>
        <v>348.348</v>
      </c>
      <c r="H35" s="41">
        <f t="shared" si="7"/>
        <v>398.112</v>
      </c>
      <c r="I35" s="41">
        <f t="shared" si="7"/>
        <v>547.404</v>
      </c>
      <c r="J35" s="41">
        <f t="shared" si="7"/>
        <v>497.64000000000004</v>
      </c>
      <c r="K35" s="41">
        <f t="shared" si="7"/>
        <v>497.64000000000004</v>
      </c>
      <c r="L35" s="41">
        <f t="shared" si="7"/>
        <v>547.404</v>
      </c>
      <c r="M35" s="41">
        <f t="shared" si="7"/>
        <v>497.64000000000004</v>
      </c>
      <c r="N35" s="41">
        <f t="shared" si="7"/>
        <v>613.5901200000001</v>
      </c>
    </row>
    <row r="36" spans="1:14" ht="15">
      <c r="A36" s="141" t="s">
        <v>151</v>
      </c>
      <c r="B36" s="41">
        <f>'costo de ventas'!L106</f>
        <v>0.9391233766233765</v>
      </c>
      <c r="C36" s="41">
        <f>B21*$B$36</f>
        <v>157.77272727272725</v>
      </c>
      <c r="D36" s="41">
        <f aca="true" t="shared" si="8" ref="D36:N36">C21*$B$36</f>
        <v>157.77272727272725</v>
      </c>
      <c r="E36" s="41">
        <f t="shared" si="8"/>
        <v>141.99545454545452</v>
      </c>
      <c r="F36" s="41">
        <f t="shared" si="8"/>
        <v>189.3272727272727</v>
      </c>
      <c r="G36" s="41">
        <f t="shared" si="8"/>
        <v>220.88181818181818</v>
      </c>
      <c r="H36" s="41">
        <f t="shared" si="8"/>
        <v>252.4363636363636</v>
      </c>
      <c r="I36" s="41">
        <f t="shared" si="8"/>
        <v>347.09999999999997</v>
      </c>
      <c r="J36" s="41">
        <f t="shared" si="8"/>
        <v>315.5454545454545</v>
      </c>
      <c r="K36" s="41">
        <f t="shared" si="8"/>
        <v>315.5454545454545</v>
      </c>
      <c r="L36" s="41">
        <f t="shared" si="8"/>
        <v>347.09999999999997</v>
      </c>
      <c r="M36" s="41">
        <f t="shared" si="8"/>
        <v>315.5454545454545</v>
      </c>
      <c r="N36" s="41">
        <f t="shared" si="8"/>
        <v>389.06754545454544</v>
      </c>
    </row>
    <row r="37" spans="1:14" ht="15">
      <c r="A37" s="141" t="s">
        <v>152</v>
      </c>
      <c r="B37" s="41">
        <f>'costo de ventas'!M106</f>
        <v>1.2750000000000001</v>
      </c>
      <c r="C37" s="41">
        <f>B22*$B$37</f>
        <v>299.88000000000005</v>
      </c>
      <c r="D37" s="41">
        <f aca="true" t="shared" si="9" ref="D37:N37">C22*$B$37</f>
        <v>299.88000000000005</v>
      </c>
      <c r="E37" s="41">
        <f t="shared" si="9"/>
        <v>269.892</v>
      </c>
      <c r="F37" s="41">
        <f t="shared" si="9"/>
        <v>359.85600000000005</v>
      </c>
      <c r="G37" s="41">
        <f t="shared" si="9"/>
        <v>419.8320000000001</v>
      </c>
      <c r="H37" s="41">
        <f t="shared" si="9"/>
        <v>479.80800000000005</v>
      </c>
      <c r="I37" s="41">
        <f t="shared" si="9"/>
        <v>659.7360000000001</v>
      </c>
      <c r="J37" s="41">
        <f t="shared" si="9"/>
        <v>599.7600000000001</v>
      </c>
      <c r="K37" s="41">
        <f t="shared" si="9"/>
        <v>599.7600000000001</v>
      </c>
      <c r="L37" s="41">
        <f t="shared" si="9"/>
        <v>659.7360000000001</v>
      </c>
      <c r="M37" s="41">
        <f t="shared" si="9"/>
        <v>599.7600000000001</v>
      </c>
      <c r="N37" s="41">
        <f t="shared" si="9"/>
        <v>739.50408</v>
      </c>
    </row>
    <row r="38" spans="1:14" ht="15">
      <c r="A38" s="141" t="s">
        <v>153</v>
      </c>
      <c r="B38" s="41">
        <f>'costo de ventas'!L116</f>
        <v>1.1339285714285716</v>
      </c>
      <c r="C38" s="41">
        <f>$B$38*B21</f>
        <v>190.50000000000003</v>
      </c>
      <c r="D38" s="41">
        <f aca="true" t="shared" si="10" ref="D38:N38">$B$38*C21</f>
        <v>190.50000000000003</v>
      </c>
      <c r="E38" s="41">
        <f t="shared" si="10"/>
        <v>171.45000000000002</v>
      </c>
      <c r="F38" s="41">
        <f t="shared" si="10"/>
        <v>228.60000000000002</v>
      </c>
      <c r="G38" s="41">
        <f t="shared" si="10"/>
        <v>266.70000000000005</v>
      </c>
      <c r="H38" s="41">
        <f t="shared" si="10"/>
        <v>304.80000000000007</v>
      </c>
      <c r="I38" s="41">
        <f t="shared" si="10"/>
        <v>419.1000000000001</v>
      </c>
      <c r="J38" s="41">
        <f t="shared" si="10"/>
        <v>381.00000000000006</v>
      </c>
      <c r="K38" s="41">
        <f t="shared" si="10"/>
        <v>381.00000000000006</v>
      </c>
      <c r="L38" s="41">
        <f t="shared" si="10"/>
        <v>419.1000000000001</v>
      </c>
      <c r="M38" s="41">
        <f t="shared" si="10"/>
        <v>381.00000000000006</v>
      </c>
      <c r="N38" s="41">
        <f t="shared" si="10"/>
        <v>469.7730000000001</v>
      </c>
    </row>
    <row r="39" spans="1:14" ht="15">
      <c r="A39" s="141" t="s">
        <v>154</v>
      </c>
      <c r="B39" s="41">
        <f>'costo de ventas'!M116</f>
        <v>1.6101648351648352</v>
      </c>
      <c r="C39" s="41">
        <f>$B$39*B24</f>
        <v>351.66</v>
      </c>
      <c r="D39" s="41">
        <f aca="true" t="shared" si="11" ref="D39:M39">$B$39*C24</f>
        <v>351.66</v>
      </c>
      <c r="E39" s="41">
        <f t="shared" si="11"/>
        <v>316.494</v>
      </c>
      <c r="F39" s="41">
        <f t="shared" si="11"/>
        <v>421.99199999999996</v>
      </c>
      <c r="G39" s="41">
        <f t="shared" si="11"/>
        <v>492.32400000000007</v>
      </c>
      <c r="H39" s="41">
        <f t="shared" si="11"/>
        <v>562.6560000000001</v>
      </c>
      <c r="I39" s="41">
        <f t="shared" si="11"/>
        <v>773.652</v>
      </c>
      <c r="J39" s="41">
        <f t="shared" si="11"/>
        <v>703.32</v>
      </c>
      <c r="K39" s="41">
        <f t="shared" si="11"/>
        <v>703.32</v>
      </c>
      <c r="L39" s="41">
        <f t="shared" si="11"/>
        <v>773.652</v>
      </c>
      <c r="M39" s="41">
        <f t="shared" si="11"/>
        <v>703.32</v>
      </c>
      <c r="N39" s="41">
        <f>$B$39*M24</f>
        <v>867.1935600000002</v>
      </c>
    </row>
    <row r="40" spans="1:15" ht="15">
      <c r="A40" s="6" t="s">
        <v>46</v>
      </c>
      <c r="B40" s="227">
        <f>SUM(B32:B39)</f>
        <v>10.090864690864692</v>
      </c>
      <c r="C40" s="42">
        <f>SUM(C32:C39)</f>
        <v>2098.450909090909</v>
      </c>
      <c r="D40" s="42">
        <f aca="true" t="shared" si="12" ref="D40:N40">SUM(D32:D39)</f>
        <v>2098.450909090909</v>
      </c>
      <c r="E40" s="42">
        <f t="shared" si="12"/>
        <v>1888.605818181818</v>
      </c>
      <c r="F40" s="42">
        <f t="shared" si="12"/>
        <v>2518.141090909091</v>
      </c>
      <c r="G40" s="42">
        <f t="shared" si="12"/>
        <v>2937.831272727273</v>
      </c>
      <c r="H40" s="42">
        <f t="shared" si="12"/>
        <v>3357.521454545455</v>
      </c>
      <c r="I40" s="42">
        <f t="shared" si="12"/>
        <v>4616.592000000001</v>
      </c>
      <c r="J40" s="42">
        <f t="shared" si="12"/>
        <v>4196.901818181818</v>
      </c>
      <c r="K40" s="42">
        <f t="shared" si="12"/>
        <v>4196.901818181818</v>
      </c>
      <c r="L40" s="42">
        <f t="shared" si="12"/>
        <v>4616.592000000001</v>
      </c>
      <c r="M40" s="42">
        <f t="shared" si="12"/>
        <v>4196.901818181818</v>
      </c>
      <c r="N40" s="42">
        <f t="shared" si="12"/>
        <v>5174.779941818182</v>
      </c>
      <c r="O40" s="57">
        <f>SUM(C40:N40)</f>
        <v>41897.6708509091</v>
      </c>
    </row>
    <row r="44" ht="21">
      <c r="A44" s="1" t="s">
        <v>53</v>
      </c>
    </row>
    <row r="46" spans="1:13" ht="15">
      <c r="A46" s="31" t="s">
        <v>48</v>
      </c>
      <c r="B46" s="511" t="s">
        <v>41</v>
      </c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</row>
    <row r="47" spans="1:13" ht="15">
      <c r="A47" s="31"/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</row>
    <row r="48" spans="1:13" ht="15">
      <c r="A48" s="6" t="s">
        <v>49</v>
      </c>
      <c r="B48" s="30">
        <v>1</v>
      </c>
      <c r="C48" s="30">
        <v>2</v>
      </c>
      <c r="D48" s="30">
        <v>3</v>
      </c>
      <c r="E48" s="30">
        <v>4</v>
      </c>
      <c r="F48" s="30">
        <v>5</v>
      </c>
      <c r="G48" s="30">
        <v>6</v>
      </c>
      <c r="H48" s="30">
        <v>7</v>
      </c>
      <c r="I48" s="30">
        <v>8</v>
      </c>
      <c r="J48" s="30">
        <v>9</v>
      </c>
      <c r="K48" s="30">
        <v>10</v>
      </c>
      <c r="L48" s="30">
        <v>11</v>
      </c>
      <c r="M48" s="30">
        <v>12</v>
      </c>
    </row>
    <row r="49" spans="1:14" ht="30">
      <c r="A49" s="37" t="s">
        <v>50</v>
      </c>
      <c r="B49" s="48">
        <f>C40</f>
        <v>2098.450909090909</v>
      </c>
      <c r="C49" s="48">
        <f>D40</f>
        <v>2098.450909090909</v>
      </c>
      <c r="D49" s="48">
        <f aca="true" t="shared" si="13" ref="D49:M49">E40</f>
        <v>1888.605818181818</v>
      </c>
      <c r="E49" s="48">
        <f t="shared" si="13"/>
        <v>2518.141090909091</v>
      </c>
      <c r="F49" s="48">
        <f t="shared" si="13"/>
        <v>2937.831272727273</v>
      </c>
      <c r="G49" s="48">
        <f t="shared" si="13"/>
        <v>3357.521454545455</v>
      </c>
      <c r="H49" s="48">
        <f t="shared" si="13"/>
        <v>4616.592000000001</v>
      </c>
      <c r="I49" s="48">
        <f t="shared" si="13"/>
        <v>4196.901818181818</v>
      </c>
      <c r="J49" s="48">
        <f t="shared" si="13"/>
        <v>4196.901818181818</v>
      </c>
      <c r="K49" s="48">
        <f t="shared" si="13"/>
        <v>4616.592000000001</v>
      </c>
      <c r="L49" s="48">
        <f t="shared" si="13"/>
        <v>4196.901818181818</v>
      </c>
      <c r="M49" s="48">
        <f t="shared" si="13"/>
        <v>5174.779941818182</v>
      </c>
      <c r="N49" s="57">
        <f>SUM(B49:M49)</f>
        <v>41897.6708509091</v>
      </c>
    </row>
    <row r="50" spans="1:13" ht="15">
      <c r="A50" s="37" t="s">
        <v>51</v>
      </c>
      <c r="B50" s="47">
        <f>B5</f>
        <v>4241.696666666667</v>
      </c>
      <c r="C50" s="47">
        <f aca="true" t="shared" si="14" ref="C50:M51">B50</f>
        <v>4241.696666666667</v>
      </c>
      <c r="D50" s="47">
        <f t="shared" si="14"/>
        <v>4241.696666666667</v>
      </c>
      <c r="E50" s="47">
        <f t="shared" si="14"/>
        <v>4241.696666666667</v>
      </c>
      <c r="F50" s="47">
        <f t="shared" si="14"/>
        <v>4241.696666666667</v>
      </c>
      <c r="G50" s="47">
        <f t="shared" si="14"/>
        <v>4241.696666666667</v>
      </c>
      <c r="H50" s="47">
        <f t="shared" si="14"/>
        <v>4241.696666666667</v>
      </c>
      <c r="I50" s="47">
        <f t="shared" si="14"/>
        <v>4241.696666666667</v>
      </c>
      <c r="J50" s="47">
        <f t="shared" si="14"/>
        <v>4241.696666666667</v>
      </c>
      <c r="K50" s="47">
        <f t="shared" si="14"/>
        <v>4241.696666666667</v>
      </c>
      <c r="L50" s="47">
        <f t="shared" si="14"/>
        <v>4241.696666666667</v>
      </c>
      <c r="M50" s="47">
        <f t="shared" si="14"/>
        <v>4241.696666666667</v>
      </c>
    </row>
    <row r="51" spans="1:13" ht="15">
      <c r="A51" s="37" t="s">
        <v>52</v>
      </c>
      <c r="B51" s="47">
        <f>B6</f>
        <v>1840</v>
      </c>
      <c r="C51" s="47">
        <f t="shared" si="14"/>
        <v>1840</v>
      </c>
      <c r="D51" s="47">
        <f t="shared" si="14"/>
        <v>1840</v>
      </c>
      <c r="E51" s="47">
        <f t="shared" si="14"/>
        <v>1840</v>
      </c>
      <c r="F51" s="47">
        <f t="shared" si="14"/>
        <v>1840</v>
      </c>
      <c r="G51" s="47">
        <f t="shared" si="14"/>
        <v>1840</v>
      </c>
      <c r="H51" s="47">
        <f t="shared" si="14"/>
        <v>1840</v>
      </c>
      <c r="I51" s="47">
        <f t="shared" si="14"/>
        <v>1840</v>
      </c>
      <c r="J51" s="47">
        <f t="shared" si="14"/>
        <v>1840</v>
      </c>
      <c r="K51" s="47">
        <f t="shared" si="14"/>
        <v>1840</v>
      </c>
      <c r="L51" s="47">
        <f t="shared" si="14"/>
        <v>1840</v>
      </c>
      <c r="M51" s="47">
        <f t="shared" si="14"/>
        <v>1840</v>
      </c>
    </row>
    <row r="52" spans="1:13" ht="15">
      <c r="A52" s="141" t="s">
        <v>415</v>
      </c>
      <c r="B52" s="47">
        <f>$B$7</f>
        <v>620.02</v>
      </c>
      <c r="C52" s="47">
        <f aca="true" t="shared" si="15" ref="C52:M52">$B$7</f>
        <v>620.02</v>
      </c>
      <c r="D52" s="47">
        <f t="shared" si="15"/>
        <v>620.02</v>
      </c>
      <c r="E52" s="47">
        <f t="shared" si="15"/>
        <v>620.02</v>
      </c>
      <c r="F52" s="47">
        <f t="shared" si="15"/>
        <v>620.02</v>
      </c>
      <c r="G52" s="47">
        <f t="shared" si="15"/>
        <v>620.02</v>
      </c>
      <c r="H52" s="47">
        <f t="shared" si="15"/>
        <v>620.02</v>
      </c>
      <c r="I52" s="47">
        <f t="shared" si="15"/>
        <v>620.02</v>
      </c>
      <c r="J52" s="47">
        <f t="shared" si="15"/>
        <v>620.02</v>
      </c>
      <c r="K52" s="47">
        <f t="shared" si="15"/>
        <v>620.02</v>
      </c>
      <c r="L52" s="47">
        <f t="shared" si="15"/>
        <v>620.02</v>
      </c>
      <c r="M52" s="47">
        <f t="shared" si="15"/>
        <v>620.02</v>
      </c>
    </row>
    <row r="53" spans="1:13" ht="15">
      <c r="A53" s="141" t="s">
        <v>325</v>
      </c>
      <c r="B53" s="47">
        <f>'Gastos de Ventas'!D11+'Gastos de Ventas'!D12</f>
        <v>2860</v>
      </c>
      <c r="C53" s="47">
        <f>'Gastos de Ventas'!$D$11</f>
        <v>360</v>
      </c>
      <c r="D53" s="47">
        <f>'Gastos de Ventas'!$D$11</f>
        <v>360</v>
      </c>
      <c r="E53" s="47">
        <f>'Gastos de Ventas'!$D$11</f>
        <v>360</v>
      </c>
      <c r="F53" s="47">
        <f>'Gastos de Ventas'!$D$11</f>
        <v>360</v>
      </c>
      <c r="G53" s="47">
        <f>'Gastos de Ventas'!$D$11</f>
        <v>360</v>
      </c>
      <c r="H53" s="47">
        <f>'Gastos de Ventas'!$D$11</f>
        <v>360</v>
      </c>
      <c r="I53" s="47">
        <f>'Gastos de Ventas'!$D$11</f>
        <v>360</v>
      </c>
      <c r="J53" s="47">
        <f>'Gastos de Ventas'!$D$11</f>
        <v>360</v>
      </c>
      <c r="K53" s="47">
        <f>'Gastos de Ventas'!$D$11</f>
        <v>360</v>
      </c>
      <c r="L53" s="47">
        <f>B53</f>
        <v>2860</v>
      </c>
      <c r="M53" s="47">
        <f>H53</f>
        <v>360</v>
      </c>
    </row>
    <row r="54" spans="1:13" ht="15">
      <c r="A54" s="141"/>
      <c r="B54" s="47">
        <f>B50+B51+B52+B53</f>
        <v>9561.716666666667</v>
      </c>
      <c r="C54" s="47">
        <f aca="true" t="shared" si="16" ref="C54:M54">C50+C51+C52+C53</f>
        <v>7061.716666666667</v>
      </c>
      <c r="D54" s="47">
        <f t="shared" si="16"/>
        <v>7061.716666666667</v>
      </c>
      <c r="E54" s="47">
        <f t="shared" si="16"/>
        <v>7061.716666666667</v>
      </c>
      <c r="F54" s="47">
        <f t="shared" si="16"/>
        <v>7061.716666666667</v>
      </c>
      <c r="G54" s="47">
        <f t="shared" si="16"/>
        <v>7061.716666666667</v>
      </c>
      <c r="H54" s="47">
        <f t="shared" si="16"/>
        <v>7061.716666666667</v>
      </c>
      <c r="I54" s="47">
        <f t="shared" si="16"/>
        <v>7061.716666666667</v>
      </c>
      <c r="J54" s="47">
        <f t="shared" si="16"/>
        <v>7061.716666666667</v>
      </c>
      <c r="K54" s="47">
        <f t="shared" si="16"/>
        <v>7061.716666666667</v>
      </c>
      <c r="L54" s="47">
        <f t="shared" si="16"/>
        <v>9561.716666666667</v>
      </c>
      <c r="M54" s="47">
        <f t="shared" si="16"/>
        <v>7061.716666666667</v>
      </c>
    </row>
    <row r="55" spans="1:14" ht="15.75">
      <c r="A55" s="46" t="s">
        <v>6</v>
      </c>
      <c r="B55" s="42">
        <f>B49+B54</f>
        <v>11660.167575757576</v>
      </c>
      <c r="C55" s="42">
        <f aca="true" t="shared" si="17" ref="C55:M55">C49+C54</f>
        <v>9160.167575757576</v>
      </c>
      <c r="D55" s="42">
        <f t="shared" si="17"/>
        <v>8950.322484848486</v>
      </c>
      <c r="E55" s="42">
        <f t="shared" si="17"/>
        <v>9579.857757575759</v>
      </c>
      <c r="F55" s="42">
        <f t="shared" si="17"/>
        <v>9999.54793939394</v>
      </c>
      <c r="G55" s="42">
        <f t="shared" si="17"/>
        <v>10419.238121212122</v>
      </c>
      <c r="H55" s="42">
        <f t="shared" si="17"/>
        <v>11678.308666666668</v>
      </c>
      <c r="I55" s="42">
        <f t="shared" si="17"/>
        <v>11258.618484848485</v>
      </c>
      <c r="J55" s="42">
        <f t="shared" si="17"/>
        <v>11258.618484848485</v>
      </c>
      <c r="K55" s="42">
        <f t="shared" si="17"/>
        <v>11678.308666666668</v>
      </c>
      <c r="L55" s="42">
        <f t="shared" si="17"/>
        <v>13758.618484848485</v>
      </c>
      <c r="M55" s="42">
        <f t="shared" si="17"/>
        <v>12236.49660848485</v>
      </c>
      <c r="N55" s="57">
        <f>SUM(B55:M55)</f>
        <v>131638.2708509091</v>
      </c>
    </row>
  </sheetData>
  <sheetProtection/>
  <mergeCells count="6">
    <mergeCell ref="B14:M15"/>
    <mergeCell ref="A29:A30"/>
    <mergeCell ref="B29:B30"/>
    <mergeCell ref="C29:N30"/>
    <mergeCell ref="B46:M47"/>
    <mergeCell ref="A14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Karen</cp:lastModifiedBy>
  <dcterms:created xsi:type="dcterms:W3CDTF">2010-02-04T00:31:01Z</dcterms:created>
  <dcterms:modified xsi:type="dcterms:W3CDTF">2012-03-15T02:33:06Z</dcterms:modified>
  <cp:category/>
  <cp:version/>
  <cp:contentType/>
  <cp:contentStatus/>
</cp:coreProperties>
</file>