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315" windowHeight="9240" activeTab="0"/>
  </bookViews>
  <sheets>
    <sheet name="Hoja1" sheetId="1" r:id="rId1"/>
    <sheet name="BG" sheetId="2" r:id="rId2"/>
    <sheet name="ER P y G" sheetId="3" r:id="rId3"/>
    <sheet name="FC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<sst xmlns="http://schemas.openxmlformats.org/spreadsheetml/2006/main" count="394" uniqueCount="252">
  <si>
    <t>AÑOS</t>
  </si>
  <si>
    <t>INGRESOS</t>
  </si>
  <si>
    <t>Subtotal Ingresos</t>
  </si>
  <si>
    <t xml:space="preserve">Descuentos y Promociones </t>
  </si>
  <si>
    <t>Total Ingresos</t>
  </si>
  <si>
    <t>COSTO DE VENTA</t>
  </si>
  <si>
    <t>Servicios Básicos</t>
  </si>
  <si>
    <t>Mantenimiento</t>
  </si>
  <si>
    <t>Total Costo de Venta</t>
  </si>
  <si>
    <t>UTILIDAD BRUTA</t>
  </si>
  <si>
    <t>GASTOS GENERALES</t>
  </si>
  <si>
    <t>Sueldos Y Salarios</t>
  </si>
  <si>
    <t>Servicio de Guardianía</t>
  </si>
  <si>
    <t>Gasto por Intereses</t>
  </si>
  <si>
    <t>Gasto por Arriendo</t>
  </si>
  <si>
    <t>Gasto por Publicidad</t>
  </si>
  <si>
    <t>Gastos Generales</t>
  </si>
  <si>
    <t>Depreciación</t>
  </si>
  <si>
    <t>Gasto por Comision Bancaria</t>
  </si>
  <si>
    <t>Gasto por Gestión de Préstamo</t>
  </si>
  <si>
    <t>Amortización</t>
  </si>
  <si>
    <t>Total Gastos Generales</t>
  </si>
  <si>
    <t>Utilidad Antes de Participacion</t>
  </si>
  <si>
    <t>15% Participacion de Trabajadores</t>
  </si>
  <si>
    <t>Utilidad antes de Impuestos</t>
  </si>
  <si>
    <t>25% Impuesto a la Renta</t>
  </si>
  <si>
    <t>Utilidad Neta del Ejercicio</t>
  </si>
  <si>
    <t>RESERVA LEGAL 10%</t>
  </si>
  <si>
    <t>RESERVA FACULTATIVA 5%</t>
  </si>
  <si>
    <t>UTILIDAD A DISTRIBUIR</t>
  </si>
  <si>
    <t>Por instalacion de cesped sintetico</t>
  </si>
  <si>
    <t>Por mantenimiento del cesped sintetico.</t>
  </si>
  <si>
    <t xml:space="preserve">Canchas </t>
  </si>
  <si>
    <t>Personas particulares</t>
  </si>
  <si>
    <t>Demanda potencial</t>
  </si>
  <si>
    <t>Instalacion</t>
  </si>
  <si>
    <t>m2 de mantenimiento</t>
  </si>
  <si>
    <t>Canchas ya instaladas</t>
  </si>
  <si>
    <t>Canchas nuevas</t>
  </si>
  <si>
    <t>m2 de instalacion</t>
  </si>
  <si>
    <t>instalacion</t>
  </si>
  <si>
    <t>m2 por canchas</t>
  </si>
  <si>
    <t>m2 por persona</t>
  </si>
  <si>
    <t>Precio x m2</t>
  </si>
  <si>
    <t>var precios</t>
  </si>
  <si>
    <t>INVERSIÓN INICIAL</t>
  </si>
  <si>
    <t>RUBRO</t>
  </si>
  <si>
    <t>VALOR</t>
  </si>
  <si>
    <t>Mobiliario,Equipos y Maquinaria</t>
  </si>
  <si>
    <t>Gastos de Instalación</t>
  </si>
  <si>
    <t>Gastos de Constitución</t>
  </si>
  <si>
    <t>Capital de Trabajo</t>
  </si>
  <si>
    <t>TOTAL</t>
  </si>
  <si>
    <t>MOBILIARIO</t>
  </si>
  <si>
    <t>DESCRIPCION</t>
  </si>
  <si>
    <t>CANTIDAD</t>
  </si>
  <si>
    <t>C / UNITARIO</t>
  </si>
  <si>
    <t>C / TOTAL</t>
  </si>
  <si>
    <t>OFICINA</t>
  </si>
  <si>
    <t>Escritorio</t>
  </si>
  <si>
    <t>Sillon</t>
  </si>
  <si>
    <t>Sillas</t>
  </si>
  <si>
    <t>Archivador</t>
  </si>
  <si>
    <t>Total Oficina</t>
  </si>
  <si>
    <t>TOTAL MOBILIARIO</t>
  </si>
  <si>
    <t>MAQUINARIA e IMPLEMENTOS</t>
  </si>
  <si>
    <t>PRECIO FOB</t>
  </si>
  <si>
    <t>MAQUINARIA</t>
  </si>
  <si>
    <t>CareMax</t>
  </si>
  <si>
    <t>Total Maquinaria</t>
  </si>
  <si>
    <t>IMPLEMENTOS</t>
  </si>
  <si>
    <t>Caucho Molido</t>
  </si>
  <si>
    <t>17450kgs</t>
  </si>
  <si>
    <t>Cemento de Contacto</t>
  </si>
  <si>
    <t>Total Implementos</t>
  </si>
  <si>
    <t>COSTOS DE INSTALACIÓN</t>
  </si>
  <si>
    <t>Imp. Prediales</t>
  </si>
  <si>
    <t>Cuerpo de Bomberos</t>
  </si>
  <si>
    <t>Patente Municipal</t>
  </si>
  <si>
    <t>Ministerio de Salud</t>
  </si>
  <si>
    <t>Permiso de Funcinamiento</t>
  </si>
  <si>
    <t>Medidor Empresa Electrica</t>
  </si>
  <si>
    <t>Línea Telefónica</t>
  </si>
  <si>
    <t>Medidor Agua Potable</t>
  </si>
  <si>
    <t>TOTAL COSTOS INDIRECTOS</t>
  </si>
  <si>
    <t>Rubro</t>
  </si>
  <si>
    <t>Mensual</t>
  </si>
  <si>
    <t>Total</t>
  </si>
  <si>
    <t>ESTRUCTURA DE FINANCIAMIENTO</t>
  </si>
  <si>
    <t>Capital propio</t>
  </si>
  <si>
    <t>Préstamo</t>
  </si>
  <si>
    <t xml:space="preserve">Inversión Total </t>
  </si>
  <si>
    <t>Meses</t>
  </si>
  <si>
    <t>Total Anual</t>
  </si>
  <si>
    <t>Valor</t>
  </si>
  <si>
    <t>Gastos</t>
  </si>
  <si>
    <t>Costo</t>
  </si>
  <si>
    <t>GASTO POR PUBLICIDAD</t>
  </si>
  <si>
    <t>Costo Mensual</t>
  </si>
  <si>
    <t>Papelería</t>
  </si>
  <si>
    <t>Cuñas Radio</t>
  </si>
  <si>
    <t>Cuñas TV</t>
  </si>
  <si>
    <t>Diarios</t>
  </si>
  <si>
    <t>PROYECCIÓN DEL GASTO POR PUBLICIDAD</t>
  </si>
  <si>
    <t>Suministros de Oficina</t>
  </si>
  <si>
    <t>Material de Limpieza</t>
  </si>
  <si>
    <t xml:space="preserve">Permisos </t>
  </si>
  <si>
    <t>------------------------------</t>
  </si>
  <si>
    <t>DEPRECIACIÓN</t>
  </si>
  <si>
    <t>Activo</t>
  </si>
  <si>
    <t>Vida
 Util</t>
  </si>
  <si>
    <t>%</t>
  </si>
  <si>
    <t xml:space="preserve">Dep. Anual </t>
  </si>
  <si>
    <t>Dep.
 Acumulada</t>
  </si>
  <si>
    <t>Valor 
en libros</t>
  </si>
  <si>
    <t>Eq. de Computación</t>
  </si>
  <si>
    <t>Muebles</t>
  </si>
  <si>
    <t>TOTAL GASTO POR DEPRECIACIÓN</t>
  </si>
  <si>
    <t>VALOR DE DESECHO</t>
  </si>
  <si>
    <t>AMORTIZACIÓN</t>
  </si>
  <si>
    <t>Descripción</t>
  </si>
  <si>
    <t>Amortización Anual</t>
  </si>
  <si>
    <t>TOTAL AMORTIZACIÓN</t>
  </si>
  <si>
    <t>SERVICIOS BÁSICOS</t>
  </si>
  <si>
    <t>Años</t>
  </si>
  <si>
    <t>Cargo</t>
  </si>
  <si>
    <t>Servicio</t>
  </si>
  <si>
    <t>Variable</t>
  </si>
  <si>
    <t>Energía Electrica</t>
  </si>
  <si>
    <t>Agua Potable</t>
  </si>
  <si>
    <t>Teléfono</t>
  </si>
  <si>
    <t>MANTENIMIENTO</t>
  </si>
  <si>
    <t>Mant Mensual</t>
  </si>
  <si>
    <t>Otros Activos</t>
  </si>
  <si>
    <t>Subtotal</t>
  </si>
  <si>
    <t>Total Mantenimiento Anual</t>
  </si>
  <si>
    <t>Mauinaria de instalacion y mantenimiento</t>
  </si>
  <si>
    <t>mant</t>
  </si>
  <si>
    <t>inst</t>
  </si>
  <si>
    <t>Internet</t>
  </si>
  <si>
    <t>TABLA DE AMORTIZACIÓN</t>
  </si>
  <si>
    <t>Capital</t>
  </si>
  <si>
    <t>Interes</t>
  </si>
  <si>
    <t>Tiempo (años)</t>
  </si>
  <si>
    <t>Cuota</t>
  </si>
  <si>
    <t>No Periodo</t>
  </si>
  <si>
    <t xml:space="preserve">Cuota </t>
  </si>
  <si>
    <t xml:space="preserve">Amortizacion </t>
  </si>
  <si>
    <t>Saldo</t>
  </si>
  <si>
    <t>Totales</t>
  </si>
  <si>
    <t>ARRIENDO</t>
  </si>
  <si>
    <t>Cantidad</t>
  </si>
  <si>
    <t>Oficina</t>
  </si>
  <si>
    <t>Bodega</t>
  </si>
  <si>
    <t>Maquinaria</t>
  </si>
  <si>
    <t>Comision Bancaria</t>
  </si>
  <si>
    <t>Gestión de Prestamo</t>
  </si>
  <si>
    <t>Inicial</t>
  </si>
  <si>
    <t>ACTIVOS</t>
  </si>
  <si>
    <t>Activo Corriente</t>
  </si>
  <si>
    <t>Caja - Banco</t>
  </si>
  <si>
    <t>Total Activo Corriente</t>
  </si>
  <si>
    <t>Activo Fijo</t>
  </si>
  <si>
    <t>Mobiliario</t>
  </si>
  <si>
    <t>Depreciación Mobiliario</t>
  </si>
  <si>
    <t>Eq. De Computación</t>
  </si>
  <si>
    <t>Depreciación Eq. De Comp.</t>
  </si>
  <si>
    <t>Total Activo Fijo</t>
  </si>
  <si>
    <t>Activos Diferidos</t>
  </si>
  <si>
    <t>Gastos de Instalacion</t>
  </si>
  <si>
    <t xml:space="preserve">Amortización </t>
  </si>
  <si>
    <t>Total Activos Diferidos</t>
  </si>
  <si>
    <t>TOTAL ACTIVOS</t>
  </si>
  <si>
    <t>PASIVOS</t>
  </si>
  <si>
    <t>Pasivos Corriente</t>
  </si>
  <si>
    <t>Obligaciones Financieres</t>
  </si>
  <si>
    <t>Imp a la Renta por pagar</t>
  </si>
  <si>
    <t>Part. Trabajadores por Pagar</t>
  </si>
  <si>
    <t>TOTAL PASIVOS</t>
  </si>
  <si>
    <t>PATRIMONIO</t>
  </si>
  <si>
    <t>Capital Social</t>
  </si>
  <si>
    <t>Utilidad Neta del ejercicio</t>
  </si>
  <si>
    <t>Utilidad Acumulada</t>
  </si>
  <si>
    <t>TOTAL PATRIMONIO</t>
  </si>
  <si>
    <t>TOTAL PAS + PATR</t>
  </si>
  <si>
    <t>Saldo Inicial</t>
  </si>
  <si>
    <t>Ingreso por Ventas</t>
  </si>
  <si>
    <t>Inversion Inicial</t>
  </si>
  <si>
    <t>Costos</t>
  </si>
  <si>
    <t>Impuestos y participaciones</t>
  </si>
  <si>
    <t>Saldo Final</t>
  </si>
  <si>
    <t>BANCOS</t>
  </si>
  <si>
    <t>Inversión Inicial</t>
  </si>
  <si>
    <t>Amortizacion de la Deuda</t>
  </si>
  <si>
    <t>Valor de Desecho</t>
  </si>
  <si>
    <t>Flujo de Caja</t>
  </si>
  <si>
    <t>VAN</t>
  </si>
  <si>
    <t>CCPP</t>
  </si>
  <si>
    <t>TIR</t>
  </si>
  <si>
    <t>Costo x Und d Medida</t>
  </si>
  <si>
    <t>Cantidad x Cancha</t>
  </si>
  <si>
    <t>2Barriles</t>
  </si>
  <si>
    <t>Valor Total</t>
  </si>
  <si>
    <t>Valor x m2</t>
  </si>
  <si>
    <t>Costo por M2</t>
  </si>
  <si>
    <t>Costo de Materilaes</t>
  </si>
  <si>
    <t>Gastos variables</t>
  </si>
  <si>
    <t>Caucho Molido (KGS)</t>
  </si>
  <si>
    <t>Cemento de Contacto (Barriles)</t>
  </si>
  <si>
    <t>Combustible (Galones)</t>
  </si>
  <si>
    <t>Cesped (m2)</t>
  </si>
  <si>
    <t>Equipo de Computacion</t>
  </si>
  <si>
    <t>Acondicionador de Aire</t>
  </si>
  <si>
    <t>Extintores</t>
  </si>
  <si>
    <t>BAÑOS</t>
  </si>
  <si>
    <t>Baño</t>
  </si>
  <si>
    <t>Total Baños</t>
  </si>
  <si>
    <t>TOTAL EQUIPOS</t>
  </si>
  <si>
    <t>Sueldos</t>
  </si>
  <si>
    <t>Guardianía</t>
  </si>
  <si>
    <t>Arriendo</t>
  </si>
  <si>
    <t>Publicidad</t>
  </si>
  <si>
    <t>SUELDOS</t>
  </si>
  <si>
    <t>Gerente Gral</t>
  </si>
  <si>
    <t>Coord Técnico</t>
  </si>
  <si>
    <t>Gerente MKTG</t>
  </si>
  <si>
    <t>8 Empleados</t>
  </si>
  <si>
    <t>2 Bodeguero</t>
  </si>
  <si>
    <t>CAPITAL DE TRABAJO</t>
  </si>
  <si>
    <t>GASTO DE PERSONAL</t>
  </si>
  <si>
    <t>Empleados</t>
  </si>
  <si>
    <t>Bodeguero</t>
  </si>
  <si>
    <t>Aporte IEES</t>
  </si>
  <si>
    <t>Total Mensual</t>
  </si>
  <si>
    <t xml:space="preserve">SERVICIO DE GUARDIANÍA </t>
  </si>
  <si>
    <t>Guardiania de Bodega 24 hrs</t>
  </si>
  <si>
    <t>Guardiania de Oficina 10 hrs</t>
  </si>
  <si>
    <t>TOTAL ANUAL</t>
  </si>
  <si>
    <t>Servicios basicos</t>
  </si>
  <si>
    <t>Servicios</t>
  </si>
  <si>
    <t>Energenia Electrica</t>
  </si>
  <si>
    <t>Agua potable</t>
  </si>
  <si>
    <t>Telefono</t>
  </si>
  <si>
    <t>Valores mensuales</t>
  </si>
  <si>
    <t>Depreciación Maquinaria</t>
  </si>
  <si>
    <t>Acondicionador de aire</t>
  </si>
  <si>
    <t>Dep. Acondiconador de Aire</t>
  </si>
  <si>
    <t>Sandmatic</t>
  </si>
  <si>
    <t>dif</t>
  </si>
  <si>
    <t>Estado de Resultados</t>
  </si>
  <si>
    <t>Balance General</t>
  </si>
  <si>
    <t>Periodo de Recuperacion</t>
  </si>
</sst>
</file>

<file path=xl/styles.xml><?xml version="1.0" encoding="utf-8"?>
<styleSheet xmlns="http://schemas.openxmlformats.org/spreadsheetml/2006/main">
  <numFmts count="2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 &quot;$&quot;\ * #,##0.00_ ;_ &quot;$&quot;\ * \-#,##0.00_ ;_ &quot;$&quot;\ * &quot;-&quot;??_ ;_ @_ "/>
    <numFmt numFmtId="171" formatCode="&quot;$&quot;#,##0.00"/>
    <numFmt numFmtId="172" formatCode="0.0%"/>
    <numFmt numFmtId="173" formatCode="_ * #,##0.00_ ;_ * \-#,##0.00_ ;_ * &quot;-&quot;??_ ;_ @_ 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  <numFmt numFmtId="178" formatCode="_(&quot;$&quot;* #,##0.0000_);_(&quot;$&quot;* \(#,##0.0000\);_(&quot;$&quot;* &quot;-&quot;????_);_(@_)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</numFmts>
  <fonts count="5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u val="single"/>
      <sz val="10"/>
      <name val="Arial"/>
      <family val="2"/>
    </font>
    <font>
      <b/>
      <sz val="10"/>
      <name val="ZapfHumnst BT"/>
      <family val="2"/>
    </font>
    <font>
      <sz val="10"/>
      <name val="ZapfHumnst BT"/>
      <family val="2"/>
    </font>
    <font>
      <b/>
      <sz val="10"/>
      <color indexed="9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9"/>
      <color indexed="8"/>
      <name val="Calibri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0000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double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ck"/>
      <right style="thin"/>
      <top style="thick"/>
      <bottom style="thick"/>
    </border>
    <border>
      <left style="thick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ck"/>
      <top>
        <color indexed="63"/>
      </top>
      <bottom style="medium"/>
    </border>
    <border>
      <left style="thick"/>
      <right style="medium"/>
      <top>
        <color indexed="63"/>
      </top>
      <bottom style="thin"/>
    </border>
    <border>
      <left style="thick"/>
      <right style="medium"/>
      <top style="thin"/>
      <bottom style="thin"/>
    </border>
    <border>
      <left style="thin"/>
      <right style="thick"/>
      <top>
        <color indexed="63"/>
      </top>
      <bottom style="thin"/>
    </border>
    <border>
      <left style="thin"/>
      <right style="thick"/>
      <top style="thick"/>
      <bottom style="thick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262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170" fontId="0" fillId="0" borderId="10" xfId="0" applyNumberFormat="1" applyBorder="1" applyAlignment="1">
      <alignment horizontal="right"/>
    </xf>
    <xf numFmtId="0" fontId="2" fillId="33" borderId="10" xfId="0" applyFont="1" applyFill="1" applyBorder="1" applyAlignment="1">
      <alignment/>
    </xf>
    <xf numFmtId="169" fontId="2" fillId="33" borderId="10" xfId="50" applyFont="1" applyFill="1" applyBorder="1" applyAlignment="1">
      <alignment/>
    </xf>
    <xf numFmtId="0" fontId="0" fillId="0" borderId="10" xfId="0" applyFill="1" applyBorder="1" applyAlignment="1">
      <alignment/>
    </xf>
    <xf numFmtId="169" fontId="0" fillId="0" borderId="10" xfId="50" applyFont="1" applyFill="1" applyBorder="1" applyAlignment="1">
      <alignment/>
    </xf>
    <xf numFmtId="0" fontId="2" fillId="34" borderId="10" xfId="0" applyFont="1" applyFill="1" applyBorder="1" applyAlignment="1">
      <alignment/>
    </xf>
    <xf numFmtId="170" fontId="2" fillId="34" borderId="10" xfId="0" applyNumberFormat="1" applyFont="1" applyFill="1" applyBorder="1" applyAlignment="1">
      <alignment/>
    </xf>
    <xf numFmtId="170" fontId="0" fillId="0" borderId="10" xfId="0" applyNumberFormat="1" applyBorder="1" applyAlignment="1">
      <alignment/>
    </xf>
    <xf numFmtId="0" fontId="2" fillId="35" borderId="10" xfId="0" applyFont="1" applyFill="1" applyBorder="1" applyAlignment="1">
      <alignment/>
    </xf>
    <xf numFmtId="169" fontId="2" fillId="35" borderId="10" xfId="50" applyFont="1" applyFill="1" applyBorder="1" applyAlignment="1">
      <alignment/>
    </xf>
    <xf numFmtId="0" fontId="2" fillId="36" borderId="10" xfId="0" applyFont="1" applyFill="1" applyBorder="1" applyAlignment="1">
      <alignment/>
    </xf>
    <xf numFmtId="170" fontId="2" fillId="36" borderId="10" xfId="0" applyNumberFormat="1" applyFont="1" applyFill="1" applyBorder="1" applyAlignment="1">
      <alignment/>
    </xf>
    <xf numFmtId="169" fontId="0" fillId="0" borderId="10" xfId="50" applyFont="1" applyBorder="1" applyAlignment="1">
      <alignment/>
    </xf>
    <xf numFmtId="0" fontId="2" fillId="37" borderId="10" xfId="0" applyFont="1" applyFill="1" applyBorder="1" applyAlignment="1">
      <alignment/>
    </xf>
    <xf numFmtId="170" fontId="2" fillId="37" borderId="10" xfId="0" applyNumberFormat="1" applyFont="1" applyFill="1" applyBorder="1" applyAlignment="1">
      <alignment/>
    </xf>
    <xf numFmtId="0" fontId="2" fillId="38" borderId="10" xfId="0" applyFont="1" applyFill="1" applyBorder="1" applyAlignment="1">
      <alignment/>
    </xf>
    <xf numFmtId="170" fontId="2" fillId="38" borderId="10" xfId="0" applyNumberFormat="1" applyFont="1" applyFill="1" applyBorder="1" applyAlignment="1">
      <alignment/>
    </xf>
    <xf numFmtId="9" fontId="0" fillId="0" borderId="10" xfId="0" applyNumberFormat="1" applyBorder="1" applyAlignment="1">
      <alignment/>
    </xf>
    <xf numFmtId="0" fontId="2" fillId="39" borderId="10" xfId="0" applyFont="1" applyFill="1" applyBorder="1" applyAlignment="1">
      <alignment/>
    </xf>
    <xf numFmtId="170" fontId="2" fillId="39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2" fillId="40" borderId="10" xfId="0" applyFont="1" applyFill="1" applyBorder="1" applyAlignment="1">
      <alignment/>
    </xf>
    <xf numFmtId="170" fontId="2" fillId="40" borderId="10" xfId="0" applyNumberFormat="1" applyFont="1" applyFill="1" applyBorder="1" applyAlignment="1">
      <alignment/>
    </xf>
    <xf numFmtId="4" fontId="0" fillId="0" borderId="10" xfId="0" applyNumberForma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15" xfId="0" applyFont="1" applyBorder="1" applyAlignment="1">
      <alignment/>
    </xf>
    <xf numFmtId="0" fontId="0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0" fillId="33" borderId="18" xfId="0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33" borderId="11" xfId="0" applyFill="1" applyBorder="1" applyAlignment="1">
      <alignment/>
    </xf>
    <xf numFmtId="0" fontId="0" fillId="0" borderId="21" xfId="0" applyBorder="1" applyAlignment="1">
      <alignment/>
    </xf>
    <xf numFmtId="0" fontId="2" fillId="0" borderId="22" xfId="0" applyFont="1" applyBorder="1" applyAlignment="1">
      <alignment/>
    </xf>
    <xf numFmtId="0" fontId="0" fillId="0" borderId="23" xfId="0" applyBorder="1" applyAlignment="1">
      <alignment/>
    </xf>
    <xf numFmtId="0" fontId="2" fillId="0" borderId="24" xfId="0" applyFont="1" applyBorder="1" applyAlignment="1">
      <alignment/>
    </xf>
    <xf numFmtId="0" fontId="0" fillId="0" borderId="25" xfId="0" applyBorder="1" applyAlignment="1">
      <alignment/>
    </xf>
    <xf numFmtId="0" fontId="0" fillId="33" borderId="21" xfId="0" applyFill="1" applyBorder="1" applyAlignment="1">
      <alignment/>
    </xf>
    <xf numFmtId="0" fontId="4" fillId="0" borderId="15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25" xfId="0" applyFont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169" fontId="0" fillId="41" borderId="10" xfId="50" applyFont="1" applyFill="1" applyBorder="1" applyAlignment="1">
      <alignment/>
    </xf>
    <xf numFmtId="170" fontId="2" fillId="0" borderId="10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169" fontId="2" fillId="0" borderId="10" xfId="50" applyFont="1" applyBorder="1" applyAlignment="1">
      <alignment/>
    </xf>
    <xf numFmtId="171" fontId="0" fillId="0" borderId="10" xfId="0" applyNumberFormat="1" applyBorder="1" applyAlignment="1">
      <alignment/>
    </xf>
    <xf numFmtId="171" fontId="2" fillId="0" borderId="10" xfId="0" applyNumberFormat="1" applyFont="1" applyBorder="1" applyAlignment="1">
      <alignment/>
    </xf>
    <xf numFmtId="9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10" fontId="0" fillId="0" borderId="10" xfId="55" applyNumberFormat="1" applyFont="1" applyBorder="1" applyAlignment="1">
      <alignment/>
    </xf>
    <xf numFmtId="9" fontId="0" fillId="0" borderId="10" xfId="55" applyFont="1" applyBorder="1" applyAlignment="1">
      <alignment/>
    </xf>
    <xf numFmtId="170" fontId="0" fillId="42" borderId="10" xfId="0" applyNumberFormat="1" applyFill="1" applyBorder="1" applyAlignment="1">
      <alignment/>
    </xf>
    <xf numFmtId="0" fontId="0" fillId="0" borderId="10" xfId="0" applyFont="1" applyBorder="1" applyAlignment="1">
      <alignment horizontal="center"/>
    </xf>
    <xf numFmtId="169" fontId="0" fillId="0" borderId="0" xfId="0" applyNumberFormat="1" applyAlignment="1">
      <alignment/>
    </xf>
    <xf numFmtId="0" fontId="2" fillId="0" borderId="26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42" borderId="0" xfId="0" applyFill="1" applyAlignment="1">
      <alignment/>
    </xf>
    <xf numFmtId="171" fontId="2" fillId="0" borderId="10" xfId="50" applyNumberFormat="1" applyFont="1" applyBorder="1" applyAlignment="1">
      <alignment/>
    </xf>
    <xf numFmtId="0" fontId="0" fillId="0" borderId="27" xfId="0" applyBorder="1" applyAlignment="1">
      <alignment/>
    </xf>
    <xf numFmtId="0" fontId="0" fillId="0" borderId="27" xfId="0" applyFont="1" applyBorder="1" applyAlignment="1">
      <alignment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171" fontId="2" fillId="0" borderId="27" xfId="0" applyNumberFormat="1" applyFont="1" applyBorder="1" applyAlignment="1">
      <alignment/>
    </xf>
    <xf numFmtId="171" fontId="0" fillId="0" borderId="24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24" xfId="0" applyBorder="1" applyAlignment="1">
      <alignment horizontal="center"/>
    </xf>
    <xf numFmtId="169" fontId="0" fillId="0" borderId="30" xfId="50" applyFont="1" applyBorder="1" applyAlignment="1">
      <alignment/>
    </xf>
    <xf numFmtId="172" fontId="0" fillId="0" borderId="31" xfId="55" applyNumberFormat="1" applyFont="1" applyBorder="1" applyAlignment="1">
      <alignment/>
    </xf>
    <xf numFmtId="0" fontId="0" fillId="0" borderId="32" xfId="0" applyBorder="1" applyAlignment="1">
      <alignment/>
    </xf>
    <xf numFmtId="169" fontId="0" fillId="0" borderId="31" xfId="50" applyFont="1" applyBorder="1" applyAlignment="1">
      <alignment/>
    </xf>
    <xf numFmtId="0" fontId="0" fillId="0" borderId="28" xfId="0" applyBorder="1" applyAlignment="1">
      <alignment/>
    </xf>
    <xf numFmtId="0" fontId="0" fillId="0" borderId="24" xfId="0" applyBorder="1" applyAlignment="1">
      <alignment/>
    </xf>
    <xf numFmtId="0" fontId="0" fillId="0" borderId="29" xfId="0" applyBorder="1" applyAlignment="1">
      <alignment/>
    </xf>
    <xf numFmtId="0" fontId="0" fillId="0" borderId="33" xfId="0" applyBorder="1" applyAlignment="1">
      <alignment/>
    </xf>
    <xf numFmtId="169" fontId="0" fillId="0" borderId="34" xfId="50" applyFont="1" applyBorder="1" applyAlignment="1">
      <alignment/>
    </xf>
    <xf numFmtId="169" fontId="0" fillId="0" borderId="35" xfId="50" applyFont="1" applyBorder="1" applyAlignment="1">
      <alignment/>
    </xf>
    <xf numFmtId="169" fontId="0" fillId="0" borderId="36" xfId="50" applyFont="1" applyBorder="1" applyAlignment="1">
      <alignment/>
    </xf>
    <xf numFmtId="169" fontId="0" fillId="0" borderId="37" xfId="50" applyFont="1" applyBorder="1" applyAlignment="1">
      <alignment/>
    </xf>
    <xf numFmtId="169" fontId="0" fillId="0" borderId="38" xfId="50" applyFont="1" applyBorder="1" applyAlignment="1">
      <alignment/>
    </xf>
    <xf numFmtId="169" fontId="0" fillId="0" borderId="39" xfId="50" applyFont="1" applyBorder="1" applyAlignment="1">
      <alignment/>
    </xf>
    <xf numFmtId="169" fontId="0" fillId="0" borderId="40" xfId="50" applyFont="1" applyBorder="1" applyAlignment="1">
      <alignment/>
    </xf>
    <xf numFmtId="169" fontId="0" fillId="0" borderId="41" xfId="50" applyFont="1" applyBorder="1" applyAlignment="1">
      <alignment/>
    </xf>
    <xf numFmtId="169" fontId="0" fillId="0" borderId="24" xfId="50" applyFont="1" applyBorder="1" applyAlignment="1">
      <alignment/>
    </xf>
    <xf numFmtId="169" fontId="0" fillId="0" borderId="29" xfId="50" applyFont="1" applyBorder="1" applyAlignment="1">
      <alignment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center"/>
    </xf>
    <xf numFmtId="172" fontId="0" fillId="0" borderId="10" xfId="55" applyNumberFormat="1" applyFont="1" applyBorder="1" applyAlignment="1">
      <alignment/>
    </xf>
    <xf numFmtId="170" fontId="0" fillId="0" borderId="0" xfId="52" applyBorder="1" applyAlignment="1">
      <alignment/>
    </xf>
    <xf numFmtId="0" fontId="0" fillId="0" borderId="10" xfId="0" applyBorder="1" applyAlignment="1">
      <alignment horizontal="right"/>
    </xf>
    <xf numFmtId="169" fontId="2" fillId="0" borderId="10" xfId="50" applyFont="1" applyBorder="1" applyAlignment="1">
      <alignment horizontal="right"/>
    </xf>
    <xf numFmtId="170" fontId="2" fillId="0" borderId="10" xfId="0" applyNumberFormat="1" applyFont="1" applyBorder="1" applyAlignment="1">
      <alignment horizontal="right"/>
    </xf>
    <xf numFmtId="169" fontId="2" fillId="40" borderId="10" xfId="50" applyFont="1" applyFill="1" applyBorder="1" applyAlignment="1">
      <alignment/>
    </xf>
    <xf numFmtId="169" fontId="4" fillId="0" borderId="10" xfId="50" applyFont="1" applyBorder="1" applyAlignment="1">
      <alignment/>
    </xf>
    <xf numFmtId="169" fontId="0" fillId="0" borderId="10" xfId="50" applyFont="1" applyBorder="1" applyAlignment="1">
      <alignment/>
    </xf>
    <xf numFmtId="0" fontId="2" fillId="43" borderId="10" xfId="0" applyFont="1" applyFill="1" applyBorder="1" applyAlignment="1">
      <alignment/>
    </xf>
    <xf numFmtId="169" fontId="2" fillId="43" borderId="10" xfId="50" applyFont="1" applyFill="1" applyBorder="1" applyAlignment="1">
      <alignment/>
    </xf>
    <xf numFmtId="0" fontId="2" fillId="44" borderId="10" xfId="0" applyFont="1" applyFill="1" applyBorder="1" applyAlignment="1">
      <alignment/>
    </xf>
    <xf numFmtId="169" fontId="2" fillId="44" borderId="10" xfId="50" applyFont="1" applyFill="1" applyBorder="1" applyAlignment="1">
      <alignment/>
    </xf>
    <xf numFmtId="0" fontId="2" fillId="0" borderId="10" xfId="0" applyFont="1" applyFill="1" applyBorder="1" applyAlignment="1">
      <alignment/>
    </xf>
    <xf numFmtId="169" fontId="2" fillId="0" borderId="10" xfId="50" applyFont="1" applyFill="1" applyBorder="1" applyAlignment="1">
      <alignment/>
    </xf>
    <xf numFmtId="0" fontId="0" fillId="45" borderId="10" xfId="0" applyFill="1" applyBorder="1" applyAlignment="1">
      <alignment/>
    </xf>
    <xf numFmtId="169" fontId="0" fillId="45" borderId="10" xfId="50" applyFont="1" applyFill="1" applyBorder="1" applyAlignment="1">
      <alignment/>
    </xf>
    <xf numFmtId="169" fontId="2" fillId="36" borderId="10" xfId="50" applyFont="1" applyFill="1" applyBorder="1" applyAlignment="1">
      <alignment/>
    </xf>
    <xf numFmtId="43" fontId="6" fillId="46" borderId="42" xfId="48" applyFont="1" applyFill="1" applyBorder="1" applyAlignment="1">
      <alignment/>
    </xf>
    <xf numFmtId="43" fontId="7" fillId="0" borderId="43" xfId="48" applyFont="1" applyBorder="1" applyAlignment="1">
      <alignment/>
    </xf>
    <xf numFmtId="43" fontId="7" fillId="0" borderId="43" xfId="48" applyFont="1" applyFill="1" applyBorder="1" applyAlignment="1">
      <alignment/>
    </xf>
    <xf numFmtId="0" fontId="0" fillId="0" borderId="44" xfId="0" applyBorder="1" applyAlignment="1">
      <alignment/>
    </xf>
    <xf numFmtId="0" fontId="7" fillId="0" borderId="44" xfId="0" applyFont="1" applyBorder="1" applyAlignment="1">
      <alignment/>
    </xf>
    <xf numFmtId="0" fontId="6" fillId="46" borderId="11" xfId="0" applyFont="1" applyFill="1" applyBorder="1" applyAlignment="1">
      <alignment/>
    </xf>
    <xf numFmtId="43" fontId="6" fillId="46" borderId="45" xfId="48" applyFont="1" applyFill="1" applyBorder="1" applyAlignment="1">
      <alignment/>
    </xf>
    <xf numFmtId="0" fontId="6" fillId="0" borderId="11" xfId="0" applyFont="1" applyBorder="1" applyAlignment="1">
      <alignment/>
    </xf>
    <xf numFmtId="43" fontId="7" fillId="0" borderId="46" xfId="48" applyFont="1" applyBorder="1" applyAlignment="1">
      <alignment/>
    </xf>
    <xf numFmtId="43" fontId="7" fillId="0" borderId="46" xfId="48" applyFont="1" applyFill="1" applyBorder="1" applyAlignment="1">
      <alignment/>
    </xf>
    <xf numFmtId="0" fontId="6" fillId="47" borderId="21" xfId="0" applyFont="1" applyFill="1" applyBorder="1" applyAlignment="1">
      <alignment/>
    </xf>
    <xf numFmtId="43" fontId="6" fillId="47" borderId="13" xfId="48" applyFont="1" applyFill="1" applyBorder="1" applyAlignment="1">
      <alignment horizontal="left" indent="1"/>
    </xf>
    <xf numFmtId="43" fontId="6" fillId="47" borderId="14" xfId="48" applyFont="1" applyFill="1" applyBorder="1" applyAlignment="1">
      <alignment horizontal="left" indent="1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169" fontId="0" fillId="0" borderId="0" xfId="50" applyFont="1" applyFill="1" applyBorder="1" applyAlignment="1">
      <alignment horizontal="center"/>
    </xf>
    <xf numFmtId="0" fontId="0" fillId="0" borderId="0" xfId="50" applyNumberFormat="1" applyFont="1" applyFill="1" applyBorder="1" applyAlignment="1">
      <alignment/>
    </xf>
    <xf numFmtId="170" fontId="0" fillId="0" borderId="0" xfId="50" applyNumberFormat="1" applyFont="1" applyFill="1" applyBorder="1" applyAlignment="1">
      <alignment/>
    </xf>
    <xf numFmtId="170" fontId="0" fillId="0" borderId="0" xfId="0" applyNumberFormat="1" applyFill="1" applyBorder="1" applyAlignment="1">
      <alignment/>
    </xf>
    <xf numFmtId="169" fontId="0" fillId="0" borderId="0" xfId="50" applyFont="1" applyFill="1" applyBorder="1" applyAlignment="1">
      <alignment/>
    </xf>
    <xf numFmtId="0" fontId="2" fillId="0" borderId="0" xfId="0" applyFont="1" applyFill="1" applyBorder="1" applyAlignment="1">
      <alignment/>
    </xf>
    <xf numFmtId="169" fontId="2" fillId="0" borderId="0" xfId="50" applyFont="1" applyFill="1" applyBorder="1" applyAlignment="1">
      <alignment/>
    </xf>
    <xf numFmtId="0" fontId="2" fillId="0" borderId="0" xfId="50" applyNumberFormat="1" applyFont="1" applyFill="1" applyBorder="1" applyAlignment="1">
      <alignment/>
    </xf>
    <xf numFmtId="0" fontId="8" fillId="42" borderId="10" xfId="0" applyFont="1" applyFill="1" applyBorder="1" applyAlignment="1">
      <alignment/>
    </xf>
    <xf numFmtId="170" fontId="8" fillId="42" borderId="10" xfId="0" applyNumberFormat="1" applyFont="1" applyFill="1" applyBorder="1" applyAlignment="1">
      <alignment/>
    </xf>
    <xf numFmtId="10" fontId="2" fillId="0" borderId="10" xfId="55" applyNumberFormat="1" applyFont="1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0" xfId="0" applyFont="1" applyBorder="1" applyAlignment="1">
      <alignment horizontal="right"/>
    </xf>
    <xf numFmtId="0" fontId="0" fillId="0" borderId="26" xfId="0" applyBorder="1" applyAlignment="1">
      <alignment/>
    </xf>
    <xf numFmtId="0" fontId="0" fillId="0" borderId="26" xfId="0" applyFont="1" applyBorder="1" applyAlignment="1">
      <alignment horizontal="right"/>
    </xf>
    <xf numFmtId="0" fontId="0" fillId="0" borderId="47" xfId="0" applyBorder="1" applyAlignment="1">
      <alignment/>
    </xf>
    <xf numFmtId="0" fontId="0" fillId="0" borderId="48" xfId="0" applyFont="1" applyBorder="1" applyAlignment="1">
      <alignment horizontal="right"/>
    </xf>
    <xf numFmtId="0" fontId="0" fillId="0" borderId="49" xfId="0" applyFont="1" applyBorder="1" applyAlignment="1">
      <alignment/>
    </xf>
    <xf numFmtId="0" fontId="11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52" xfId="0" applyFont="1" applyBorder="1" applyAlignment="1">
      <alignment/>
    </xf>
    <xf numFmtId="0" fontId="0" fillId="0" borderId="52" xfId="0" applyFont="1" applyFill="1" applyBorder="1" applyAlignment="1">
      <alignment/>
    </xf>
    <xf numFmtId="0" fontId="0" fillId="0" borderId="53" xfId="0" applyFont="1" applyFill="1" applyBorder="1" applyAlignment="1">
      <alignment/>
    </xf>
    <xf numFmtId="0" fontId="0" fillId="0" borderId="54" xfId="0" applyFont="1" applyFill="1" applyBorder="1" applyAlignment="1">
      <alignment horizontal="left"/>
    </xf>
    <xf numFmtId="0" fontId="0" fillId="0" borderId="55" xfId="0" applyFont="1" applyBorder="1" applyAlignment="1">
      <alignment horizontal="left"/>
    </xf>
    <xf numFmtId="2" fontId="0" fillId="0" borderId="56" xfId="0" applyNumberFormat="1" applyBorder="1" applyAlignment="1">
      <alignment/>
    </xf>
    <xf numFmtId="2" fontId="0" fillId="0" borderId="57" xfId="0" applyNumberFormat="1" applyBorder="1" applyAlignment="1">
      <alignment/>
    </xf>
    <xf numFmtId="0" fontId="0" fillId="0" borderId="38" xfId="0" applyBorder="1" applyAlignment="1">
      <alignment horizontal="center"/>
    </xf>
    <xf numFmtId="170" fontId="0" fillId="0" borderId="10" xfId="50" applyNumberFormat="1" applyFont="1" applyBorder="1" applyAlignment="1">
      <alignment/>
    </xf>
    <xf numFmtId="170" fontId="2" fillId="0" borderId="10" xfId="5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170" fontId="0" fillId="0" borderId="0" xfId="0" applyNumberFormat="1" applyBorder="1" applyAlignment="1">
      <alignment/>
    </xf>
    <xf numFmtId="170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171" fontId="0" fillId="0" borderId="0" xfId="0" applyNumberFormat="1" applyBorder="1" applyAlignment="1">
      <alignment/>
    </xf>
    <xf numFmtId="171" fontId="2" fillId="0" borderId="0" xfId="0" applyNumberFormat="1" applyFont="1" applyBorder="1" applyAlignment="1">
      <alignment/>
    </xf>
    <xf numFmtId="0" fontId="2" fillId="0" borderId="31" xfId="0" applyFont="1" applyFill="1" applyBorder="1" applyAlignment="1">
      <alignment horizontal="center"/>
    </xf>
    <xf numFmtId="2" fontId="0" fillId="0" borderId="0" xfId="0" applyNumberFormat="1" applyBorder="1" applyAlignment="1">
      <alignment/>
    </xf>
    <xf numFmtId="0" fontId="0" fillId="0" borderId="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12" fillId="0" borderId="0" xfId="0" applyFont="1" applyAlignment="1">
      <alignment/>
    </xf>
    <xf numFmtId="0" fontId="0" fillId="0" borderId="58" xfId="0" applyBorder="1" applyAlignment="1">
      <alignment/>
    </xf>
    <xf numFmtId="9" fontId="0" fillId="0" borderId="48" xfId="55" applyFont="1" applyBorder="1" applyAlignment="1">
      <alignment/>
    </xf>
    <xf numFmtId="169" fontId="13" fillId="0" borderId="10" xfId="50" applyFont="1" applyBorder="1" applyAlignment="1">
      <alignment/>
    </xf>
    <xf numFmtId="0" fontId="0" fillId="0" borderId="38" xfId="0" applyBorder="1" applyAlignment="1">
      <alignment/>
    </xf>
    <xf numFmtId="169" fontId="4" fillId="0" borderId="0" xfId="50" applyFont="1" applyBorder="1" applyAlignment="1">
      <alignment/>
    </xf>
    <xf numFmtId="169" fontId="12" fillId="0" borderId="0" xfId="0" applyNumberFormat="1" applyFont="1" applyAlignment="1">
      <alignment/>
    </xf>
    <xf numFmtId="0" fontId="13" fillId="0" borderId="0" xfId="0" applyFont="1" applyAlignment="1">
      <alignment/>
    </xf>
    <xf numFmtId="0" fontId="0" fillId="41" borderId="0" xfId="0" applyFill="1" applyAlignment="1">
      <alignment/>
    </xf>
    <xf numFmtId="169" fontId="12" fillId="41" borderId="0" xfId="0" applyNumberFormat="1" applyFont="1" applyFill="1" applyAlignment="1">
      <alignment/>
    </xf>
    <xf numFmtId="0" fontId="12" fillId="41" borderId="0" xfId="0" applyFont="1" applyFill="1" applyAlignment="1">
      <alignment/>
    </xf>
    <xf numFmtId="169" fontId="4" fillId="41" borderId="0" xfId="50" applyFont="1" applyFill="1" applyBorder="1" applyAlignment="1">
      <alignment/>
    </xf>
    <xf numFmtId="170" fontId="0" fillId="0" borderId="0" xfId="0" applyNumberFormat="1" applyAlignment="1">
      <alignment/>
    </xf>
    <xf numFmtId="171" fontId="0" fillId="0" borderId="10" xfId="0" applyNumberFormat="1" applyFont="1" applyBorder="1" applyAlignment="1">
      <alignment horizontal="center"/>
    </xf>
    <xf numFmtId="171" fontId="2" fillId="0" borderId="10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26" xfId="0" applyFont="1" applyBorder="1" applyAlignment="1">
      <alignment/>
    </xf>
    <xf numFmtId="171" fontId="0" fillId="0" borderId="26" xfId="0" applyNumberFormat="1" applyFont="1" applyBorder="1" applyAlignment="1">
      <alignment/>
    </xf>
    <xf numFmtId="0" fontId="2" fillId="0" borderId="59" xfId="0" applyFont="1" applyBorder="1" applyAlignment="1">
      <alignment/>
    </xf>
    <xf numFmtId="0" fontId="2" fillId="0" borderId="35" xfId="0" applyFont="1" applyBorder="1" applyAlignment="1">
      <alignment/>
    </xf>
    <xf numFmtId="171" fontId="2" fillId="0" borderId="26" xfId="0" applyNumberFormat="1" applyFont="1" applyBorder="1" applyAlignment="1">
      <alignment/>
    </xf>
    <xf numFmtId="0" fontId="0" fillId="0" borderId="10" xfId="0" applyFont="1" applyFill="1" applyBorder="1" applyAlignment="1">
      <alignment horizontal="right"/>
    </xf>
    <xf numFmtId="0" fontId="2" fillId="0" borderId="58" xfId="0" applyFont="1" applyBorder="1" applyAlignment="1">
      <alignment/>
    </xf>
    <xf numFmtId="0" fontId="0" fillId="0" borderId="59" xfId="0" applyFont="1" applyFill="1" applyBorder="1" applyAlignment="1">
      <alignment horizontal="left"/>
    </xf>
    <xf numFmtId="0" fontId="0" fillId="0" borderId="58" xfId="0" applyFont="1" applyBorder="1" applyAlignment="1">
      <alignment horizontal="left"/>
    </xf>
    <xf numFmtId="0" fontId="0" fillId="0" borderId="58" xfId="0" applyFont="1" applyFill="1" applyBorder="1" applyAlignment="1">
      <alignment horizontal="left"/>
    </xf>
    <xf numFmtId="0" fontId="2" fillId="0" borderId="43" xfId="0" applyFont="1" applyFill="1" applyBorder="1" applyAlignment="1">
      <alignment/>
    </xf>
    <xf numFmtId="170" fontId="2" fillId="0" borderId="0" xfId="0" applyNumberFormat="1" applyFont="1" applyAlignment="1">
      <alignment/>
    </xf>
    <xf numFmtId="43" fontId="2" fillId="0" borderId="0" xfId="0" applyNumberFormat="1" applyFont="1" applyAlignment="1">
      <alignment/>
    </xf>
    <xf numFmtId="0" fontId="2" fillId="48" borderId="58" xfId="0" applyFont="1" applyFill="1" applyBorder="1" applyAlignment="1">
      <alignment horizontal="center"/>
    </xf>
    <xf numFmtId="0" fontId="2" fillId="48" borderId="48" xfId="0" applyFont="1" applyFill="1" applyBorder="1" applyAlignment="1">
      <alignment horizontal="center"/>
    </xf>
    <xf numFmtId="0" fontId="6" fillId="0" borderId="43" xfId="48" applyNumberFormat="1" applyFont="1" applyBorder="1" applyAlignment="1">
      <alignment horizontal="center"/>
    </xf>
    <xf numFmtId="0" fontId="6" fillId="0" borderId="26" xfId="48" applyNumberFormat="1" applyFont="1" applyBorder="1" applyAlignment="1">
      <alignment horizontal="center"/>
    </xf>
    <xf numFmtId="0" fontId="6" fillId="0" borderId="46" xfId="48" applyNumberFormat="1" applyFont="1" applyBorder="1" applyAlignment="1">
      <alignment horizontal="center"/>
    </xf>
    <xf numFmtId="0" fontId="6" fillId="0" borderId="60" xfId="48" applyNumberFormat="1" applyFont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171" fontId="0" fillId="0" borderId="10" xfId="50" applyNumberFormat="1" applyFont="1" applyBorder="1" applyAlignment="1">
      <alignment horizontal="center"/>
    </xf>
    <xf numFmtId="171" fontId="0" fillId="0" borderId="10" xfId="0" applyNumberFormat="1" applyBorder="1" applyAlignment="1">
      <alignment horizontal="center" wrapText="1"/>
    </xf>
    <xf numFmtId="0" fontId="2" fillId="48" borderId="61" xfId="0" applyFont="1" applyFill="1" applyBorder="1" applyAlignment="1">
      <alignment horizontal="center"/>
    </xf>
    <xf numFmtId="0" fontId="2" fillId="48" borderId="62" xfId="0" applyFont="1" applyFill="1" applyBorder="1" applyAlignment="1">
      <alignment horizontal="center"/>
    </xf>
    <xf numFmtId="0" fontId="2" fillId="48" borderId="63" xfId="0" applyFont="1" applyFill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2" fillId="0" borderId="58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48" borderId="38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171" fontId="0" fillId="0" borderId="27" xfId="0" applyNumberForma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169" fontId="2" fillId="0" borderId="10" xfId="50" applyFont="1" applyBorder="1" applyAlignment="1">
      <alignment horizontal="center"/>
    </xf>
    <xf numFmtId="0" fontId="2" fillId="40" borderId="10" xfId="0" applyFont="1" applyFill="1" applyBorder="1" applyAlignment="1">
      <alignment horizontal="center"/>
    </xf>
    <xf numFmtId="0" fontId="0" fillId="40" borderId="10" xfId="0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48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49" fillId="48" borderId="10" xfId="0" applyFont="1" applyFill="1" applyBorder="1" applyAlignment="1">
      <alignment horizontal="center"/>
    </xf>
    <xf numFmtId="0" fontId="0" fillId="42" borderId="64" xfId="0" applyFill="1" applyBorder="1" applyAlignment="1">
      <alignment horizontal="center"/>
    </xf>
    <xf numFmtId="0" fontId="0" fillId="42" borderId="59" xfId="0" applyFill="1" applyBorder="1" applyAlignment="1">
      <alignment horizontal="center"/>
    </xf>
    <xf numFmtId="170" fontId="2" fillId="0" borderId="10" xfId="50" applyNumberFormat="1" applyFont="1" applyBorder="1" applyAlignment="1">
      <alignment horizontal="center"/>
    </xf>
    <xf numFmtId="0" fontId="2" fillId="0" borderId="65" xfId="0" applyFont="1" applyBorder="1" applyAlignment="1">
      <alignment horizontal="center" wrapText="1"/>
    </xf>
    <xf numFmtId="0" fontId="2" fillId="0" borderId="66" xfId="0" applyFont="1" applyBorder="1" applyAlignment="1">
      <alignment horizontal="center" wrapText="1"/>
    </xf>
    <xf numFmtId="0" fontId="2" fillId="0" borderId="58" xfId="0" applyFont="1" applyFill="1" applyBorder="1" applyAlignment="1">
      <alignment horizontal="center"/>
    </xf>
    <xf numFmtId="0" fontId="2" fillId="0" borderId="48" xfId="0" applyFont="1" applyFill="1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48" xfId="0" applyBorder="1" applyAlignment="1">
      <alignment horizontal="center"/>
    </xf>
    <xf numFmtId="0" fontId="2" fillId="0" borderId="27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0" fillId="0" borderId="38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48" borderId="38" xfId="0" applyFill="1" applyBorder="1" applyAlignment="1">
      <alignment horizontal="center"/>
    </xf>
    <xf numFmtId="0" fontId="0" fillId="48" borderId="48" xfId="0" applyFill="1" applyBorder="1" applyAlignment="1">
      <alignment horizontal="center"/>
    </xf>
    <xf numFmtId="0" fontId="0" fillId="0" borderId="62" xfId="0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Moneda_calculo de recuperacion inversion tractores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avilion\Desktop\Tesis%20Final\tesis%20final\CUADR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mpetencia"/>
      <sheetName val="Inv Inic"/>
      <sheetName val="Financiamiento"/>
      <sheetName val="Proy Dem"/>
      <sheetName val=" Otros Ingresos"/>
      <sheetName val="Préstamo"/>
      <sheetName val="Depre y Mant"/>
      <sheetName val="Amort"/>
      <sheetName val="Personal"/>
      <sheetName val="Arriendo"/>
      <sheetName val="Serv Basicos"/>
      <sheetName val="Gsts Gen "/>
      <sheetName val="Publi"/>
      <sheetName val="CyG Fijos"/>
      <sheetName val="CyG Var"/>
      <sheetName val="CCPP"/>
      <sheetName val="PyG"/>
      <sheetName val="F.C"/>
      <sheetName val="bancos"/>
      <sheetName val="Balance"/>
      <sheetName val="PtoEqu"/>
      <sheetName val="Ratios"/>
      <sheetName val="Sensibilida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6"/>
  <sheetViews>
    <sheetView tabSelected="1" zoomScale="75" zoomScaleNormal="75" zoomScalePageLayoutView="0" workbookViewId="0" topLeftCell="A112">
      <selection activeCell="B85" sqref="B85:H92"/>
    </sheetView>
  </sheetViews>
  <sheetFormatPr defaultColWidth="11.421875" defaultRowHeight="12.75"/>
  <cols>
    <col min="1" max="1" width="4.140625" style="0" customWidth="1"/>
    <col min="2" max="2" width="35.8515625" style="0" bestFit="1" customWidth="1"/>
    <col min="3" max="3" width="26.57421875" style="0" bestFit="1" customWidth="1"/>
    <col min="4" max="4" width="15.57421875" style="0" bestFit="1" customWidth="1"/>
    <col min="5" max="5" width="17.28125" style="0" customWidth="1"/>
    <col min="6" max="6" width="15.00390625" style="0" customWidth="1"/>
    <col min="7" max="7" width="26.140625" style="0" customWidth="1"/>
    <col min="8" max="8" width="18.8515625" style="0" customWidth="1"/>
    <col min="9" max="9" width="15.28125" style="0" customWidth="1"/>
    <col min="10" max="10" width="26.7109375" style="0" customWidth="1"/>
    <col min="11" max="11" width="12.8515625" style="0" bestFit="1" customWidth="1"/>
    <col min="12" max="12" width="16.8515625" style="0" bestFit="1" customWidth="1"/>
    <col min="13" max="13" width="12.7109375" style="0" bestFit="1" customWidth="1"/>
  </cols>
  <sheetData>
    <row r="1" spans="2:5" ht="12.75">
      <c r="B1">
        <v>1</v>
      </c>
      <c r="E1">
        <v>2</v>
      </c>
    </row>
    <row r="2" spans="2:13" ht="12.75">
      <c r="B2" s="228" t="s">
        <v>45</v>
      </c>
      <c r="C2" s="230"/>
      <c r="E2" s="236" t="s">
        <v>53</v>
      </c>
      <c r="F2" s="236"/>
      <c r="G2" s="236"/>
      <c r="H2" s="236"/>
      <c r="J2" s="1" t="s">
        <v>54</v>
      </c>
      <c r="K2" s="1" t="s">
        <v>55</v>
      </c>
      <c r="L2" s="1" t="s">
        <v>56</v>
      </c>
      <c r="M2" s="1" t="s">
        <v>57</v>
      </c>
    </row>
    <row r="3" spans="2:13" ht="12.75">
      <c r="B3" s="1" t="s">
        <v>46</v>
      </c>
      <c r="C3" s="1" t="s">
        <v>47</v>
      </c>
      <c r="E3" s="1" t="s">
        <v>54</v>
      </c>
      <c r="F3" s="1" t="s">
        <v>55</v>
      </c>
      <c r="G3" s="1" t="s">
        <v>56</v>
      </c>
      <c r="H3" s="1" t="s">
        <v>57</v>
      </c>
      <c r="J3" s="232" t="s">
        <v>58</v>
      </c>
      <c r="K3" s="232"/>
      <c r="L3" s="232"/>
      <c r="M3" s="232"/>
    </row>
    <row r="4" spans="2:13" ht="12.75">
      <c r="B4" s="53" t="s">
        <v>48</v>
      </c>
      <c r="C4" s="16">
        <f>H10+M11+E25</f>
        <v>23406.1</v>
      </c>
      <c r="E4" s="219" t="s">
        <v>58</v>
      </c>
      <c r="F4" s="219"/>
      <c r="G4" s="219"/>
      <c r="H4" s="219"/>
      <c r="J4" s="3" t="s">
        <v>211</v>
      </c>
      <c r="K4" s="3">
        <v>3</v>
      </c>
      <c r="L4" s="169">
        <v>600</v>
      </c>
      <c r="M4" s="169">
        <f>K4*L4</f>
        <v>1800</v>
      </c>
    </row>
    <row r="5" spans="2:13" ht="12.75">
      <c r="B5" s="54" t="s">
        <v>49</v>
      </c>
      <c r="C5" s="55">
        <v>400</v>
      </c>
      <c r="E5" s="3" t="s">
        <v>59</v>
      </c>
      <c r="F5" s="3">
        <v>5</v>
      </c>
      <c r="G5" s="16">
        <v>150</v>
      </c>
      <c r="H5" s="16">
        <f>F5*G5</f>
        <v>750</v>
      </c>
      <c r="J5" s="3" t="s">
        <v>212</v>
      </c>
      <c r="K5" s="3">
        <v>1</v>
      </c>
      <c r="L5" s="169">
        <v>280</v>
      </c>
      <c r="M5" s="169">
        <f>K5*L5</f>
        <v>280</v>
      </c>
    </row>
    <row r="6" spans="2:13" ht="12.75">
      <c r="B6" s="54" t="s">
        <v>50</v>
      </c>
      <c r="C6" s="16">
        <v>900</v>
      </c>
      <c r="E6" s="3" t="s">
        <v>60</v>
      </c>
      <c r="F6" s="3">
        <v>2</v>
      </c>
      <c r="G6" s="16">
        <v>50</v>
      </c>
      <c r="H6" s="16">
        <f>F6*G6</f>
        <v>100</v>
      </c>
      <c r="J6" s="3" t="s">
        <v>213</v>
      </c>
      <c r="K6" s="3">
        <v>2</v>
      </c>
      <c r="L6" s="169">
        <v>25</v>
      </c>
      <c r="M6" s="169">
        <f>K6*L6</f>
        <v>50</v>
      </c>
    </row>
    <row r="7" spans="2:13" ht="12.75">
      <c r="B7" s="54" t="s">
        <v>51</v>
      </c>
      <c r="C7" s="16">
        <f>K21</f>
        <v>28519.815000000002</v>
      </c>
      <c r="E7" s="3" t="s">
        <v>61</v>
      </c>
      <c r="F7" s="3">
        <v>4</v>
      </c>
      <c r="G7" s="16">
        <v>15</v>
      </c>
      <c r="H7" s="16">
        <f>F7*G7</f>
        <v>60</v>
      </c>
      <c r="J7" s="232" t="s">
        <v>63</v>
      </c>
      <c r="K7" s="232"/>
      <c r="L7" s="232"/>
      <c r="M7" s="170">
        <f>M4+M5+M6</f>
        <v>2130</v>
      </c>
    </row>
    <row r="8" spans="2:13" ht="12.75">
      <c r="B8" s="2" t="s">
        <v>52</v>
      </c>
      <c r="C8" s="56">
        <f>SUM(C4:C7)</f>
        <v>53225.915</v>
      </c>
      <c r="E8" s="3" t="s">
        <v>62</v>
      </c>
      <c r="F8" s="3">
        <v>3</v>
      </c>
      <c r="G8" s="16">
        <v>60</v>
      </c>
      <c r="H8" s="16">
        <f>F8*G8</f>
        <v>180</v>
      </c>
      <c r="J8" s="232" t="s">
        <v>214</v>
      </c>
      <c r="K8" s="232"/>
      <c r="L8" s="232"/>
      <c r="M8" s="232"/>
    </row>
    <row r="9" spans="5:13" ht="12.75">
      <c r="E9" s="232" t="s">
        <v>63</v>
      </c>
      <c r="F9" s="232"/>
      <c r="G9" s="232"/>
      <c r="H9" s="58">
        <f>H5+H6+H7+H8</f>
        <v>1090</v>
      </c>
      <c r="J9" s="3" t="s">
        <v>215</v>
      </c>
      <c r="K9" s="3">
        <v>1</v>
      </c>
      <c r="L9" s="169">
        <v>55</v>
      </c>
      <c r="M9" s="169">
        <f>K9*L9</f>
        <v>55</v>
      </c>
    </row>
    <row r="10" spans="5:13" ht="12.75">
      <c r="E10" s="235" t="s">
        <v>64</v>
      </c>
      <c r="F10" s="235"/>
      <c r="G10" s="235"/>
      <c r="H10" s="58">
        <f>H9</f>
        <v>1090</v>
      </c>
      <c r="J10" s="232" t="s">
        <v>216</v>
      </c>
      <c r="K10" s="232"/>
      <c r="L10" s="232"/>
      <c r="M10" s="170">
        <f>M9</f>
        <v>55</v>
      </c>
    </row>
    <row r="11" spans="10:13" ht="12.75">
      <c r="J11" s="245" t="s">
        <v>217</v>
      </c>
      <c r="K11" s="245"/>
      <c r="L11" s="245"/>
      <c r="M11" s="170">
        <f>M7+M10</f>
        <v>2185</v>
      </c>
    </row>
    <row r="14" spans="2:14" ht="12.75">
      <c r="B14">
        <v>4</v>
      </c>
      <c r="G14">
        <v>5</v>
      </c>
      <c r="J14" s="248" t="s">
        <v>228</v>
      </c>
      <c r="K14" s="249"/>
      <c r="M14" s="238"/>
      <c r="N14" s="238"/>
    </row>
    <row r="15" spans="2:14" ht="12.75">
      <c r="B15" s="236" t="s">
        <v>65</v>
      </c>
      <c r="C15" s="237"/>
      <c r="D15" s="237"/>
      <c r="E15" s="237"/>
      <c r="G15" s="232" t="s">
        <v>75</v>
      </c>
      <c r="H15" s="232"/>
      <c r="J15" s="1" t="s">
        <v>85</v>
      </c>
      <c r="K15" s="1" t="s">
        <v>86</v>
      </c>
      <c r="M15" s="171"/>
      <c r="N15" s="171"/>
    </row>
    <row r="16" spans="2:14" ht="12.75">
      <c r="B16" s="1" t="s">
        <v>54</v>
      </c>
      <c r="C16" s="1" t="s">
        <v>55</v>
      </c>
      <c r="D16" s="1" t="s">
        <v>66</v>
      </c>
      <c r="E16" s="1" t="s">
        <v>57</v>
      </c>
      <c r="G16" s="1" t="s">
        <v>46</v>
      </c>
      <c r="H16" s="1" t="s">
        <v>47</v>
      </c>
      <c r="J16" s="3" t="s">
        <v>218</v>
      </c>
      <c r="K16" s="11">
        <f>M44</f>
        <v>6457.8150000000005</v>
      </c>
      <c r="L16">
        <f>K16*12</f>
        <v>77493.78</v>
      </c>
      <c r="M16" s="80"/>
      <c r="N16" s="172"/>
    </row>
    <row r="17" spans="2:14" ht="12.75">
      <c r="B17" s="232" t="s">
        <v>67</v>
      </c>
      <c r="C17" s="232"/>
      <c r="D17" s="232"/>
      <c r="E17" s="232"/>
      <c r="G17" s="3" t="s">
        <v>76</v>
      </c>
      <c r="H17" s="16">
        <v>23</v>
      </c>
      <c r="J17" s="3" t="s">
        <v>219</v>
      </c>
      <c r="K17" s="11">
        <f>K52+K53</f>
        <v>1510</v>
      </c>
      <c r="L17">
        <f>K17*12</f>
        <v>18120</v>
      </c>
      <c r="M17" s="80"/>
      <c r="N17" s="172"/>
    </row>
    <row r="18" spans="2:14" ht="12.75">
      <c r="B18" s="30" t="s">
        <v>68</v>
      </c>
      <c r="C18" s="3">
        <v>1</v>
      </c>
      <c r="D18" s="16">
        <v>3865</v>
      </c>
      <c r="E18" s="16">
        <f>D18*1.7</f>
        <v>6570.5</v>
      </c>
      <c r="G18" s="3" t="s">
        <v>77</v>
      </c>
      <c r="H18" s="16">
        <v>30</v>
      </c>
      <c r="J18" s="3" t="s">
        <v>220</v>
      </c>
      <c r="K18" s="11">
        <f>SUM(K60:L61)</f>
        <v>1800</v>
      </c>
      <c r="L18">
        <f>K18*12</f>
        <v>21600</v>
      </c>
      <c r="M18" s="80"/>
      <c r="N18" s="172"/>
    </row>
    <row r="19" spans="2:14" ht="12.75">
      <c r="B19" s="30" t="s">
        <v>247</v>
      </c>
      <c r="C19" s="3">
        <v>1</v>
      </c>
      <c r="D19" s="16">
        <v>3298</v>
      </c>
      <c r="E19" s="16">
        <f>D19*1.7</f>
        <v>5606.599999999999</v>
      </c>
      <c r="G19" s="3" t="s">
        <v>78</v>
      </c>
      <c r="H19" s="16">
        <v>15</v>
      </c>
      <c r="J19" s="3" t="s">
        <v>221</v>
      </c>
      <c r="K19" s="11">
        <f>F65</f>
        <v>2500</v>
      </c>
      <c r="L19">
        <f>K19*12</f>
        <v>30000</v>
      </c>
      <c r="M19" s="80"/>
      <c r="N19" s="172"/>
    </row>
    <row r="20" spans="2:14" ht="12.75">
      <c r="B20" s="232" t="s">
        <v>69</v>
      </c>
      <c r="C20" s="232"/>
      <c r="D20" s="232"/>
      <c r="E20" s="58">
        <f>E18+E19</f>
        <v>12177.099999999999</v>
      </c>
      <c r="G20" s="3" t="s">
        <v>79</v>
      </c>
      <c r="H20" s="16">
        <v>23</v>
      </c>
      <c r="J20" s="3" t="s">
        <v>16</v>
      </c>
      <c r="K20" s="11">
        <f>C79+C80+C109+L100+O119</f>
        <v>16252</v>
      </c>
      <c r="L20">
        <f>K20*12</f>
        <v>195024</v>
      </c>
      <c r="M20" s="80"/>
      <c r="N20" s="172"/>
    </row>
    <row r="21" spans="2:14" ht="12.75">
      <c r="B21" s="232" t="s">
        <v>70</v>
      </c>
      <c r="C21" s="232"/>
      <c r="D21" s="232"/>
      <c r="E21" s="232"/>
      <c r="G21" s="3" t="s">
        <v>80</v>
      </c>
      <c r="H21" s="16">
        <v>55</v>
      </c>
      <c r="J21" s="1" t="s">
        <v>87</v>
      </c>
      <c r="K21" s="56">
        <f>SUM(K16:K20)</f>
        <v>28519.815000000002</v>
      </c>
      <c r="L21" s="56">
        <f>SUM(L16:L20)</f>
        <v>342237.78</v>
      </c>
      <c r="M21" s="171"/>
      <c r="N21" s="173"/>
    </row>
    <row r="22" spans="2:14" ht="12.75">
      <c r="B22" s="3" t="s">
        <v>71</v>
      </c>
      <c r="C22" s="3" t="s">
        <v>72</v>
      </c>
      <c r="D22" s="16">
        <v>6193</v>
      </c>
      <c r="E22" s="16">
        <v>7308</v>
      </c>
      <c r="G22" s="3" t="s">
        <v>81</v>
      </c>
      <c r="H22" s="16">
        <v>69</v>
      </c>
      <c r="M22" s="80"/>
      <c r="N22" s="80"/>
    </row>
    <row r="23" spans="2:14" ht="13.5" thickBot="1">
      <c r="B23" s="3" t="s">
        <v>73</v>
      </c>
      <c r="C23" s="28" t="s">
        <v>201</v>
      </c>
      <c r="D23" s="16">
        <f>E23*0.8474</f>
        <v>547.4204</v>
      </c>
      <c r="E23" s="16">
        <f>323*2</f>
        <v>646</v>
      </c>
      <c r="G23" s="3" t="s">
        <v>82</v>
      </c>
      <c r="H23" s="16">
        <v>135</v>
      </c>
      <c r="K23" s="174"/>
      <c r="L23" s="80"/>
      <c r="M23" s="80"/>
      <c r="N23" s="80"/>
    </row>
    <row r="24" spans="2:14" ht="13.5" thickBot="1">
      <c r="B24" s="232" t="s">
        <v>74</v>
      </c>
      <c r="C24" s="232"/>
      <c r="D24" s="232"/>
      <c r="E24" s="58">
        <f>E22+E23</f>
        <v>7954</v>
      </c>
      <c r="G24" s="3" t="s">
        <v>83</v>
      </c>
      <c r="H24" s="16">
        <v>50</v>
      </c>
      <c r="J24" s="246" t="s">
        <v>222</v>
      </c>
      <c r="K24" s="247"/>
      <c r="M24" s="239"/>
      <c r="N24" s="239"/>
    </row>
    <row r="25" spans="2:14" ht="12.75">
      <c r="B25" s="235" t="s">
        <v>52</v>
      </c>
      <c r="C25" s="235"/>
      <c r="D25" s="235"/>
      <c r="E25" s="58">
        <f>E20+E24</f>
        <v>20131.1</v>
      </c>
      <c r="G25" s="2" t="s">
        <v>84</v>
      </c>
      <c r="H25" s="58">
        <f>SUM(H17:H24)</f>
        <v>400</v>
      </c>
      <c r="J25" s="69" t="s">
        <v>85</v>
      </c>
      <c r="K25" s="69" t="s">
        <v>86</v>
      </c>
      <c r="M25" s="171"/>
      <c r="N25" s="171"/>
    </row>
    <row r="26" spans="10:14" ht="12.75">
      <c r="J26" s="30" t="s">
        <v>223</v>
      </c>
      <c r="K26" s="59">
        <f>M37</f>
        <v>1000</v>
      </c>
      <c r="M26" s="175"/>
      <c r="N26" s="176"/>
    </row>
    <row r="27" spans="10:14" ht="12.75">
      <c r="J27" s="30" t="s">
        <v>224</v>
      </c>
      <c r="K27" s="59">
        <f>M38</f>
        <v>900</v>
      </c>
      <c r="M27" s="175"/>
      <c r="N27" s="176"/>
    </row>
    <row r="28" spans="2:14" ht="12.75">
      <c r="B28">
        <v>7</v>
      </c>
      <c r="J28" s="30" t="s">
        <v>225</v>
      </c>
      <c r="K28" s="59">
        <f>M39</f>
        <v>800</v>
      </c>
      <c r="M28" s="175"/>
      <c r="N28" s="176"/>
    </row>
    <row r="29" spans="2:14" ht="12.75">
      <c r="B29" s="212" t="s">
        <v>88</v>
      </c>
      <c r="C29" s="231"/>
      <c r="D29" s="213"/>
      <c r="G29" s="68"/>
      <c r="J29" s="30" t="s">
        <v>226</v>
      </c>
      <c r="K29" s="59">
        <f>M40</f>
        <v>2560</v>
      </c>
      <c r="M29" s="175"/>
      <c r="N29" s="176"/>
    </row>
    <row r="30" spans="2:14" ht="12.75">
      <c r="B30" s="3" t="s">
        <v>89</v>
      </c>
      <c r="C30" s="21">
        <f>D30/$C$8</f>
        <v>0.29872666350592564</v>
      </c>
      <c r="D30" s="16">
        <v>15900</v>
      </c>
      <c r="E30" s="68"/>
      <c r="J30" s="30" t="s">
        <v>227</v>
      </c>
      <c r="K30" s="59">
        <f>M41</f>
        <v>550</v>
      </c>
      <c r="M30" s="175"/>
      <c r="N30" s="176"/>
    </row>
    <row r="31" spans="2:14" ht="12.75">
      <c r="B31" s="3" t="s">
        <v>90</v>
      </c>
      <c r="C31" s="21">
        <f>D31/$C$8</f>
        <v>0.7012733364940744</v>
      </c>
      <c r="D31" s="16">
        <f>C8-D30</f>
        <v>37325.915</v>
      </c>
      <c r="J31" s="1" t="s">
        <v>87</v>
      </c>
      <c r="K31" s="60">
        <f>SUM(K26:K30)</f>
        <v>5810</v>
      </c>
      <c r="M31" s="171"/>
      <c r="N31" s="177"/>
    </row>
    <row r="32" spans="2:4" ht="12.75">
      <c r="B32" s="2" t="s">
        <v>91</v>
      </c>
      <c r="C32" s="61">
        <v>1</v>
      </c>
      <c r="D32" s="58">
        <f>SUM(D30:D31)</f>
        <v>53225.915</v>
      </c>
    </row>
    <row r="34" spans="2:8" ht="12.75">
      <c r="B34" s="132"/>
      <c r="C34" s="132"/>
      <c r="D34" s="132"/>
      <c r="E34" s="132"/>
      <c r="F34" s="132"/>
      <c r="G34" s="132"/>
      <c r="H34" s="132"/>
    </row>
    <row r="35" spans="2:13" ht="12.75">
      <c r="B35" s="238"/>
      <c r="C35" s="238"/>
      <c r="D35" s="238"/>
      <c r="E35" s="238"/>
      <c r="F35" s="238"/>
      <c r="G35" s="238"/>
      <c r="H35" s="238"/>
      <c r="J35" s="241" t="s">
        <v>229</v>
      </c>
      <c r="K35" s="241"/>
      <c r="L35" s="241"/>
      <c r="M35" s="241"/>
    </row>
    <row r="36" spans="2:13" ht="12.75">
      <c r="B36" s="134"/>
      <c r="C36" s="134"/>
      <c r="D36" s="134"/>
      <c r="E36" s="134"/>
      <c r="F36" s="134"/>
      <c r="G36" s="134"/>
      <c r="H36" s="134"/>
      <c r="J36" s="1" t="s">
        <v>125</v>
      </c>
      <c r="K36" s="1" t="s">
        <v>151</v>
      </c>
      <c r="L36" s="1" t="s">
        <v>86</v>
      </c>
      <c r="M36" s="1" t="s">
        <v>87</v>
      </c>
    </row>
    <row r="37" spans="2:13" ht="12.75">
      <c r="B37" s="135"/>
      <c r="C37" s="157"/>
      <c r="D37" s="80"/>
      <c r="E37" s="158"/>
      <c r="F37" s="80"/>
      <c r="G37" s="80"/>
      <c r="H37" s="80"/>
      <c r="J37" s="70" t="s">
        <v>223</v>
      </c>
      <c r="K37" s="70">
        <v>1</v>
      </c>
      <c r="L37" s="70">
        <v>1000</v>
      </c>
      <c r="M37" s="70">
        <v>1000</v>
      </c>
    </row>
    <row r="38" spans="2:13" ht="12.75">
      <c r="B38" s="135"/>
      <c r="C38" s="136"/>
      <c r="D38" s="136"/>
      <c r="E38" s="136"/>
      <c r="F38" s="137"/>
      <c r="G38" s="137"/>
      <c r="H38" s="137"/>
      <c r="J38" s="70" t="s">
        <v>224</v>
      </c>
      <c r="K38" s="70">
        <v>1</v>
      </c>
      <c r="L38" s="70">
        <v>900</v>
      </c>
      <c r="M38" s="70">
        <v>900</v>
      </c>
    </row>
    <row r="39" spans="2:13" ht="12.75">
      <c r="B39" s="135"/>
      <c r="C39" s="136"/>
      <c r="D39" s="136"/>
      <c r="E39" s="136"/>
      <c r="F39" s="137"/>
      <c r="G39" s="137"/>
      <c r="H39" s="137"/>
      <c r="J39" s="70" t="s">
        <v>225</v>
      </c>
      <c r="K39" s="70">
        <v>1</v>
      </c>
      <c r="L39" s="70">
        <v>800</v>
      </c>
      <c r="M39" s="70">
        <v>800</v>
      </c>
    </row>
    <row r="40" spans="2:13" ht="12.75">
      <c r="B40" s="135"/>
      <c r="C40" s="136"/>
      <c r="D40" s="136"/>
      <c r="E40" s="136"/>
      <c r="F40" s="137"/>
      <c r="G40" s="137"/>
      <c r="H40" s="137"/>
      <c r="J40" s="70" t="s">
        <v>230</v>
      </c>
      <c r="K40" s="70">
        <v>8</v>
      </c>
      <c r="L40" s="70">
        <v>320</v>
      </c>
      <c r="M40" s="70">
        <f>L40*K40</f>
        <v>2560</v>
      </c>
    </row>
    <row r="41" spans="2:13" ht="12.75">
      <c r="B41" s="135"/>
      <c r="C41" s="136"/>
      <c r="D41" s="136"/>
      <c r="E41" s="136"/>
      <c r="F41" s="137"/>
      <c r="G41" s="137"/>
      <c r="H41" s="137"/>
      <c r="J41" s="70" t="s">
        <v>231</v>
      </c>
      <c r="K41" s="70">
        <v>2</v>
      </c>
      <c r="L41" s="70">
        <v>275</v>
      </c>
      <c r="M41" s="70">
        <f>L41*K41</f>
        <v>550</v>
      </c>
    </row>
    <row r="42" spans="2:13" ht="12.75">
      <c r="B42" s="132"/>
      <c r="C42" s="132"/>
      <c r="D42" s="132"/>
      <c r="E42" s="132"/>
      <c r="F42" s="132"/>
      <c r="G42" s="132"/>
      <c r="H42" s="132"/>
      <c r="J42" s="232" t="s">
        <v>134</v>
      </c>
      <c r="K42" s="232"/>
      <c r="L42" s="232"/>
      <c r="M42" s="170">
        <f>SUM(M37:M41)</f>
        <v>5810</v>
      </c>
    </row>
    <row r="43" spans="2:13" ht="12.75">
      <c r="B43" s="132"/>
      <c r="C43" s="132"/>
      <c r="D43" s="132"/>
      <c r="E43" s="132"/>
      <c r="F43" s="132"/>
      <c r="G43" s="132"/>
      <c r="H43" s="132"/>
      <c r="J43" s="234" t="s">
        <v>232</v>
      </c>
      <c r="K43" s="234"/>
      <c r="L43" s="234"/>
      <c r="M43" s="170">
        <f>M42*0.1115</f>
        <v>647.815</v>
      </c>
    </row>
    <row r="44" spans="2:13" ht="12.75">
      <c r="B44" s="238"/>
      <c r="C44" s="238"/>
      <c r="D44" s="238"/>
      <c r="E44" s="238"/>
      <c r="F44" s="238"/>
      <c r="G44" s="132"/>
      <c r="H44" s="132"/>
      <c r="J44" s="234" t="s">
        <v>233</v>
      </c>
      <c r="K44" s="234"/>
      <c r="L44" s="234"/>
      <c r="M44" s="170">
        <f>M42+M43</f>
        <v>6457.8150000000005</v>
      </c>
    </row>
    <row r="45" spans="2:13" ht="12.75">
      <c r="B45" s="133"/>
      <c r="C45" s="133"/>
      <c r="D45" s="133"/>
      <c r="E45" s="133"/>
      <c r="F45" s="133"/>
      <c r="G45" s="132"/>
      <c r="H45" s="132"/>
      <c r="J45" s="234" t="s">
        <v>92</v>
      </c>
      <c r="K45" s="234"/>
      <c r="L45" s="234"/>
      <c r="M45" s="104">
        <v>12</v>
      </c>
    </row>
    <row r="46" spans="2:13" ht="12.75">
      <c r="B46" s="138"/>
      <c r="C46" s="139"/>
      <c r="D46" s="139"/>
      <c r="E46" s="138"/>
      <c r="F46" s="140"/>
      <c r="G46" s="132"/>
      <c r="H46" s="132"/>
      <c r="J46" s="232" t="s">
        <v>93</v>
      </c>
      <c r="K46" s="232"/>
      <c r="L46" s="232"/>
      <c r="M46" s="104">
        <f>M44*M45</f>
        <v>77493.78</v>
      </c>
    </row>
    <row r="47" spans="2:8" ht="12.75">
      <c r="B47" s="132"/>
      <c r="C47" s="132"/>
      <c r="D47" s="132"/>
      <c r="E47" s="132"/>
      <c r="F47" s="132"/>
      <c r="G47" s="132"/>
      <c r="H47" s="132"/>
    </row>
    <row r="48" spans="2:8" ht="12.75">
      <c r="B48" s="132"/>
      <c r="C48" s="132"/>
      <c r="D48" s="132"/>
      <c r="E48" s="132"/>
      <c r="F48" s="132"/>
      <c r="G48" s="132"/>
      <c r="H48" s="132"/>
    </row>
    <row r="49" spans="2:8" ht="12.75">
      <c r="B49" s="238"/>
      <c r="C49" s="238"/>
      <c r="D49" s="132"/>
      <c r="E49" s="238"/>
      <c r="F49" s="238"/>
      <c r="G49" s="238"/>
      <c r="H49" s="132"/>
    </row>
    <row r="50" spans="2:13" ht="12.75">
      <c r="B50" s="132"/>
      <c r="C50" s="132"/>
      <c r="D50" s="132"/>
      <c r="E50" s="133"/>
      <c r="F50" s="133"/>
      <c r="G50" s="133"/>
      <c r="H50" s="132"/>
      <c r="J50" s="242" t="s">
        <v>234</v>
      </c>
      <c r="K50" s="242"/>
      <c r="L50" s="242"/>
      <c r="M50" s="242"/>
    </row>
    <row r="51" spans="2:13" ht="12.75">
      <c r="B51" s="132"/>
      <c r="C51" s="141"/>
      <c r="D51" s="132"/>
      <c r="E51" s="132"/>
      <c r="F51" s="141"/>
      <c r="G51" s="141"/>
      <c r="H51" s="132"/>
      <c r="J51" s="57" t="s">
        <v>120</v>
      </c>
      <c r="K51" s="57" t="s">
        <v>98</v>
      </c>
      <c r="L51" s="57" t="s">
        <v>92</v>
      </c>
      <c r="M51" s="57" t="s">
        <v>93</v>
      </c>
    </row>
    <row r="52" spans="2:13" ht="12.75">
      <c r="B52" s="132"/>
      <c r="C52" s="141"/>
      <c r="D52" s="132"/>
      <c r="E52" s="132"/>
      <c r="F52" s="132"/>
      <c r="G52" s="132"/>
      <c r="H52" s="132"/>
      <c r="J52" s="70" t="s">
        <v>235</v>
      </c>
      <c r="K52" s="169">
        <v>1005</v>
      </c>
      <c r="L52" s="57">
        <v>12</v>
      </c>
      <c r="M52" s="170">
        <f>K52*L52</f>
        <v>12060</v>
      </c>
    </row>
    <row r="53" spans="2:13" ht="12.75">
      <c r="B53" s="142"/>
      <c r="C53" s="143"/>
      <c r="D53" s="132"/>
      <c r="E53" s="132"/>
      <c r="F53" s="132"/>
      <c r="G53" s="132"/>
      <c r="H53" s="132"/>
      <c r="J53" s="70" t="s">
        <v>236</v>
      </c>
      <c r="K53" s="169">
        <v>505</v>
      </c>
      <c r="L53" s="57">
        <v>12</v>
      </c>
      <c r="M53" s="170">
        <f>K53*L53</f>
        <v>6060</v>
      </c>
    </row>
    <row r="54" spans="2:13" ht="13.5" thickBot="1">
      <c r="B54" s="142"/>
      <c r="C54" s="144"/>
      <c r="D54" s="132"/>
      <c r="E54" s="132"/>
      <c r="F54" s="132"/>
      <c r="G54" s="132"/>
      <c r="H54" s="132"/>
      <c r="J54" s="178" t="s">
        <v>237</v>
      </c>
      <c r="M54" s="11">
        <f>SUM(M52:M53)</f>
        <v>18120</v>
      </c>
    </row>
    <row r="55" spans="2:8" ht="12.75">
      <c r="B55" s="142"/>
      <c r="C55" s="143"/>
      <c r="D55" s="132"/>
      <c r="E55" s="132"/>
      <c r="F55" s="132"/>
      <c r="G55" s="132"/>
      <c r="H55" s="132"/>
    </row>
    <row r="56" spans="2:8" ht="12.75">
      <c r="B56" s="132"/>
      <c r="C56" s="132"/>
      <c r="D56" s="132"/>
      <c r="E56" s="132"/>
      <c r="F56" s="132"/>
      <c r="G56" s="132"/>
      <c r="H56" s="132"/>
    </row>
    <row r="58" spans="1:14" ht="12.75">
      <c r="A58" s="132"/>
      <c r="B58" s="132"/>
      <c r="C58" s="132"/>
      <c r="J58" s="240" t="s">
        <v>220</v>
      </c>
      <c r="K58" s="240"/>
      <c r="L58" s="240"/>
      <c r="M58" s="240"/>
      <c r="N58" s="240"/>
    </row>
    <row r="59" spans="1:14" ht="12.75">
      <c r="A59" s="238"/>
      <c r="B59" s="238"/>
      <c r="C59" s="238"/>
      <c r="E59" s="240" t="s">
        <v>97</v>
      </c>
      <c r="F59" s="240"/>
      <c r="G59" s="240"/>
      <c r="H59" s="240"/>
      <c r="J59" s="57" t="s">
        <v>120</v>
      </c>
      <c r="K59" s="234" t="s">
        <v>98</v>
      </c>
      <c r="L59" s="219"/>
      <c r="M59" s="57" t="s">
        <v>92</v>
      </c>
      <c r="N59" s="57" t="s">
        <v>93</v>
      </c>
    </row>
    <row r="60" spans="1:14" ht="12.75">
      <c r="A60" s="134"/>
      <c r="B60" s="134"/>
      <c r="C60" s="134"/>
      <c r="E60" s="1" t="s">
        <v>85</v>
      </c>
      <c r="F60" s="1" t="s">
        <v>98</v>
      </c>
      <c r="G60" s="1" t="s">
        <v>86</v>
      </c>
      <c r="H60" s="1" t="s">
        <v>93</v>
      </c>
      <c r="J60" s="30" t="s">
        <v>152</v>
      </c>
      <c r="K60" s="220">
        <v>800</v>
      </c>
      <c r="L60" s="220"/>
      <c r="M60" s="57">
        <v>12</v>
      </c>
      <c r="N60" s="72">
        <f>K60*M60</f>
        <v>9600</v>
      </c>
    </row>
    <row r="61" spans="1:14" ht="12.75">
      <c r="A61" s="135"/>
      <c r="B61" s="136"/>
      <c r="C61" s="136"/>
      <c r="E61" s="3" t="s">
        <v>99</v>
      </c>
      <c r="F61" s="16">
        <v>400</v>
      </c>
      <c r="G61" s="57">
        <v>12</v>
      </c>
      <c r="H61" s="16">
        <f>F61*G61</f>
        <v>4800</v>
      </c>
      <c r="J61" s="30" t="s">
        <v>153</v>
      </c>
      <c r="K61" s="221">
        <v>1000</v>
      </c>
      <c r="L61" s="221"/>
      <c r="M61" s="57">
        <v>12</v>
      </c>
      <c r="N61" s="60">
        <f>M61*K61</f>
        <v>12000</v>
      </c>
    </row>
    <row r="62" spans="1:14" ht="12.75">
      <c r="A62" s="135"/>
      <c r="B62" s="136"/>
      <c r="C62" s="136"/>
      <c r="E62" s="3" t="s">
        <v>100</v>
      </c>
      <c r="F62" s="16">
        <v>700</v>
      </c>
      <c r="G62" s="57">
        <v>12</v>
      </c>
      <c r="H62" s="16">
        <f>F62*G62</f>
        <v>8400</v>
      </c>
      <c r="J62" s="219"/>
      <c r="K62" s="219"/>
      <c r="L62" s="219"/>
      <c r="M62" s="219"/>
      <c r="N62" s="59">
        <f>SUM(N60:N61)</f>
        <v>21600</v>
      </c>
    </row>
    <row r="63" spans="1:8" ht="12.75">
      <c r="A63" s="135"/>
      <c r="B63" s="136"/>
      <c r="C63" s="136"/>
      <c r="E63" s="3" t="s">
        <v>101</v>
      </c>
      <c r="F63" s="16">
        <v>800</v>
      </c>
      <c r="G63" s="57">
        <v>12</v>
      </c>
      <c r="H63" s="16">
        <f>F63*G63</f>
        <v>9600</v>
      </c>
    </row>
    <row r="64" spans="1:8" ht="12.75">
      <c r="A64" s="135"/>
      <c r="B64" s="136"/>
      <c r="C64" s="136"/>
      <c r="E64" s="3" t="s">
        <v>102</v>
      </c>
      <c r="F64" s="16">
        <v>600</v>
      </c>
      <c r="G64" s="57">
        <v>12</v>
      </c>
      <c r="H64" s="16">
        <f>F64*G64</f>
        <v>7200</v>
      </c>
    </row>
    <row r="65" spans="1:8" ht="12.75">
      <c r="A65" s="135"/>
      <c r="B65" s="136"/>
      <c r="C65" s="136"/>
      <c r="E65" s="1" t="s">
        <v>52</v>
      </c>
      <c r="F65" s="58">
        <f>SUM(F61:F64)</f>
        <v>2500</v>
      </c>
      <c r="G65" s="63"/>
      <c r="H65" s="58">
        <f>SUM(H61:H64)</f>
        <v>30000</v>
      </c>
    </row>
    <row r="66" spans="1:3" ht="12.75">
      <c r="A66" s="132"/>
      <c r="B66" s="132"/>
      <c r="C66" s="132"/>
    </row>
    <row r="67" spans="1:3" ht="12.75">
      <c r="A67" s="132"/>
      <c r="B67" s="132"/>
      <c r="C67" s="132"/>
    </row>
    <row r="68" spans="1:3" ht="12.75">
      <c r="A68" s="238"/>
      <c r="B68" s="238"/>
      <c r="C68" s="238"/>
    </row>
    <row r="69" spans="1:3" ht="12.75">
      <c r="A69" s="133"/>
      <c r="B69" s="133"/>
      <c r="C69" s="133"/>
    </row>
    <row r="72" spans="2:6" ht="12.75">
      <c r="B72" s="240" t="s">
        <v>103</v>
      </c>
      <c r="C72" s="240"/>
      <c r="D72" s="240"/>
      <c r="E72" s="240"/>
      <c r="F72" s="240"/>
    </row>
    <row r="73" spans="2:6" ht="12.75">
      <c r="B73" s="2">
        <v>1</v>
      </c>
      <c r="C73" s="2">
        <v>2</v>
      </c>
      <c r="D73" s="2">
        <v>3</v>
      </c>
      <c r="E73" s="2">
        <v>4</v>
      </c>
      <c r="F73" s="2">
        <v>5</v>
      </c>
    </row>
    <row r="74" spans="2:6" ht="12.75">
      <c r="B74" s="11">
        <f>H65</f>
        <v>30000</v>
      </c>
      <c r="C74" s="11">
        <f>B74*(1-0.1)</f>
        <v>27000</v>
      </c>
      <c r="D74" s="11">
        <f>C74*(1-0.1)</f>
        <v>24300</v>
      </c>
      <c r="E74" s="11">
        <f>D74*(1-0.1)</f>
        <v>21870</v>
      </c>
      <c r="F74" s="11">
        <f>E74*(1-0.1)</f>
        <v>19683</v>
      </c>
    </row>
    <row r="77" spans="2:7" ht="12.75">
      <c r="B77" s="212" t="s">
        <v>10</v>
      </c>
      <c r="C77" s="231"/>
      <c r="D77" s="231"/>
      <c r="E77" s="213"/>
      <c r="G77" s="68">
        <f>F87*36</f>
        <v>21599.784</v>
      </c>
    </row>
    <row r="78" spans="2:5" ht="12.75">
      <c r="B78" s="1" t="s">
        <v>85</v>
      </c>
      <c r="C78" s="1" t="s">
        <v>98</v>
      </c>
      <c r="D78" s="1" t="s">
        <v>92</v>
      </c>
      <c r="E78" s="1" t="s">
        <v>93</v>
      </c>
    </row>
    <row r="79" spans="2:5" ht="12.75">
      <c r="B79" s="3" t="s">
        <v>104</v>
      </c>
      <c r="C79" s="11">
        <v>25</v>
      </c>
      <c r="D79" s="3">
        <v>12</v>
      </c>
      <c r="E79" s="11">
        <f>C79*D79</f>
        <v>300</v>
      </c>
    </row>
    <row r="80" spans="2:5" ht="12.75">
      <c r="B80" s="3" t="s">
        <v>105</v>
      </c>
      <c r="C80" s="11">
        <v>35</v>
      </c>
      <c r="D80" s="3">
        <v>12</v>
      </c>
      <c r="E80" s="11">
        <f>C80*D80</f>
        <v>420</v>
      </c>
    </row>
    <row r="81" spans="2:5" ht="12.75">
      <c r="B81" s="3" t="s">
        <v>106</v>
      </c>
      <c r="C81" s="250" t="s">
        <v>107</v>
      </c>
      <c r="D81" s="251"/>
      <c r="E81" s="11">
        <v>300</v>
      </c>
    </row>
    <row r="82" spans="2:5" ht="12.75">
      <c r="B82" s="228" t="s">
        <v>52</v>
      </c>
      <c r="C82" s="229"/>
      <c r="D82" s="230"/>
      <c r="E82" s="11">
        <f>SUM(E79:E81)</f>
        <v>1020</v>
      </c>
    </row>
    <row r="85" spans="2:8" ht="12.75">
      <c r="B85" s="212" t="s">
        <v>108</v>
      </c>
      <c r="C85" s="231"/>
      <c r="D85" s="231"/>
      <c r="E85" s="231"/>
      <c r="F85" s="231"/>
      <c r="G85" s="231"/>
      <c r="H85" s="213"/>
    </row>
    <row r="86" spans="2:8" ht="25.5">
      <c r="B86" s="62" t="s">
        <v>109</v>
      </c>
      <c r="C86" s="62" t="s">
        <v>96</v>
      </c>
      <c r="D86" s="62" t="s">
        <v>110</v>
      </c>
      <c r="E86" s="62" t="s">
        <v>111</v>
      </c>
      <c r="F86" s="62" t="s">
        <v>112</v>
      </c>
      <c r="G86" s="62" t="s">
        <v>113</v>
      </c>
      <c r="H86" s="62" t="s">
        <v>114</v>
      </c>
    </row>
    <row r="87" spans="2:8" ht="12.75">
      <c r="B87" s="3" t="s">
        <v>115</v>
      </c>
      <c r="C87" s="16">
        <v>1800</v>
      </c>
      <c r="D87" s="57">
        <v>3</v>
      </c>
      <c r="E87" s="64">
        <v>0.33333</v>
      </c>
      <c r="F87" s="16">
        <f>C87*E87</f>
        <v>599.994</v>
      </c>
      <c r="G87" s="16">
        <v>1800</v>
      </c>
      <c r="H87" s="16">
        <v>0</v>
      </c>
    </row>
    <row r="88" spans="2:8" ht="12.75">
      <c r="B88" s="3" t="s">
        <v>116</v>
      </c>
      <c r="C88" s="16">
        <v>1090</v>
      </c>
      <c r="D88" s="57">
        <v>10</v>
      </c>
      <c r="E88" s="65">
        <v>0.1</v>
      </c>
      <c r="F88" s="16">
        <f>C88*E88</f>
        <v>109</v>
      </c>
      <c r="G88" s="16">
        <f>F88*5</f>
        <v>545</v>
      </c>
      <c r="H88" s="16">
        <f>C88-G88</f>
        <v>545</v>
      </c>
    </row>
    <row r="89" spans="2:8" ht="12.75">
      <c r="B89" s="3" t="s">
        <v>154</v>
      </c>
      <c r="C89" s="16">
        <f>E20</f>
        <v>12177.099999999999</v>
      </c>
      <c r="D89" s="57">
        <v>10</v>
      </c>
      <c r="E89" s="65">
        <v>0.1</v>
      </c>
      <c r="F89" s="16">
        <f>C89*E89</f>
        <v>1217.7099999999998</v>
      </c>
      <c r="G89" s="16">
        <f>F89*5</f>
        <v>6088.549999999999</v>
      </c>
      <c r="H89" s="16">
        <f>C89-G89</f>
        <v>6088.549999999999</v>
      </c>
    </row>
    <row r="90" spans="2:8" ht="12.75">
      <c r="B90" s="184" t="s">
        <v>245</v>
      </c>
      <c r="C90" s="94">
        <v>280</v>
      </c>
      <c r="D90" s="168">
        <v>5</v>
      </c>
      <c r="E90" s="185">
        <v>0.2</v>
      </c>
      <c r="F90" s="16">
        <f>C90*E90</f>
        <v>56</v>
      </c>
      <c r="G90" s="16">
        <f>F90*5</f>
        <v>280</v>
      </c>
      <c r="H90" s="16">
        <f>C90-G90</f>
        <v>0</v>
      </c>
    </row>
    <row r="91" spans="2:8" ht="12.75">
      <c r="B91" s="228" t="s">
        <v>117</v>
      </c>
      <c r="C91" s="229"/>
      <c r="D91" s="229"/>
      <c r="E91" s="230"/>
      <c r="F91" s="16">
        <f>SUM(F87:F90)</f>
        <v>1982.7039999999997</v>
      </c>
      <c r="G91" s="66"/>
      <c r="H91" s="66"/>
    </row>
    <row r="92" spans="2:8" ht="12.75">
      <c r="B92" s="228" t="s">
        <v>118</v>
      </c>
      <c r="C92" s="229"/>
      <c r="D92" s="229"/>
      <c r="E92" s="229"/>
      <c r="F92" s="229"/>
      <c r="G92" s="230"/>
      <c r="H92" s="16">
        <f>SUM(H87:H91)</f>
        <v>6633.549999999999</v>
      </c>
    </row>
    <row r="94" spans="7:11" ht="12.75">
      <c r="G94" s="222" t="s">
        <v>205</v>
      </c>
      <c r="H94" s="223"/>
      <c r="I94" s="223"/>
      <c r="J94" s="223"/>
      <c r="K94" s="224"/>
    </row>
    <row r="95" spans="2:11" ht="12.75">
      <c r="B95" s="212" t="s">
        <v>119</v>
      </c>
      <c r="C95" s="231"/>
      <c r="D95" s="231"/>
      <c r="E95" s="213"/>
      <c r="G95" s="205"/>
      <c r="H95" s="2" t="s">
        <v>199</v>
      </c>
      <c r="I95" s="2" t="s">
        <v>200</v>
      </c>
      <c r="J95" s="114" t="s">
        <v>202</v>
      </c>
      <c r="K95" s="114" t="s">
        <v>203</v>
      </c>
    </row>
    <row r="96" spans="2:11" ht="12.75">
      <c r="B96" s="57" t="s">
        <v>120</v>
      </c>
      <c r="C96" s="57" t="s">
        <v>94</v>
      </c>
      <c r="D96" s="57" t="s">
        <v>111</v>
      </c>
      <c r="E96" s="57" t="s">
        <v>121</v>
      </c>
      <c r="G96" s="206" t="s">
        <v>207</v>
      </c>
      <c r="H96" s="199">
        <v>0.42</v>
      </c>
      <c r="I96" s="153">
        <v>17000</v>
      </c>
      <c r="J96" s="199">
        <f>H96*I96</f>
        <v>7140</v>
      </c>
      <c r="K96" s="200">
        <f>J96/(900)</f>
        <v>7.933333333333334</v>
      </c>
    </row>
    <row r="97" spans="2:11" ht="12.75">
      <c r="B97" s="54" t="s">
        <v>49</v>
      </c>
      <c r="C97" s="55">
        <f>C5</f>
        <v>400</v>
      </c>
      <c r="D97" s="21">
        <v>0.2</v>
      </c>
      <c r="E97" s="11">
        <f>C97*D97</f>
        <v>80</v>
      </c>
      <c r="G97" s="207" t="s">
        <v>208</v>
      </c>
      <c r="H97" s="30">
        <v>323</v>
      </c>
      <c r="I97" s="151">
        <v>2</v>
      </c>
      <c r="J97" s="199">
        <f>H97*I97</f>
        <v>646</v>
      </c>
      <c r="K97" s="200">
        <f>J97/(900)</f>
        <v>0.7177777777777777</v>
      </c>
    </row>
    <row r="98" spans="2:11" ht="12.75">
      <c r="B98" s="54" t="s">
        <v>50</v>
      </c>
      <c r="C98" s="16">
        <f>C6</f>
        <v>900</v>
      </c>
      <c r="D98" s="21">
        <v>0.2</v>
      </c>
      <c r="E98" s="11">
        <f>C98*D98</f>
        <v>180</v>
      </c>
      <c r="G98" s="207" t="s">
        <v>209</v>
      </c>
      <c r="H98" s="151">
        <v>1.5</v>
      </c>
      <c r="I98" s="151">
        <v>6</v>
      </c>
      <c r="J98" s="199">
        <f>H98*I98</f>
        <v>9</v>
      </c>
      <c r="K98" s="200">
        <f>J98/(900)</f>
        <v>0.01</v>
      </c>
    </row>
    <row r="99" spans="2:11" ht="12.75">
      <c r="B99" s="54" t="s">
        <v>51</v>
      </c>
      <c r="C99" s="16">
        <f>C7</f>
        <v>28519.815000000002</v>
      </c>
      <c r="D99" s="21">
        <v>0.2</v>
      </c>
      <c r="E99" s="11">
        <f>C99*D99</f>
        <v>5703.963000000001</v>
      </c>
      <c r="G99" s="208" t="s">
        <v>210</v>
      </c>
      <c r="H99" s="30">
        <v>8.93</v>
      </c>
      <c r="I99" s="204">
        <v>900</v>
      </c>
      <c r="J99" s="199">
        <f>H99*I99</f>
        <v>8037</v>
      </c>
      <c r="K99" s="200">
        <f>J99/(900)</f>
        <v>8.93</v>
      </c>
    </row>
    <row r="100" spans="2:12" ht="12.75">
      <c r="B100" s="228" t="s">
        <v>122</v>
      </c>
      <c r="C100" s="229"/>
      <c r="D100" s="230"/>
      <c r="E100" s="56">
        <f>SUM(E97:E99)</f>
        <v>5963.963000000001</v>
      </c>
      <c r="G100" s="201"/>
      <c r="H100" s="202"/>
      <c r="I100" s="202"/>
      <c r="J100" s="2" t="s">
        <v>204</v>
      </c>
      <c r="K100" s="203">
        <f>SUM(K96:K99)</f>
        <v>17.59111111111111</v>
      </c>
      <c r="L100">
        <f>SUM(J96:J99)</f>
        <v>15832</v>
      </c>
    </row>
    <row r="101" spans="2:11" ht="12.75">
      <c r="B101" s="171"/>
      <c r="C101" s="171"/>
      <c r="D101" s="171"/>
      <c r="E101" s="173"/>
      <c r="J101" s="175"/>
      <c r="K101" s="179"/>
    </row>
    <row r="102" spans="2:11" ht="12.75">
      <c r="B102" s="171"/>
      <c r="C102" s="171"/>
      <c r="D102" s="171"/>
      <c r="E102" s="173"/>
      <c r="J102" s="175"/>
      <c r="K102" s="179"/>
    </row>
    <row r="103" spans="2:11" ht="12.75">
      <c r="B103" s="212" t="s">
        <v>238</v>
      </c>
      <c r="C103" s="213"/>
      <c r="D103" s="171"/>
      <c r="E103" s="173"/>
      <c r="J103" s="175"/>
      <c r="K103" s="179"/>
    </row>
    <row r="104" spans="2:11" ht="12.75">
      <c r="B104" s="181" t="s">
        <v>239</v>
      </c>
      <c r="C104" s="1" t="s">
        <v>243</v>
      </c>
      <c r="D104" s="171"/>
      <c r="E104" s="173"/>
      <c r="J104" s="175"/>
      <c r="K104" s="179"/>
    </row>
    <row r="105" spans="2:11" ht="12.75">
      <c r="B105" s="182" t="s">
        <v>240</v>
      </c>
      <c r="C105" s="196">
        <v>100</v>
      </c>
      <c r="D105" s="171"/>
      <c r="E105" s="173"/>
      <c r="J105" s="175"/>
      <c r="K105" s="179"/>
    </row>
    <row r="106" spans="2:11" ht="12.75">
      <c r="B106" s="182" t="s">
        <v>241</v>
      </c>
      <c r="C106" s="196">
        <v>12</v>
      </c>
      <c r="D106" s="171"/>
      <c r="E106" s="173"/>
      <c r="J106" s="175"/>
      <c r="K106" s="179"/>
    </row>
    <row r="107" spans="2:11" ht="12.75">
      <c r="B107" s="182" t="s">
        <v>242</v>
      </c>
      <c r="C107" s="196">
        <v>27</v>
      </c>
      <c r="D107" s="171"/>
      <c r="E107" s="173"/>
      <c r="J107" s="175"/>
      <c r="K107" s="179"/>
    </row>
    <row r="108" spans="2:11" ht="12.75">
      <c r="B108" s="182" t="s">
        <v>139</v>
      </c>
      <c r="C108" s="196">
        <v>50</v>
      </c>
      <c r="D108" s="171"/>
      <c r="E108" s="173"/>
      <c r="J108" s="175"/>
      <c r="K108" s="179"/>
    </row>
    <row r="109" spans="2:11" ht="12.75">
      <c r="B109" s="181" t="s">
        <v>87</v>
      </c>
      <c r="C109" s="197">
        <f>SUM(C105:C108)</f>
        <v>189</v>
      </c>
      <c r="D109" s="171"/>
      <c r="E109" s="173"/>
      <c r="J109" s="175"/>
      <c r="K109" s="179"/>
    </row>
    <row r="110" spans="2:11" ht="12.75">
      <c r="B110" s="180"/>
      <c r="C110" s="171"/>
      <c r="D110" s="171"/>
      <c r="E110" s="173"/>
      <c r="J110" s="175"/>
      <c r="K110" s="179"/>
    </row>
    <row r="111" spans="2:11" ht="12.75">
      <c r="B111" s="180"/>
      <c r="C111" s="171"/>
      <c r="D111" s="171"/>
      <c r="E111" s="173"/>
      <c r="J111" s="175"/>
      <c r="K111" s="179"/>
    </row>
    <row r="112" spans="2:11" ht="12.75">
      <c r="B112" s="171"/>
      <c r="C112" s="171"/>
      <c r="D112" s="171"/>
      <c r="E112" s="173"/>
      <c r="J112" s="175"/>
      <c r="K112" s="179"/>
    </row>
    <row r="113" spans="2:11" ht="12.75">
      <c r="B113" s="171"/>
      <c r="C113" s="171"/>
      <c r="D113" s="171"/>
      <c r="E113" s="173"/>
      <c r="J113" s="175"/>
      <c r="K113" s="179"/>
    </row>
    <row r="115" ht="13.5" thickBot="1"/>
    <row r="116" spans="2:14" ht="13.5" thickBot="1">
      <c r="B116" s="232" t="s">
        <v>123</v>
      </c>
      <c r="C116" s="232"/>
      <c r="D116" s="232"/>
      <c r="E116" s="232"/>
      <c r="F116" s="232"/>
      <c r="G116" s="232"/>
      <c r="H116" s="232"/>
      <c r="J116" s="225" t="s">
        <v>205</v>
      </c>
      <c r="K116" s="226"/>
      <c r="L116" s="226"/>
      <c r="M116" s="226"/>
      <c r="N116" s="227"/>
    </row>
    <row r="117" spans="2:14" ht="13.5" thickBot="1">
      <c r="B117" s="219"/>
      <c r="C117" s="219"/>
      <c r="D117" s="232" t="s">
        <v>124</v>
      </c>
      <c r="E117" s="232"/>
      <c r="F117" s="232"/>
      <c r="G117" s="232"/>
      <c r="H117" s="232"/>
      <c r="J117" s="159"/>
      <c r="K117" s="160" t="s">
        <v>199</v>
      </c>
      <c r="L117" s="161" t="s">
        <v>200</v>
      </c>
      <c r="M117" s="162" t="s">
        <v>202</v>
      </c>
      <c r="N117" s="163" t="s">
        <v>203</v>
      </c>
    </row>
    <row r="118" spans="2:14" ht="12.75">
      <c r="B118" s="57" t="s">
        <v>125</v>
      </c>
      <c r="C118" s="67" t="s">
        <v>126</v>
      </c>
      <c r="D118" s="1">
        <v>1</v>
      </c>
      <c r="E118" s="1">
        <v>2</v>
      </c>
      <c r="F118" s="1">
        <v>3</v>
      </c>
      <c r="G118" s="1">
        <v>4</v>
      </c>
      <c r="H118" s="1">
        <v>5</v>
      </c>
      <c r="J118" s="164" t="s">
        <v>207</v>
      </c>
      <c r="K118" s="154">
        <v>0.42</v>
      </c>
      <c r="L118" s="153">
        <v>400</v>
      </c>
      <c r="M118" s="152">
        <f>K118*L118</f>
        <v>168</v>
      </c>
      <c r="N118" s="166">
        <f>M118/(900)</f>
        <v>0.18666666666666668</v>
      </c>
    </row>
    <row r="119" spans="2:15" ht="13.5" thickBot="1">
      <c r="B119" s="252" t="s">
        <v>127</v>
      </c>
      <c r="C119" s="3" t="s">
        <v>128</v>
      </c>
      <c r="D119" s="11">
        <v>1200</v>
      </c>
      <c r="E119" s="11">
        <v>1235</v>
      </c>
      <c r="F119" s="11">
        <v>1300</v>
      </c>
      <c r="G119" s="11">
        <v>1330</v>
      </c>
      <c r="H119" s="11">
        <v>1420</v>
      </c>
      <c r="J119" s="165" t="s">
        <v>209</v>
      </c>
      <c r="K119" s="155">
        <v>1.5</v>
      </c>
      <c r="L119" s="151">
        <v>2</v>
      </c>
      <c r="M119" s="152">
        <f>K119*L119</f>
        <v>3</v>
      </c>
      <c r="N119" s="166">
        <f>M119/(900)</f>
        <v>0.0033333333333333335</v>
      </c>
      <c r="O119">
        <f>SUM(M118:M119)</f>
        <v>171</v>
      </c>
    </row>
    <row r="120" spans="2:14" ht="14.25" thickBot="1" thickTop="1">
      <c r="B120" s="253"/>
      <c r="C120" s="3" t="s">
        <v>129</v>
      </c>
      <c r="D120" s="11">
        <f>12*12</f>
        <v>144</v>
      </c>
      <c r="E120" s="11">
        <f>D120*(1+0.05)</f>
        <v>151.20000000000002</v>
      </c>
      <c r="F120" s="11">
        <f>E120*(1+0.05)</f>
        <v>158.76000000000002</v>
      </c>
      <c r="G120" s="11">
        <f>F120*(1+0.05)</f>
        <v>166.69800000000004</v>
      </c>
      <c r="H120" s="11">
        <f>G120*(1+0.05)</f>
        <v>175.03290000000004</v>
      </c>
      <c r="M120" s="156" t="s">
        <v>204</v>
      </c>
      <c r="N120" s="167">
        <f>SUM(N118:N119)</f>
        <v>0.19</v>
      </c>
    </row>
    <row r="121" spans="2:8" ht="13.5" thickTop="1">
      <c r="B121" s="253"/>
      <c r="C121" s="3" t="s">
        <v>130</v>
      </c>
      <c r="D121" s="11">
        <f>12*27</f>
        <v>324</v>
      </c>
      <c r="E121" s="11">
        <f aca="true" t="shared" si="0" ref="E121:H122">D121*(1.05)</f>
        <v>340.2</v>
      </c>
      <c r="F121" s="11">
        <f t="shared" si="0"/>
        <v>357.21</v>
      </c>
      <c r="G121" s="11">
        <f t="shared" si="0"/>
        <v>375.0705</v>
      </c>
      <c r="H121" s="11">
        <f t="shared" si="0"/>
        <v>393.824025</v>
      </c>
    </row>
    <row r="122" spans="2:8" ht="12.75">
      <c r="B122" s="253"/>
      <c r="C122" s="3" t="s">
        <v>139</v>
      </c>
      <c r="D122" s="11">
        <f>50*12</f>
        <v>600</v>
      </c>
      <c r="E122" s="11">
        <f t="shared" si="0"/>
        <v>630</v>
      </c>
      <c r="F122" s="11">
        <f t="shared" si="0"/>
        <v>661.5</v>
      </c>
      <c r="G122" s="11">
        <f t="shared" si="0"/>
        <v>694.575</v>
      </c>
      <c r="H122" s="11">
        <f t="shared" si="0"/>
        <v>729.30375</v>
      </c>
    </row>
    <row r="123" spans="2:8" ht="12.75">
      <c r="B123" s="254"/>
      <c r="C123" s="2" t="s">
        <v>87</v>
      </c>
      <c r="D123" s="58">
        <f>SUM(D119:D122)</f>
        <v>2268</v>
      </c>
      <c r="E123" s="58">
        <f>SUM(E119:E122)</f>
        <v>2356.4</v>
      </c>
      <c r="F123" s="58">
        <f>SUM(F119:F122)</f>
        <v>2477.4700000000003</v>
      </c>
      <c r="G123" s="58">
        <f>SUM(G119:G122)</f>
        <v>2566.3435</v>
      </c>
      <c r="H123" s="58">
        <f>SUM(H119:H122)</f>
        <v>2718.160675</v>
      </c>
    </row>
    <row r="126" spans="2:5" ht="12.75">
      <c r="B126" s="228" t="s">
        <v>131</v>
      </c>
      <c r="C126" s="229"/>
      <c r="D126" s="229"/>
      <c r="E126" s="230"/>
    </row>
    <row r="127" spans="2:6" ht="12.75">
      <c r="B127" s="1" t="s">
        <v>109</v>
      </c>
      <c r="C127" s="1" t="s">
        <v>96</v>
      </c>
      <c r="D127" s="1" t="s">
        <v>111</v>
      </c>
      <c r="E127" s="1" t="s">
        <v>132</v>
      </c>
      <c r="F127" s="68"/>
    </row>
    <row r="128" spans="2:7" ht="12.75">
      <c r="B128" s="3" t="s">
        <v>136</v>
      </c>
      <c r="C128" s="16">
        <f>E20</f>
        <v>12177.099999999999</v>
      </c>
      <c r="D128" s="64">
        <v>0.001</v>
      </c>
      <c r="E128" s="16">
        <f>C128*D128</f>
        <v>12.1771</v>
      </c>
      <c r="G128" s="68"/>
    </row>
    <row r="129" spans="2:7" ht="12.75">
      <c r="B129" s="3" t="s">
        <v>133</v>
      </c>
      <c r="C129" s="16">
        <f>L5+L6+L10+H10</f>
        <v>1395</v>
      </c>
      <c r="D129" s="64">
        <v>0.001</v>
      </c>
      <c r="E129" s="16">
        <f>C129*D129</f>
        <v>1.395</v>
      </c>
      <c r="G129" s="68"/>
    </row>
    <row r="130" spans="2:7" ht="12.75">
      <c r="B130" s="228" t="s">
        <v>134</v>
      </c>
      <c r="C130" s="229"/>
      <c r="D130" s="230"/>
      <c r="E130" s="58">
        <f>SUM(E128:E129)</f>
        <v>13.572099999999999</v>
      </c>
      <c r="G130" s="68"/>
    </row>
    <row r="131" spans="2:5" ht="12.75">
      <c r="B131" s="250" t="s">
        <v>92</v>
      </c>
      <c r="C131" s="255"/>
      <c r="D131" s="251"/>
      <c r="E131" s="3">
        <v>12</v>
      </c>
    </row>
    <row r="132" spans="2:7" ht="12.75">
      <c r="B132" s="228" t="s">
        <v>135</v>
      </c>
      <c r="C132" s="229"/>
      <c r="D132" s="230"/>
      <c r="E132" s="58">
        <f>E131*E130</f>
        <v>162.8652</v>
      </c>
      <c r="F132" s="68"/>
      <c r="G132" s="68"/>
    </row>
    <row r="133" ht="12.75">
      <c r="G133" s="68"/>
    </row>
    <row r="140" spans="2:6" ht="12.75">
      <c r="B140" s="1" t="s">
        <v>150</v>
      </c>
      <c r="C140" s="1"/>
      <c r="D140" s="1"/>
      <c r="E140" s="1"/>
      <c r="F140" s="1"/>
    </row>
    <row r="141" spans="2:6" ht="12.75">
      <c r="B141" s="57" t="s">
        <v>151</v>
      </c>
      <c r="C141" s="57" t="s">
        <v>120</v>
      </c>
      <c r="D141" s="234" t="s">
        <v>98</v>
      </c>
      <c r="E141" s="219"/>
      <c r="F141" s="57" t="s">
        <v>92</v>
      </c>
    </row>
    <row r="142" spans="2:6" ht="12.75">
      <c r="B142" s="3">
        <v>1</v>
      </c>
      <c r="C142" s="30" t="s">
        <v>152</v>
      </c>
      <c r="D142" s="220">
        <v>200</v>
      </c>
      <c r="E142" s="220"/>
      <c r="F142" s="57">
        <v>12</v>
      </c>
    </row>
    <row r="143" spans="2:6" ht="13.5" thickBot="1">
      <c r="B143" s="73">
        <v>1</v>
      </c>
      <c r="C143" s="74" t="s">
        <v>153</v>
      </c>
      <c r="D143" s="233">
        <v>300</v>
      </c>
      <c r="E143" s="233"/>
      <c r="F143" s="75">
        <v>12</v>
      </c>
    </row>
    <row r="144" spans="2:6" ht="13.5" thickBot="1">
      <c r="B144" s="256" t="s">
        <v>87</v>
      </c>
      <c r="C144" s="257"/>
      <c r="D144" s="257"/>
      <c r="E144" s="257"/>
      <c r="F144" s="258"/>
    </row>
    <row r="149" spans="2:6" ht="13.5" thickBot="1">
      <c r="B149" s="228" t="s">
        <v>140</v>
      </c>
      <c r="C149" s="229"/>
      <c r="D149" s="229"/>
      <c r="E149" s="229"/>
      <c r="F149" s="230"/>
    </row>
    <row r="150" spans="2:6" ht="13.5" thickBot="1">
      <c r="B150" s="76" t="s">
        <v>141</v>
      </c>
      <c r="C150" s="81" t="s">
        <v>142</v>
      </c>
      <c r="D150" s="77" t="s">
        <v>143</v>
      </c>
      <c r="E150" s="81" t="s">
        <v>144</v>
      </c>
      <c r="F150" s="243"/>
    </row>
    <row r="151" spans="2:6" ht="13.5" thickBot="1">
      <c r="B151" s="82">
        <f>D31</f>
        <v>37325.915</v>
      </c>
      <c r="C151" s="83">
        <v>0.128</v>
      </c>
      <c r="D151" s="84">
        <v>5</v>
      </c>
      <c r="E151" s="85">
        <f>PMT(C151,D151,-B151)</f>
        <v>10560.561690813951</v>
      </c>
      <c r="F151" s="244"/>
    </row>
    <row r="152" spans="2:7" ht="13.5" thickBot="1">
      <c r="B152" s="86" t="s">
        <v>145</v>
      </c>
      <c r="C152" s="87" t="s">
        <v>146</v>
      </c>
      <c r="D152" s="88" t="s">
        <v>142</v>
      </c>
      <c r="E152" s="87" t="s">
        <v>147</v>
      </c>
      <c r="F152" s="89" t="s">
        <v>148</v>
      </c>
      <c r="G152" s="1"/>
    </row>
    <row r="153" spans="2:7" ht="12.75">
      <c r="B153" s="46">
        <v>0</v>
      </c>
      <c r="C153" s="90"/>
      <c r="D153" s="91"/>
      <c r="E153" s="90"/>
      <c r="F153" s="92">
        <f>B151</f>
        <v>37325.915</v>
      </c>
      <c r="G153" s="57" t="s">
        <v>93</v>
      </c>
    </row>
    <row r="154" spans="2:7" ht="12.75">
      <c r="B154" s="35">
        <v>1</v>
      </c>
      <c r="C154" s="93">
        <f>$E$151</f>
        <v>10560.561690813951</v>
      </c>
      <c r="D154" s="94">
        <f>$C$151*F153</f>
        <v>4777.71712</v>
      </c>
      <c r="E154" s="93">
        <f>C154-D154</f>
        <v>5782.844570813951</v>
      </c>
      <c r="F154" s="95">
        <f>F153-E154</f>
        <v>31543.07042918605</v>
      </c>
      <c r="G154" s="72">
        <f>D142*F142</f>
        <v>2400</v>
      </c>
    </row>
    <row r="155" spans="2:7" ht="13.5" thickBot="1">
      <c r="B155" s="35">
        <v>2</v>
      </c>
      <c r="C155" s="93">
        <f>$E$151</f>
        <v>10560.561690813951</v>
      </c>
      <c r="D155" s="94">
        <f>$C$151*F154</f>
        <v>4037.513014935814</v>
      </c>
      <c r="E155" s="93">
        <f>C155-D155</f>
        <v>6523.048675878137</v>
      </c>
      <c r="F155" s="95">
        <f>F154-E155</f>
        <v>25020.021753307912</v>
      </c>
      <c r="G155" s="78">
        <f>F143*D143</f>
        <v>3600</v>
      </c>
    </row>
    <row r="156" spans="2:7" ht="13.5" thickBot="1">
      <c r="B156" s="35">
        <v>3</v>
      </c>
      <c r="C156" s="93">
        <f>$E$151</f>
        <v>10560.561690813951</v>
      </c>
      <c r="D156" s="94">
        <f>$C$151*F155</f>
        <v>3202.5627844234127</v>
      </c>
      <c r="E156" s="93">
        <f>C156-D156</f>
        <v>7357.998906390538</v>
      </c>
      <c r="F156" s="95">
        <f>F155-E156</f>
        <v>17662.022846917374</v>
      </c>
      <c r="G156" s="79">
        <f>SUM(G154:G155)</f>
        <v>6000</v>
      </c>
    </row>
    <row r="157" spans="2:6" ht="12.75">
      <c r="B157" s="35">
        <v>4</v>
      </c>
      <c r="C157" s="93">
        <f>$E$151</f>
        <v>10560.561690813951</v>
      </c>
      <c r="D157" s="94">
        <f>$C$151*F156</f>
        <v>2260.738924405424</v>
      </c>
      <c r="E157" s="93">
        <f>C157-D157</f>
        <v>8299.822766408528</v>
      </c>
      <c r="F157" s="95">
        <f>F156-E157</f>
        <v>9362.200080508846</v>
      </c>
    </row>
    <row r="158" spans="2:6" ht="13.5" thickBot="1">
      <c r="B158" s="48">
        <v>5</v>
      </c>
      <c r="C158" s="93">
        <f>$E$151</f>
        <v>10560.561690813951</v>
      </c>
      <c r="D158" s="94">
        <f>$C$151*F157</f>
        <v>1198.3616103051324</v>
      </c>
      <c r="E158" s="96">
        <f>C158-D158</f>
        <v>9362.20008050882</v>
      </c>
      <c r="F158" s="97">
        <f>F157-E158</f>
        <v>2.7284841053187847E-11</v>
      </c>
    </row>
    <row r="159" spans="2:6" ht="13.5" thickBot="1">
      <c r="B159" s="86" t="s">
        <v>149</v>
      </c>
      <c r="C159" s="98">
        <f>SUM(C154:C158)</f>
        <v>52802.80845406975</v>
      </c>
      <c r="D159" s="99">
        <f>SUM(D154:D158)</f>
        <v>15476.893454069785</v>
      </c>
      <c r="E159" s="98">
        <f>SUM(E154:E158)</f>
        <v>37325.91499999997</v>
      </c>
      <c r="F159" s="71"/>
    </row>
    <row r="160" spans="2:6" ht="12.75">
      <c r="B160" s="80"/>
      <c r="C160" s="80"/>
      <c r="D160" s="80"/>
      <c r="E160" s="100"/>
      <c r="F160" s="80"/>
    </row>
    <row r="161" spans="2:6" ht="12.75">
      <c r="B161" s="80"/>
      <c r="C161" s="80"/>
      <c r="D161" s="80"/>
      <c r="E161" s="101"/>
      <c r="F161" s="80"/>
    </row>
    <row r="162" spans="2:6" ht="12.75">
      <c r="B162" s="80"/>
      <c r="C162" s="219" t="s">
        <v>85</v>
      </c>
      <c r="D162" s="219"/>
      <c r="E162" s="57" t="s">
        <v>111</v>
      </c>
      <c r="F162" s="57" t="s">
        <v>94</v>
      </c>
    </row>
    <row r="163" spans="2:6" ht="12.75">
      <c r="B163" s="80"/>
      <c r="C163" s="218" t="s">
        <v>155</v>
      </c>
      <c r="D163" s="218"/>
      <c r="E163" s="102">
        <v>0.015</v>
      </c>
      <c r="F163" s="11">
        <f>E163*$B$151</f>
        <v>559.888725</v>
      </c>
    </row>
    <row r="164" spans="2:6" ht="12.75">
      <c r="B164" s="80"/>
      <c r="C164" s="218" t="s">
        <v>156</v>
      </c>
      <c r="D164" s="218"/>
      <c r="E164" s="102">
        <v>0.015</v>
      </c>
      <c r="F164" s="11">
        <f>$B$151*E164</f>
        <v>559.888725</v>
      </c>
    </row>
    <row r="165" spans="2:6" ht="13.5" thickBot="1">
      <c r="B165" s="80"/>
      <c r="C165" s="80"/>
      <c r="D165" s="103"/>
      <c r="E165" s="80"/>
      <c r="F165" s="80"/>
    </row>
    <row r="166" spans="2:8" ht="12.75">
      <c r="B166" s="80"/>
      <c r="C166" s="148" t="s">
        <v>191</v>
      </c>
      <c r="D166" s="149"/>
      <c r="E166" s="149"/>
      <c r="F166" s="149"/>
      <c r="G166" s="149"/>
      <c r="H166" s="150"/>
    </row>
    <row r="167" spans="3:8" ht="12.75">
      <c r="C167" s="122"/>
      <c r="D167" s="214">
        <v>1</v>
      </c>
      <c r="E167" s="214">
        <v>2</v>
      </c>
      <c r="F167" s="214">
        <v>3</v>
      </c>
      <c r="G167" s="214">
        <v>4</v>
      </c>
      <c r="H167" s="216">
        <v>5</v>
      </c>
    </row>
    <row r="168" spans="3:8" ht="12.75">
      <c r="C168" s="123"/>
      <c r="D168" s="215"/>
      <c r="E168" s="215"/>
      <c r="F168" s="215"/>
      <c r="G168" s="215"/>
      <c r="H168" s="217"/>
    </row>
    <row r="169" spans="3:8" ht="13.5" thickBot="1">
      <c r="C169" s="124" t="s">
        <v>185</v>
      </c>
      <c r="D169" s="119">
        <f>C8</f>
        <v>53225.915</v>
      </c>
      <c r="E169" s="119">
        <f>D176</f>
        <v>-16214.984340814019</v>
      </c>
      <c r="F169" s="119">
        <f>E176</f>
        <v>-11421.397671627907</v>
      </c>
      <c r="G169" s="119">
        <f>F176</f>
        <v>8257.804527558186</v>
      </c>
      <c r="H169" s="125">
        <f>G176</f>
        <v>43054.87051206438</v>
      </c>
    </row>
    <row r="170" spans="3:8" ht="13.5" thickTop="1">
      <c r="C170" s="126" t="s">
        <v>186</v>
      </c>
      <c r="D170" s="120">
        <f>'ER P y G'!C30</f>
        <v>270000</v>
      </c>
      <c r="E170" s="120">
        <f>'ER P y G'!D30</f>
        <v>306405.00000000006</v>
      </c>
      <c r="F170" s="120">
        <f>'ER P y G'!E30</f>
        <v>326700.00000000006</v>
      </c>
      <c r="G170" s="120">
        <f>'ER P y G'!F30</f>
        <v>348588.90000000014</v>
      </c>
      <c r="H170" s="120">
        <f>'ER P y G'!G30</f>
        <v>421001.9550000002</v>
      </c>
    </row>
    <row r="171" spans="3:8" ht="12.75">
      <c r="C171" s="126" t="s">
        <v>187</v>
      </c>
      <c r="D171" s="120">
        <f>-D169</f>
        <v>-53225.915</v>
      </c>
      <c r="E171" s="120"/>
      <c r="F171" s="120"/>
      <c r="G171" s="120"/>
      <c r="H171" s="127"/>
    </row>
    <row r="172" spans="3:8" ht="12.75">
      <c r="C172" s="126" t="s">
        <v>95</v>
      </c>
      <c r="D172" s="120">
        <f>-(SUM('ER P y G'!C40:C46)+'ER P y G'!C48+'ER P y G'!C49)</f>
        <v>-278001.27457000007</v>
      </c>
      <c r="E172" s="120">
        <f>-(SUM('ER P y G'!D40:D46)+'ER P y G'!D48+'ER P y G'!D49)</f>
        <v>-292536.5264149358</v>
      </c>
      <c r="F172" s="120">
        <f>-(SUM('ER P y G'!E40:E46)+'ER P y G'!E48+'ER P y G'!E49)</f>
        <v>-296950.8030064234</v>
      </c>
      <c r="G172" s="120">
        <f>-(SUM('ER P y G'!F40:F46)+'ER P y G'!F48+'ER P y G'!F49)</f>
        <v>-302644.23668348545</v>
      </c>
      <c r="H172" s="120">
        <f>-(SUM('ER P y G'!G40:G46)+'ER P y G'!G48+'ER P y G'!G49)</f>
        <v>-309785.81058378797</v>
      </c>
    </row>
    <row r="173" spans="3:8" ht="12.75">
      <c r="C173" s="126" t="s">
        <v>188</v>
      </c>
      <c r="D173" s="120">
        <f>-('ER P y G'!C35)</f>
        <v>-2430.8652</v>
      </c>
      <c r="E173" s="120">
        <f>-('ER P y G'!D35)</f>
        <v>-2551.83824</v>
      </c>
      <c r="F173" s="120">
        <f>-('ER P y G'!E35)</f>
        <v>-2711.9958880000004</v>
      </c>
      <c r="G173" s="120">
        <f>-('ER P y G'!F35)</f>
        <v>-2847.7745655999997</v>
      </c>
      <c r="H173" s="120">
        <f>-('ER P y G'!G35)</f>
        <v>-3055.87795372</v>
      </c>
    </row>
    <row r="174" spans="3:8" ht="12.75">
      <c r="C174" s="126" t="s">
        <v>90</v>
      </c>
      <c r="D174" s="120">
        <f>-(E154)</f>
        <v>-5782.844570813951</v>
      </c>
      <c r="E174" s="121">
        <f>-E155</f>
        <v>-6523.048675878137</v>
      </c>
      <c r="F174" s="120">
        <f>-E156</f>
        <v>-7357.998906390538</v>
      </c>
      <c r="G174" s="121">
        <f>-E157</f>
        <v>-8299.822766408528</v>
      </c>
      <c r="H174" s="120">
        <f>-E158</f>
        <v>-9362.20008050882</v>
      </c>
    </row>
    <row r="175" spans="3:8" ht="12.75">
      <c r="C175" s="126" t="s">
        <v>189</v>
      </c>
      <c r="D175" s="120"/>
      <c r="E175" s="121">
        <f>-('[1]PyG'!D195+'[1]PyG'!D197)</f>
        <v>0</v>
      </c>
      <c r="F175" s="121">
        <f>-('[1]PyG'!E195+'[1]PyG'!E197)</f>
        <v>0</v>
      </c>
      <c r="G175" s="121">
        <f>-('[1]PyG'!F195+'[1]PyG'!F197)</f>
        <v>0</v>
      </c>
      <c r="H175" s="128">
        <f>-('[1]PyG'!G195+'[1]PyG'!G197)</f>
        <v>0</v>
      </c>
    </row>
    <row r="176" spans="3:8" ht="13.5" thickBot="1">
      <c r="C176" s="129" t="s">
        <v>190</v>
      </c>
      <c r="D176" s="130">
        <f>SUM(D169:D175)</f>
        <v>-16214.984340814019</v>
      </c>
      <c r="E176" s="130">
        <f>SUM(E169:E175)</f>
        <v>-11421.397671627907</v>
      </c>
      <c r="F176" s="130">
        <f>SUM(F169:F175)</f>
        <v>8257.804527558186</v>
      </c>
      <c r="G176" s="130">
        <f>SUM(G169:G175)</f>
        <v>43054.87051206438</v>
      </c>
      <c r="H176" s="131">
        <f>SUM(H169:H175)</f>
        <v>141852.93689404777</v>
      </c>
    </row>
  </sheetData>
  <sheetProtection/>
  <mergeCells count="75">
    <mergeCell ref="B149:F149"/>
    <mergeCell ref="D141:E141"/>
    <mergeCell ref="D142:E142"/>
    <mergeCell ref="B119:B123"/>
    <mergeCell ref="B126:E126"/>
    <mergeCell ref="B130:D130"/>
    <mergeCell ref="B131:D131"/>
    <mergeCell ref="B144:F144"/>
    <mergeCell ref="B132:D132"/>
    <mergeCell ref="F150:F151"/>
    <mergeCell ref="J11:L11"/>
    <mergeCell ref="J24:K24"/>
    <mergeCell ref="J14:K14"/>
    <mergeCell ref="B72:F72"/>
    <mergeCell ref="B77:E77"/>
    <mergeCell ref="C81:D81"/>
    <mergeCell ref="B82:D82"/>
    <mergeCell ref="B85:H85"/>
    <mergeCell ref="B91:E91"/>
    <mergeCell ref="J35:M35"/>
    <mergeCell ref="A68:C68"/>
    <mergeCell ref="J42:L42"/>
    <mergeCell ref="J43:L43"/>
    <mergeCell ref="J44:L44"/>
    <mergeCell ref="J45:L45"/>
    <mergeCell ref="J62:M62"/>
    <mergeCell ref="J46:L46"/>
    <mergeCell ref="J50:M50"/>
    <mergeCell ref="J58:N58"/>
    <mergeCell ref="B29:D29"/>
    <mergeCell ref="B35:H35"/>
    <mergeCell ref="B117:C117"/>
    <mergeCell ref="D117:H117"/>
    <mergeCell ref="B44:F44"/>
    <mergeCell ref="B49:C49"/>
    <mergeCell ref="E49:G49"/>
    <mergeCell ref="B100:D100"/>
    <mergeCell ref="E59:H59"/>
    <mergeCell ref="A59:C59"/>
    <mergeCell ref="J7:L7"/>
    <mergeCell ref="J8:M8"/>
    <mergeCell ref="J10:L10"/>
    <mergeCell ref="B24:D24"/>
    <mergeCell ref="B25:D25"/>
    <mergeCell ref="M14:N14"/>
    <mergeCell ref="M24:N24"/>
    <mergeCell ref="B20:D20"/>
    <mergeCell ref="B21:E21"/>
    <mergeCell ref="K59:L59"/>
    <mergeCell ref="E10:G10"/>
    <mergeCell ref="B15:E15"/>
    <mergeCell ref="B17:E17"/>
    <mergeCell ref="G15:H15"/>
    <mergeCell ref="B2:C2"/>
    <mergeCell ref="E2:H2"/>
    <mergeCell ref="E4:H4"/>
    <mergeCell ref="E9:G9"/>
    <mergeCell ref="J3:M3"/>
    <mergeCell ref="K60:L60"/>
    <mergeCell ref="K61:L61"/>
    <mergeCell ref="G94:K94"/>
    <mergeCell ref="J116:N116"/>
    <mergeCell ref="B92:G92"/>
    <mergeCell ref="B95:E95"/>
    <mergeCell ref="B116:H116"/>
    <mergeCell ref="B103:C103"/>
    <mergeCell ref="G167:G168"/>
    <mergeCell ref="H167:H168"/>
    <mergeCell ref="C164:D164"/>
    <mergeCell ref="D167:D168"/>
    <mergeCell ref="E167:E168"/>
    <mergeCell ref="F167:F168"/>
    <mergeCell ref="C162:D162"/>
    <mergeCell ref="C163:D163"/>
    <mergeCell ref="D143:E143"/>
  </mergeCells>
  <printOptions/>
  <pageMargins left="0.75" right="0.75" top="1" bottom="1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IV190"/>
  <sheetViews>
    <sheetView zoomScale="75" zoomScaleNormal="75" zoomScalePageLayoutView="0" workbookViewId="0" topLeftCell="A1">
      <selection activeCell="B2" sqref="B2:H50"/>
    </sheetView>
  </sheetViews>
  <sheetFormatPr defaultColWidth="13.00390625" defaultRowHeight="12.75"/>
  <cols>
    <col min="1" max="1" width="11.421875" style="0" customWidth="1"/>
    <col min="2" max="2" width="26.8515625" style="0" bestFit="1" customWidth="1"/>
    <col min="3" max="3" width="14.421875" style="0" customWidth="1"/>
    <col min="4" max="4" width="14.28125" style="0" bestFit="1" customWidth="1"/>
    <col min="5" max="5" width="13.8515625" style="0" bestFit="1" customWidth="1"/>
    <col min="6" max="6" width="14.421875" style="0" bestFit="1" customWidth="1"/>
    <col min="7" max="7" width="14.8515625" style="0" customWidth="1"/>
    <col min="8" max="8" width="15.00390625" style="0" bestFit="1" customWidth="1"/>
    <col min="9" max="9" width="11.421875" style="0" customWidth="1"/>
    <col min="10" max="10" width="13.8515625" style="0" bestFit="1" customWidth="1"/>
    <col min="11" max="254" width="11.421875" style="0" customWidth="1"/>
    <col min="255" max="255" width="11.8515625" style="0" bestFit="1" customWidth="1"/>
    <col min="256" max="16384" width="13.00390625" style="191" bestFit="1" customWidth="1"/>
  </cols>
  <sheetData>
    <row r="2" spans="2:8" ht="12.75">
      <c r="B2" s="212" t="s">
        <v>250</v>
      </c>
      <c r="C2" s="259"/>
      <c r="D2" s="259"/>
      <c r="E2" s="259"/>
      <c r="F2" s="259"/>
      <c r="G2" s="259"/>
      <c r="H2" s="260"/>
    </row>
    <row r="3" spans="2:8" ht="12.75">
      <c r="B3" s="3"/>
      <c r="C3" s="1" t="s">
        <v>157</v>
      </c>
      <c r="D3" s="1">
        <v>1</v>
      </c>
      <c r="E3" s="1">
        <v>2</v>
      </c>
      <c r="F3" s="1">
        <v>3</v>
      </c>
      <c r="G3" s="1">
        <v>4</v>
      </c>
      <c r="H3" s="1">
        <v>5</v>
      </c>
    </row>
    <row r="4" spans="2:8" ht="12.75">
      <c r="B4" s="2" t="s">
        <v>158</v>
      </c>
      <c r="C4" s="16"/>
      <c r="D4" s="16"/>
      <c r="E4" s="16"/>
      <c r="F4" s="16"/>
      <c r="G4" s="16"/>
      <c r="H4" s="16"/>
    </row>
    <row r="5" spans="2:8" ht="12.75">
      <c r="B5" s="3"/>
      <c r="C5" s="16"/>
      <c r="D5" s="16"/>
      <c r="E5" s="16"/>
      <c r="F5" s="16"/>
      <c r="G5" s="16"/>
      <c r="H5" s="16"/>
    </row>
    <row r="6" spans="2:8" ht="12.75">
      <c r="B6" s="2" t="s">
        <v>159</v>
      </c>
      <c r="C6" s="16"/>
      <c r="D6" s="16"/>
      <c r="E6" s="16"/>
      <c r="F6" s="16"/>
      <c r="G6" s="16"/>
      <c r="H6" s="16"/>
    </row>
    <row r="7" spans="2:8" ht="12.75">
      <c r="B7" s="3" t="s">
        <v>160</v>
      </c>
      <c r="C7" s="16">
        <f>Hoja1!D32</f>
        <v>53225.915</v>
      </c>
      <c r="D7" s="16">
        <f>Hoja1!D176</f>
        <v>-16214.984340814019</v>
      </c>
      <c r="E7" s="16">
        <f>Hoja1!E176</f>
        <v>-11421.397671627907</v>
      </c>
      <c r="F7" s="16">
        <f>Hoja1!F176</f>
        <v>8257.804527558186</v>
      </c>
      <c r="G7" s="16">
        <f>Hoja1!G176</f>
        <v>43054.87051206438</v>
      </c>
      <c r="H7" s="16">
        <f>Hoja1!H176</f>
        <v>141852.93689404777</v>
      </c>
    </row>
    <row r="8" spans="2:8" ht="12.75">
      <c r="B8" s="25" t="s">
        <v>161</v>
      </c>
      <c r="C8" s="107">
        <f>C7</f>
        <v>53225.915</v>
      </c>
      <c r="D8" s="107">
        <f>D7</f>
        <v>-16214.984340814019</v>
      </c>
      <c r="E8" s="107">
        <f>E7</f>
        <v>-11421.397671627907</v>
      </c>
      <c r="F8" s="107">
        <f>F7</f>
        <v>8257.804527558186</v>
      </c>
      <c r="G8" s="107">
        <f>G7</f>
        <v>43054.87051206438</v>
      </c>
      <c r="H8" s="107">
        <f>H7+IT189</f>
        <v>129960.53299598397</v>
      </c>
    </row>
    <row r="9" spans="2:8" ht="12.75">
      <c r="B9" s="3"/>
      <c r="C9" s="16"/>
      <c r="D9" s="16"/>
      <c r="E9" s="16"/>
      <c r="F9" s="16"/>
      <c r="G9" s="16"/>
      <c r="H9" s="16"/>
    </row>
    <row r="10" spans="2:3" ht="12.75">
      <c r="B10" s="2" t="s">
        <v>162</v>
      </c>
      <c r="C10" s="16"/>
    </row>
    <row r="11" spans="2:8" ht="12.75">
      <c r="B11" s="3" t="s">
        <v>163</v>
      </c>
      <c r="C11" s="16"/>
      <c r="D11" s="16">
        <f>Hoja1!H10</f>
        <v>1090</v>
      </c>
      <c r="E11" s="16">
        <f>D11</f>
        <v>1090</v>
      </c>
      <c r="F11" s="16">
        <f>E11</f>
        <v>1090</v>
      </c>
      <c r="G11" s="16">
        <f>F11</f>
        <v>1090</v>
      </c>
      <c r="H11" s="16">
        <f>G11</f>
        <v>1090</v>
      </c>
    </row>
    <row r="12" spans="2:8" ht="12.75">
      <c r="B12" s="30" t="s">
        <v>164</v>
      </c>
      <c r="C12" s="16"/>
      <c r="D12" s="108">
        <f>Hoja1!F88</f>
        <v>109</v>
      </c>
      <c r="E12" s="108">
        <f>D12+D12</f>
        <v>218</v>
      </c>
      <c r="F12" s="108">
        <f>D12+E12</f>
        <v>327</v>
      </c>
      <c r="G12" s="108">
        <f>F12+D12</f>
        <v>436</v>
      </c>
      <c r="H12" s="108">
        <f>G12+D12</f>
        <v>545</v>
      </c>
    </row>
    <row r="13" spans="2:8" ht="12.75">
      <c r="B13" s="3" t="s">
        <v>154</v>
      </c>
      <c r="C13" s="16"/>
      <c r="D13" s="16">
        <f>Hoja1!C89</f>
        <v>12177.099999999999</v>
      </c>
      <c r="E13" s="16">
        <f>D13</f>
        <v>12177.099999999999</v>
      </c>
      <c r="F13" s="16">
        <f>E13</f>
        <v>12177.099999999999</v>
      </c>
      <c r="G13" s="16">
        <f>F13</f>
        <v>12177.099999999999</v>
      </c>
      <c r="H13" s="16">
        <f>G13</f>
        <v>12177.099999999999</v>
      </c>
    </row>
    <row r="14" spans="2:8" ht="12.75">
      <c r="B14" s="30" t="s">
        <v>244</v>
      </c>
      <c r="C14" s="16"/>
      <c r="D14" s="108">
        <f>Hoja1!F89</f>
        <v>1217.7099999999998</v>
      </c>
      <c r="E14" s="108">
        <f>D14*2</f>
        <v>2435.4199999999996</v>
      </c>
      <c r="F14" s="108">
        <f>D14*3</f>
        <v>3653.129999999999</v>
      </c>
      <c r="G14" s="108">
        <f>D14*4</f>
        <v>4870.839999999999</v>
      </c>
      <c r="H14" s="108">
        <f>D14*5</f>
        <v>6088.549999999999</v>
      </c>
    </row>
    <row r="15" spans="2:8" ht="12.75">
      <c r="B15" s="30" t="s">
        <v>165</v>
      </c>
      <c r="C15" s="16"/>
      <c r="D15" s="109">
        <f>Hoja1!C87</f>
        <v>1800</v>
      </c>
      <c r="E15" s="109">
        <f>D15</f>
        <v>1800</v>
      </c>
      <c r="F15" s="109">
        <f>E15</f>
        <v>1800</v>
      </c>
      <c r="G15" s="109">
        <f>F15</f>
        <v>1800</v>
      </c>
      <c r="H15" s="109">
        <f>G15</f>
        <v>1800</v>
      </c>
    </row>
    <row r="16" spans="2:8" ht="12.75">
      <c r="B16" s="30" t="s">
        <v>166</v>
      </c>
      <c r="C16" s="16"/>
      <c r="D16" s="108">
        <f>Hoja1!F87</f>
        <v>599.994</v>
      </c>
      <c r="E16" s="108">
        <f>D16*2</f>
        <v>1199.988</v>
      </c>
      <c r="F16" s="108">
        <f>D16*3</f>
        <v>1799.982</v>
      </c>
      <c r="G16" s="108">
        <f>D16*4</f>
        <v>2399.976</v>
      </c>
      <c r="H16" s="108">
        <f>D16*5</f>
        <v>2999.9700000000003</v>
      </c>
    </row>
    <row r="17" spans="2:8" ht="12.75">
      <c r="B17" s="30" t="str">
        <f>Hoja1!B90</f>
        <v>Acondicionador de aire</v>
      </c>
      <c r="C17" s="16"/>
      <c r="D17" s="186">
        <f>Hoja1!C90</f>
        <v>280</v>
      </c>
      <c r="E17" s="186">
        <f>D17</f>
        <v>280</v>
      </c>
      <c r="F17" s="186">
        <f>E17</f>
        <v>280</v>
      </c>
      <c r="G17" s="186">
        <f>F17</f>
        <v>280</v>
      </c>
      <c r="H17" s="186">
        <f>G17</f>
        <v>280</v>
      </c>
    </row>
    <row r="18" spans="2:8" ht="12.75">
      <c r="B18" s="30" t="s">
        <v>246</v>
      </c>
      <c r="C18" s="16"/>
      <c r="D18" s="108">
        <f>Hoja1!F90</f>
        <v>56</v>
      </c>
      <c r="E18" s="108">
        <f>D18*2</f>
        <v>112</v>
      </c>
      <c r="F18" s="108">
        <f>D18*3</f>
        <v>168</v>
      </c>
      <c r="G18" s="108">
        <f>D18*4</f>
        <v>224</v>
      </c>
      <c r="H18" s="108">
        <f>D18*5</f>
        <v>280</v>
      </c>
    </row>
    <row r="19" spans="2:8" ht="12.75">
      <c r="B19" t="s">
        <v>213</v>
      </c>
      <c r="C19" s="30"/>
      <c r="D19" s="186">
        <v>50</v>
      </c>
      <c r="E19" s="186">
        <v>50</v>
      </c>
      <c r="F19" s="186">
        <v>50</v>
      </c>
      <c r="G19" s="186">
        <v>50</v>
      </c>
      <c r="H19" s="186">
        <v>50</v>
      </c>
    </row>
    <row r="20" spans="2:9" ht="12.75">
      <c r="B20" s="110" t="s">
        <v>167</v>
      </c>
      <c r="C20" s="111">
        <v>0</v>
      </c>
      <c r="D20" s="111">
        <f>D11-D12+D13-D14+IP189+D15-D16+D17-D18+D19</f>
        <v>21423.39599999998</v>
      </c>
      <c r="E20" s="111">
        <f>E11-E12+E13-E14+IQ189+E15-E16+E17-E18+E19</f>
        <v>19440.691999999937</v>
      </c>
      <c r="F20" s="111">
        <f>F11-F12+F13-F14+IR189+F15-F16+F17-F18+F19</f>
        <v>16236.374474914159</v>
      </c>
      <c r="G20" s="111">
        <f>G11-G12+G13-G14+IS189+G15-G16+G17-G18+G19</f>
        <v>7933.341861642677</v>
      </c>
      <c r="H20" s="111">
        <f>H11-H12+H13-H14+H15-H16+H17-H18+H19</f>
        <v>5483.579999999999</v>
      </c>
      <c r="I20" s="68"/>
    </row>
    <row r="21" spans="2:8" ht="12.75">
      <c r="B21" s="2"/>
      <c r="C21" s="16"/>
      <c r="D21" s="16"/>
      <c r="E21" s="16"/>
      <c r="F21" s="16"/>
      <c r="G21" s="16"/>
      <c r="H21" s="16"/>
    </row>
    <row r="22" spans="2:8" ht="12.75">
      <c r="B22" s="2" t="s">
        <v>168</v>
      </c>
      <c r="C22" s="16"/>
      <c r="D22" s="16"/>
      <c r="E22" s="16"/>
      <c r="F22" s="16"/>
      <c r="G22" s="16"/>
      <c r="H22" s="16"/>
    </row>
    <row r="23" spans="2:8" ht="12.75">
      <c r="B23" s="3" t="s">
        <v>169</v>
      </c>
      <c r="C23" s="11"/>
      <c r="D23" s="16">
        <f>Hoja1!C97</f>
        <v>400</v>
      </c>
      <c r="E23" s="16">
        <f>+D23</f>
        <v>400</v>
      </c>
      <c r="F23" s="16">
        <f>+E23</f>
        <v>400</v>
      </c>
      <c r="G23" s="16">
        <f>+F23</f>
        <v>400</v>
      </c>
      <c r="H23" s="16">
        <f>+G23</f>
        <v>400</v>
      </c>
    </row>
    <row r="24" spans="2:8" ht="12.75">
      <c r="B24" s="30" t="s">
        <v>51</v>
      </c>
      <c r="C24" s="11"/>
      <c r="D24" s="16">
        <f>Hoja1!C99</f>
        <v>28519.815000000002</v>
      </c>
      <c r="E24" s="16">
        <f>D24</f>
        <v>28519.815000000002</v>
      </c>
      <c r="F24" s="16">
        <f>E24</f>
        <v>28519.815000000002</v>
      </c>
      <c r="G24" s="16">
        <f>F24</f>
        <v>28519.815000000002</v>
      </c>
      <c r="H24" s="16">
        <f>G24</f>
        <v>28519.815000000002</v>
      </c>
    </row>
    <row r="25" spans="2:8" ht="12.75">
      <c r="B25" s="3" t="s">
        <v>50</v>
      </c>
      <c r="C25" s="11"/>
      <c r="D25" s="16">
        <v>900</v>
      </c>
      <c r="E25" s="16">
        <v>900</v>
      </c>
      <c r="F25" s="16">
        <v>900</v>
      </c>
      <c r="G25" s="16">
        <v>900</v>
      </c>
      <c r="H25" s="16">
        <v>900</v>
      </c>
    </row>
    <row r="26" spans="2:8" ht="12.75">
      <c r="B26" s="7" t="s">
        <v>170</v>
      </c>
      <c r="C26" s="11"/>
      <c r="D26" s="108">
        <f>-Hoja1!E100</f>
        <v>-5963.963000000001</v>
      </c>
      <c r="E26" s="108">
        <f>D26*2</f>
        <v>-11927.926000000001</v>
      </c>
      <c r="F26" s="108">
        <f>D26*3</f>
        <v>-17891.889000000003</v>
      </c>
      <c r="G26" s="108">
        <f>D26*4</f>
        <v>-23855.852000000003</v>
      </c>
      <c r="H26" s="108">
        <f>D26*5</f>
        <v>-29819.815000000002</v>
      </c>
    </row>
    <row r="27" spans="2:8" ht="12.75">
      <c r="B27" s="112" t="s">
        <v>171</v>
      </c>
      <c r="C27" s="113">
        <v>0</v>
      </c>
      <c r="D27" s="113">
        <f>D23+D24+D25+D26</f>
        <v>23855.852000000003</v>
      </c>
      <c r="E27" s="113">
        <f>E23+E24+E25+E26</f>
        <v>17891.889000000003</v>
      </c>
      <c r="F27" s="113">
        <f>F23+F24+F25+F26</f>
        <v>11927.926</v>
      </c>
      <c r="G27" s="113">
        <f>G23+G24+G25+G26</f>
        <v>5963.963</v>
      </c>
      <c r="H27" s="113">
        <f>H23+H24+H25+H26</f>
        <v>0</v>
      </c>
    </row>
    <row r="28" spans="2:8" ht="12.75">
      <c r="B28" s="5" t="s">
        <v>172</v>
      </c>
      <c r="C28" s="6">
        <f aca="true" t="shared" si="0" ref="C28:H28">C8+C20+C27</f>
        <v>53225.915</v>
      </c>
      <c r="D28" s="6">
        <f t="shared" si="0"/>
        <v>29064.263659185963</v>
      </c>
      <c r="E28" s="6">
        <f t="shared" si="0"/>
        <v>25911.183328372033</v>
      </c>
      <c r="F28" s="6">
        <f t="shared" si="0"/>
        <v>36422.105002472344</v>
      </c>
      <c r="G28" s="6">
        <f t="shared" si="0"/>
        <v>56952.175373707054</v>
      </c>
      <c r="H28" s="6">
        <f t="shared" si="0"/>
        <v>135444.11299598397</v>
      </c>
    </row>
    <row r="29" spans="2:8" ht="12.75">
      <c r="B29" s="3"/>
      <c r="C29" s="16"/>
      <c r="D29" s="16"/>
      <c r="E29" s="16"/>
      <c r="F29" s="16"/>
      <c r="G29" s="16"/>
      <c r="H29" s="16"/>
    </row>
    <row r="30" spans="2:8" ht="12.75">
      <c r="B30" s="3"/>
      <c r="C30" s="16"/>
      <c r="D30" s="16"/>
      <c r="E30" s="16"/>
      <c r="F30" s="16"/>
      <c r="G30" s="16"/>
      <c r="H30" s="16"/>
    </row>
    <row r="31" spans="2:8" ht="12.75">
      <c r="B31" s="2" t="s">
        <v>173</v>
      </c>
      <c r="C31" s="16"/>
      <c r="D31" s="16"/>
      <c r="E31" s="16"/>
      <c r="F31" s="16"/>
      <c r="G31" s="16"/>
      <c r="H31" s="16"/>
    </row>
    <row r="32" spans="2:8" ht="12.75">
      <c r="B32" s="2"/>
      <c r="C32" s="16"/>
      <c r="D32" s="16"/>
      <c r="E32" s="16"/>
      <c r="F32" s="16"/>
      <c r="G32" s="16"/>
      <c r="H32" s="16"/>
    </row>
    <row r="33" spans="2:8" ht="12.75">
      <c r="B33" s="2" t="s">
        <v>174</v>
      </c>
      <c r="C33" s="16"/>
      <c r="D33" s="16"/>
      <c r="E33" s="16"/>
      <c r="F33" s="16"/>
      <c r="G33" s="16"/>
      <c r="H33" s="16"/>
    </row>
    <row r="34" spans="2:8" ht="12.75">
      <c r="B34" s="3" t="s">
        <v>175</v>
      </c>
      <c r="C34" s="16">
        <f>Hoja1!B151</f>
        <v>37325.915</v>
      </c>
      <c r="D34" s="16">
        <f>C34-Hoja1!E154</f>
        <v>31543.07042918605</v>
      </c>
      <c r="E34" s="16">
        <f>D34-Hoja1!E155</f>
        <v>25020.021753307912</v>
      </c>
      <c r="F34" s="16">
        <f>E34-Hoja1!E156</f>
        <v>17662.022846917374</v>
      </c>
      <c r="G34" s="16">
        <f>F34-Hoja1!E157</f>
        <v>9362.200080508846</v>
      </c>
      <c r="H34" s="16">
        <f>G34-Hoja1!E158</f>
        <v>2.7284841053187847E-11</v>
      </c>
    </row>
    <row r="35" spans="2:8" ht="12.75">
      <c r="B35" s="3" t="s">
        <v>176</v>
      </c>
      <c r="C35" s="16"/>
      <c r="D35" s="16">
        <f>'ER P y G'!C56</f>
        <v>0</v>
      </c>
      <c r="E35" s="16">
        <f>'ER P y G'!D56</f>
        <v>716.1182733261434</v>
      </c>
      <c r="F35" s="16">
        <f>'ER P y G'!E56</f>
        <v>4056.7384974350343</v>
      </c>
      <c r="G35" s="16">
        <f>'ER P y G'!F56</f>
        <v>7596.919997069384</v>
      </c>
      <c r="H35" s="16">
        <f>'ER P y G'!G56</f>
        <v>21422.887760779606</v>
      </c>
    </row>
    <row r="36" spans="2:8" ht="12.75">
      <c r="B36" s="3" t="s">
        <v>177</v>
      </c>
      <c r="C36" s="16"/>
      <c r="D36" s="16">
        <f>'ER P y G'!C54</f>
        <v>0</v>
      </c>
      <c r="E36" s="16">
        <f>'ER P y G'!D54</f>
        <v>505.4952517596306</v>
      </c>
      <c r="F36" s="16">
        <f>'ER P y G'!E54</f>
        <v>2863.5801158364948</v>
      </c>
      <c r="G36" s="16">
        <f>'ER P y G'!F54</f>
        <v>5362.5317626372125</v>
      </c>
      <c r="H36" s="16">
        <f>'ER P y G'!G54</f>
        <v>15122.03841937384</v>
      </c>
    </row>
    <row r="37" spans="2:8" ht="12.75">
      <c r="B37" s="3"/>
      <c r="C37" s="16"/>
      <c r="D37" s="16"/>
      <c r="E37" s="16"/>
      <c r="F37" s="16"/>
      <c r="G37" s="16"/>
      <c r="H37" s="16"/>
    </row>
    <row r="38" spans="2:8" ht="12.75">
      <c r="B38" s="12" t="s">
        <v>178</v>
      </c>
      <c r="C38" s="13">
        <f aca="true" t="shared" si="1" ref="C38:H38">SUM(C34:C37)</f>
        <v>37325.915</v>
      </c>
      <c r="D38" s="13">
        <f t="shared" si="1"/>
        <v>31543.07042918605</v>
      </c>
      <c r="E38" s="13">
        <f t="shared" si="1"/>
        <v>26241.63527839369</v>
      </c>
      <c r="F38" s="13">
        <f t="shared" si="1"/>
        <v>24582.341460188905</v>
      </c>
      <c r="G38" s="13">
        <f t="shared" si="1"/>
        <v>22321.651840215443</v>
      </c>
      <c r="H38" s="13">
        <f t="shared" si="1"/>
        <v>36544.926180153474</v>
      </c>
    </row>
    <row r="39" spans="2:8" ht="12.75">
      <c r="B39" s="114"/>
      <c r="C39" s="115"/>
      <c r="D39" s="115"/>
      <c r="E39" s="115"/>
      <c r="F39" s="115"/>
      <c r="G39" s="115"/>
      <c r="H39" s="115"/>
    </row>
    <row r="40" spans="2:8" ht="12.75">
      <c r="B40" s="3"/>
      <c r="C40" s="16"/>
      <c r="D40" s="16"/>
      <c r="E40" s="16"/>
      <c r="F40" s="16"/>
      <c r="G40" s="16"/>
      <c r="H40" s="16"/>
    </row>
    <row r="41" spans="2:8" ht="12.75">
      <c r="B41" s="2" t="s">
        <v>179</v>
      </c>
      <c r="C41" s="16"/>
      <c r="D41" s="16"/>
      <c r="E41" s="16"/>
      <c r="F41" s="16"/>
      <c r="G41" s="16"/>
      <c r="H41" s="16"/>
    </row>
    <row r="42" spans="2:8" ht="12.75">
      <c r="B42" s="2"/>
      <c r="C42" s="16"/>
      <c r="D42" s="16"/>
      <c r="E42" s="16"/>
      <c r="F42" s="16"/>
      <c r="G42" s="16"/>
      <c r="H42" s="16"/>
    </row>
    <row r="43" spans="2:8" ht="12.75">
      <c r="B43" s="3" t="s">
        <v>180</v>
      </c>
      <c r="C43" s="16">
        <f>Hoja1!D30</f>
        <v>15900</v>
      </c>
      <c r="D43" s="16">
        <f>C43</f>
        <v>15900</v>
      </c>
      <c r="E43" s="16">
        <f>D43</f>
        <v>15900</v>
      </c>
      <c r="F43" s="16">
        <f>E43</f>
        <v>15900</v>
      </c>
      <c r="G43" s="16">
        <f>F43</f>
        <v>15900</v>
      </c>
      <c r="H43" s="16">
        <f>G43</f>
        <v>15900</v>
      </c>
    </row>
    <row r="44" spans="2:8" ht="12.75">
      <c r="B44" s="116"/>
      <c r="C44" s="117"/>
      <c r="D44" s="116"/>
      <c r="E44" s="117"/>
      <c r="F44" s="117"/>
      <c r="G44" s="117"/>
      <c r="H44" s="117"/>
    </row>
    <row r="45" spans="2:8" ht="12.75">
      <c r="B45" s="116"/>
      <c r="C45" s="117"/>
      <c r="D45" s="116"/>
      <c r="E45" s="117"/>
      <c r="F45" s="117"/>
      <c r="G45" s="117"/>
      <c r="H45" s="117"/>
    </row>
    <row r="46" spans="2:8" ht="12.75">
      <c r="B46" s="116"/>
      <c r="C46" s="117"/>
      <c r="D46" s="116"/>
      <c r="E46" s="117"/>
      <c r="F46" s="117"/>
      <c r="G46" s="117"/>
      <c r="H46" s="117"/>
    </row>
    <row r="47" spans="2:8" ht="12.75">
      <c r="B47" s="30" t="s">
        <v>181</v>
      </c>
      <c r="C47" s="16"/>
      <c r="D47" s="26">
        <v>-18378.806770000083</v>
      </c>
      <c r="E47" s="26">
        <v>2148.35481997843</v>
      </c>
      <c r="F47" s="26">
        <v>12170.215492305102</v>
      </c>
      <c r="G47" s="26">
        <v>22790.759991208153</v>
      </c>
      <c r="H47" s="26">
        <v>64268.66328233882</v>
      </c>
    </row>
    <row r="48" spans="2:8" ht="12.75">
      <c r="B48" s="3" t="s">
        <v>182</v>
      </c>
      <c r="C48" s="16"/>
      <c r="D48" s="16">
        <f>D47</f>
        <v>-18378.806770000083</v>
      </c>
      <c r="E48" s="16">
        <f>+E47+D48</f>
        <v>-16230.451950021652</v>
      </c>
      <c r="F48" s="16">
        <f>E48+F47</f>
        <v>-4060.23645771655</v>
      </c>
      <c r="G48" s="16">
        <f>F48+G47</f>
        <v>18730.523533491603</v>
      </c>
      <c r="H48" s="16">
        <f>G48+H47</f>
        <v>82999.18681583043</v>
      </c>
    </row>
    <row r="49" spans="2:10" ht="12.75">
      <c r="B49" s="14" t="s">
        <v>183</v>
      </c>
      <c r="C49" s="118">
        <f aca="true" t="shared" si="2" ref="C49:H49">C43+C48</f>
        <v>15900</v>
      </c>
      <c r="D49" s="118">
        <f>D43+D48</f>
        <v>-2478.806770000083</v>
      </c>
      <c r="E49" s="118">
        <f t="shared" si="2"/>
        <v>-330.451950021652</v>
      </c>
      <c r="F49" s="118">
        <f t="shared" si="2"/>
        <v>11839.76354228345</v>
      </c>
      <c r="G49" s="118">
        <f t="shared" si="2"/>
        <v>34630.52353349161</v>
      </c>
      <c r="H49" s="118">
        <f t="shared" si="2"/>
        <v>98899.18681583043</v>
      </c>
      <c r="J49" s="68"/>
    </row>
    <row r="50" spans="2:11" ht="12.75">
      <c r="B50" s="5" t="s">
        <v>184</v>
      </c>
      <c r="C50" s="6">
        <f>C38+C49</f>
        <v>53225.915</v>
      </c>
      <c r="D50" s="6">
        <f>D38+D49+D52</f>
        <v>29064.263659185966</v>
      </c>
      <c r="E50" s="6">
        <f>E38+E49+E52</f>
        <v>25911.183328372037</v>
      </c>
      <c r="F50" s="6">
        <f>F38+F49+F52</f>
        <v>36422.10500247235</v>
      </c>
      <c r="G50" s="6">
        <f>G38+G49+G52</f>
        <v>56952.175373707054</v>
      </c>
      <c r="H50" s="6">
        <f>H38+H49+H52</f>
        <v>135444.11299598392</v>
      </c>
      <c r="J50" s="68"/>
      <c r="K50" s="68"/>
    </row>
    <row r="51" spans="3:8" ht="12.75">
      <c r="C51" s="68"/>
      <c r="D51" s="68"/>
      <c r="E51" s="68"/>
      <c r="F51" s="68"/>
      <c r="G51" s="68"/>
      <c r="H51" s="68"/>
    </row>
    <row r="52" spans="4:8" ht="12.75">
      <c r="D52" s="183"/>
      <c r="E52" s="183"/>
      <c r="F52" s="183"/>
      <c r="G52" s="183"/>
      <c r="H52" s="183"/>
    </row>
    <row r="74" spans="252:256" ht="12.75">
      <c r="IR74" s="189"/>
      <c r="IS74" s="189"/>
      <c r="IT74" s="189"/>
      <c r="IU74" s="189"/>
      <c r="IV74" s="192"/>
    </row>
    <row r="75" spans="252:256" ht="12.75">
      <c r="IR75" s="183"/>
      <c r="IS75" s="183"/>
      <c r="IT75" s="183"/>
      <c r="IU75" s="183"/>
      <c r="IV75" s="193"/>
    </row>
    <row r="151" spans="252:256" ht="12.75">
      <c r="IR151" s="188"/>
      <c r="IS151" s="188"/>
      <c r="IT151" s="188"/>
      <c r="IU151" s="188"/>
      <c r="IV151" s="194"/>
    </row>
    <row r="189" spans="250:255" ht="12.75">
      <c r="IP189" s="183">
        <v>8008.99999999998</v>
      </c>
      <c r="IQ189" s="183">
        <v>8008.99999999994</v>
      </c>
      <c r="IR189" s="183">
        <v>6787.38647491416</v>
      </c>
      <c r="IS189" s="183">
        <v>467.057861642679</v>
      </c>
      <c r="IT189" s="183">
        <v>-11892.4038980638</v>
      </c>
      <c r="IU189" s="190"/>
    </row>
    <row r="190" spans="252:256" ht="12.75">
      <c r="IR190" s="189"/>
      <c r="IS190" s="189"/>
      <c r="IT190" s="189"/>
      <c r="IU190" s="189"/>
      <c r="IV190" s="192"/>
    </row>
  </sheetData>
  <sheetProtection/>
  <mergeCells count="1">
    <mergeCell ref="B2:H2"/>
  </mergeCells>
  <printOptions/>
  <pageMargins left="0.75" right="0.75" top="1" bottom="1" header="0" footer="0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1"/>
  <sheetViews>
    <sheetView zoomScalePageLayoutView="0" workbookViewId="0" topLeftCell="B46">
      <selection activeCell="H47" sqref="H47"/>
    </sheetView>
  </sheetViews>
  <sheetFormatPr defaultColWidth="11.421875" defaultRowHeight="12.75"/>
  <cols>
    <col min="2" max="2" width="37.140625" style="0" customWidth="1"/>
    <col min="3" max="3" width="13.421875" style="0" bestFit="1" customWidth="1"/>
    <col min="4" max="5" width="12.8515625" style="0" bestFit="1" customWidth="1"/>
    <col min="6" max="7" width="14.421875" style="0" bestFit="1" customWidth="1"/>
    <col min="8" max="12" width="12.8515625" style="0" bestFit="1" customWidth="1"/>
  </cols>
  <sheetData>
    <row r="1" ht="13.5" thickBot="1">
      <c r="H1" s="29" t="s">
        <v>41</v>
      </c>
    </row>
    <row r="2" spans="2:8" ht="13.5" thickBot="1">
      <c r="B2" s="47" t="s">
        <v>34</v>
      </c>
      <c r="C2" s="45">
        <v>1</v>
      </c>
      <c r="D2" s="38">
        <v>2</v>
      </c>
      <c r="E2" s="38">
        <v>3</v>
      </c>
      <c r="F2" s="38">
        <v>4</v>
      </c>
      <c r="G2" s="39">
        <v>5</v>
      </c>
      <c r="H2" s="28">
        <v>900</v>
      </c>
    </row>
    <row r="3" spans="2:7" ht="12.75">
      <c r="B3" s="46" t="s">
        <v>37</v>
      </c>
      <c r="C3" s="40">
        <v>12</v>
      </c>
      <c r="D3" s="41">
        <f>C3+C5+2</f>
        <v>19</v>
      </c>
      <c r="E3" s="41">
        <f>D3+D5+2</f>
        <v>26</v>
      </c>
      <c r="F3" s="41">
        <f>E3+E5+3</f>
        <v>33</v>
      </c>
      <c r="G3" s="41">
        <f>F3+F5+3</f>
        <v>40</v>
      </c>
    </row>
    <row r="4" spans="2:9" ht="12.75">
      <c r="B4" s="50" t="s">
        <v>36</v>
      </c>
      <c r="C4" s="31">
        <f>C3*$H$2*2</f>
        <v>21600</v>
      </c>
      <c r="D4" s="31">
        <f>D3*$H$2*2</f>
        <v>34200</v>
      </c>
      <c r="E4" s="31">
        <f>E3*$H$2*2</f>
        <v>46800</v>
      </c>
      <c r="F4" s="31">
        <f>F3*$H$2*2</f>
        <v>59400</v>
      </c>
      <c r="G4" s="31">
        <f>G3*$H$2*2</f>
        <v>72000</v>
      </c>
      <c r="I4">
        <f>5/9</f>
        <v>0.5555555555555556</v>
      </c>
    </row>
    <row r="5" spans="2:7" ht="12.75">
      <c r="B5" s="35" t="s">
        <v>38</v>
      </c>
      <c r="C5" s="43">
        <v>5</v>
      </c>
      <c r="D5" s="3">
        <v>5</v>
      </c>
      <c r="E5" s="3">
        <v>4</v>
      </c>
      <c r="F5" s="3">
        <v>4</v>
      </c>
      <c r="G5" s="32">
        <v>4</v>
      </c>
    </row>
    <row r="6" spans="2:7" ht="12.75">
      <c r="B6" s="50" t="s">
        <v>39</v>
      </c>
      <c r="C6" s="31">
        <f>C5*$H$2</f>
        <v>4500</v>
      </c>
      <c r="D6" s="3">
        <f>D5*$H$2</f>
        <v>4500</v>
      </c>
      <c r="E6" s="3">
        <f>E5*$H$2</f>
        <v>3600</v>
      </c>
      <c r="F6" s="3">
        <f>F5*$H$2</f>
        <v>3600</v>
      </c>
      <c r="G6" s="32">
        <f>G5*$H$2</f>
        <v>3600</v>
      </c>
    </row>
    <row r="7" spans="2:8" ht="12.75">
      <c r="B7" s="36" t="s">
        <v>33</v>
      </c>
      <c r="C7" s="31"/>
      <c r="D7" s="3"/>
      <c r="E7" s="3"/>
      <c r="F7" s="3"/>
      <c r="G7" s="32"/>
      <c r="H7">
        <v>2</v>
      </c>
    </row>
    <row r="8" spans="2:8" ht="12.75">
      <c r="B8" s="37" t="s">
        <v>7</v>
      </c>
      <c r="C8" s="43">
        <v>6</v>
      </c>
      <c r="D8" s="3">
        <f>C8+C9</f>
        <v>11</v>
      </c>
      <c r="E8" s="3">
        <f>D8+D9</f>
        <v>16</v>
      </c>
      <c r="F8" s="3">
        <f>E8+E9</f>
        <v>22</v>
      </c>
      <c r="G8" s="32">
        <f>F8+F9</f>
        <v>27</v>
      </c>
      <c r="H8" s="29" t="s">
        <v>42</v>
      </c>
    </row>
    <row r="9" spans="2:9" ht="12.75">
      <c r="B9" s="37" t="s">
        <v>40</v>
      </c>
      <c r="C9" s="43">
        <v>5</v>
      </c>
      <c r="D9" s="3">
        <v>5</v>
      </c>
      <c r="E9" s="3">
        <v>6</v>
      </c>
      <c r="F9" s="3">
        <v>5</v>
      </c>
      <c r="G9" s="3">
        <v>6</v>
      </c>
      <c r="H9">
        <v>450</v>
      </c>
      <c r="I9" t="s">
        <v>138</v>
      </c>
    </row>
    <row r="10" spans="2:9" ht="12.75">
      <c r="B10" s="51" t="s">
        <v>36</v>
      </c>
      <c r="C10" s="31">
        <f>C8*$H$10*2</f>
        <v>5400</v>
      </c>
      <c r="D10" s="31">
        <f>D8*$H$10*2</f>
        <v>9900</v>
      </c>
      <c r="E10" s="31">
        <f>E8*$H$10*2</f>
        <v>14400</v>
      </c>
      <c r="F10" s="31">
        <f>F8*$H$10*2</f>
        <v>19800</v>
      </c>
      <c r="G10" s="31">
        <f>G8*$H$10*2</f>
        <v>24300</v>
      </c>
      <c r="H10">
        <v>450</v>
      </c>
      <c r="I10" t="s">
        <v>137</v>
      </c>
    </row>
    <row r="11" spans="2:7" ht="13.5" thickBot="1">
      <c r="B11" s="52" t="s">
        <v>39</v>
      </c>
      <c r="C11" s="44">
        <f>C9*$H$9</f>
        <v>2250</v>
      </c>
      <c r="D11" s="33">
        <f>D9*$H$9</f>
        <v>2250</v>
      </c>
      <c r="E11" s="33">
        <f>E9*$H$9</f>
        <v>2700</v>
      </c>
      <c r="F11" s="33">
        <f>F9*$H$9</f>
        <v>2250</v>
      </c>
      <c r="G11" s="34">
        <f>G9*$H$9</f>
        <v>2700</v>
      </c>
    </row>
    <row r="12" ht="13.5" thickBot="1"/>
    <row r="13" spans="2:8" ht="13.5" thickBot="1">
      <c r="B13" s="47" t="s">
        <v>43</v>
      </c>
      <c r="C13" s="45">
        <v>1</v>
      </c>
      <c r="D13" s="38">
        <v>2</v>
      </c>
      <c r="E13" s="38">
        <v>3</v>
      </c>
      <c r="F13" s="38">
        <v>4</v>
      </c>
      <c r="G13" s="39">
        <v>5</v>
      </c>
      <c r="H13" s="29" t="s">
        <v>44</v>
      </c>
    </row>
    <row r="14" spans="2:8" ht="12.75">
      <c r="B14" s="46" t="s">
        <v>7</v>
      </c>
      <c r="C14" s="40">
        <v>0.5</v>
      </c>
      <c r="D14" s="41">
        <f>C14*(1+$H$14)</f>
        <v>0.55</v>
      </c>
      <c r="E14" s="41">
        <f>D14*(1+$H$14)</f>
        <v>0.6050000000000001</v>
      </c>
      <c r="F14" s="41">
        <f>E14*(1+$H$14)</f>
        <v>0.6655000000000002</v>
      </c>
      <c r="G14" s="42">
        <f>F14*(1+$H$14)</f>
        <v>0.7320500000000003</v>
      </c>
      <c r="H14">
        <v>0.1</v>
      </c>
    </row>
    <row r="15" spans="2:8" ht="13.5" thickBot="1">
      <c r="B15" s="48" t="s">
        <v>35</v>
      </c>
      <c r="C15" s="49">
        <v>38</v>
      </c>
      <c r="D15" s="33">
        <f>C15*(1+$H$15)</f>
        <v>41.800000000000004</v>
      </c>
      <c r="E15" s="33">
        <f>D15*(1+$H$15)</f>
        <v>45.98000000000001</v>
      </c>
      <c r="F15" s="33">
        <f>E15*(1+$H$15)</f>
        <v>50.57800000000002</v>
      </c>
      <c r="G15" s="34">
        <f>F15*(1+$H$15)</f>
        <v>55.635800000000025</v>
      </c>
      <c r="H15">
        <v>0.1</v>
      </c>
    </row>
    <row r="17" ht="15" customHeight="1"/>
    <row r="19" spans="2:7" ht="12.75">
      <c r="B19" s="212" t="s">
        <v>249</v>
      </c>
      <c r="C19" s="259"/>
      <c r="D19" s="259"/>
      <c r="E19" s="259"/>
      <c r="F19" s="259"/>
      <c r="G19" s="260"/>
    </row>
    <row r="20" spans="2:7" ht="12.75">
      <c r="B20" s="1" t="s">
        <v>0</v>
      </c>
      <c r="C20" s="1">
        <v>1</v>
      </c>
      <c r="D20" s="1">
        <v>2</v>
      </c>
      <c r="E20" s="1">
        <v>3</v>
      </c>
      <c r="F20" s="1">
        <v>4</v>
      </c>
      <c r="G20" s="1">
        <v>5</v>
      </c>
    </row>
    <row r="21" spans="2:7" ht="12.75">
      <c r="B21" s="2" t="s">
        <v>1</v>
      </c>
      <c r="C21" s="3"/>
      <c r="D21" s="3"/>
      <c r="E21" s="3"/>
      <c r="F21" s="3"/>
      <c r="G21" s="3"/>
    </row>
    <row r="22" spans="2:7" ht="12.75">
      <c r="B22" s="2" t="s">
        <v>30</v>
      </c>
      <c r="C22" s="106">
        <f>SUM(C23:C24)</f>
        <v>256500</v>
      </c>
      <c r="D22" s="106">
        <f>SUM(D23:D24)</f>
        <v>282150.00000000006</v>
      </c>
      <c r="E22" s="106">
        <f>SUM(E23:E24)</f>
        <v>289674.00000000006</v>
      </c>
      <c r="F22" s="106">
        <f>SUM(F23:F24)</f>
        <v>295881.3000000001</v>
      </c>
      <c r="G22" s="106">
        <f>SUM(G23:G24)</f>
        <v>350505.54000000015</v>
      </c>
    </row>
    <row r="23" spans="2:7" ht="12.75">
      <c r="B23" s="3" t="s">
        <v>32</v>
      </c>
      <c r="C23" s="4">
        <f>C6*C15</f>
        <v>171000</v>
      </c>
      <c r="D23" s="4">
        <f>D6*D15</f>
        <v>188100.00000000003</v>
      </c>
      <c r="E23" s="4">
        <f>E6*E15</f>
        <v>165528.00000000003</v>
      </c>
      <c r="F23" s="4">
        <f>F6*F15</f>
        <v>182080.80000000008</v>
      </c>
      <c r="G23" s="4">
        <f>G6*G15</f>
        <v>200288.8800000001</v>
      </c>
    </row>
    <row r="24" spans="2:7" ht="12.75">
      <c r="B24" s="3" t="s">
        <v>33</v>
      </c>
      <c r="C24" s="4">
        <f>C11*C15</f>
        <v>85500</v>
      </c>
      <c r="D24" s="4">
        <f>D11*D15</f>
        <v>94050.00000000001</v>
      </c>
      <c r="E24" s="4">
        <f>E11*E15</f>
        <v>124146.00000000003</v>
      </c>
      <c r="F24" s="4">
        <f>F11*F15</f>
        <v>113800.50000000004</v>
      </c>
      <c r="G24" s="4">
        <f>G11*G15</f>
        <v>150216.66000000006</v>
      </c>
    </row>
    <row r="25" spans="2:7" ht="12.75">
      <c r="B25" s="2" t="s">
        <v>31</v>
      </c>
      <c r="C25" s="105">
        <f>SUM(C26:C27)</f>
        <v>13500</v>
      </c>
      <c r="D25" s="105">
        <f>SUM(D26:D27)</f>
        <v>24255</v>
      </c>
      <c r="E25" s="105">
        <f>SUM(E26:E27)</f>
        <v>37026.00000000001</v>
      </c>
      <c r="F25" s="105">
        <f>SUM(F26:F27)</f>
        <v>52707.60000000001</v>
      </c>
      <c r="G25" s="105">
        <f>SUM(G26:G27)</f>
        <v>70496.41500000002</v>
      </c>
    </row>
    <row r="26" spans="2:7" ht="12.75">
      <c r="B26" s="3" t="s">
        <v>32</v>
      </c>
      <c r="C26" s="4">
        <f>C4*C14</f>
        <v>10800</v>
      </c>
      <c r="D26" s="4">
        <f>D4*D14</f>
        <v>18810</v>
      </c>
      <c r="E26" s="4">
        <f>E4*E14</f>
        <v>28314.000000000004</v>
      </c>
      <c r="F26" s="4">
        <f>F4*F14</f>
        <v>39530.70000000001</v>
      </c>
      <c r="G26" s="4">
        <f>G4*G14</f>
        <v>52707.60000000002</v>
      </c>
    </row>
    <row r="27" spans="2:7" ht="12.75">
      <c r="B27" s="3" t="s">
        <v>33</v>
      </c>
      <c r="C27" s="4">
        <f>C10*C14</f>
        <v>2700</v>
      </c>
      <c r="D27" s="4">
        <f>D10*D14</f>
        <v>5445</v>
      </c>
      <c r="E27" s="4">
        <f>E10*E14</f>
        <v>8712.000000000002</v>
      </c>
      <c r="F27" s="4">
        <f>F10*F14</f>
        <v>13176.900000000003</v>
      </c>
      <c r="G27" s="4">
        <f>G10*G14</f>
        <v>17788.815000000006</v>
      </c>
    </row>
    <row r="28" spans="2:7" ht="12.75">
      <c r="B28" s="5" t="s">
        <v>2</v>
      </c>
      <c r="C28" s="6">
        <f>C22+C25</f>
        <v>270000</v>
      </c>
      <c r="D28" s="6">
        <f>D22+D25</f>
        <v>306405.00000000006</v>
      </c>
      <c r="E28" s="6">
        <f>E22+E25</f>
        <v>326700.00000000006</v>
      </c>
      <c r="F28" s="6">
        <f>F22+F25</f>
        <v>348588.90000000014</v>
      </c>
      <c r="G28" s="6">
        <f>G22+G25</f>
        <v>421001.9550000002</v>
      </c>
    </row>
    <row r="29" spans="2:7" ht="12.75">
      <c r="B29" s="7" t="s">
        <v>3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</row>
    <row r="30" spans="2:7" ht="12.75">
      <c r="B30" s="9" t="s">
        <v>4</v>
      </c>
      <c r="C30" s="10">
        <f>C28-C29</f>
        <v>270000</v>
      </c>
      <c r="D30" s="10">
        <f>D28-D29</f>
        <v>306405.00000000006</v>
      </c>
      <c r="E30" s="10">
        <f>E28-E29</f>
        <v>326700.00000000006</v>
      </c>
      <c r="F30" s="10">
        <f>F28-F29</f>
        <v>348588.90000000014</v>
      </c>
      <c r="G30" s="10">
        <f>G28-G29</f>
        <v>421001.9550000002</v>
      </c>
    </row>
    <row r="31" spans="2:7" ht="12.75">
      <c r="B31" s="7"/>
      <c r="C31" s="8"/>
      <c r="D31" s="8"/>
      <c r="E31" s="8"/>
      <c r="F31" s="8"/>
      <c r="G31" s="8"/>
    </row>
    <row r="32" spans="2:7" ht="12.75">
      <c r="B32" s="2" t="s">
        <v>5</v>
      </c>
      <c r="C32" s="1"/>
      <c r="D32" s="1"/>
      <c r="E32" s="1"/>
      <c r="F32" s="1"/>
      <c r="G32" s="1"/>
    </row>
    <row r="33" spans="2:7" ht="12.75">
      <c r="B33" s="3" t="s">
        <v>6</v>
      </c>
      <c r="C33" s="11">
        <f>Hoja1!D123</f>
        <v>2268</v>
      </c>
      <c r="D33" s="11">
        <f>Hoja1!E123</f>
        <v>2356.4</v>
      </c>
      <c r="E33" s="11">
        <f>Hoja1!F123</f>
        <v>2477.4700000000003</v>
      </c>
      <c r="F33" s="11">
        <f>Hoja1!G123</f>
        <v>2566.3435</v>
      </c>
      <c r="G33" s="11">
        <f>Hoja1!H123</f>
        <v>2718.160675</v>
      </c>
    </row>
    <row r="34" spans="2:7" ht="12.75">
      <c r="B34" s="3" t="s">
        <v>7</v>
      </c>
      <c r="C34" s="11">
        <f>Hoja1!E132</f>
        <v>162.8652</v>
      </c>
      <c r="D34" s="11">
        <f>C34*(1.2)</f>
        <v>195.43823999999998</v>
      </c>
      <c r="E34" s="11">
        <f>D34*(1.2)</f>
        <v>234.52588799999995</v>
      </c>
      <c r="F34" s="11">
        <f>E34*(1.2)</f>
        <v>281.43106559999995</v>
      </c>
      <c r="G34" s="11">
        <f>F34*(1.2)</f>
        <v>337.7172787199999</v>
      </c>
    </row>
    <row r="35" spans="2:7" ht="12.75">
      <c r="B35" s="12" t="s">
        <v>8</v>
      </c>
      <c r="C35" s="13">
        <f>SUM(C33:C34)</f>
        <v>2430.8652</v>
      </c>
      <c r="D35" s="13">
        <f>SUM(D33:D34)</f>
        <v>2551.83824</v>
      </c>
      <c r="E35" s="13">
        <f>SUM(E33:E34)</f>
        <v>2711.9958880000004</v>
      </c>
      <c r="F35" s="13">
        <f>SUM(F33:F34)</f>
        <v>2847.7745655999997</v>
      </c>
      <c r="G35" s="13">
        <f>SUM(G33:G34)</f>
        <v>3055.87795372</v>
      </c>
    </row>
    <row r="36" spans="2:7" ht="12.75">
      <c r="B36" s="3"/>
      <c r="C36" s="3"/>
      <c r="D36" s="3"/>
      <c r="E36" s="3"/>
      <c r="F36" s="3"/>
      <c r="G36" s="3"/>
    </row>
    <row r="37" spans="2:7" ht="12.75">
      <c r="B37" s="14" t="s">
        <v>9</v>
      </c>
      <c r="C37" s="15">
        <f>C30-C35</f>
        <v>267569.1348</v>
      </c>
      <c r="D37" s="15">
        <f>D30-D35</f>
        <v>303853.16176000005</v>
      </c>
      <c r="E37" s="15">
        <f>E30-E35</f>
        <v>323988.00411200005</v>
      </c>
      <c r="F37" s="15">
        <f>F30-F35</f>
        <v>345741.12543440016</v>
      </c>
      <c r="G37" s="15">
        <f>G30-G35</f>
        <v>417946.0770462802</v>
      </c>
    </row>
    <row r="38" spans="2:7" ht="12.75">
      <c r="B38" s="3"/>
      <c r="C38" s="1"/>
      <c r="D38" s="1"/>
      <c r="E38" s="1"/>
      <c r="F38" s="1"/>
      <c r="G38" s="1"/>
    </row>
    <row r="39" spans="2:7" ht="12.75">
      <c r="B39" s="2" t="s">
        <v>10</v>
      </c>
      <c r="C39" s="1"/>
      <c r="D39" s="1"/>
      <c r="E39" s="1"/>
      <c r="F39" s="1"/>
      <c r="G39" s="1"/>
    </row>
    <row r="40" spans="2:12" ht="12.75">
      <c r="B40" s="3" t="s">
        <v>11</v>
      </c>
      <c r="C40" s="11">
        <f>Hoja1!M46</f>
        <v>77493.78</v>
      </c>
      <c r="D40" s="11">
        <f>C40*1.03</f>
        <v>79818.5934</v>
      </c>
      <c r="E40" s="11">
        <f>D40*1.03</f>
        <v>82213.151202</v>
      </c>
      <c r="F40" s="11">
        <f>E40*1.03</f>
        <v>84679.54573806</v>
      </c>
      <c r="G40" s="11">
        <f>F40*1.03</f>
        <v>87219.9321102018</v>
      </c>
      <c r="H40" s="195">
        <f>SUM(C40:C45,C47:C50)</f>
        <v>162077.94157</v>
      </c>
      <c r="I40" s="195">
        <f>SUM(D40:D45,D47:D50)</f>
        <v>164226.19341493578</v>
      </c>
      <c r="J40" s="195">
        <f>SUM(E40:E45,E47:E50)</f>
        <v>168640.4700064234</v>
      </c>
      <c r="K40" s="195">
        <f>SUM(F40:F45,F47:F50)</f>
        <v>173733.9136834854</v>
      </c>
      <c r="L40" s="195">
        <f>SUM(G40:G45,G47:G50)</f>
        <v>180875.48758378794</v>
      </c>
    </row>
    <row r="41" spans="2:7" ht="12.75">
      <c r="B41" s="3" t="s">
        <v>12</v>
      </c>
      <c r="C41" s="11">
        <f>Hoja1!M54</f>
        <v>18120</v>
      </c>
      <c r="D41" s="11">
        <f>C41*(1.02)</f>
        <v>18482.4</v>
      </c>
      <c r="E41" s="11">
        <f>D41*(1.02)</f>
        <v>18852.048000000003</v>
      </c>
      <c r="F41" s="11">
        <f>E41*(1.02)</f>
        <v>19229.088960000005</v>
      </c>
      <c r="G41" s="11">
        <f>F41*(1.02)</f>
        <v>19613.670739200006</v>
      </c>
    </row>
    <row r="42" spans="2:7" ht="12.75">
      <c r="B42" s="3" t="s">
        <v>13</v>
      </c>
      <c r="C42" s="11">
        <f>Hoja1!D154</f>
        <v>4777.71712</v>
      </c>
      <c r="D42" s="11">
        <f>Hoja1!D155</f>
        <v>4037.513014935814</v>
      </c>
      <c r="E42" s="11">
        <f>Hoja1!D156</f>
        <v>3202.5627844234127</v>
      </c>
      <c r="F42" s="11">
        <f>Hoja1!D157</f>
        <v>2260.738924405424</v>
      </c>
      <c r="G42" s="11">
        <f>Hoja1!D158</f>
        <v>1198.3616103051324</v>
      </c>
    </row>
    <row r="43" spans="1:7" ht="12.75">
      <c r="A43">
        <v>0.2</v>
      </c>
      <c r="B43" s="3" t="s">
        <v>14</v>
      </c>
      <c r="C43" s="11">
        <f>Hoja1!N62</f>
        <v>21600</v>
      </c>
      <c r="D43" s="16">
        <f>C43*(1+$A$43)</f>
        <v>25920</v>
      </c>
      <c r="E43" s="16">
        <f>D43*(1+$A$43)</f>
        <v>31104</v>
      </c>
      <c r="F43" s="16">
        <f>E43*(1+$A$43)</f>
        <v>37324.799999999996</v>
      </c>
      <c r="G43" s="16">
        <f>F43*(1+$A$43)</f>
        <v>44789.759999999995</v>
      </c>
    </row>
    <row r="44" spans="2:7" ht="12.75">
      <c r="B44" s="3" t="s">
        <v>15</v>
      </c>
      <c r="C44" s="11">
        <f>Hoja1!B74</f>
        <v>30000</v>
      </c>
      <c r="D44" s="11">
        <f>C44*(1-0.1)</f>
        <v>27000</v>
      </c>
      <c r="E44" s="11">
        <f>D44*(1-0.1)</f>
        <v>24300</v>
      </c>
      <c r="F44" s="11">
        <f>E44*(1-0.1)</f>
        <v>21870</v>
      </c>
      <c r="G44" s="11">
        <f>F44*(1-0.1)</f>
        <v>19683</v>
      </c>
    </row>
    <row r="45" spans="2:7" ht="12.75">
      <c r="B45" s="3" t="s">
        <v>16</v>
      </c>
      <c r="C45" s="11">
        <f>Hoja1!E82</f>
        <v>1020</v>
      </c>
      <c r="D45" s="16">
        <f>C45*(1+0.001)</f>
        <v>1021.0199999999999</v>
      </c>
      <c r="E45" s="16">
        <f>D45*(1+0.001)</f>
        <v>1022.0410199999998</v>
      </c>
      <c r="F45" s="16">
        <f>E45*(1+0.001)</f>
        <v>1023.0630610199996</v>
      </c>
      <c r="G45" s="16">
        <f>F45*(1+0.001)</f>
        <v>1024.0861240810195</v>
      </c>
    </row>
    <row r="46" spans="2:7" ht="12.75">
      <c r="B46" s="30" t="s">
        <v>206</v>
      </c>
      <c r="C46" s="11">
        <f>(C6+C11)*Hoja1!K100+(C4+C10)*Hoja1!N120</f>
        <v>123870</v>
      </c>
      <c r="D46" s="11">
        <f>C46*(1+H14)</f>
        <v>136257</v>
      </c>
      <c r="E46" s="11">
        <f>D46*(1+I14)</f>
        <v>136257</v>
      </c>
      <c r="F46" s="11">
        <f>E46*(1+J14)</f>
        <v>136257</v>
      </c>
      <c r="G46" s="11">
        <f>F46*(1+K14)</f>
        <v>136257</v>
      </c>
    </row>
    <row r="47" spans="2:7" ht="12.75">
      <c r="B47" s="3" t="s">
        <v>17</v>
      </c>
      <c r="C47" s="11">
        <f>Hoja1!F91</f>
        <v>1982.7039999999997</v>
      </c>
      <c r="D47" s="11">
        <f>C47</f>
        <v>1982.7039999999997</v>
      </c>
      <c r="E47" s="11">
        <f>D47</f>
        <v>1982.7039999999997</v>
      </c>
      <c r="F47" s="11">
        <f>E47-599.99</f>
        <v>1382.7139999999997</v>
      </c>
      <c r="G47" s="11">
        <f>F47</f>
        <v>1382.7139999999997</v>
      </c>
    </row>
    <row r="48" spans="2:7" ht="12.75">
      <c r="B48" s="3" t="s">
        <v>18</v>
      </c>
      <c r="C48" s="11">
        <f>Hoja1!F163</f>
        <v>559.888725</v>
      </c>
      <c r="D48" s="11"/>
      <c r="E48" s="11"/>
      <c r="F48" s="11"/>
      <c r="G48" s="11"/>
    </row>
    <row r="49" spans="2:7" ht="12.75">
      <c r="B49" s="3" t="s">
        <v>19</v>
      </c>
      <c r="C49" s="11">
        <f>Hoja1!F164</f>
        <v>559.888725</v>
      </c>
      <c r="D49" s="11"/>
      <c r="E49" s="11"/>
      <c r="F49" s="11"/>
      <c r="G49" s="11"/>
    </row>
    <row r="50" spans="2:7" ht="12.75">
      <c r="B50" s="3" t="s">
        <v>20</v>
      </c>
      <c r="C50" s="11">
        <f>Hoja1!E100</f>
        <v>5963.963000000001</v>
      </c>
      <c r="D50" s="16">
        <f>C50</f>
        <v>5963.963000000001</v>
      </c>
      <c r="E50" s="16">
        <f>D50</f>
        <v>5963.963000000001</v>
      </c>
      <c r="F50" s="16">
        <f>E50</f>
        <v>5963.963000000001</v>
      </c>
      <c r="G50" s="16">
        <f>F50</f>
        <v>5963.963000000001</v>
      </c>
    </row>
    <row r="51" spans="2:7" ht="12.75">
      <c r="B51" s="17" t="s">
        <v>21</v>
      </c>
      <c r="C51" s="18">
        <f>SUM(C40:C50)</f>
        <v>285947.9415700001</v>
      </c>
      <c r="D51" s="18">
        <f>SUM(D40:D50)</f>
        <v>300483.19341493584</v>
      </c>
      <c r="E51" s="18">
        <f>SUM(E40:E50)</f>
        <v>304897.4700064234</v>
      </c>
      <c r="F51" s="18">
        <f>SUM(F40:F50)</f>
        <v>309990.9136834854</v>
      </c>
      <c r="G51" s="18">
        <f>SUM(G40:G50)</f>
        <v>317132.48758378794</v>
      </c>
    </row>
    <row r="52" spans="2:7" ht="12.75">
      <c r="B52" s="3"/>
      <c r="C52" s="3"/>
      <c r="D52" s="3"/>
      <c r="E52" s="3"/>
      <c r="F52" s="3"/>
      <c r="G52" s="3"/>
    </row>
    <row r="53" spans="2:7" ht="12.75">
      <c r="B53" s="19" t="s">
        <v>22</v>
      </c>
      <c r="C53" s="20">
        <f>C37-C51</f>
        <v>-18378.806770000083</v>
      </c>
      <c r="D53" s="20">
        <f>D37-D51</f>
        <v>3369.968345064204</v>
      </c>
      <c r="E53" s="20">
        <f>E37-E51</f>
        <v>19090.534105576633</v>
      </c>
      <c r="F53" s="20">
        <f>F37-F51</f>
        <v>35750.21175091475</v>
      </c>
      <c r="G53" s="20">
        <f>G37-G51</f>
        <v>100813.58946249227</v>
      </c>
    </row>
    <row r="54" spans="2:7" ht="12.75">
      <c r="B54" s="21" t="s">
        <v>23</v>
      </c>
      <c r="C54" s="11">
        <f>IF(C53&gt;0,C53*0.15,0)</f>
        <v>0</v>
      </c>
      <c r="D54" s="11">
        <f>IF(D53&gt;0,D53*0.15,0)</f>
        <v>505.4952517596306</v>
      </c>
      <c r="E54" s="11">
        <f>IF(E53&gt;0,E53*0.15,0)</f>
        <v>2863.5801158364948</v>
      </c>
      <c r="F54" s="11">
        <f>IF(F53&gt;0,F53*0.15,0)</f>
        <v>5362.5317626372125</v>
      </c>
      <c r="G54" s="11">
        <f>IF(G53&gt;0,G53*0.15,0)</f>
        <v>15122.03841937384</v>
      </c>
    </row>
    <row r="55" spans="2:7" ht="12.75">
      <c r="B55" s="22" t="s">
        <v>24</v>
      </c>
      <c r="C55" s="23">
        <f>C53-C54</f>
        <v>-18378.806770000083</v>
      </c>
      <c r="D55" s="23">
        <f>D53-D54</f>
        <v>2864.4730933045735</v>
      </c>
      <c r="E55" s="23">
        <f>E53-E54</f>
        <v>16226.953989740137</v>
      </c>
      <c r="F55" s="23">
        <f>F53-F54</f>
        <v>30387.679988277538</v>
      </c>
      <c r="G55" s="23">
        <f>G53-G54</f>
        <v>85691.55104311842</v>
      </c>
    </row>
    <row r="56" spans="2:7" ht="12.75">
      <c r="B56" s="24" t="s">
        <v>25</v>
      </c>
      <c r="C56" s="11">
        <f>IF(C55&gt;0,C55*0.25,0)</f>
        <v>0</v>
      </c>
      <c r="D56" s="11">
        <f>IF(D55&gt;0,D55*0.25,0)</f>
        <v>716.1182733261434</v>
      </c>
      <c r="E56" s="11">
        <f>IF(E55&gt;0,E55*0.25,0)</f>
        <v>4056.7384974350343</v>
      </c>
      <c r="F56" s="11">
        <f>IF(F55&gt;0,F55*0.25,0)</f>
        <v>7596.919997069384</v>
      </c>
      <c r="G56" s="11">
        <f>IF(G55&gt;0,G55*0.25,0)</f>
        <v>21422.887760779606</v>
      </c>
    </row>
    <row r="57" spans="2:7" ht="12.75">
      <c r="B57" s="25" t="s">
        <v>26</v>
      </c>
      <c r="C57" s="26">
        <f>C55-C56</f>
        <v>-18378.806770000083</v>
      </c>
      <c r="D57" s="26">
        <f>D55-D56</f>
        <v>2148.35481997843</v>
      </c>
      <c r="E57" s="26">
        <f>E55-E56</f>
        <v>12170.215492305102</v>
      </c>
      <c r="F57" s="26">
        <f>F55-F56</f>
        <v>22790.759991208153</v>
      </c>
      <c r="G57" s="26">
        <f>G55-G56</f>
        <v>64268.66328233882</v>
      </c>
    </row>
    <row r="58" spans="2:7" ht="12.75">
      <c r="B58" s="187" t="s">
        <v>248</v>
      </c>
      <c r="C58" s="187"/>
      <c r="D58" s="187"/>
      <c r="E58" s="187"/>
      <c r="F58" s="187"/>
      <c r="G58" s="187"/>
    </row>
    <row r="59" spans="2:7" ht="12.75">
      <c r="B59" s="3" t="s">
        <v>27</v>
      </c>
      <c r="C59" s="27">
        <f>+C57*10%</f>
        <v>-1837.8806770000083</v>
      </c>
      <c r="D59" s="27">
        <f>+D57*10%</f>
        <v>214.835481997843</v>
      </c>
      <c r="E59" s="27">
        <f>+E57*10%</f>
        <v>1217.0215492305103</v>
      </c>
      <c r="F59" s="27">
        <f>+F57*10%</f>
        <v>2279.0759991208156</v>
      </c>
      <c r="G59" s="27">
        <f>+G57*10%</f>
        <v>6426.866328233882</v>
      </c>
    </row>
    <row r="60" spans="2:7" ht="12.75">
      <c r="B60" s="3" t="s">
        <v>28</v>
      </c>
      <c r="C60" s="27">
        <f>+C57*5%</f>
        <v>-918.9403385000041</v>
      </c>
      <c r="D60" s="27">
        <f>+D57*5%</f>
        <v>107.4177409989215</v>
      </c>
      <c r="E60" s="27">
        <f>+E57*5%</f>
        <v>608.5107746152552</v>
      </c>
      <c r="F60" s="27">
        <f>+F57*5%</f>
        <v>1139.5379995604078</v>
      </c>
      <c r="G60" s="27">
        <f>+G57*5%</f>
        <v>3213.433164116941</v>
      </c>
    </row>
    <row r="61" spans="2:7" ht="12.75">
      <c r="B61" s="3" t="s">
        <v>29</v>
      </c>
      <c r="C61" s="27">
        <f>+C57-C59-C60</f>
        <v>-15621.98575450007</v>
      </c>
      <c r="D61" s="27">
        <f>+D57-D59-D60</f>
        <v>1826.1015969816654</v>
      </c>
      <c r="E61" s="27">
        <f>+E57-E59-E60</f>
        <v>10344.683168459336</v>
      </c>
      <c r="F61" s="27">
        <f>+F57-F59-F60</f>
        <v>19372.14599252693</v>
      </c>
      <c r="G61" s="27">
        <f>+G57-G59-G60</f>
        <v>54628.363789988</v>
      </c>
    </row>
  </sheetData>
  <sheetProtection/>
  <mergeCells count="1">
    <mergeCell ref="B19:G19"/>
  </mergeCells>
  <printOptions/>
  <pageMargins left="0.75" right="0.75" top="1" bottom="1" header="0" footer="0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73"/>
  <sheetViews>
    <sheetView zoomScalePageLayoutView="0" workbookViewId="0" topLeftCell="A42">
      <selection activeCell="K28" sqref="K28"/>
    </sheetView>
  </sheetViews>
  <sheetFormatPr defaultColWidth="11.421875" defaultRowHeight="12.75"/>
  <cols>
    <col min="2" max="2" width="37.140625" style="0" customWidth="1"/>
    <col min="3" max="3" width="16.8515625" style="0" customWidth="1"/>
    <col min="4" max="4" width="17.57421875" style="0" customWidth="1"/>
    <col min="5" max="6" width="12.8515625" style="0" bestFit="1" customWidth="1"/>
    <col min="7" max="8" width="14.421875" style="0" bestFit="1" customWidth="1"/>
  </cols>
  <sheetData>
    <row r="1" ht="13.5" thickBot="1">
      <c r="H1" s="29" t="s">
        <v>41</v>
      </c>
    </row>
    <row r="2" spans="2:8" ht="13.5" thickBot="1">
      <c r="B2" s="47" t="s">
        <v>34</v>
      </c>
      <c r="C2" s="45">
        <v>1</v>
      </c>
      <c r="D2" s="38">
        <v>2</v>
      </c>
      <c r="E2" s="38">
        <v>3</v>
      </c>
      <c r="F2" s="38">
        <v>4</v>
      </c>
      <c r="G2" s="39">
        <v>5</v>
      </c>
      <c r="H2" s="28">
        <v>900</v>
      </c>
    </row>
    <row r="3" spans="2:7" ht="12.75">
      <c r="B3" s="46" t="s">
        <v>37</v>
      </c>
      <c r="C3" s="40">
        <v>12</v>
      </c>
      <c r="D3" s="41">
        <f>C3+C5+2</f>
        <v>19</v>
      </c>
      <c r="E3" s="41">
        <f>D3+D5+2</f>
        <v>26</v>
      </c>
      <c r="F3" s="41">
        <f>E3+E5+3</f>
        <v>33</v>
      </c>
      <c r="G3" s="41">
        <f>F3+F5+3</f>
        <v>40</v>
      </c>
    </row>
    <row r="4" spans="2:7" ht="12.75">
      <c r="B4" s="50" t="s">
        <v>36</v>
      </c>
      <c r="C4" s="31">
        <f>C3*$H$2*2</f>
        <v>21600</v>
      </c>
      <c r="D4" s="31">
        <f>D3*$H$2*2</f>
        <v>34200</v>
      </c>
      <c r="E4" s="31">
        <f>E3*$H$2*2</f>
        <v>46800</v>
      </c>
      <c r="F4" s="31">
        <f>F3*$H$2*2</f>
        <v>59400</v>
      </c>
      <c r="G4" s="31">
        <f>G3*$H$2*2</f>
        <v>72000</v>
      </c>
    </row>
    <row r="5" spans="2:7" ht="12.75">
      <c r="B5" s="35" t="s">
        <v>38</v>
      </c>
      <c r="C5" s="43">
        <v>5</v>
      </c>
      <c r="D5" s="3">
        <v>5</v>
      </c>
      <c r="E5" s="3">
        <v>4</v>
      </c>
      <c r="F5" s="3">
        <v>4</v>
      </c>
      <c r="G5" s="32">
        <v>4</v>
      </c>
    </row>
    <row r="6" spans="2:7" ht="12.75">
      <c r="B6" s="50" t="s">
        <v>39</v>
      </c>
      <c r="C6" s="31">
        <f>C5*$H$2</f>
        <v>4500</v>
      </c>
      <c r="D6" s="3">
        <f>D5*$H$2</f>
        <v>4500</v>
      </c>
      <c r="E6" s="3">
        <f>E5*$H$2</f>
        <v>3600</v>
      </c>
      <c r="F6" s="3">
        <f>F5*$H$2</f>
        <v>3600</v>
      </c>
      <c r="G6" s="32">
        <f>G5*$H$2</f>
        <v>3600</v>
      </c>
    </row>
    <row r="7" spans="2:8" ht="12.75">
      <c r="B7" s="36" t="s">
        <v>33</v>
      </c>
      <c r="C7" s="31"/>
      <c r="D7" s="3"/>
      <c r="E7" s="3"/>
      <c r="F7" s="3"/>
      <c r="G7" s="32"/>
      <c r="H7">
        <v>2</v>
      </c>
    </row>
    <row r="8" spans="2:8" ht="12.75">
      <c r="B8" s="37" t="s">
        <v>7</v>
      </c>
      <c r="C8" s="43">
        <v>6</v>
      </c>
      <c r="D8" s="3">
        <f>C8+C9</f>
        <v>11</v>
      </c>
      <c r="E8" s="3">
        <f>D8+D9</f>
        <v>16</v>
      </c>
      <c r="F8" s="3">
        <f>E8+E9</f>
        <v>22</v>
      </c>
      <c r="G8" s="32">
        <f>F8+F9</f>
        <v>27</v>
      </c>
      <c r="H8" s="29" t="s">
        <v>42</v>
      </c>
    </row>
    <row r="9" spans="2:9" ht="12.75">
      <c r="B9" s="37" t="s">
        <v>40</v>
      </c>
      <c r="C9" s="43">
        <v>5</v>
      </c>
      <c r="D9" s="3">
        <v>5</v>
      </c>
      <c r="E9" s="3">
        <v>6</v>
      </c>
      <c r="F9" s="3">
        <v>5</v>
      </c>
      <c r="G9" s="3">
        <v>6</v>
      </c>
      <c r="H9">
        <v>450</v>
      </c>
      <c r="I9" t="s">
        <v>138</v>
      </c>
    </row>
    <row r="10" spans="2:9" ht="12.75">
      <c r="B10" s="51" t="s">
        <v>36</v>
      </c>
      <c r="C10" s="31">
        <f>C8*$H$10*2</f>
        <v>5400</v>
      </c>
      <c r="D10" s="31">
        <f>D8*$H$10*2</f>
        <v>9900</v>
      </c>
      <c r="E10" s="31">
        <f>E8*$H$10*2</f>
        <v>14400</v>
      </c>
      <c r="F10" s="31">
        <f>F8*$H$10*2</f>
        <v>19800</v>
      </c>
      <c r="G10" s="31">
        <f>G8*$H$10*2</f>
        <v>24300</v>
      </c>
      <c r="H10">
        <v>450</v>
      </c>
      <c r="I10" t="s">
        <v>137</v>
      </c>
    </row>
    <row r="11" spans="2:7" ht="13.5" thickBot="1">
      <c r="B11" s="52" t="s">
        <v>39</v>
      </c>
      <c r="C11" s="44">
        <f>C9*$H$9</f>
        <v>2250</v>
      </c>
      <c r="D11" s="33">
        <f>D9*$H$9</f>
        <v>2250</v>
      </c>
      <c r="E11" s="33">
        <f>E9*$H$9</f>
        <v>2700</v>
      </c>
      <c r="F11" s="33">
        <f>F9*$H$9</f>
        <v>2250</v>
      </c>
      <c r="G11" s="34">
        <f>G9*$H$9</f>
        <v>2700</v>
      </c>
    </row>
    <row r="12" ht="13.5" thickBot="1"/>
    <row r="13" spans="2:8" ht="13.5" thickBot="1">
      <c r="B13" s="47" t="s">
        <v>43</v>
      </c>
      <c r="C13" s="45">
        <v>1</v>
      </c>
      <c r="D13" s="38">
        <v>2</v>
      </c>
      <c r="E13" s="38">
        <v>3</v>
      </c>
      <c r="F13" s="38">
        <v>4</v>
      </c>
      <c r="G13" s="39">
        <v>5</v>
      </c>
      <c r="H13" s="29" t="s">
        <v>44</v>
      </c>
    </row>
    <row r="14" spans="2:8" ht="12.75">
      <c r="B14" s="46" t="s">
        <v>7</v>
      </c>
      <c r="C14" s="40">
        <v>0.5</v>
      </c>
      <c r="D14" s="41">
        <f>C14*(1+$H$14)</f>
        <v>0.55</v>
      </c>
      <c r="E14" s="41">
        <f>D14*(1+$H$14)</f>
        <v>0.6050000000000001</v>
      </c>
      <c r="F14" s="41">
        <f>E14*(1+$H$14)</f>
        <v>0.6655000000000002</v>
      </c>
      <c r="G14" s="42">
        <f>F14*(1+$H$14)</f>
        <v>0.7320500000000003</v>
      </c>
      <c r="H14">
        <v>0.1</v>
      </c>
    </row>
    <row r="15" spans="2:8" ht="13.5" thickBot="1">
      <c r="B15" s="48" t="s">
        <v>35</v>
      </c>
      <c r="C15" s="49">
        <v>38</v>
      </c>
      <c r="D15" s="33">
        <f>C15*(1+$H$15)</f>
        <v>41.800000000000004</v>
      </c>
      <c r="E15" s="33">
        <f>D15*(1+$H$15)</f>
        <v>45.98000000000001</v>
      </c>
      <c r="F15" s="33">
        <f>E15*(1+$H$15)</f>
        <v>50.57800000000002</v>
      </c>
      <c r="G15" s="34">
        <f>F15*(1+$H$15)</f>
        <v>55.635800000000025</v>
      </c>
      <c r="H15">
        <v>0.1</v>
      </c>
    </row>
    <row r="17" ht="15" customHeight="1"/>
    <row r="19" spans="2:8" ht="12.75">
      <c r="B19" s="212" t="s">
        <v>195</v>
      </c>
      <c r="C19" s="259"/>
      <c r="D19" s="259"/>
      <c r="E19" s="259"/>
      <c r="F19" s="259"/>
      <c r="G19" s="259"/>
      <c r="H19" s="260"/>
    </row>
    <row r="20" spans="2:8" ht="12.75">
      <c r="B20" s="1" t="s">
        <v>0</v>
      </c>
      <c r="C20" s="1"/>
      <c r="D20" s="1">
        <v>1</v>
      </c>
      <c r="E20" s="1">
        <v>2</v>
      </c>
      <c r="F20" s="1">
        <v>3</v>
      </c>
      <c r="G20" s="1">
        <v>4</v>
      </c>
      <c r="H20" s="1">
        <v>5</v>
      </c>
    </row>
    <row r="21" spans="2:8" ht="12.75">
      <c r="B21" s="2" t="s">
        <v>1</v>
      </c>
      <c r="C21" s="2"/>
      <c r="D21" s="3"/>
      <c r="E21" s="3"/>
      <c r="F21" s="3"/>
      <c r="G21" s="3"/>
      <c r="H21" s="3"/>
    </row>
    <row r="22" spans="2:8" ht="12.75">
      <c r="B22" s="2" t="s">
        <v>30</v>
      </c>
      <c r="C22" s="2"/>
      <c r="D22" s="106">
        <f>SUM(D23:D24)</f>
        <v>256500</v>
      </c>
      <c r="E22" s="106">
        <f>SUM(E23:E24)</f>
        <v>282150.00000000006</v>
      </c>
      <c r="F22" s="106">
        <f>SUM(F23:F24)</f>
        <v>289674.00000000006</v>
      </c>
      <c r="G22" s="106">
        <f>SUM(G23:G24)</f>
        <v>295881.3000000001</v>
      </c>
      <c r="H22" s="106">
        <f>SUM(H23:H24)</f>
        <v>350505.54000000015</v>
      </c>
    </row>
    <row r="23" spans="2:8" ht="12.75">
      <c r="B23" s="3" t="s">
        <v>32</v>
      </c>
      <c r="C23" s="3"/>
      <c r="D23" s="4">
        <f>C6*C15</f>
        <v>171000</v>
      </c>
      <c r="E23" s="4">
        <f>D6*D15</f>
        <v>188100.00000000003</v>
      </c>
      <c r="F23" s="4">
        <f>E6*E15</f>
        <v>165528.00000000003</v>
      </c>
      <c r="G23" s="4">
        <f>F6*F15</f>
        <v>182080.80000000008</v>
      </c>
      <c r="H23" s="4">
        <f>G6*G15</f>
        <v>200288.8800000001</v>
      </c>
    </row>
    <row r="24" spans="2:8" ht="12.75">
      <c r="B24" s="3" t="s">
        <v>33</v>
      </c>
      <c r="C24" s="3"/>
      <c r="D24" s="4">
        <f>C11*C15</f>
        <v>85500</v>
      </c>
      <c r="E24" s="4">
        <f>D11*D15</f>
        <v>94050.00000000001</v>
      </c>
      <c r="F24" s="4">
        <f>E11*E15</f>
        <v>124146.00000000003</v>
      </c>
      <c r="G24" s="4">
        <f>F11*F15</f>
        <v>113800.50000000004</v>
      </c>
      <c r="H24" s="4">
        <f>G11*G15</f>
        <v>150216.66000000006</v>
      </c>
    </row>
    <row r="25" spans="2:8" ht="12.75">
      <c r="B25" s="2" t="s">
        <v>31</v>
      </c>
      <c r="C25" s="2"/>
      <c r="D25" s="105">
        <f>SUM(D26:D27)</f>
        <v>13500</v>
      </c>
      <c r="E25" s="105">
        <f>SUM(E26:E27)</f>
        <v>24255</v>
      </c>
      <c r="F25" s="105">
        <f>SUM(F26:F27)</f>
        <v>37026.00000000001</v>
      </c>
      <c r="G25" s="105">
        <f>SUM(G26:G27)</f>
        <v>52707.60000000001</v>
      </c>
      <c r="H25" s="105">
        <f>SUM(H26:H27)</f>
        <v>70496.41500000002</v>
      </c>
    </row>
    <row r="26" spans="2:8" ht="12.75">
      <c r="B26" s="3" t="s">
        <v>32</v>
      </c>
      <c r="C26" s="3"/>
      <c r="D26" s="4">
        <f>C4*C14</f>
        <v>10800</v>
      </c>
      <c r="E26" s="4">
        <f>D4*D14</f>
        <v>18810</v>
      </c>
      <c r="F26" s="4">
        <f>E4*E14</f>
        <v>28314.000000000004</v>
      </c>
      <c r="G26" s="4">
        <f>F4*F14</f>
        <v>39530.70000000001</v>
      </c>
      <c r="H26" s="4">
        <f>G4*G14</f>
        <v>52707.60000000002</v>
      </c>
    </row>
    <row r="27" spans="2:8" ht="12.75">
      <c r="B27" s="3" t="s">
        <v>33</v>
      </c>
      <c r="C27" s="3"/>
      <c r="D27" s="4">
        <f>C10*C14</f>
        <v>2700</v>
      </c>
      <c r="E27" s="4">
        <f>D10*D14</f>
        <v>5445</v>
      </c>
      <c r="F27" s="4">
        <f>E10*E14</f>
        <v>8712.000000000002</v>
      </c>
      <c r="G27" s="4">
        <f>F10*F14</f>
        <v>13176.900000000003</v>
      </c>
      <c r="H27" s="4">
        <f>G10*G14</f>
        <v>17788.815000000006</v>
      </c>
    </row>
    <row r="28" spans="2:8" ht="12.75">
      <c r="B28" s="5" t="s">
        <v>2</v>
      </c>
      <c r="C28" s="5"/>
      <c r="D28" s="6">
        <f>D22+D25</f>
        <v>270000</v>
      </c>
      <c r="E28" s="6">
        <f>E22+E25</f>
        <v>306405.00000000006</v>
      </c>
      <c r="F28" s="6">
        <f>F22+F25</f>
        <v>326700.00000000006</v>
      </c>
      <c r="G28" s="6">
        <f>G22+G25</f>
        <v>348588.90000000014</v>
      </c>
      <c r="H28" s="6">
        <f>H22+H25</f>
        <v>421001.9550000002</v>
      </c>
    </row>
    <row r="29" spans="2:8" ht="12.75">
      <c r="B29" s="7" t="s">
        <v>3</v>
      </c>
      <c r="C29" s="7"/>
      <c r="D29" s="8">
        <v>0</v>
      </c>
      <c r="E29" s="8">
        <v>0</v>
      </c>
      <c r="F29" s="8">
        <v>0</v>
      </c>
      <c r="G29" s="8">
        <v>0</v>
      </c>
      <c r="H29" s="8">
        <v>0</v>
      </c>
    </row>
    <row r="30" spans="2:8" ht="12.75">
      <c r="B30" s="9" t="s">
        <v>4</v>
      </c>
      <c r="C30" s="9"/>
      <c r="D30" s="10">
        <f>D28-D29</f>
        <v>270000</v>
      </c>
      <c r="E30" s="10">
        <f>E28-E29</f>
        <v>306405.00000000006</v>
      </c>
      <c r="F30" s="10">
        <f>F28-F29</f>
        <v>326700.00000000006</v>
      </c>
      <c r="G30" s="10">
        <f>G28-G29</f>
        <v>348588.90000000014</v>
      </c>
      <c r="H30" s="10">
        <f>H28-H29</f>
        <v>421001.9550000002</v>
      </c>
    </row>
    <row r="31" spans="2:8" ht="12.75">
      <c r="B31" s="7"/>
      <c r="C31" s="7"/>
      <c r="D31" s="8"/>
      <c r="E31" s="8"/>
      <c r="F31" s="8"/>
      <c r="G31" s="8"/>
      <c r="H31" s="8"/>
    </row>
    <row r="32" spans="2:8" ht="12.75">
      <c r="B32" s="2" t="s">
        <v>5</v>
      </c>
      <c r="C32" s="2"/>
      <c r="D32" s="1"/>
      <c r="E32" s="1"/>
      <c r="F32" s="1"/>
      <c r="G32" s="1"/>
      <c r="H32" s="1"/>
    </row>
    <row r="33" spans="2:8" ht="12.75">
      <c r="B33" s="3" t="s">
        <v>6</v>
      </c>
      <c r="C33" s="3"/>
      <c r="D33" s="11">
        <f>Hoja1!D123</f>
        <v>2268</v>
      </c>
      <c r="E33" s="11">
        <f>Hoja1!E123</f>
        <v>2356.4</v>
      </c>
      <c r="F33" s="11">
        <f>Hoja1!F123</f>
        <v>2477.4700000000003</v>
      </c>
      <c r="G33" s="11">
        <f>Hoja1!G123</f>
        <v>2566.3435</v>
      </c>
      <c r="H33" s="11">
        <f>Hoja1!H123</f>
        <v>2718.160675</v>
      </c>
    </row>
    <row r="34" spans="2:8" ht="12.75">
      <c r="B34" s="3" t="s">
        <v>7</v>
      </c>
      <c r="C34" s="3"/>
      <c r="D34" s="11">
        <f>Hoja1!E132</f>
        <v>162.8652</v>
      </c>
      <c r="E34" s="11">
        <f>D34*(1.2)</f>
        <v>195.43823999999998</v>
      </c>
      <c r="F34" s="11">
        <f>E34*(1.2)</f>
        <v>234.52588799999995</v>
      </c>
      <c r="G34" s="11">
        <f>F34*(1.2)</f>
        <v>281.43106559999995</v>
      </c>
      <c r="H34" s="11">
        <f>G34*(1.2)</f>
        <v>337.7172787199999</v>
      </c>
    </row>
    <row r="35" spans="2:8" ht="12.75">
      <c r="B35" s="12" t="s">
        <v>8</v>
      </c>
      <c r="C35" s="12"/>
      <c r="D35" s="13">
        <f>SUM(D33:D34)</f>
        <v>2430.8652</v>
      </c>
      <c r="E35" s="13">
        <f>SUM(E33:E34)</f>
        <v>2551.83824</v>
      </c>
      <c r="F35" s="13">
        <f>SUM(F33:F34)</f>
        <v>2711.9958880000004</v>
      </c>
      <c r="G35" s="13">
        <f>SUM(G33:G34)</f>
        <v>2847.7745655999997</v>
      </c>
      <c r="H35" s="13">
        <f>SUM(H33:H34)</f>
        <v>3055.87795372</v>
      </c>
    </row>
    <row r="36" spans="2:8" ht="12.75">
      <c r="B36" s="3"/>
      <c r="C36" s="3"/>
      <c r="D36" s="3"/>
      <c r="E36" s="3"/>
      <c r="F36" s="3"/>
      <c r="G36" s="3"/>
      <c r="H36" s="3"/>
    </row>
    <row r="37" spans="2:8" ht="12.75">
      <c r="B37" s="14" t="s">
        <v>9</v>
      </c>
      <c r="C37" s="14"/>
      <c r="D37" s="15">
        <f>D30-D35</f>
        <v>267569.1348</v>
      </c>
      <c r="E37" s="15">
        <f>E30-E35</f>
        <v>303853.16176000005</v>
      </c>
      <c r="F37" s="15">
        <f>F30-F35</f>
        <v>323988.00411200005</v>
      </c>
      <c r="G37" s="15">
        <f>G30-G35</f>
        <v>345741.12543440016</v>
      </c>
      <c r="H37" s="15">
        <f>H30-H35</f>
        <v>417946.0770462802</v>
      </c>
    </row>
    <row r="38" spans="2:8" ht="12.75">
      <c r="B38" s="3"/>
      <c r="C38" s="3"/>
      <c r="D38" s="1"/>
      <c r="E38" s="1"/>
      <c r="F38" s="1"/>
      <c r="G38" s="1"/>
      <c r="H38" s="1"/>
    </row>
    <row r="39" spans="2:8" ht="12.75">
      <c r="B39" s="2" t="s">
        <v>10</v>
      </c>
      <c r="C39" s="2"/>
      <c r="D39" s="1"/>
      <c r="E39" s="1"/>
      <c r="F39" s="1"/>
      <c r="G39" s="1"/>
      <c r="H39" s="1"/>
    </row>
    <row r="40" spans="2:8" ht="12.75">
      <c r="B40" s="3" t="s">
        <v>11</v>
      </c>
      <c r="C40" s="3"/>
      <c r="D40" s="11">
        <f>Hoja1!M46</f>
        <v>77493.78</v>
      </c>
      <c r="E40" s="11">
        <f>D40*1.03</f>
        <v>79818.5934</v>
      </c>
      <c r="F40" s="11">
        <f>E40*1.03</f>
        <v>82213.151202</v>
      </c>
      <c r="G40" s="11">
        <f>F40*1.03</f>
        <v>84679.54573806</v>
      </c>
      <c r="H40" s="11">
        <f>G40*1.03</f>
        <v>87219.9321102018</v>
      </c>
    </row>
    <row r="41" spans="2:8" ht="12.75">
      <c r="B41" s="3" t="s">
        <v>12</v>
      </c>
      <c r="C41" s="3"/>
      <c r="D41" s="11">
        <f>Hoja1!M54</f>
        <v>18120</v>
      </c>
      <c r="E41" s="11">
        <f>D41*(1.02)</f>
        <v>18482.4</v>
      </c>
      <c r="F41" s="11">
        <f>E41*(1.02)</f>
        <v>18852.048000000003</v>
      </c>
      <c r="G41" s="11">
        <f>F41*(1.02)</f>
        <v>19229.088960000005</v>
      </c>
      <c r="H41" s="11">
        <f>G41*(1.02)</f>
        <v>19613.670739200006</v>
      </c>
    </row>
    <row r="42" spans="2:8" ht="12.75">
      <c r="B42" s="3" t="s">
        <v>13</v>
      </c>
      <c r="C42" s="3"/>
      <c r="D42" s="11">
        <f>'ER P y G'!C42</f>
        <v>4777.71712</v>
      </c>
      <c r="E42" s="11">
        <f>'ER P y G'!D42</f>
        <v>4037.513014935814</v>
      </c>
      <c r="F42" s="11">
        <f>'ER P y G'!E42</f>
        <v>3202.5627844234127</v>
      </c>
      <c r="G42" s="11">
        <f>'ER P y G'!F42</f>
        <v>2260.738924405424</v>
      </c>
      <c r="H42" s="11">
        <f>'ER P y G'!G42</f>
        <v>1198.3616103051324</v>
      </c>
    </row>
    <row r="43" spans="2:9" ht="12.75">
      <c r="B43" s="3" t="s">
        <v>14</v>
      </c>
      <c r="C43" s="3"/>
      <c r="D43" s="11">
        <f>Hoja1!N62</f>
        <v>21600</v>
      </c>
      <c r="E43" s="16">
        <f>D43*(1+$I$43)</f>
        <v>25920</v>
      </c>
      <c r="F43" s="16">
        <f>E43*(1+$I$43)</f>
        <v>31104</v>
      </c>
      <c r="G43" s="16">
        <f>F43*(1+$I$43)</f>
        <v>37324.799999999996</v>
      </c>
      <c r="H43" s="16">
        <f>G43*(1+$I$43)</f>
        <v>44789.759999999995</v>
      </c>
      <c r="I43">
        <v>0.2</v>
      </c>
    </row>
    <row r="44" spans="2:8" ht="12.75">
      <c r="B44" s="3" t="s">
        <v>15</v>
      </c>
      <c r="C44" s="3"/>
      <c r="D44" s="11">
        <f>Hoja1!B74</f>
        <v>30000</v>
      </c>
      <c r="E44" s="11">
        <f>D44*(1-0.1)</f>
        <v>27000</v>
      </c>
      <c r="F44" s="11">
        <f>E44*(1-0.1)</f>
        <v>24300</v>
      </c>
      <c r="G44" s="11">
        <f>F44*(1-0.1)</f>
        <v>21870</v>
      </c>
      <c r="H44" s="11">
        <f>G44*(1-0.1)</f>
        <v>19683</v>
      </c>
    </row>
    <row r="45" spans="2:8" ht="12.75">
      <c r="B45" s="3" t="s">
        <v>16</v>
      </c>
      <c r="C45" s="3"/>
      <c r="D45" s="11">
        <f>Hoja1!E82</f>
        <v>1020</v>
      </c>
      <c r="E45" s="16">
        <f>D45*(1+0.001)</f>
        <v>1021.0199999999999</v>
      </c>
      <c r="F45" s="16">
        <f>E45*(1+0.001)</f>
        <v>1022.0410199999998</v>
      </c>
      <c r="G45" s="16">
        <f>F45*(1+0.001)</f>
        <v>1023.0630610199996</v>
      </c>
      <c r="H45" s="16">
        <f>G45*(1+0.001)</f>
        <v>1024.0861240810195</v>
      </c>
    </row>
    <row r="46" spans="2:8" ht="12.75">
      <c r="B46" s="30" t="s">
        <v>206</v>
      </c>
      <c r="C46" s="30"/>
      <c r="D46" s="11">
        <f>(C6+C11)*Hoja1!K100+(C4+C10)*Hoja1!N120</f>
        <v>123870</v>
      </c>
      <c r="E46" s="11">
        <f>D46*(1+H14)</f>
        <v>136257</v>
      </c>
      <c r="F46" s="11">
        <f>E46*(1+I14)</f>
        <v>136257</v>
      </c>
      <c r="G46" s="11">
        <f>F46*(1+K14)</f>
        <v>136257</v>
      </c>
      <c r="H46" s="11">
        <f>G46*(1+L14)</f>
        <v>136257</v>
      </c>
    </row>
    <row r="47" spans="2:8" ht="12.75">
      <c r="B47" s="3" t="s">
        <v>17</v>
      </c>
      <c r="C47" s="3"/>
      <c r="D47" s="11">
        <f>'ER P y G'!C47</f>
        <v>1982.7039999999997</v>
      </c>
      <c r="E47" s="11">
        <f>'ER P y G'!D47</f>
        <v>1982.7039999999997</v>
      </c>
      <c r="F47" s="11">
        <f>'ER P y G'!E47</f>
        <v>1982.7039999999997</v>
      </c>
      <c r="G47" s="11">
        <f>'ER P y G'!F47</f>
        <v>1382.7139999999997</v>
      </c>
      <c r="H47" s="11">
        <f>'ER P y G'!G47</f>
        <v>1382.7139999999997</v>
      </c>
    </row>
    <row r="48" spans="2:8" ht="12.75">
      <c r="B48" s="3" t="s">
        <v>18</v>
      </c>
      <c r="C48" s="3"/>
      <c r="D48" s="11">
        <f>Hoja1!F163</f>
        <v>559.888725</v>
      </c>
      <c r="E48" s="11"/>
      <c r="F48" s="11"/>
      <c r="G48" s="11"/>
      <c r="H48" s="11"/>
    </row>
    <row r="49" spans="2:8" ht="12.75">
      <c r="B49" s="3" t="s">
        <v>19</v>
      </c>
      <c r="C49" s="3"/>
      <c r="D49" s="11">
        <f>Hoja1!F164</f>
        <v>559.888725</v>
      </c>
      <c r="E49" s="11"/>
      <c r="F49" s="11"/>
      <c r="G49" s="11"/>
      <c r="H49" s="11"/>
    </row>
    <row r="50" spans="2:8" ht="12.75">
      <c r="B50" s="3" t="s">
        <v>20</v>
      </c>
      <c r="C50" s="3"/>
      <c r="D50" s="11">
        <f>Hoja1!E100</f>
        <v>5963.963000000001</v>
      </c>
      <c r="E50" s="16">
        <f>D50</f>
        <v>5963.963000000001</v>
      </c>
      <c r="F50" s="16">
        <f>E50</f>
        <v>5963.963000000001</v>
      </c>
      <c r="G50" s="16">
        <f>F50</f>
        <v>5963.963000000001</v>
      </c>
      <c r="H50" s="16">
        <f>G50</f>
        <v>5963.963000000001</v>
      </c>
    </row>
    <row r="51" spans="2:8" ht="12.75">
      <c r="B51" s="17" t="s">
        <v>21</v>
      </c>
      <c r="C51" s="17"/>
      <c r="D51" s="18">
        <f>SUM(D40:D50)</f>
        <v>285947.9415700001</v>
      </c>
      <c r="E51" s="18">
        <f>SUM(E40:E50)</f>
        <v>300483.19341493584</v>
      </c>
      <c r="F51" s="18">
        <f>SUM(F40:F50)</f>
        <v>304897.4700064234</v>
      </c>
      <c r="G51" s="18">
        <f>SUM(G40:G50)</f>
        <v>309990.9136834854</v>
      </c>
      <c r="H51" s="18">
        <f>SUM(H40:H50)</f>
        <v>317132.48758378794</v>
      </c>
    </row>
    <row r="52" spans="2:8" ht="12.75">
      <c r="B52" s="3"/>
      <c r="C52" s="3"/>
      <c r="D52" s="3"/>
      <c r="E52" s="3"/>
      <c r="F52" s="3"/>
      <c r="G52" s="3"/>
      <c r="H52" s="3"/>
    </row>
    <row r="53" spans="2:8" ht="12.75">
      <c r="B53" s="19" t="s">
        <v>22</v>
      </c>
      <c r="C53" s="19"/>
      <c r="D53" s="20">
        <f>D37-D51</f>
        <v>-18378.806770000083</v>
      </c>
      <c r="E53" s="20">
        <f>E37-E51</f>
        <v>3369.968345064204</v>
      </c>
      <c r="F53" s="20">
        <f>F37-F51</f>
        <v>19090.534105576633</v>
      </c>
      <c r="G53" s="20">
        <f>G37-G51</f>
        <v>35750.21175091475</v>
      </c>
      <c r="H53" s="20">
        <f>H37-H51</f>
        <v>100813.58946249227</v>
      </c>
    </row>
    <row r="54" spans="2:8" ht="12.75">
      <c r="B54" s="21" t="s">
        <v>23</v>
      </c>
      <c r="C54" s="21"/>
      <c r="D54" s="11">
        <f>IF(D53&gt;0,D53*0.15,0)</f>
        <v>0</v>
      </c>
      <c r="E54" s="11">
        <f>IF(E53&gt;0,E53*0.15,0)</f>
        <v>505.4952517596306</v>
      </c>
      <c r="F54" s="11">
        <f>IF(F53&gt;0,F53*0.15,0)</f>
        <v>2863.5801158364948</v>
      </c>
      <c r="G54" s="11">
        <f>IF(G53&gt;0,G53*0.15,0)</f>
        <v>5362.5317626372125</v>
      </c>
      <c r="H54" s="11">
        <f>IF(H53&gt;0,H53*0.15,0)</f>
        <v>15122.03841937384</v>
      </c>
    </row>
    <row r="55" spans="2:8" ht="12.75">
      <c r="B55" s="22" t="s">
        <v>24</v>
      </c>
      <c r="C55" s="22"/>
      <c r="D55" s="23">
        <f>D53-D54</f>
        <v>-18378.806770000083</v>
      </c>
      <c r="E55" s="23">
        <f>E53-E54</f>
        <v>2864.4730933045735</v>
      </c>
      <c r="F55" s="23">
        <f>F53-F54</f>
        <v>16226.953989740137</v>
      </c>
      <c r="G55" s="23">
        <f>G53-G54</f>
        <v>30387.679988277538</v>
      </c>
      <c r="H55" s="23">
        <f>H53-H54</f>
        <v>85691.55104311842</v>
      </c>
    </row>
    <row r="56" spans="2:8" ht="12.75">
      <c r="B56" s="24" t="s">
        <v>25</v>
      </c>
      <c r="C56" s="24"/>
      <c r="D56" s="11">
        <f>IF(D55&gt;0,D55*0.25,0)</f>
        <v>0</v>
      </c>
      <c r="E56" s="11">
        <f>IF(E55&gt;0,E55*0.25,0)</f>
        <v>716.1182733261434</v>
      </c>
      <c r="F56" s="11">
        <f>IF(F55&gt;0,F55*0.25,0)</f>
        <v>4056.7384974350343</v>
      </c>
      <c r="G56" s="11">
        <f>IF(G55&gt;0,G55*0.25,0)</f>
        <v>7596.919997069384</v>
      </c>
      <c r="H56" s="11">
        <f>IF(H55&gt;0,H55*0.25,0)</f>
        <v>21422.887760779606</v>
      </c>
    </row>
    <row r="57" spans="2:8" ht="12.75">
      <c r="B57" s="25" t="s">
        <v>26</v>
      </c>
      <c r="C57" s="25"/>
      <c r="D57" s="26">
        <f>D55-D56</f>
        <v>-18378.806770000083</v>
      </c>
      <c r="E57" s="26">
        <f>E55-E56</f>
        <v>2148.35481997843</v>
      </c>
      <c r="F57" s="26">
        <f>F55-F56</f>
        <v>12170.215492305102</v>
      </c>
      <c r="G57" s="26">
        <f>G55-G56</f>
        <v>22790.759991208153</v>
      </c>
      <c r="H57" s="26">
        <f>H55-H56</f>
        <v>64268.66328233882</v>
      </c>
    </row>
    <row r="58" spans="2:8" ht="12.75">
      <c r="B58" s="261"/>
      <c r="C58" s="261"/>
      <c r="D58" s="261"/>
      <c r="E58" s="261"/>
      <c r="F58" s="261"/>
      <c r="G58" s="261"/>
      <c r="H58" s="261"/>
    </row>
    <row r="59" spans="2:8" ht="12.75">
      <c r="B59" s="3" t="s">
        <v>17</v>
      </c>
      <c r="C59" s="3"/>
      <c r="D59" s="11">
        <f>D47</f>
        <v>1982.7039999999997</v>
      </c>
      <c r="E59" s="11">
        <f aca="true" t="shared" si="0" ref="E59:H60">D59</f>
        <v>1982.7039999999997</v>
      </c>
      <c r="F59" s="11">
        <f t="shared" si="0"/>
        <v>1982.7039999999997</v>
      </c>
      <c r="G59" s="11">
        <f t="shared" si="0"/>
        <v>1982.7039999999997</v>
      </c>
      <c r="H59" s="11">
        <f t="shared" si="0"/>
        <v>1982.7039999999997</v>
      </c>
    </row>
    <row r="60" spans="2:8" ht="12.75">
      <c r="B60" s="3" t="s">
        <v>20</v>
      </c>
      <c r="C60" s="3"/>
      <c r="D60" s="11">
        <f>D50</f>
        <v>5963.963000000001</v>
      </c>
      <c r="E60" s="11">
        <f t="shared" si="0"/>
        <v>5963.963000000001</v>
      </c>
      <c r="F60" s="11">
        <f t="shared" si="0"/>
        <v>5963.963000000001</v>
      </c>
      <c r="G60" s="11">
        <f t="shared" si="0"/>
        <v>5963.963000000001</v>
      </c>
      <c r="H60" s="11">
        <f t="shared" si="0"/>
        <v>5963.963000000001</v>
      </c>
    </row>
    <row r="61" spans="2:8" ht="12.75">
      <c r="B61" s="3"/>
      <c r="C61" s="3"/>
      <c r="D61" s="3"/>
      <c r="E61" s="3"/>
      <c r="F61" s="3"/>
      <c r="G61" s="3"/>
      <c r="H61" s="3"/>
    </row>
    <row r="62" spans="2:8" ht="12.75">
      <c r="B62" s="3" t="s">
        <v>192</v>
      </c>
      <c r="C62" s="11">
        <f>-SUM(Hoja1!C4:C6)</f>
        <v>-24706.1</v>
      </c>
      <c r="D62" s="3"/>
      <c r="E62" s="3"/>
      <c r="F62" s="3"/>
      <c r="G62" s="3"/>
      <c r="H62" s="3"/>
    </row>
    <row r="63" spans="2:8" ht="12.75">
      <c r="B63" s="3" t="s">
        <v>51</v>
      </c>
      <c r="C63" s="11">
        <f>-Hoja1!C7</f>
        <v>-28519.815000000002</v>
      </c>
      <c r="D63" s="3"/>
      <c r="E63" s="3"/>
      <c r="F63" s="3"/>
      <c r="G63" s="3"/>
      <c r="H63" s="3"/>
    </row>
    <row r="64" spans="2:8" ht="12.75">
      <c r="B64" s="3" t="s">
        <v>90</v>
      </c>
      <c r="C64" s="11">
        <f>Hoja1!D31</f>
        <v>37325.915</v>
      </c>
      <c r="D64" s="3"/>
      <c r="E64" s="3"/>
      <c r="F64" s="3"/>
      <c r="G64" s="3"/>
      <c r="H64" s="3"/>
    </row>
    <row r="65" spans="2:8" ht="12.75">
      <c r="B65" s="3"/>
      <c r="C65" s="11"/>
      <c r="D65" s="3"/>
      <c r="E65" s="3"/>
      <c r="F65" s="3"/>
      <c r="G65" s="3"/>
      <c r="H65" s="3"/>
    </row>
    <row r="66" spans="2:8" ht="12.75">
      <c r="B66" s="3" t="s">
        <v>193</v>
      </c>
      <c r="C66" s="3"/>
      <c r="D66" s="11">
        <v>3141.96359769249</v>
      </c>
      <c r="E66" s="11">
        <v>3544.1349381971263</v>
      </c>
      <c r="F66" s="11">
        <v>3997.7842102863588</v>
      </c>
      <c r="G66" s="11">
        <v>4509.500589203013</v>
      </c>
      <c r="H66" s="11">
        <v>5086.716664620998</v>
      </c>
    </row>
    <row r="67" spans="2:8" ht="12.75">
      <c r="B67" s="3" t="s">
        <v>194</v>
      </c>
      <c r="C67" s="3"/>
      <c r="D67" s="3"/>
      <c r="E67" s="3"/>
      <c r="F67" s="3"/>
      <c r="G67" s="3"/>
      <c r="H67" s="11">
        <f>Hoja1!H92</f>
        <v>6633.549999999999</v>
      </c>
    </row>
    <row r="68" spans="2:8" ht="12.75">
      <c r="B68" s="145" t="s">
        <v>195</v>
      </c>
      <c r="C68" s="146">
        <f>SUM(C62:C67)</f>
        <v>-15900</v>
      </c>
      <c r="D68" s="146">
        <f>D57+D59+D60-D66</f>
        <v>-13574.103367692576</v>
      </c>
      <c r="E68" s="146">
        <f>E57+E59+E60-E66</f>
        <v>6550.886881781304</v>
      </c>
      <c r="F68" s="146">
        <f>F57+F59+F60-F66</f>
        <v>16119.098282018746</v>
      </c>
      <c r="G68" s="146">
        <f>G57+G59+G60-G66</f>
        <v>26227.92640200514</v>
      </c>
      <c r="H68" s="146">
        <f>H57+H59+H60-H66+H67</f>
        <v>73762.16361771783</v>
      </c>
    </row>
    <row r="69" spans="2:8" ht="12.75">
      <c r="B69" s="209" t="s">
        <v>251</v>
      </c>
      <c r="C69" s="198"/>
      <c r="D69" s="210">
        <f>C68+D68</f>
        <v>-29474.103367692576</v>
      </c>
      <c r="E69" s="211">
        <f>D69+E68</f>
        <v>-22923.216485911275</v>
      </c>
      <c r="F69" s="211">
        <f>E69+F68</f>
        <v>-6804.118203892529</v>
      </c>
      <c r="G69" s="211">
        <f>F69+G68</f>
        <v>19423.808198112612</v>
      </c>
      <c r="H69" s="211">
        <f>G69+H68</f>
        <v>93185.97181583045</v>
      </c>
    </row>
    <row r="71" spans="2:3" ht="12.75">
      <c r="B71" s="2" t="s">
        <v>196</v>
      </c>
      <c r="C71" s="56">
        <f>C68+NPV(C72,D68:H68)</f>
        <v>21796.926212630686</v>
      </c>
    </row>
    <row r="72" spans="2:3" ht="12.75">
      <c r="B72" s="2" t="s">
        <v>197</v>
      </c>
      <c r="C72" s="147">
        <v>0.2421</v>
      </c>
    </row>
    <row r="73" spans="2:3" ht="12.75">
      <c r="B73" s="2" t="s">
        <v>198</v>
      </c>
      <c r="C73" s="61">
        <f>IRR(C68:H68)</f>
        <v>0.4591480246825077</v>
      </c>
    </row>
  </sheetData>
  <sheetProtection/>
  <mergeCells count="2">
    <mergeCell ref="B58:H58"/>
    <mergeCell ref="B19:H19"/>
  </mergeCells>
  <printOptions/>
  <pageMargins left="0.75" right="0.75" top="1" bottom="1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Pavilion</dc:creator>
  <cp:keywords/>
  <dc:description/>
  <cp:lastModifiedBy>Dr. Rosas</cp:lastModifiedBy>
  <dcterms:created xsi:type="dcterms:W3CDTF">2009-02-04T02:44:30Z</dcterms:created>
  <dcterms:modified xsi:type="dcterms:W3CDTF">2009-03-05T13:34:38Z</dcterms:modified>
  <cp:category/>
  <cp:version/>
  <cp:contentType/>
  <cp:contentStatus/>
</cp:coreProperties>
</file>