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0320" windowHeight="4950" tabRatio="823" firstSheet="3" activeTab="8"/>
  </bookViews>
  <sheets>
    <sheet name="Parametros" sheetId="1" r:id="rId1"/>
    <sheet name="Demanda esperada" sheetId="2" r:id="rId2"/>
    <sheet name="CB_DATA_" sheetId="3" state="veryHidden" r:id="rId3"/>
    <sheet name="Inversion y gastos" sheetId="4" r:id="rId4"/>
    <sheet name="capital de trabajo" sheetId="5" r:id="rId5"/>
    <sheet name="Depreciacion AF" sheetId="6" r:id="rId6"/>
    <sheet name="Amortizacion" sheetId="7" r:id="rId7"/>
    <sheet name="Tasa de descuento" sheetId="8" r:id="rId8"/>
    <sheet name="Flujo de Caja" sheetId="9" r:id="rId9"/>
    <sheet name="Payback" sheetId="10" r:id="rId10"/>
    <sheet name="Balance general" sheetId="11" r:id="rId11"/>
    <sheet name="Estado de Resultados" sheetId="12" r:id="rId12"/>
    <sheet name="tabla depreciacion doc" sheetId="13" r:id="rId13"/>
    <sheet name="Flujo anl. sensibilidad" sheetId="14" r:id="rId14"/>
    <sheet name="Analisis sensibilidad precio" sheetId="15" r:id="rId15"/>
    <sheet name="Analisis sensibilidad cantidad" sheetId="16" r:id="rId16"/>
    <sheet name="Analisis sensibilidad CV1" sheetId="17" r:id="rId17"/>
    <sheet name="Analisis sensibilidad CV2" sheetId="18" r:id="rId18"/>
    <sheet name="Hoja13" sheetId="19" r:id="rId19"/>
  </sheets>
  <externalReferences>
    <externalReference r:id="rId22"/>
  </externalReferences>
  <definedNames>
    <definedName name="CB_0d0e3c02b06a4c8f830720f41f06fb9b" localSheetId="3" hidden="1">'Inversion y gastos'!$C$93</definedName>
    <definedName name="CB_51b1e6e7ef0440f5ad328fe369461b77" localSheetId="1" hidden="1">'Demanda esperada'!$C$30</definedName>
    <definedName name="CB_559fdaaee0f14a43971559edcaf42f38" localSheetId="3" hidden="1">'Inversion y gastos'!$F$115</definedName>
    <definedName name="CB_697bcc76b64d4c628aee6ec0fadbf91a" localSheetId="13" hidden="1">'Flujo anl. sensibilidad'!$C$43</definedName>
    <definedName name="CB_697bcc76b64d4c628aee6ec0fadbf91a" localSheetId="8" hidden="1">'Flujo de Caja'!$C$43</definedName>
    <definedName name="CB_9232da4bc1194d349df84b95afab5805" localSheetId="3" hidden="1">'Inversion y gastos'!$H$80</definedName>
    <definedName name="CB_9c262e5dd9694c039a86f07156804f04" localSheetId="3" hidden="1">'Inversion y gastos'!$C$149</definedName>
    <definedName name="CB_a87449b6cc8d4af596a46aa2d3c6c93a" localSheetId="3" hidden="1">'Inversion y gastos'!$C$95</definedName>
    <definedName name="CB_dab8b382da6f4b2d94c071eb2aa7bd34" localSheetId="3" hidden="1">'Inversion y gastos'!$E$64</definedName>
    <definedName name="CB_dac0ab300b8448c396388598336e6600" localSheetId="3" hidden="1">'Inversion y gastos'!$C$94</definedName>
    <definedName name="CB_e989d9327e7b44c8bedee7e1dce36b57" localSheetId="3" hidden="1">'Inversion y gastos'!$F$116</definedName>
    <definedName name="CBCR_c0012dffcc69404ea5c9920871f79e94" localSheetId="13" hidden="1">'Flujo anl. sensibilidad'!$C$43</definedName>
    <definedName name="CBCR_c0012dffcc69404ea5c9920871f79e94" localSheetId="8" hidden="1">'Flujo de Caja'!$C$43</definedName>
    <definedName name="CBWorkbookPriority" hidden="1">-926551528</definedName>
    <definedName name="CBx_115e93ef30044274bac711407203c8cf" localSheetId="2" hidden="1">"'Demanda esperada'!$A$1"</definedName>
    <definedName name="CBx_7c66725e3187423b98266fe167e99515" localSheetId="2" hidden="1">"'Inversion y gastos'!$A$1"</definedName>
    <definedName name="CBx_9c2ffce1cdd846bfa9a7af18f580bde0" localSheetId="2" hidden="1">"'Flujo de Caja'!$A$1"</definedName>
    <definedName name="CBx_c01771d8da7644ad802ca9f8c18f3de3" localSheetId="2" hidden="1">"'CB_DATA_'!$A$1"</definedName>
    <definedName name="CBx_Sheet_Guid" localSheetId="2" hidden="1">"'c01771d8-da76-44ad-802c-a9f8c18f3de3"</definedName>
    <definedName name="CBx_Sheet_Guid" localSheetId="1" hidden="1">"'115e93ef-3004-4274-bac7-11407203c8cf"</definedName>
    <definedName name="CBx_Sheet_Guid" localSheetId="13" hidden="1">"'9c2ffce1-cdd8-46bf-a9a7-af18f580bde0"</definedName>
    <definedName name="CBx_Sheet_Guid" localSheetId="8" hidden="1">"'9c2ffce1-cdd8-46bf-a9a7-af18f580bde0"</definedName>
    <definedName name="CBx_Sheet_Guid" localSheetId="3" hidden="1">"'7c66725e-3187-423b-9826-6fe167e99515"</definedName>
    <definedName name="CBx_StorageType" localSheetId="2" hidden="1">1</definedName>
    <definedName name="CBx_StorageType" localSheetId="1" hidden="1">1</definedName>
    <definedName name="CBx_StorageType" localSheetId="13" hidden="1">1</definedName>
    <definedName name="CBx_StorageType" localSheetId="8" hidden="1">1</definedName>
    <definedName name="CBx_StorageType" localSheetId="3" hidden="1">1</definedName>
  </definedNames>
  <calcPr fullCalcOnLoad="1"/>
</workbook>
</file>

<file path=xl/comments2.xml><?xml version="1.0" encoding="utf-8"?>
<comments xmlns="http://schemas.openxmlformats.org/spreadsheetml/2006/main">
  <authors>
    <author>Ing. Lucas Mieles</author>
    <author>Usuario</author>
  </authors>
  <commentList>
    <comment ref="E34" authorId="0">
      <text>
        <r>
          <rPr>
            <b/>
            <sz val="8"/>
            <rFont val="Tahoma"/>
            <family val="0"/>
          </rPr>
          <t>Ing. Lucas Mieles:</t>
        </r>
        <r>
          <rPr>
            <sz val="8"/>
            <rFont val="Tahoma"/>
            <family val="0"/>
          </rPr>
          <t xml:space="preserve">
HASTA EL 3ER. AÑO</t>
        </r>
      </text>
    </comment>
    <comment ref="C27" authorId="1">
      <text>
        <r>
          <rPr>
            <b/>
            <sz val="8"/>
            <rFont val="Tahoma"/>
            <family val="2"/>
          </rPr>
          <t>Usuario:</t>
        </r>
        <r>
          <rPr>
            <sz val="8"/>
            <rFont val="Tahoma"/>
            <family val="2"/>
          </rPr>
          <t xml:space="preserve">
estatus medio alto
</t>
        </r>
      </text>
    </comment>
  </commentList>
</comments>
</file>

<file path=xl/comments4.xml><?xml version="1.0" encoding="utf-8"?>
<comments xmlns="http://schemas.openxmlformats.org/spreadsheetml/2006/main">
  <authors>
    <author>Lucas Mieles</author>
    <author>.</author>
    <author>Ing. Lucas Mieles</author>
    <author>Usuario</author>
  </authors>
  <commentList>
    <comment ref="B23" authorId="0">
      <text>
        <r>
          <rPr>
            <b/>
            <sz val="8"/>
            <rFont val="Tahoma"/>
            <family val="0"/>
          </rPr>
          <t>Lucas Mieles:</t>
        </r>
        <r>
          <rPr>
            <sz val="8"/>
            <rFont val="Tahoma"/>
            <family val="0"/>
          </rPr>
          <t xml:space="preserve">
fuente: almacen paco</t>
        </r>
      </text>
    </comment>
    <comment ref="B50" authorId="0">
      <text>
        <r>
          <rPr>
            <b/>
            <sz val="8"/>
            <rFont val="Tahoma"/>
            <family val="0"/>
          </rPr>
          <t>Lucas Mieles:</t>
        </r>
        <r>
          <rPr>
            <sz val="8"/>
            <rFont val="Tahoma"/>
            <family val="0"/>
          </rPr>
          <t xml:space="preserve">
FUENTE: AB. MANRIQUE
</t>
        </r>
      </text>
    </comment>
    <comment ref="B61" authorId="0">
      <text>
        <r>
          <rPr>
            <b/>
            <sz val="8"/>
            <rFont val="Tahoma"/>
            <family val="0"/>
          </rPr>
          <t>Lucas Mieles:</t>
        </r>
        <r>
          <rPr>
            <sz val="8"/>
            <rFont val="Tahoma"/>
            <family val="0"/>
          </rPr>
          <t xml:space="preserve">
FUENTE: JAIME DE LA CUADRA</t>
        </r>
      </text>
    </comment>
    <comment ref="B8" authorId="0">
      <text>
        <r>
          <rPr>
            <b/>
            <sz val="8"/>
            <rFont val="Tahoma"/>
            <family val="0"/>
          </rPr>
          <t>Lucas Mieles:</t>
        </r>
        <r>
          <rPr>
            <sz val="8"/>
            <rFont val="Tahoma"/>
            <family val="0"/>
          </rPr>
          <t xml:space="preserve">
FUENTE: FERNANDO CEVALLOS Y ALMACEN CREDITOS ECONOMICOS ALBORADA</t>
        </r>
      </text>
    </comment>
    <comment ref="B24" authorId="1">
      <text>
        <r>
          <rPr>
            <b/>
            <sz val="8"/>
            <rFont val="Tahoma"/>
            <family val="0"/>
          </rPr>
          <t>.:</t>
        </r>
        <r>
          <rPr>
            <sz val="8"/>
            <rFont val="Tahoma"/>
            <family val="0"/>
          </rPr>
          <t xml:space="preserve">
ojo cartones</t>
        </r>
      </text>
    </comment>
    <comment ref="B25" authorId="1">
      <text>
        <r>
          <rPr>
            <b/>
            <sz val="8"/>
            <rFont val="Tahoma"/>
            <family val="0"/>
          </rPr>
          <t>.:</t>
        </r>
        <r>
          <rPr>
            <sz val="8"/>
            <rFont val="Tahoma"/>
            <family val="0"/>
          </rPr>
          <t xml:space="preserve">
averiguar cartones</t>
        </r>
      </text>
    </comment>
    <comment ref="B90" authorId="1">
      <text>
        <r>
          <rPr>
            <b/>
            <sz val="8"/>
            <rFont val="Tahoma"/>
            <family val="0"/>
          </rPr>
          <t>.:</t>
        </r>
        <r>
          <rPr>
            <sz val="8"/>
            <rFont val="Tahoma"/>
            <family val="0"/>
          </rPr>
          <t xml:space="preserve">
GASTOS DE VENTA</t>
        </r>
      </text>
    </comment>
    <comment ref="B92" authorId="1">
      <text>
        <r>
          <rPr>
            <b/>
            <sz val="8"/>
            <rFont val="Tahoma"/>
            <family val="0"/>
          </rPr>
          <t>.:</t>
        </r>
        <r>
          <rPr>
            <sz val="8"/>
            <rFont val="Tahoma"/>
            <family val="0"/>
          </rPr>
          <t xml:space="preserve">
GASTOS DE VENTAS (GASTOS LABORALES)</t>
        </r>
      </text>
    </comment>
    <comment ref="B83" authorId="1">
      <text>
        <r>
          <rPr>
            <b/>
            <sz val="8"/>
            <rFont val="Tahoma"/>
            <family val="0"/>
          </rPr>
          <t>.:</t>
        </r>
        <r>
          <rPr>
            <sz val="8"/>
            <rFont val="Tahoma"/>
            <family val="0"/>
          </rPr>
          <t xml:space="preserve">
GASTOS DE VENTAS</t>
        </r>
      </text>
    </comment>
    <comment ref="B113" authorId="1">
      <text>
        <r>
          <rPr>
            <b/>
            <sz val="8"/>
            <rFont val="Tahoma"/>
            <family val="0"/>
          </rPr>
          <t>.:</t>
        </r>
        <r>
          <rPr>
            <sz val="8"/>
            <rFont val="Tahoma"/>
            <family val="0"/>
          </rPr>
          <t xml:space="preserve">
GASTOS DE VENTA: EMPAQUE,TRANSPORTE Y ALMACENAMIENTO</t>
        </r>
      </text>
    </comment>
    <comment ref="B21" authorId="1">
      <text>
        <r>
          <rPr>
            <b/>
            <sz val="8"/>
            <rFont val="Tahoma"/>
            <family val="0"/>
          </rPr>
          <t>.:</t>
        </r>
        <r>
          <rPr>
            <sz val="8"/>
            <rFont val="Tahoma"/>
            <family val="0"/>
          </rPr>
          <t xml:space="preserve">
GASTOS GENERALES Y DE ADMINISTRACION</t>
        </r>
      </text>
    </comment>
    <comment ref="B6" authorId="1">
      <text>
        <r>
          <rPr>
            <b/>
            <sz val="8"/>
            <rFont val="Tahoma"/>
            <family val="0"/>
          </rPr>
          <t>.:</t>
        </r>
        <r>
          <rPr>
            <sz val="8"/>
            <rFont val="Tahoma"/>
            <family val="0"/>
          </rPr>
          <t xml:space="preserve">
GASTOS GENERALES Y DE ADMINISTRACION</t>
        </r>
      </text>
    </comment>
    <comment ref="B101" authorId="1">
      <text>
        <r>
          <rPr>
            <b/>
            <sz val="8"/>
            <rFont val="Tahoma"/>
            <family val="0"/>
          </rPr>
          <t>.:</t>
        </r>
        <r>
          <rPr>
            <sz val="8"/>
            <rFont val="Tahoma"/>
            <family val="0"/>
          </rPr>
          <t xml:space="preserve">
GASTOS GENERALES Y DE ADMINISTRACION</t>
        </r>
      </text>
    </comment>
    <comment ref="B60" authorId="1">
      <text>
        <r>
          <rPr>
            <b/>
            <sz val="8"/>
            <rFont val="Tahoma"/>
            <family val="0"/>
          </rPr>
          <t>.:</t>
        </r>
        <r>
          <rPr>
            <sz val="8"/>
            <rFont val="Tahoma"/>
            <family val="0"/>
          </rPr>
          <t xml:space="preserve">
EN VEZ DE COSTOS DE FABRICACION </t>
        </r>
      </text>
    </comment>
    <comment ref="B57" authorId="1">
      <text>
        <r>
          <rPr>
            <b/>
            <sz val="8"/>
            <rFont val="Tahoma"/>
            <family val="0"/>
          </rPr>
          <t>.:</t>
        </r>
        <r>
          <rPr>
            <sz val="8"/>
            <rFont val="Tahoma"/>
            <family val="0"/>
          </rPr>
          <t xml:space="preserve">
Fuente: Big Outlets</t>
        </r>
      </text>
    </comment>
    <comment ref="B55" authorId="1">
      <text>
        <r>
          <rPr>
            <b/>
            <sz val="8"/>
            <rFont val="Tahoma"/>
            <family val="0"/>
          </rPr>
          <t>.:</t>
        </r>
        <r>
          <rPr>
            <sz val="8"/>
            <rFont val="Tahoma"/>
            <family val="0"/>
          </rPr>
          <t xml:space="preserve">
INVERSION INICIAL: INVERSION EN CONCESION DE LOCAL COMERCIAL</t>
        </r>
      </text>
    </comment>
    <comment ref="B52" authorId="1">
      <text>
        <r>
          <rPr>
            <b/>
            <sz val="8"/>
            <rFont val="Tahoma"/>
            <family val="0"/>
          </rPr>
          <t>.:</t>
        </r>
        <r>
          <rPr>
            <sz val="8"/>
            <rFont val="Tahoma"/>
            <family val="0"/>
          </rPr>
          <t xml:space="preserve">
INVERSION INICIAL: INVERSION EN CONSTITUCION DE LA COMPAÑIA</t>
        </r>
      </text>
    </comment>
    <comment ref="B43" authorId="1">
      <text>
        <r>
          <rPr>
            <b/>
            <sz val="8"/>
            <rFont val="Tahoma"/>
            <family val="0"/>
          </rPr>
          <t>.:</t>
        </r>
        <r>
          <rPr>
            <sz val="8"/>
            <rFont val="Tahoma"/>
            <family val="0"/>
          </rPr>
          <t xml:space="preserve">
GASTOS GENERALES Y DE ADMINISTRACION</t>
        </r>
      </text>
    </comment>
    <comment ref="B136" authorId="1">
      <text>
        <r>
          <rPr>
            <b/>
            <sz val="8"/>
            <rFont val="Tahoma"/>
            <family val="0"/>
          </rPr>
          <t>.:</t>
        </r>
        <r>
          <rPr>
            <sz val="8"/>
            <rFont val="Tahoma"/>
            <family val="0"/>
          </rPr>
          <t xml:space="preserve">
GASTOS GENERALES Y DE ADMINISTRACION</t>
        </r>
      </text>
    </comment>
    <comment ref="D71" authorId="2">
      <text>
        <r>
          <rPr>
            <b/>
            <sz val="8"/>
            <rFont val="Tahoma"/>
            <family val="0"/>
          </rPr>
          <t>Ing. Lucas Mieles:</t>
        </r>
        <r>
          <rPr>
            <sz val="8"/>
            <rFont val="Tahoma"/>
            <family val="0"/>
          </rPr>
          <t xml:space="preserve">
COSTO VARIABLE</t>
        </r>
      </text>
    </comment>
    <comment ref="H80" authorId="3">
      <text>
        <r>
          <rPr>
            <b/>
            <sz val="8"/>
            <rFont val="Tahoma"/>
            <family val="2"/>
          </rPr>
          <t>Usuario:</t>
        </r>
        <r>
          <rPr>
            <sz val="8"/>
            <rFont val="Tahoma"/>
            <family val="2"/>
          </rPr>
          <t xml:space="preserve">
costo unitario</t>
        </r>
      </text>
    </comment>
  </commentList>
</comments>
</file>

<file path=xl/comments6.xml><?xml version="1.0" encoding="utf-8"?>
<comments xmlns="http://schemas.openxmlformats.org/spreadsheetml/2006/main">
  <authors>
    <author>Lucas Mieles</author>
    <author>.</author>
  </authors>
  <commentList>
    <comment ref="A103" authorId="0">
      <text>
        <r>
          <rPr>
            <b/>
            <sz val="8"/>
            <rFont val="Tahoma"/>
            <family val="0"/>
          </rPr>
          <t>Lucas Mieles:</t>
        </r>
        <r>
          <rPr>
            <sz val="8"/>
            <rFont val="Tahoma"/>
            <family val="0"/>
          </rPr>
          <t xml:space="preserve">
FUENTE: AB. MANRIQUE
</t>
        </r>
      </text>
    </comment>
    <comment ref="A105" authorId="1">
      <text>
        <r>
          <rPr>
            <b/>
            <sz val="8"/>
            <rFont val="Tahoma"/>
            <family val="0"/>
          </rPr>
          <t>.:</t>
        </r>
        <r>
          <rPr>
            <sz val="8"/>
            <rFont val="Tahoma"/>
            <family val="0"/>
          </rPr>
          <t xml:space="preserve">
INVERSION INICIAL: INVERSION EN CONSTITUCION DE LA COMPAÑIA</t>
        </r>
      </text>
    </comment>
    <comment ref="A108" authorId="1">
      <text>
        <r>
          <rPr>
            <b/>
            <sz val="8"/>
            <rFont val="Tahoma"/>
            <family val="0"/>
          </rPr>
          <t>.:</t>
        </r>
        <r>
          <rPr>
            <sz val="8"/>
            <rFont val="Tahoma"/>
            <family val="0"/>
          </rPr>
          <t xml:space="preserve">
INVERSION INICIAL: INVERSION EN CONCESION DE LOCAL COMERCIAL</t>
        </r>
      </text>
    </comment>
    <comment ref="A110" authorId="1">
      <text>
        <r>
          <rPr>
            <b/>
            <sz val="8"/>
            <rFont val="Tahoma"/>
            <family val="0"/>
          </rPr>
          <t>.:</t>
        </r>
        <r>
          <rPr>
            <sz val="8"/>
            <rFont val="Tahoma"/>
            <family val="0"/>
          </rPr>
          <t xml:space="preserve">
Fuente: Big Outlets</t>
        </r>
      </text>
    </comment>
    <comment ref="K90" authorId="1">
      <text>
        <r>
          <rPr>
            <b/>
            <sz val="8"/>
            <rFont val="Tahoma"/>
            <family val="0"/>
          </rPr>
          <t>.:</t>
        </r>
        <r>
          <rPr>
            <sz val="8"/>
            <rFont val="Tahoma"/>
            <family val="0"/>
          </rPr>
          <t xml:space="preserve">
v. mercado</t>
        </r>
      </text>
    </comment>
    <comment ref="J90" authorId="1">
      <text>
        <r>
          <rPr>
            <b/>
            <sz val="8"/>
            <rFont val="Tahoma"/>
            <family val="0"/>
          </rPr>
          <t>.:</t>
        </r>
        <r>
          <rPr>
            <sz val="8"/>
            <rFont val="Tahoma"/>
            <family val="0"/>
          </rPr>
          <t xml:space="preserve">
v. activos</t>
        </r>
      </text>
    </comment>
  </commentList>
</comments>
</file>

<file path=xl/comments7.xml><?xml version="1.0" encoding="utf-8"?>
<comments xmlns="http://schemas.openxmlformats.org/spreadsheetml/2006/main">
  <authors>
    <author>Ing. Lucas Mieles</author>
  </authors>
  <commentList>
    <comment ref="G3" authorId="0">
      <text>
        <r>
          <rPr>
            <b/>
            <sz val="8"/>
            <rFont val="Tahoma"/>
            <family val="0"/>
          </rPr>
          <t>Ing. Lucas Mieles:</t>
        </r>
        <r>
          <rPr>
            <sz val="8"/>
            <rFont val="Tahoma"/>
            <family val="0"/>
          </rPr>
          <t xml:space="preserve">
para pymes, dato del banco del pacifico</t>
        </r>
      </text>
    </comment>
  </commentList>
</comments>
</file>

<file path=xl/comments8.xml><?xml version="1.0" encoding="utf-8"?>
<comments xmlns="http://schemas.openxmlformats.org/spreadsheetml/2006/main">
  <authors>
    <author>Ing. Lucas Mieles</author>
    <author>lmieles</author>
  </authors>
  <commentList>
    <comment ref="C4" authorId="0">
      <text>
        <r>
          <rPr>
            <b/>
            <sz val="8"/>
            <rFont val="Tahoma"/>
            <family val="0"/>
          </rPr>
          <t>Ing. Lucas Mieles:</t>
        </r>
        <r>
          <rPr>
            <sz val="8"/>
            <rFont val="Tahoma"/>
            <family val="0"/>
          </rPr>
          <t xml:space="preserve">
tasa de interes de la deuda, es la tasa del banco.</t>
        </r>
      </text>
    </comment>
    <comment ref="C7" authorId="0">
      <text>
        <r>
          <rPr>
            <b/>
            <sz val="8"/>
            <rFont val="Tahoma"/>
            <family val="0"/>
          </rPr>
          <t>Ing. Lucas Mieles:</t>
        </r>
        <r>
          <rPr>
            <sz val="8"/>
            <rFont val="Tahoma"/>
            <family val="0"/>
          </rPr>
          <t xml:space="preserve">
nivel de endeudamiento, 50% prestamo.</t>
        </r>
      </text>
    </comment>
    <comment ref="C11" authorId="0">
      <text>
        <r>
          <rPr>
            <b/>
            <sz val="8"/>
            <rFont val="Tahoma"/>
            <family val="0"/>
          </rPr>
          <t>Ing. Lucas Mieles:</t>
        </r>
        <r>
          <rPr>
            <sz val="8"/>
            <rFont val="Tahoma"/>
            <family val="0"/>
          </rPr>
          <t xml:space="preserve">
257 puntos base (la dio el profesor)</t>
        </r>
      </text>
    </comment>
    <comment ref="B14" authorId="1">
      <text>
        <r>
          <rPr>
            <b/>
            <sz val="8"/>
            <rFont val="Tahoma"/>
            <family val="0"/>
          </rPr>
          <t>lmieles:</t>
        </r>
        <r>
          <rPr>
            <sz val="8"/>
            <rFont val="Tahoma"/>
            <family val="0"/>
          </rPr>
          <t xml:space="preserve">
beta de las acciones . </t>
        </r>
      </text>
    </comment>
    <comment ref="C14" authorId="1">
      <text>
        <r>
          <rPr>
            <b/>
            <sz val="8"/>
            <rFont val="Tahoma"/>
            <family val="0"/>
          </rPr>
          <t>lmieles:</t>
        </r>
        <r>
          <rPr>
            <sz val="8"/>
            <rFont val="Tahoma"/>
            <family val="0"/>
          </rPr>
          <t xml:space="preserve">
es el beta del negocio, o de los activos. </t>
        </r>
      </text>
    </comment>
    <comment ref="D14" authorId="0">
      <text>
        <r>
          <rPr>
            <b/>
            <sz val="8"/>
            <rFont val="Tahoma"/>
            <family val="0"/>
          </rPr>
          <t>Ing. Lucas Mieles:</t>
        </r>
        <r>
          <rPr>
            <sz val="8"/>
            <rFont val="Tahoma"/>
            <family val="0"/>
          </rPr>
          <t xml:space="preserve">
lo dio el profesor</t>
        </r>
      </text>
    </comment>
    <comment ref="C15" authorId="1">
      <text>
        <r>
          <rPr>
            <b/>
            <sz val="8"/>
            <rFont val="Tahoma"/>
            <family val="0"/>
          </rPr>
          <t>lmieles:</t>
        </r>
        <r>
          <rPr>
            <sz val="8"/>
            <rFont val="Tahoma"/>
            <family val="0"/>
          </rPr>
          <t xml:space="preserve">
peso del riesgo sobre el valor de la rentabilidad.</t>
        </r>
      </text>
    </comment>
    <comment ref="C12" authorId="0">
      <text>
        <r>
          <rPr>
            <b/>
            <sz val="8"/>
            <rFont val="Tahoma"/>
            <family val="0"/>
          </rPr>
          <t>Ing. Lucas Mieles:</t>
        </r>
        <r>
          <rPr>
            <sz val="8"/>
            <rFont val="Tahoma"/>
            <family val="0"/>
          </rPr>
          <t xml:space="preserve">
div yield %</t>
        </r>
      </text>
    </comment>
  </commentList>
</comments>
</file>

<file path=xl/sharedStrings.xml><?xml version="1.0" encoding="utf-8"?>
<sst xmlns="http://schemas.openxmlformats.org/spreadsheetml/2006/main" count="766" uniqueCount="409">
  <si>
    <t>UTILES DE OFICINA:</t>
  </si>
  <si>
    <t>DETALLE</t>
  </si>
  <si>
    <t>CANTIDAD</t>
  </si>
  <si>
    <t>PRECIO UNITARIO</t>
  </si>
  <si>
    <t>PRECIO TOTAL</t>
  </si>
  <si>
    <t>Paquete de 500 hojas A4</t>
  </si>
  <si>
    <t>Lapiz Staedtler 2HB</t>
  </si>
  <si>
    <t>Archivador ideal oficio</t>
  </si>
  <si>
    <t>Caja de grapas Alex de 5000 unidades</t>
  </si>
  <si>
    <t>Caja de clips estándar Alex</t>
  </si>
  <si>
    <t>Sacapunta 2 servicios plastico color</t>
  </si>
  <si>
    <t>Goma UHU 118 Gr.</t>
  </si>
  <si>
    <t xml:space="preserve">Borrador Pelikan </t>
  </si>
  <si>
    <t>Sacagrapa marca Eagle</t>
  </si>
  <si>
    <t>Perforadora plastica estándar marca Erich Krause</t>
  </si>
  <si>
    <t>Grapadora Flat negra 527</t>
  </si>
  <si>
    <t>Cinta Scotch</t>
  </si>
  <si>
    <t>Cinta de embalaje café</t>
  </si>
  <si>
    <t>Notitas post it de 3x3 cm.</t>
  </si>
  <si>
    <t>Carpetas manila cartulina 172 Gr.</t>
  </si>
  <si>
    <t>Sobres manila F4 carta de 250x340 mm. Paquete 5 unidades</t>
  </si>
  <si>
    <t>Total</t>
  </si>
  <si>
    <t>Costo del producto</t>
  </si>
  <si>
    <t>Costo del flete</t>
  </si>
  <si>
    <t>Valor total del seguro</t>
  </si>
  <si>
    <t>IVA 12%</t>
  </si>
  <si>
    <t>FDI (Fodinfa)</t>
  </si>
  <si>
    <t>Honorarios profesionales del agente de aduana</t>
  </si>
  <si>
    <t>Costo de transporte de salida de aduana</t>
  </si>
  <si>
    <t>COSTO</t>
  </si>
  <si>
    <t>EQUIPOS DE OFICINA</t>
  </si>
  <si>
    <t>Silla secretaria con brazos</t>
  </si>
  <si>
    <t>Silla para usuarios</t>
  </si>
  <si>
    <t>Archivadores</t>
  </si>
  <si>
    <t>Equipo de computación (monitor, cpu, mouse y teclado)</t>
  </si>
  <si>
    <t>Extintor de incendio</t>
  </si>
  <si>
    <t>Tachos de basura</t>
  </si>
  <si>
    <t>Boligrafo bic punta fina negra (azul, negra y roja)</t>
  </si>
  <si>
    <t>Funda de ligas J213 Color 200 grs.</t>
  </si>
  <si>
    <t>Aire Acondicionado LG de 12000BTU</t>
  </si>
  <si>
    <t>Teléfono inalámbrico Panasonic 5.8 GHz - KXTG9331LAT</t>
  </si>
  <si>
    <t>Refrigeradora pequeña defrost 4 pies TA04YO7EXB0</t>
  </si>
  <si>
    <t xml:space="preserve">Impresora multifunción Lexmark WIFI y USB </t>
  </si>
  <si>
    <t>Publicidad 1/4 pagina Revista Hogar</t>
  </si>
  <si>
    <t>TOTAL MENSUAL</t>
  </si>
  <si>
    <t>TOTAL ANUAL</t>
  </si>
  <si>
    <t>GASTOS ADMINISTRATIVOS</t>
  </si>
  <si>
    <t>Sueldos administrativos:</t>
  </si>
  <si>
    <t>Jefa Marketing</t>
  </si>
  <si>
    <t>Arriendo mensual de bodega</t>
  </si>
  <si>
    <t>Alicuota mensual de bodega</t>
  </si>
  <si>
    <t>Luz</t>
  </si>
  <si>
    <t>Agua</t>
  </si>
  <si>
    <t>Telefono</t>
  </si>
  <si>
    <t>Cielo razo ($20 el m2)</t>
  </si>
  <si>
    <t>Pintura ($15 por galon)</t>
  </si>
  <si>
    <t>MANO DE OBRA DIRECTA E INDIRECTA</t>
  </si>
  <si>
    <t>Mensajero (servicio de mensajeria, entrega y recepcion de mercaderia, cobranza y limpieza)</t>
  </si>
  <si>
    <t>Estación de trabajo</t>
  </si>
  <si>
    <t>Costo de concesión del local comercial</t>
  </si>
  <si>
    <t>Estudio Jurídico Estrada - Ab. Javier Estrada Perlaza</t>
  </si>
  <si>
    <t>GASTOS DE INSTALACIÓN</t>
  </si>
  <si>
    <t>MUEBLES Y DECORACIÓN</t>
  </si>
  <si>
    <t>Letrero para colocar en exterior de local (Material P.O.P)</t>
  </si>
  <si>
    <t>Jefa Distribución y Logística</t>
  </si>
  <si>
    <t>GASTOS DE OPERACIÓN:</t>
  </si>
  <si>
    <t>GASTOS DE VENTAS</t>
  </si>
  <si>
    <t>GASTOS GENERALES Y DE ADMINISTRACION</t>
  </si>
  <si>
    <t>Resumen de Costos y Gastos:</t>
  </si>
  <si>
    <t>Inversion en constitución de la compañía</t>
  </si>
  <si>
    <t>Inversión en concesión del local comercial</t>
  </si>
  <si>
    <t>Publicidad 1/4 pagina Revista Mama (10x12)</t>
  </si>
  <si>
    <t>Publicidad 1/8 pagina La Revista - El Universo (11x6.3 cm)</t>
  </si>
  <si>
    <t>No tenemos costos, xq estamos importando no produciendo.</t>
  </si>
  <si>
    <t>Solo tenemos gastos.</t>
  </si>
  <si>
    <t>Precio de venta:</t>
  </si>
  <si>
    <t>Tan solo tenemos el costo del producto que es $130.00</t>
  </si>
  <si>
    <t>INVERSION ANUAL</t>
  </si>
  <si>
    <t xml:space="preserve">GASTOS DE CONSTITUCIÓN </t>
  </si>
  <si>
    <t>AÑO 0</t>
  </si>
  <si>
    <t>AÑO 3</t>
  </si>
  <si>
    <t>AÑOS 1-5</t>
  </si>
  <si>
    <t>TOTAL</t>
  </si>
  <si>
    <t>COSTOS DE IMPORTACIÓN DEL MONITOR:</t>
  </si>
  <si>
    <t>GASTOS DE PUBLICIDAD</t>
  </si>
  <si>
    <t>MESES</t>
  </si>
  <si>
    <t>GASTO MENSUAL</t>
  </si>
  <si>
    <t>GASTO ANUAL</t>
  </si>
  <si>
    <t>UTILES DE OFICINA</t>
  </si>
  <si>
    <t>PARAMETROS:</t>
  </si>
  <si>
    <t>RUBRO</t>
  </si>
  <si>
    <t>AÑO 1</t>
  </si>
  <si>
    <t>AÑO 2</t>
  </si>
  <si>
    <t>AÑO 4</t>
  </si>
  <si>
    <t>AÑO 5</t>
  </si>
  <si>
    <t>Inflación</t>
  </si>
  <si>
    <t>Descuento sobre ventas</t>
  </si>
  <si>
    <t>Incremento en ventas</t>
  </si>
  <si>
    <t>Índice de incremento de precios</t>
  </si>
  <si>
    <t>Impuestos</t>
  </si>
  <si>
    <t>Participación de trabajadores</t>
  </si>
  <si>
    <t>% DE INCREMENTO ANUAL</t>
  </si>
  <si>
    <t>INFLACION PROYECTADA</t>
  </si>
  <si>
    <t>DEPRECIACIÓN ANUAL</t>
  </si>
  <si>
    <t>Vehículos</t>
  </si>
  <si>
    <t>VALOR RESIDUAL</t>
  </si>
  <si>
    <t>VIDA ÚTIL</t>
  </si>
  <si>
    <t>VALOR A</t>
  </si>
  <si>
    <t>%</t>
  </si>
  <si>
    <t>AÑO</t>
  </si>
  <si>
    <t>VALOR INICIAL</t>
  </si>
  <si>
    <t>VALOR</t>
  </si>
  <si>
    <t>(años)</t>
  </si>
  <si>
    <t>DEPRECIAR</t>
  </si>
  <si>
    <t>DEPRECIACIÓN</t>
  </si>
  <si>
    <t>Maquinarias y Equipos</t>
  </si>
  <si>
    <t>Muebles y Equipos de Oficina</t>
  </si>
  <si>
    <t>DEPRECIACION DE ACTIVOS</t>
  </si>
  <si>
    <t>TIEMPO AÑOS</t>
  </si>
  <si>
    <t>PERIODO</t>
  </si>
  <si>
    <t>% DEPRECIACION</t>
  </si>
  <si>
    <t>No. DE ACTIVOS</t>
  </si>
  <si>
    <t>COSTO POR UNIDAD</t>
  </si>
  <si>
    <t>INVERSION</t>
  </si>
  <si>
    <t>DEPRECIACION</t>
  </si>
  <si>
    <t>DEPRECIACION ACUMULADA</t>
  </si>
  <si>
    <t>VALOR EN LIBRO</t>
  </si>
  <si>
    <t>VALOR A DEPRECIAR</t>
  </si>
  <si>
    <t>VALOR DE SALVAMENTO; ES EL VALOR DE RECUPERACION DEL BIEN AL FINAL DE LA VIDA UTIL</t>
  </si>
  <si>
    <t>FLUJO DE CAJA</t>
  </si>
  <si>
    <t>Ingresos</t>
  </si>
  <si>
    <t>Total Ingresos</t>
  </si>
  <si>
    <t>Egresos</t>
  </si>
  <si>
    <t>Gastos de constitución</t>
  </si>
  <si>
    <t>Campaña publicitaria inicial</t>
  </si>
  <si>
    <t>Costos de ventas</t>
  </si>
  <si>
    <t>Total Egresos</t>
  </si>
  <si>
    <t>Flujo Caja</t>
  </si>
  <si>
    <t>Prestamo bancario</t>
  </si>
  <si>
    <t>Tasa Interna de Retorno</t>
  </si>
  <si>
    <t>Valor Actual Neto</t>
  </si>
  <si>
    <t>Tasa de Descuento</t>
  </si>
  <si>
    <t>Número de períodos (años)</t>
  </si>
  <si>
    <t>precio</t>
  </si>
  <si>
    <t>cantidad</t>
  </si>
  <si>
    <t>año 1</t>
  </si>
  <si>
    <t>año 2</t>
  </si>
  <si>
    <t>año 3</t>
  </si>
  <si>
    <t xml:space="preserve">año 2 </t>
  </si>
  <si>
    <t>año 2009</t>
  </si>
  <si>
    <t>año 0</t>
  </si>
  <si>
    <t>BALANCE GENERAL</t>
  </si>
  <si>
    <t>ACTIVOS</t>
  </si>
  <si>
    <t>Caja y Bancos</t>
  </si>
  <si>
    <t>Activos Fijos</t>
  </si>
  <si>
    <t>Depreciación Acumulada</t>
  </si>
  <si>
    <t>Amortización</t>
  </si>
  <si>
    <t>Total Activos</t>
  </si>
  <si>
    <t>PASIVOS Y PATRIMONIO</t>
  </si>
  <si>
    <t>Impuesto a la renta</t>
  </si>
  <si>
    <t>Total Pasivo Corriente</t>
  </si>
  <si>
    <t>Capital Social</t>
  </si>
  <si>
    <t>Utilidades Retenidas</t>
  </si>
  <si>
    <t>Total Patrimonio</t>
  </si>
  <si>
    <t>Total Pasivo y Patrimonio</t>
  </si>
  <si>
    <t>MUEBLES Y DECORACION</t>
  </si>
  <si>
    <t>Inversion en lanzamiento de Publicidad</t>
  </si>
  <si>
    <t>Inversion en Concesion de local</t>
  </si>
  <si>
    <t>Gastos Administrativos</t>
  </si>
  <si>
    <t>Inversión  de Activos Fijos</t>
  </si>
  <si>
    <t>Gastos Totales Dpto. Administrativo</t>
  </si>
  <si>
    <t>Capital</t>
  </si>
  <si>
    <t>Periodo</t>
  </si>
  <si>
    <t>Prestamo</t>
  </si>
  <si>
    <t>Cuota</t>
  </si>
  <si>
    <t>Saldo</t>
  </si>
  <si>
    <t>Interes</t>
  </si>
  <si>
    <t xml:space="preserve">Amotizacion cap. </t>
  </si>
  <si>
    <t>Flujo de caja año 0</t>
  </si>
  <si>
    <t>tasa de interes</t>
  </si>
  <si>
    <t>dato del banco del pacifico(tasa anual)</t>
  </si>
  <si>
    <t>tasa mensual</t>
  </si>
  <si>
    <t>Gastos de Intereses</t>
  </si>
  <si>
    <t>Amortizacion de capital</t>
  </si>
  <si>
    <t>año 4</t>
  </si>
  <si>
    <t>año 5</t>
  </si>
  <si>
    <t># de pedidos al año</t>
  </si>
  <si>
    <t>Gastos de depreciacion</t>
  </si>
  <si>
    <t>Gastos de Amortización</t>
  </si>
  <si>
    <t>Utilidad antes de impuestos</t>
  </si>
  <si>
    <t>Utilidad Neta</t>
  </si>
  <si>
    <t>Ventas Netas</t>
  </si>
  <si>
    <t xml:space="preserve"> - Costo de Ventas</t>
  </si>
  <si>
    <t>UTILIDAD BRUTA</t>
  </si>
  <si>
    <t>Gastos</t>
  </si>
  <si>
    <t>Depreciación</t>
  </si>
  <si>
    <t>Total Gastos</t>
  </si>
  <si>
    <t>Utilidad antes de trabajadores</t>
  </si>
  <si>
    <t xml:space="preserve"> - Participación de trabajadores (15%)</t>
  </si>
  <si>
    <t xml:space="preserve"> - Impuestos (25%)</t>
  </si>
  <si>
    <t>UTILIDAD NETA</t>
  </si>
  <si>
    <t>Margen de Utilidad Bruto</t>
  </si>
  <si>
    <t>Margen de Utilidad Neto</t>
  </si>
  <si>
    <t>Gastos de servicios generales</t>
  </si>
  <si>
    <t>Gastos de arriendo</t>
  </si>
  <si>
    <t>Gastos  Generales</t>
  </si>
  <si>
    <t>gastos de arriendo</t>
  </si>
  <si>
    <t xml:space="preserve">Total </t>
  </si>
  <si>
    <t>Totales</t>
  </si>
  <si>
    <t>Amortizacion anual</t>
  </si>
  <si>
    <t>Inversion Inicial</t>
  </si>
  <si>
    <t>Utilidades de trabajadores</t>
  </si>
  <si>
    <t>Flujo de caja neto</t>
  </si>
  <si>
    <t>Valor en libros</t>
  </si>
  <si>
    <t>dep acumulada</t>
  </si>
  <si>
    <t>Inversion</t>
  </si>
  <si>
    <t>valor en libros</t>
  </si>
  <si>
    <t>Metodo del periodo de desfase</t>
  </si>
  <si>
    <t>dias</t>
  </si>
  <si>
    <t>Flete y desaduanizaciòn</t>
  </si>
  <si>
    <t>Transporte</t>
  </si>
  <si>
    <t>Pedido en canada</t>
  </si>
  <si>
    <t>Transporte de Aduana a Bodega</t>
  </si>
  <si>
    <t>Entrega de pedido</t>
  </si>
  <si>
    <t>Credito</t>
  </si>
  <si>
    <t>Numero de dias del flujo</t>
  </si>
  <si>
    <t xml:space="preserve"> </t>
  </si>
  <si>
    <r>
      <t xml:space="preserve">Volkswagen </t>
    </r>
    <r>
      <rPr>
        <sz val="7.5"/>
        <color indexed="8"/>
        <rFont val="Verdana"/>
        <family val="2"/>
      </rPr>
      <t>Saveiro</t>
    </r>
  </si>
  <si>
    <r>
      <t xml:space="preserve">Desde: </t>
    </r>
    <r>
      <rPr>
        <sz val="7.5"/>
        <color indexed="8"/>
        <rFont val="Verdana"/>
        <family val="2"/>
      </rPr>
      <t>$15890</t>
    </r>
  </si>
  <si>
    <r>
      <t xml:space="preserve">Hasta: </t>
    </r>
    <r>
      <rPr>
        <sz val="7.5"/>
        <color indexed="8"/>
        <rFont val="Verdana"/>
        <family val="2"/>
      </rPr>
      <t>$16150</t>
    </r>
  </si>
  <si>
    <t>Camioneta Volswagen Saveiro</t>
  </si>
  <si>
    <t>capital de trabajo</t>
  </si>
  <si>
    <t>Pago a proveedores</t>
  </si>
  <si>
    <t>Pasivo a largo palzo</t>
  </si>
  <si>
    <t>Total Pasivo</t>
  </si>
  <si>
    <t>Activos Diferido</t>
  </si>
  <si>
    <t>Regiones, provincias, cantones y parroquias</t>
  </si>
  <si>
    <t>Total General</t>
  </si>
  <si>
    <t>Hombres</t>
  </si>
  <si>
    <t>Mujeres</t>
  </si>
  <si>
    <t>Canton Guayaquil</t>
  </si>
  <si>
    <t>Guayaquil</t>
  </si>
  <si>
    <t>Urbano</t>
  </si>
  <si>
    <t>Periferia</t>
  </si>
  <si>
    <t>Parroquias Rurales</t>
  </si>
  <si>
    <t>Poblacion potencial</t>
  </si>
  <si>
    <t>niños nacidos vivos por sexo y tipo de asistencia año 2007</t>
  </si>
  <si>
    <t>www.inec.gov.ec</t>
  </si>
  <si>
    <t>% de personas de estatus medio-alto que comprarian el producto</t>
  </si>
  <si>
    <t>Cantidad esperada</t>
  </si>
  <si>
    <t>Provincias y Cantones</t>
  </si>
  <si>
    <t>Año 2008</t>
  </si>
  <si>
    <t>Año 2009</t>
  </si>
  <si>
    <t>Año 2010</t>
  </si>
  <si>
    <t>% variacion</t>
  </si>
  <si>
    <t>-</t>
  </si>
  <si>
    <t>DEMANDA ESPERADA</t>
  </si>
  <si>
    <t>Precio</t>
  </si>
  <si>
    <t>frequency</t>
  </si>
  <si>
    <t>Precio esperado</t>
  </si>
  <si>
    <t>200-229</t>
  </si>
  <si>
    <t>230-259</t>
  </si>
  <si>
    <t>260-299</t>
  </si>
  <si>
    <t>300-en adel.</t>
  </si>
  <si>
    <t>CALCULO DE TASA DE DESCUENTO (CAPM)</t>
  </si>
  <si>
    <t>Kd o Rd</t>
  </si>
  <si>
    <t>www.yahoofinance.com</t>
  </si>
  <si>
    <t>Tasa de impuestos t</t>
  </si>
  <si>
    <t>http://www.bankrate.com/brm/ratewatch/leading-rates.asp</t>
  </si>
  <si>
    <t>Costo de la deuda</t>
  </si>
  <si>
    <t>L</t>
  </si>
  <si>
    <t>1-L</t>
  </si>
  <si>
    <t>Rf (riesgo pais)</t>
  </si>
  <si>
    <t>1 - t</t>
  </si>
  <si>
    <t>rf</t>
  </si>
  <si>
    <t xml:space="preserve">rm  </t>
  </si>
  <si>
    <t>Beta apalancado</t>
  </si>
  <si>
    <t>sector comercio de materiales y equipos</t>
  </si>
  <si>
    <t>Beta desapalancado</t>
  </si>
  <si>
    <t>Rk (para el flujo del proyecto)</t>
  </si>
  <si>
    <t xml:space="preserve">El beta apalancado es aquel que incluye tanto el riesgo operativo como el financiero. </t>
  </si>
  <si>
    <t>Cuando desapalancamos el beta lo hacemos simplemente para saber cuál es la sensibilidad que tiene el mercado ECUATORIANO ante una variación en los precios, costos, preferencias, etc.  del mercado automotriz (por ejemplo), esto quiere decir que el beta desapalancado mide netamente el riesgo operativo de la industria en particular.</t>
  </si>
  <si>
    <t>Al apalancar el beta, le das a tu compañía las características únicas que adquiere por riesgo propio dada la adopción de sus políticas de financiamiento (lo cual incluye, un riesgo FINANCIERO)</t>
  </si>
  <si>
    <t>PERIODO DE RECUPERACION</t>
  </si>
  <si>
    <t>Saldo inversion</t>
  </si>
  <si>
    <t>Flujo de caja</t>
  </si>
  <si>
    <t>Rentabilidad exigida</t>
  </si>
  <si>
    <t>Recuperacion inversion</t>
  </si>
  <si>
    <t>prestamo bancario</t>
  </si>
  <si>
    <t>Cantidad</t>
  </si>
  <si>
    <t>ESTADO DE RESULTADOS</t>
  </si>
  <si>
    <t>CAPITAL DE TRABAJO</t>
  </si>
  <si>
    <t>COSTO UNITARIO</t>
  </si>
  <si>
    <t>http://biz.yahoo.com/p/841conameu.html</t>
  </si>
  <si>
    <t>Internet</t>
  </si>
  <si>
    <t xml:space="preserve">Vendedores </t>
  </si>
  <si>
    <t>Costo anual</t>
  </si>
  <si>
    <t>Ke (accionista)</t>
  </si>
  <si>
    <t>http://es.mimi.hu/economia/periodo_de_recuperacion.html</t>
  </si>
  <si>
    <t>http://www.dcc.uchile.cl/~anpereir/evaluacion/08IndicadoresFinancierosDetalladoParte2.pdf</t>
  </si>
  <si>
    <t>COSTO DE CONSIGNACION DE MERCADERIA</t>
  </si>
  <si>
    <t>Almacen</t>
  </si>
  <si>
    <t>Precio de venta</t>
  </si>
  <si>
    <t>Precio total</t>
  </si>
  <si>
    <t>% consignacion</t>
  </si>
  <si>
    <t>Costo de consignacion</t>
  </si>
  <si>
    <t>Bebemundo</t>
  </si>
  <si>
    <t>Bebecrece</t>
  </si>
  <si>
    <t>Casa Tosi</t>
  </si>
  <si>
    <t>De Prati</t>
  </si>
  <si>
    <t xml:space="preserve"> - Costo de consignacion producto</t>
  </si>
  <si>
    <t>Costo de consignacion producto</t>
  </si>
  <si>
    <t>A partir del primer año de ventas</t>
  </si>
  <si>
    <t>Costo de consignacion unitario</t>
  </si>
  <si>
    <t>SUELDO UNITARIO</t>
  </si>
  <si>
    <t>Presidente Y Gerente General</t>
  </si>
  <si>
    <t>Valor de mercado</t>
  </si>
  <si>
    <t>Valor de libros</t>
  </si>
  <si>
    <t>Capital de trabajo</t>
  </si>
  <si>
    <t>Recuperacion capital de trabajo</t>
  </si>
  <si>
    <t>INGRESOS</t>
  </si>
  <si>
    <t>EGRESOS</t>
  </si>
  <si>
    <t>SALDO</t>
  </si>
  <si>
    <t>PRECIO</t>
  </si>
  <si>
    <t>rk = rf + b ( rm - rf ) + riesgo pais</t>
  </si>
  <si>
    <t>METODO DEL DEFICIT ACUMULADO MAXIMO</t>
  </si>
  <si>
    <t>SALDO ACUMULADO</t>
  </si>
  <si>
    <t>Pago de deuda</t>
  </si>
  <si>
    <t>Gastos de publicidad</t>
  </si>
  <si>
    <t xml:space="preserve">Amortización </t>
  </si>
  <si>
    <t>VEHICULO</t>
  </si>
  <si>
    <t>INVERSION INICIAL</t>
  </si>
  <si>
    <t>TOTAL INVERSION</t>
  </si>
  <si>
    <t>2 Vendedores</t>
  </si>
  <si>
    <t>1 Mensajero</t>
  </si>
  <si>
    <t>Activo</t>
  </si>
  <si>
    <t>Vida Útil</t>
  </si>
  <si>
    <t>Costo Unitario</t>
  </si>
  <si>
    <t>Valor en Libros</t>
  </si>
  <si>
    <t>Valor Residual</t>
  </si>
  <si>
    <t>Valor a depreciar</t>
  </si>
  <si>
    <t>Depreciación Anual</t>
  </si>
  <si>
    <t>TABLA DE DEPRECIACION PARA DOCUMENTO</t>
  </si>
  <si>
    <t>Creado por . el 08/02/2009</t>
  </si>
  <si>
    <t>Resumen de escenario</t>
  </si>
  <si>
    <t>Celdas cambiantes:</t>
  </si>
  <si>
    <t>Celdas de resultado:</t>
  </si>
  <si>
    <t>Notas: La columna de valores actuales representa los valores de las celdas cambiantes</t>
  </si>
  <si>
    <t>en el momento en que se creó el Informe resumen de escenario. Las celdas cambiantes de</t>
  </si>
  <si>
    <t>cada escenario se muestran en gris.</t>
  </si>
  <si>
    <t>VAN</t>
  </si>
  <si>
    <t>Creado por . el 08/02/2009
Modificado por . el 08/02/2009</t>
  </si>
  <si>
    <t>Costo variable</t>
  </si>
  <si>
    <t xml:space="preserve">precio 1 </t>
  </si>
  <si>
    <t xml:space="preserve">precio 2 </t>
  </si>
  <si>
    <t xml:space="preserve">precio 3 </t>
  </si>
  <si>
    <t>precio 4</t>
  </si>
  <si>
    <t>precio 5</t>
  </si>
  <si>
    <t>precio 6</t>
  </si>
  <si>
    <t>precio promedio</t>
  </si>
  <si>
    <t>precio 7</t>
  </si>
  <si>
    <t>precio 8</t>
  </si>
  <si>
    <t xml:space="preserve">precio 9 </t>
  </si>
  <si>
    <t xml:space="preserve">precio 10 </t>
  </si>
  <si>
    <t xml:space="preserve">precio 11 </t>
  </si>
  <si>
    <t xml:space="preserve">precio 12 </t>
  </si>
  <si>
    <t xml:space="preserve">cantidad 1 </t>
  </si>
  <si>
    <t xml:space="preserve">cantidad 2 </t>
  </si>
  <si>
    <t xml:space="preserve">cantidad 3 </t>
  </si>
  <si>
    <t xml:space="preserve">cantidad 4 </t>
  </si>
  <si>
    <t>cantidad 5</t>
  </si>
  <si>
    <t xml:space="preserve">cantidad 6 </t>
  </si>
  <si>
    <t>cantidad 7</t>
  </si>
  <si>
    <t xml:space="preserve">cantidad promedio </t>
  </si>
  <si>
    <t xml:space="preserve">cantidad 9 </t>
  </si>
  <si>
    <t xml:space="preserve">cantidad 10 </t>
  </si>
  <si>
    <t xml:space="preserve">cantidad 11 </t>
  </si>
  <si>
    <t xml:space="preserve">cantidad 12 </t>
  </si>
  <si>
    <t>cantidad 13</t>
  </si>
  <si>
    <t>cantidad 14</t>
  </si>
  <si>
    <t>costo venta 1</t>
  </si>
  <si>
    <t xml:space="preserve">costo venta 2 </t>
  </si>
  <si>
    <t xml:space="preserve">costo venta 3 </t>
  </si>
  <si>
    <t>costo venta 4</t>
  </si>
  <si>
    <t>costo venta 5</t>
  </si>
  <si>
    <t xml:space="preserve">costo venta 6 </t>
  </si>
  <si>
    <t>costo venta 7</t>
  </si>
  <si>
    <t>costo venta promedio</t>
  </si>
  <si>
    <t>costo venta 8</t>
  </si>
  <si>
    <t>costo venta 9</t>
  </si>
  <si>
    <t>costo venta 10</t>
  </si>
  <si>
    <t>costo venta 11</t>
  </si>
  <si>
    <t xml:space="preserve">costo venta 12 </t>
  </si>
  <si>
    <t>costo venta 13</t>
  </si>
  <si>
    <t xml:space="preserve">consignacion 1 </t>
  </si>
  <si>
    <t>consignacion 2</t>
  </si>
  <si>
    <t>consignacion 3</t>
  </si>
  <si>
    <t xml:space="preserve">consignacion 4 </t>
  </si>
  <si>
    <t>consignacion 5</t>
  </si>
  <si>
    <t>consignacion 6</t>
  </si>
  <si>
    <t xml:space="preserve">consignacion 7 </t>
  </si>
  <si>
    <t>consignacion promedio</t>
  </si>
  <si>
    <t>consignacion 8</t>
  </si>
  <si>
    <t xml:space="preserve">consignacion 9 </t>
  </si>
  <si>
    <t>consignacion 10</t>
  </si>
  <si>
    <t>consignacion 11</t>
  </si>
  <si>
    <t xml:space="preserve">consignacion 12 </t>
  </si>
  <si>
    <t xml:space="preserve">consignacion 13 </t>
  </si>
  <si>
    <t>Costo Variable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</si>
</sst>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00"/>
    <numFmt numFmtId="179" formatCode="_ * #,##0_ ;_ * \-#,##0_ ;_ * &quot;-&quot;_ ;_ @_ "/>
    <numFmt numFmtId="180" formatCode="0.0%"/>
    <numFmt numFmtId="181" formatCode="#,##0.000\ _€;\-#,##0.000\ _€"/>
    <numFmt numFmtId="182" formatCode="[$$-300A]\ #,##0.00"/>
    <numFmt numFmtId="183" formatCode="[$$-2C0A]\ #,##0.00"/>
    <numFmt numFmtId="184" formatCode="_ * #,##0.00_ ;_ * \-#,##0.00_ ;_ * &quot;-&quot;??_ ;_ @_ "/>
    <numFmt numFmtId="185" formatCode="_ [$$-2C0A]\ * #,##0.00_ ;_ [$$-2C0A]\ * \-#,##0.00_ ;_ [$$-2C0A]\ * &quot;-&quot;??_ ;_ @_ "/>
    <numFmt numFmtId="186" formatCode="0.0"/>
    <numFmt numFmtId="187" formatCode="#,##0.00_ ;\-#,##0.00\ "/>
    <numFmt numFmtId="188" formatCode="0.00000"/>
    <numFmt numFmtId="189" formatCode="0.0000"/>
    <numFmt numFmtId="190" formatCode="0.000"/>
    <numFmt numFmtId="191" formatCode="#,##0.0\ _€;\-#,##0.0\ 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300A]\ #,##0.00;[Red][$$-300A]\ \-#,##0.00"/>
    <numFmt numFmtId="197" formatCode="[$-C0A]dddd\,\ dd&quot; de &quot;mmmm&quot; de &quot;yyyy"/>
    <numFmt numFmtId="198" formatCode="#,##0.0"/>
    <numFmt numFmtId="199" formatCode="_(* #,##0.0_);_(* \(#,##0.0\);_(* &quot;-&quot;??_);_(@_)"/>
    <numFmt numFmtId="200" formatCode="_(* #,##0_);_(* \(#,##0\);_(* &quot;-&quot;??_);_(@_)"/>
    <numFmt numFmtId="201" formatCode="0.000000"/>
    <numFmt numFmtId="202" formatCode="&quot;$&quot;\ #,##0.00;\-&quot;$&quot;\ \-#,##0.00"/>
    <numFmt numFmtId="203" formatCode="&quot;$&quot;\ #,##0"/>
    <numFmt numFmtId="204" formatCode="#,##0.00;[Red]#,##0.00"/>
  </numFmts>
  <fonts count="55">
    <font>
      <sz val="11"/>
      <color indexed="8"/>
      <name val="Calibri"/>
      <family val="2"/>
    </font>
    <font>
      <sz val="8"/>
      <name val="Tahoma"/>
      <family val="0"/>
    </font>
    <font>
      <b/>
      <sz val="8"/>
      <name val="Tahoma"/>
      <family val="0"/>
    </font>
    <font>
      <sz val="8"/>
      <name val="Calibri"/>
      <family val="2"/>
    </font>
    <font>
      <u val="single"/>
      <sz val="11"/>
      <color indexed="12"/>
      <name val="Calibri"/>
      <family val="2"/>
    </font>
    <font>
      <b/>
      <sz val="11"/>
      <color indexed="8"/>
      <name val="Calibri"/>
      <family val="2"/>
    </font>
    <font>
      <sz val="10"/>
      <color indexed="8"/>
      <name val="Calibri"/>
      <family val="2"/>
    </font>
    <font>
      <b/>
      <sz val="10"/>
      <color indexed="8"/>
      <name val="Calibri"/>
      <family val="2"/>
    </font>
    <font>
      <b/>
      <i/>
      <sz val="10"/>
      <color indexed="8"/>
      <name val="Calibri"/>
      <family val="2"/>
    </font>
    <font>
      <sz val="10"/>
      <name val="Arial"/>
      <family val="2"/>
    </font>
    <font>
      <b/>
      <sz val="10"/>
      <name val="Arial"/>
      <family val="2"/>
    </font>
    <font>
      <b/>
      <sz val="14"/>
      <name val="Arial"/>
      <family val="2"/>
    </font>
    <font>
      <sz val="12"/>
      <name val="Arial"/>
      <family val="2"/>
    </font>
    <font>
      <sz val="14"/>
      <name val="Arial"/>
      <family val="2"/>
    </font>
    <font>
      <sz val="14"/>
      <color indexed="8"/>
      <name val="Arial"/>
      <family val="2"/>
    </font>
    <font>
      <sz val="10"/>
      <name val="Calibri"/>
      <family val="2"/>
    </font>
    <font>
      <sz val="11"/>
      <name val="Calibri"/>
      <family val="2"/>
    </font>
    <font>
      <b/>
      <sz val="14"/>
      <color indexed="8"/>
      <name val="Calibri"/>
      <family val="2"/>
    </font>
    <font>
      <b/>
      <sz val="14"/>
      <color indexed="8"/>
      <name val="Arial"/>
      <family val="2"/>
    </font>
    <font>
      <sz val="7.5"/>
      <color indexed="8"/>
      <name val="Verdana"/>
      <family val="2"/>
    </font>
    <font>
      <sz val="11"/>
      <color indexed="8"/>
      <name val="Verdana"/>
      <family val="2"/>
    </font>
    <font>
      <b/>
      <sz val="7.5"/>
      <color indexed="8"/>
      <name val="Verdana"/>
      <family val="2"/>
    </font>
    <font>
      <b/>
      <sz val="9"/>
      <color indexed="8"/>
      <name val="Calibri"/>
      <family val="2"/>
    </font>
    <font>
      <b/>
      <sz val="8"/>
      <color indexed="8"/>
      <name val="Calibri"/>
      <family val="2"/>
    </font>
    <font>
      <b/>
      <i/>
      <sz val="8"/>
      <color indexed="8"/>
      <name val="Calibri"/>
      <family val="2"/>
    </font>
    <font>
      <sz val="8"/>
      <color indexed="8"/>
      <name val="Calibri"/>
      <family val="2"/>
    </font>
    <font>
      <b/>
      <sz val="10"/>
      <name val="Calibri"/>
      <family val="2"/>
    </font>
    <font>
      <b/>
      <i/>
      <sz val="10"/>
      <name val="Calibri"/>
      <family val="2"/>
    </font>
    <font>
      <b/>
      <i/>
      <sz val="10"/>
      <name val="Arial"/>
      <family val="0"/>
    </font>
    <font>
      <sz val="10"/>
      <color indexed="18"/>
      <name val="Arial"/>
      <family val="2"/>
    </font>
    <font>
      <sz val="12"/>
      <color indexed="8"/>
      <name val="Calibri"/>
      <family val="2"/>
    </font>
    <font>
      <u val="single"/>
      <sz val="11"/>
      <color indexed="36"/>
      <name val="Calibri"/>
      <family val="2"/>
    </font>
    <font>
      <b/>
      <sz val="12"/>
      <color indexed="8"/>
      <name val="Calibri"/>
      <family val="2"/>
    </font>
    <font>
      <b/>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2"/>
      <color indexed="9"/>
      <name val="Calibri"/>
      <family val="2"/>
    </font>
    <font>
      <b/>
      <sz val="11"/>
      <color indexed="18"/>
      <name val="Calibri"/>
      <family val="2"/>
    </font>
    <font>
      <sz val="10"/>
      <color indexed="9"/>
      <name val="Calibri"/>
      <family val="2"/>
    </font>
    <font>
      <b/>
      <sz val="18"/>
      <color indexed="8"/>
      <name val="Calibri"/>
      <family val="0"/>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solid">
        <fgColor indexed="22"/>
        <bgColor indexed="64"/>
      </patternFill>
    </fill>
    <fill>
      <patternFill patternType="solid">
        <fgColor indexed="22"/>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style="thin"/>
      <top>
        <color indexed="63"/>
      </top>
      <bottom style="thin"/>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0" fillId="7"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4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2" borderId="0" applyNumberFormat="0" applyBorder="0" applyAlignment="0" applyProtection="0"/>
    <xf numFmtId="0" fontId="9" fillId="0" borderId="0">
      <alignment/>
      <protection/>
    </xf>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5" fillId="0" borderId="9" applyNumberFormat="0" applyFill="0" applyAlignment="0" applyProtection="0"/>
  </cellStyleXfs>
  <cellXfs count="553">
    <xf numFmtId="0" fontId="0" fillId="0" borderId="0" xfId="0" applyAlignment="1">
      <alignment/>
    </xf>
    <xf numFmtId="178" fontId="0" fillId="0" borderId="0" xfId="0" applyNumberFormat="1" applyAlignment="1">
      <alignment/>
    </xf>
    <xf numFmtId="0" fontId="0" fillId="0" borderId="0" xfId="0" applyAlignment="1">
      <alignment horizontal="center" vertical="center" wrapText="1"/>
    </xf>
    <xf numFmtId="0" fontId="0" fillId="0" borderId="10" xfId="0" applyBorder="1" applyAlignment="1">
      <alignment/>
    </xf>
    <xf numFmtId="178" fontId="6" fillId="0" borderId="10" xfId="0" applyNumberFormat="1" applyFont="1" applyFill="1" applyBorder="1" applyAlignment="1">
      <alignment/>
    </xf>
    <xf numFmtId="0" fontId="6" fillId="0" borderId="10" xfId="0" applyFont="1" applyBorder="1" applyAlignment="1">
      <alignment horizontal="center" vertical="center" wrapText="1"/>
    </xf>
    <xf numFmtId="0" fontId="6" fillId="0" borderId="10" xfId="0" applyFont="1" applyBorder="1" applyAlignment="1">
      <alignment/>
    </xf>
    <xf numFmtId="178" fontId="6" fillId="0" borderId="10" xfId="0" applyNumberFormat="1" applyFont="1" applyBorder="1" applyAlignment="1">
      <alignment horizontal="center" vertical="center" wrapText="1"/>
    </xf>
    <xf numFmtId="178" fontId="6" fillId="0" borderId="10" xfId="0" applyNumberFormat="1" applyFont="1" applyBorder="1" applyAlignment="1">
      <alignment/>
    </xf>
    <xf numFmtId="178" fontId="6" fillId="24" borderId="10" xfId="0" applyNumberFormat="1" applyFont="1" applyFill="1" applyBorder="1" applyAlignment="1">
      <alignment/>
    </xf>
    <xf numFmtId="178" fontId="7" fillId="24" borderId="10" xfId="0" applyNumberFormat="1" applyFont="1" applyFill="1" applyBorder="1" applyAlignment="1">
      <alignment/>
    </xf>
    <xf numFmtId="0" fontId="6" fillId="0" borderId="0" xfId="0" applyFont="1" applyAlignment="1">
      <alignment/>
    </xf>
    <xf numFmtId="178" fontId="6" fillId="0" borderId="0" xfId="0" applyNumberFormat="1" applyFont="1" applyAlignment="1">
      <alignment/>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xf>
    <xf numFmtId="178" fontId="7" fillId="0" borderId="10" xfId="0" applyNumberFormat="1" applyFont="1" applyBorder="1" applyAlignment="1">
      <alignment horizontal="center" vertical="center" wrapText="1" shrinkToFit="1"/>
    </xf>
    <xf numFmtId="178"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178" fontId="6" fillId="0" borderId="0" xfId="0" applyNumberFormat="1" applyFont="1" applyBorder="1" applyAlignment="1">
      <alignment/>
    </xf>
    <xf numFmtId="0" fontId="7" fillId="0" borderId="0" xfId="0" applyFont="1" applyBorder="1" applyAlignment="1">
      <alignment horizontal="center" vertical="center" wrapText="1"/>
    </xf>
    <xf numFmtId="4" fontId="7" fillId="24" borderId="10" xfId="0" applyNumberFormat="1" applyFont="1" applyFill="1" applyBorder="1" applyAlignment="1">
      <alignment/>
    </xf>
    <xf numFmtId="4" fontId="6" fillId="0" borderId="10" xfId="0" applyNumberFormat="1" applyFont="1" applyBorder="1" applyAlignment="1">
      <alignment/>
    </xf>
    <xf numFmtId="0" fontId="8" fillId="0" borderId="1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xf>
    <xf numFmtId="178" fontId="6" fillId="0" borderId="0" xfId="0" applyNumberFormat="1" applyFont="1" applyFill="1" applyBorder="1" applyAlignment="1">
      <alignment/>
    </xf>
    <xf numFmtId="0" fontId="5" fillId="0" borderId="0" xfId="0" applyFont="1" applyAlignment="1">
      <alignment horizontal="center" vertical="center" wrapText="1"/>
    </xf>
    <xf numFmtId="0" fontId="5" fillId="0" borderId="0" xfId="0" applyFont="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178" fontId="7" fillId="0" borderId="10" xfId="0" applyNumberFormat="1" applyFont="1" applyBorder="1" applyAlignment="1">
      <alignment horizontal="center" vertical="center" wrapText="1"/>
    </xf>
    <xf numFmtId="0" fontId="7" fillId="0" borderId="0" xfId="0" applyFont="1" applyAlignment="1">
      <alignment/>
    </xf>
    <xf numFmtId="0" fontId="7" fillId="0" borderId="10" xfId="0" applyFont="1" applyBorder="1" applyAlignment="1">
      <alignment horizontal="center"/>
    </xf>
    <xf numFmtId="0" fontId="5" fillId="0" borderId="10" xfId="0" applyFont="1" applyBorder="1" applyAlignment="1">
      <alignment/>
    </xf>
    <xf numFmtId="0" fontId="7" fillId="0" borderId="10" xfId="0" applyFont="1" applyFill="1" applyBorder="1" applyAlignment="1">
      <alignment horizontal="center" vertical="center" wrapText="1"/>
    </xf>
    <xf numFmtId="0" fontId="10" fillId="16" borderId="12" xfId="0" applyFont="1" applyFill="1" applyBorder="1" applyAlignment="1">
      <alignment horizontal="center"/>
    </xf>
    <xf numFmtId="171" fontId="10" fillId="16" borderId="13" xfId="48" applyFont="1" applyFill="1" applyBorder="1" applyAlignment="1">
      <alignment horizontal="center"/>
    </xf>
    <xf numFmtId="171" fontId="10" fillId="16" borderId="14" xfId="48" applyFont="1" applyFill="1" applyBorder="1" applyAlignment="1">
      <alignment horizontal="center"/>
    </xf>
    <xf numFmtId="171" fontId="10" fillId="16" borderId="15" xfId="48" applyFont="1" applyFill="1" applyBorder="1" applyAlignment="1">
      <alignment horizontal="center"/>
    </xf>
    <xf numFmtId="0" fontId="0" fillId="25" borderId="16" xfId="0" applyFill="1" applyBorder="1" applyAlignment="1">
      <alignment/>
    </xf>
    <xf numFmtId="180" fontId="9" fillId="25" borderId="17" xfId="58" applyNumberFormat="1" applyFont="1" applyFill="1" applyBorder="1" applyAlignment="1">
      <alignment horizontal="center"/>
    </xf>
    <xf numFmtId="180" fontId="9" fillId="25" borderId="10" xfId="58" applyNumberFormat="1" applyFont="1" applyFill="1" applyBorder="1" applyAlignment="1">
      <alignment horizontal="center"/>
    </xf>
    <xf numFmtId="180" fontId="9" fillId="25" borderId="18" xfId="58" applyNumberFormat="1" applyFont="1" applyFill="1" applyBorder="1" applyAlignment="1">
      <alignment horizontal="center"/>
    </xf>
    <xf numFmtId="9" fontId="9" fillId="25" borderId="17" xfId="58" applyFont="1" applyFill="1" applyBorder="1" applyAlignment="1">
      <alignment horizontal="center"/>
    </xf>
    <xf numFmtId="9" fontId="9" fillId="25" borderId="10" xfId="58" applyFont="1" applyFill="1" applyBorder="1" applyAlignment="1">
      <alignment horizontal="center"/>
    </xf>
    <xf numFmtId="9" fontId="9" fillId="25" borderId="18" xfId="58" applyFont="1" applyFill="1" applyBorder="1" applyAlignment="1">
      <alignment horizontal="center"/>
    </xf>
    <xf numFmtId="0" fontId="9" fillId="25" borderId="16" xfId="0" applyFont="1" applyFill="1" applyBorder="1" applyAlignment="1">
      <alignment/>
    </xf>
    <xf numFmtId="9" fontId="9" fillId="25" borderId="10" xfId="58" applyNumberFormat="1" applyFont="1" applyFill="1" applyBorder="1" applyAlignment="1">
      <alignment horizontal="center"/>
    </xf>
    <xf numFmtId="9" fontId="9" fillId="25" borderId="18" xfId="58" applyNumberFormat="1" applyFont="1" applyFill="1" applyBorder="1" applyAlignment="1">
      <alignment horizontal="center"/>
    </xf>
    <xf numFmtId="181" fontId="9" fillId="25" borderId="17" xfId="48" applyNumberFormat="1" applyFont="1" applyFill="1" applyBorder="1" applyAlignment="1">
      <alignment horizontal="center"/>
    </xf>
    <xf numFmtId="181" fontId="9" fillId="25" borderId="10" xfId="48" applyNumberFormat="1" applyFont="1" applyFill="1" applyBorder="1" applyAlignment="1">
      <alignment horizontal="center"/>
    </xf>
    <xf numFmtId="181" fontId="9" fillId="25" borderId="18" xfId="48" applyNumberFormat="1" applyFont="1" applyFill="1" applyBorder="1" applyAlignment="1">
      <alignment horizontal="center"/>
    </xf>
    <xf numFmtId="0" fontId="0" fillId="25" borderId="19" xfId="0" applyFill="1" applyBorder="1" applyAlignment="1">
      <alignment/>
    </xf>
    <xf numFmtId="9" fontId="9" fillId="25" borderId="20" xfId="58" applyFont="1" applyFill="1" applyBorder="1" applyAlignment="1">
      <alignment horizontal="center"/>
    </xf>
    <xf numFmtId="9" fontId="9" fillId="25" borderId="21" xfId="58" applyFont="1" applyFill="1" applyBorder="1" applyAlignment="1">
      <alignment horizontal="center"/>
    </xf>
    <xf numFmtId="9" fontId="9" fillId="25" borderId="22" xfId="58" applyFont="1" applyFill="1" applyBorder="1" applyAlignment="1">
      <alignment horizontal="center"/>
    </xf>
    <xf numFmtId="0" fontId="9" fillId="16" borderId="23" xfId="0" applyNumberFormat="1" applyFont="1" applyFill="1" applyBorder="1" applyAlignment="1">
      <alignment/>
    </xf>
    <xf numFmtId="1" fontId="11" fillId="25" borderId="24" xfId="50" applyNumberFormat="1" applyFont="1" applyFill="1" applyBorder="1" applyAlignment="1">
      <alignment/>
    </xf>
    <xf numFmtId="10" fontId="11" fillId="25" borderId="15" xfId="58" applyNumberFormat="1" applyFont="1" applyFill="1" applyBorder="1" applyAlignment="1">
      <alignment/>
    </xf>
    <xf numFmtId="0" fontId="0" fillId="25" borderId="25" xfId="0" applyFill="1" applyBorder="1" applyAlignment="1">
      <alignment/>
    </xf>
    <xf numFmtId="1" fontId="11" fillId="25" borderId="26" xfId="50" applyNumberFormat="1" applyFont="1" applyFill="1" applyBorder="1" applyAlignment="1">
      <alignment/>
    </xf>
    <xf numFmtId="10" fontId="11" fillId="25" borderId="18" xfId="58" applyNumberFormat="1" applyFont="1" applyFill="1" applyBorder="1" applyAlignment="1">
      <alignment/>
    </xf>
    <xf numFmtId="0" fontId="0" fillId="25" borderId="27" xfId="0" applyFill="1" applyBorder="1" applyAlignment="1">
      <alignment/>
    </xf>
    <xf numFmtId="1" fontId="11" fillId="25" borderId="28" xfId="50" applyNumberFormat="1" applyFont="1" applyFill="1" applyBorder="1" applyAlignment="1">
      <alignment/>
    </xf>
    <xf numFmtId="10" fontId="11" fillId="25" borderId="22" xfId="58" applyNumberFormat="1" applyFont="1" applyFill="1" applyBorder="1" applyAlignment="1">
      <alignment/>
    </xf>
    <xf numFmtId="0" fontId="6" fillId="0" borderId="0" xfId="0" applyFont="1" applyBorder="1" applyAlignment="1">
      <alignment horizontal="center" vertical="center" wrapText="1"/>
    </xf>
    <xf numFmtId="0" fontId="10" fillId="25" borderId="0" xfId="0" applyFont="1" applyFill="1" applyAlignment="1">
      <alignment/>
    </xf>
    <xf numFmtId="0" fontId="0" fillId="25" borderId="0" xfId="0" applyFill="1" applyAlignment="1">
      <alignment/>
    </xf>
    <xf numFmtId="0" fontId="0" fillId="0" borderId="0" xfId="0" applyFill="1" applyAlignment="1">
      <alignment/>
    </xf>
    <xf numFmtId="0" fontId="0" fillId="25" borderId="0" xfId="0" applyFill="1" applyBorder="1" applyAlignment="1">
      <alignment/>
    </xf>
    <xf numFmtId="0" fontId="10" fillId="25" borderId="0" xfId="0" applyFont="1" applyFill="1" applyBorder="1" applyAlignment="1">
      <alignment/>
    </xf>
    <xf numFmtId="0" fontId="0" fillId="25" borderId="29" xfId="0" applyFill="1" applyBorder="1" applyAlignment="1">
      <alignment horizontal="center"/>
    </xf>
    <xf numFmtId="0" fontId="0" fillId="25" borderId="30" xfId="0" applyFill="1" applyBorder="1" applyAlignment="1">
      <alignment horizontal="center"/>
    </xf>
    <xf numFmtId="0" fontId="10" fillId="25" borderId="31" xfId="0" applyFont="1" applyFill="1" applyBorder="1" applyAlignment="1">
      <alignment horizontal="center"/>
    </xf>
    <xf numFmtId="0" fontId="10" fillId="25" borderId="32" xfId="0" applyFont="1" applyFill="1" applyBorder="1" applyAlignment="1">
      <alignment horizontal="center"/>
    </xf>
    <xf numFmtId="0" fontId="10" fillId="25" borderId="33" xfId="0" applyFont="1" applyFill="1" applyBorder="1" applyAlignment="1">
      <alignment horizontal="center"/>
    </xf>
    <xf numFmtId="0" fontId="0" fillId="25" borderId="27" xfId="0" applyFill="1" applyBorder="1" applyAlignment="1">
      <alignment horizontal="center"/>
    </xf>
    <xf numFmtId="0" fontId="0" fillId="25" borderId="0" xfId="0" applyFill="1" applyAlignment="1">
      <alignment horizontal="center"/>
    </xf>
    <xf numFmtId="0" fontId="0" fillId="0" borderId="0" xfId="0" applyFill="1" applyAlignment="1">
      <alignment horizontal="center"/>
    </xf>
    <xf numFmtId="0" fontId="10" fillId="25" borderId="12" xfId="0" applyFont="1" applyFill="1" applyBorder="1" applyAlignment="1">
      <alignment horizontal="center"/>
    </xf>
    <xf numFmtId="0" fontId="10" fillId="25" borderId="34" xfId="0" applyFont="1" applyFill="1" applyBorder="1" applyAlignment="1">
      <alignment horizontal="center"/>
    </xf>
    <xf numFmtId="0" fontId="10" fillId="25" borderId="10" xfId="0" applyFont="1" applyFill="1" applyBorder="1" applyAlignment="1">
      <alignment horizontal="center"/>
    </xf>
    <xf numFmtId="0" fontId="10" fillId="25" borderId="11" xfId="0" applyFont="1" applyFill="1" applyBorder="1" applyAlignment="1">
      <alignment horizontal="center"/>
    </xf>
    <xf numFmtId="0" fontId="10" fillId="25" borderId="35" xfId="0" applyFont="1" applyFill="1" applyBorder="1" applyAlignment="1">
      <alignment horizontal="center"/>
    </xf>
    <xf numFmtId="171" fontId="10" fillId="25" borderId="34" xfId="48" applyFont="1" applyFill="1" applyBorder="1" applyAlignment="1">
      <alignment horizontal="center"/>
    </xf>
    <xf numFmtId="171" fontId="10" fillId="25" borderId="35" xfId="48" applyFont="1" applyFill="1" applyBorder="1" applyAlignment="1">
      <alignment horizontal="center"/>
    </xf>
    <xf numFmtId="0" fontId="10" fillId="25" borderId="36" xfId="0" applyFont="1" applyFill="1" applyBorder="1" applyAlignment="1">
      <alignment horizontal="center"/>
    </xf>
    <xf numFmtId="3" fontId="9" fillId="25" borderId="16" xfId="48" applyNumberFormat="1" applyFont="1" applyFill="1" applyBorder="1" applyAlignment="1">
      <alignment horizontal="center"/>
    </xf>
    <xf numFmtId="171" fontId="9" fillId="25" borderId="17" xfId="48" applyFont="1" applyFill="1" applyBorder="1" applyAlignment="1">
      <alignment/>
    </xf>
    <xf numFmtId="9" fontId="9" fillId="25" borderId="10" xfId="58" applyFont="1" applyFill="1" applyBorder="1" applyAlignment="1">
      <alignment/>
    </xf>
    <xf numFmtId="171" fontId="9" fillId="25" borderId="10" xfId="48" applyFont="1" applyFill="1" applyBorder="1" applyAlignment="1">
      <alignment/>
    </xf>
    <xf numFmtId="3" fontId="9" fillId="25" borderId="35" xfId="48" applyNumberFormat="1" applyFont="1" applyFill="1" applyBorder="1" applyAlignment="1">
      <alignment/>
    </xf>
    <xf numFmtId="171" fontId="9" fillId="25" borderId="35" xfId="48" applyFont="1" applyFill="1" applyBorder="1" applyAlignment="1">
      <alignment/>
    </xf>
    <xf numFmtId="9" fontId="9" fillId="25" borderId="35" xfId="58" applyFont="1" applyFill="1" applyBorder="1" applyAlignment="1">
      <alignment/>
    </xf>
    <xf numFmtId="171" fontId="9" fillId="25" borderId="18" xfId="48" applyFont="1" applyFill="1" applyBorder="1" applyAlignment="1">
      <alignment/>
    </xf>
    <xf numFmtId="3" fontId="9" fillId="25" borderId="10" xfId="48" applyNumberFormat="1" applyFont="1" applyFill="1" applyBorder="1" applyAlignment="1">
      <alignment/>
    </xf>
    <xf numFmtId="171" fontId="9" fillId="25" borderId="19" xfId="48" applyFont="1" applyFill="1" applyBorder="1" applyAlignment="1">
      <alignment horizontal="center"/>
    </xf>
    <xf numFmtId="171" fontId="9" fillId="25" borderId="20" xfId="48" applyFont="1" applyFill="1" applyBorder="1" applyAlignment="1">
      <alignment/>
    </xf>
    <xf numFmtId="171" fontId="9" fillId="25" borderId="21" xfId="48" applyFont="1" applyFill="1" applyBorder="1" applyAlignment="1">
      <alignment/>
    </xf>
    <xf numFmtId="3" fontId="9" fillId="25" borderId="21" xfId="48" applyNumberFormat="1" applyFont="1" applyFill="1" applyBorder="1" applyAlignment="1">
      <alignment/>
    </xf>
    <xf numFmtId="171" fontId="9" fillId="25" borderId="22" xfId="48" applyFont="1" applyFill="1" applyBorder="1" applyAlignment="1">
      <alignment/>
    </xf>
    <xf numFmtId="171" fontId="0" fillId="25" borderId="0" xfId="0" applyNumberFormat="1" applyFill="1" applyAlignment="1">
      <alignment/>
    </xf>
    <xf numFmtId="1" fontId="0" fillId="25" borderId="0" xfId="0" applyNumberFormat="1" applyFill="1" applyAlignment="1">
      <alignment/>
    </xf>
    <xf numFmtId="10" fontId="9" fillId="25" borderId="35" xfId="58" applyNumberFormat="1" applyFont="1" applyFill="1" applyBorder="1" applyAlignment="1">
      <alignment/>
    </xf>
    <xf numFmtId="171" fontId="9" fillId="25" borderId="37" xfId="48" applyFont="1" applyFill="1" applyBorder="1" applyAlignment="1">
      <alignment horizontal="center"/>
    </xf>
    <xf numFmtId="171" fontId="9" fillId="25" borderId="38" xfId="48" applyFont="1" applyFill="1" applyBorder="1" applyAlignment="1">
      <alignment/>
    </xf>
    <xf numFmtId="171" fontId="9" fillId="25" borderId="39" xfId="48" applyFont="1" applyFill="1" applyBorder="1" applyAlignment="1">
      <alignment/>
    </xf>
    <xf numFmtId="3" fontId="9" fillId="25" borderId="39" xfId="48" applyNumberFormat="1" applyFont="1" applyFill="1" applyBorder="1" applyAlignment="1">
      <alignment/>
    </xf>
    <xf numFmtId="171" fontId="9" fillId="25" borderId="40" xfId="48" applyFont="1" applyFill="1" applyBorder="1" applyAlignment="1">
      <alignment/>
    </xf>
    <xf numFmtId="0" fontId="10" fillId="25" borderId="41" xfId="56" applyFont="1" applyFill="1" applyBorder="1" applyAlignment="1">
      <alignment horizontal="center" vertical="center" wrapText="1"/>
      <protection/>
    </xf>
    <xf numFmtId="0" fontId="10" fillId="25" borderId="32" xfId="56" applyFont="1" applyFill="1" applyBorder="1" applyAlignment="1">
      <alignment horizontal="center" vertical="center" wrapText="1"/>
      <protection/>
    </xf>
    <xf numFmtId="0" fontId="10" fillId="25" borderId="31" xfId="56" applyFont="1" applyFill="1" applyBorder="1" applyAlignment="1">
      <alignment horizontal="center" vertical="center" wrapText="1"/>
      <protection/>
    </xf>
    <xf numFmtId="0" fontId="10" fillId="25" borderId="33" xfId="56" applyFont="1" applyFill="1" applyBorder="1" applyAlignment="1">
      <alignment horizontal="center" vertical="center" wrapText="1"/>
      <protection/>
    </xf>
    <xf numFmtId="0" fontId="10" fillId="25" borderId="42" xfId="56" applyFont="1" applyFill="1" applyBorder="1" applyAlignment="1">
      <alignment horizontal="center" vertical="center" wrapText="1"/>
      <protection/>
    </xf>
    <xf numFmtId="0" fontId="10" fillId="25" borderId="43" xfId="56" applyFont="1" applyFill="1" applyBorder="1" applyAlignment="1">
      <alignment horizontal="center" vertical="center" wrapText="1"/>
      <protection/>
    </xf>
    <xf numFmtId="0" fontId="13" fillId="25" borderId="43" xfId="56" applyFont="1" applyFill="1" applyBorder="1">
      <alignment/>
      <protection/>
    </xf>
    <xf numFmtId="0" fontId="13" fillId="25" borderId="24" xfId="56" applyFont="1" applyFill="1" applyBorder="1" applyAlignment="1">
      <alignment horizontal="center"/>
      <protection/>
    </xf>
    <xf numFmtId="0" fontId="13" fillId="25" borderId="14" xfId="56" applyFont="1" applyFill="1" applyBorder="1" applyAlignment="1">
      <alignment horizontal="center"/>
      <protection/>
    </xf>
    <xf numFmtId="0" fontId="13" fillId="25" borderId="14" xfId="59" applyNumberFormat="1" applyFont="1" applyFill="1" applyBorder="1" applyAlignment="1">
      <alignment horizontal="center"/>
    </xf>
    <xf numFmtId="0" fontId="0" fillId="25" borderId="24" xfId="0" applyFill="1" applyBorder="1" applyAlignment="1">
      <alignment/>
    </xf>
    <xf numFmtId="0" fontId="13" fillId="25" borderId="44" xfId="56" applyFont="1" applyFill="1" applyBorder="1" applyAlignment="1">
      <alignment wrapText="1"/>
      <protection/>
    </xf>
    <xf numFmtId="0" fontId="13" fillId="25" borderId="26" xfId="56" applyFont="1" applyFill="1" applyBorder="1" applyAlignment="1">
      <alignment horizontal="center"/>
      <protection/>
    </xf>
    <xf numFmtId="0" fontId="13" fillId="25" borderId="10" xfId="56" applyFont="1" applyFill="1" applyBorder="1" applyAlignment="1">
      <alignment horizontal="center"/>
      <protection/>
    </xf>
    <xf numFmtId="9" fontId="13" fillId="25" borderId="10" xfId="59" applyFont="1" applyFill="1" applyBorder="1" applyAlignment="1">
      <alignment horizontal="center"/>
    </xf>
    <xf numFmtId="0" fontId="13" fillId="25" borderId="10" xfId="59" applyNumberFormat="1" applyFont="1" applyFill="1" applyBorder="1" applyAlignment="1">
      <alignment horizontal="center"/>
    </xf>
    <xf numFmtId="0" fontId="0" fillId="25" borderId="11" xfId="0" applyFill="1" applyBorder="1" applyAlignment="1">
      <alignment/>
    </xf>
    <xf numFmtId="0" fontId="0" fillId="25" borderId="10" xfId="0" applyFill="1" applyBorder="1" applyAlignment="1">
      <alignment/>
    </xf>
    <xf numFmtId="0" fontId="9" fillId="25" borderId="25" xfId="56" applyFill="1" applyBorder="1" applyAlignment="1">
      <alignment/>
      <protection/>
    </xf>
    <xf numFmtId="0" fontId="0" fillId="25" borderId="26" xfId="0" applyFill="1" applyBorder="1" applyAlignment="1">
      <alignment/>
    </xf>
    <xf numFmtId="0" fontId="13" fillId="25" borderId="28" xfId="56" applyFont="1" applyFill="1" applyBorder="1" applyAlignment="1">
      <alignment horizontal="center"/>
      <protection/>
    </xf>
    <xf numFmtId="0" fontId="13" fillId="25" borderId="21" xfId="56" applyFont="1" applyFill="1" applyBorder="1" applyAlignment="1">
      <alignment horizontal="center"/>
      <protection/>
    </xf>
    <xf numFmtId="9" fontId="13" fillId="25" borderId="21" xfId="59" applyFont="1" applyFill="1" applyBorder="1" applyAlignment="1">
      <alignment horizontal="center"/>
    </xf>
    <xf numFmtId="0" fontId="13" fillId="25" borderId="21" xfId="59" applyNumberFormat="1" applyFont="1" applyFill="1" applyBorder="1" applyAlignment="1">
      <alignment horizontal="center"/>
    </xf>
    <xf numFmtId="0" fontId="0" fillId="25" borderId="28" xfId="0" applyFill="1" applyBorder="1" applyAlignment="1">
      <alignment/>
    </xf>
    <xf numFmtId="0" fontId="0" fillId="25" borderId="21" xfId="0" applyFill="1" applyBorder="1" applyAlignment="1">
      <alignment/>
    </xf>
    <xf numFmtId="0" fontId="13" fillId="25" borderId="45" xfId="56" applyFont="1" applyFill="1" applyBorder="1" applyAlignment="1">
      <alignment horizontal="center"/>
      <protection/>
    </xf>
    <xf numFmtId="0" fontId="13" fillId="25" borderId="35" xfId="56" applyFont="1" applyFill="1" applyBorder="1" applyAlignment="1">
      <alignment horizontal="center"/>
      <protection/>
    </xf>
    <xf numFmtId="0" fontId="0" fillId="25" borderId="35" xfId="0" applyFill="1" applyBorder="1" applyAlignment="1">
      <alignment/>
    </xf>
    <xf numFmtId="0" fontId="13" fillId="25" borderId="35" xfId="59" applyNumberFormat="1" applyFont="1" applyFill="1" applyBorder="1" applyAlignment="1">
      <alignment horizontal="center"/>
    </xf>
    <xf numFmtId="0" fontId="13" fillId="25" borderId="25" xfId="56" applyFont="1" applyFill="1" applyBorder="1">
      <alignment/>
      <protection/>
    </xf>
    <xf numFmtId="0" fontId="13" fillId="25" borderId="27" xfId="56" applyFont="1" applyFill="1" applyBorder="1">
      <alignment/>
      <protection/>
    </xf>
    <xf numFmtId="9" fontId="13" fillId="25" borderId="35" xfId="59" applyFont="1" applyFill="1" applyBorder="1" applyAlignment="1">
      <alignment horizontal="center"/>
    </xf>
    <xf numFmtId="183" fontId="0" fillId="25" borderId="0" xfId="0" applyNumberFormat="1" applyFill="1" applyAlignment="1">
      <alignment/>
    </xf>
    <xf numFmtId="9" fontId="0" fillId="25" borderId="0" xfId="0" applyNumberFormat="1" applyFill="1" applyAlignment="1">
      <alignment/>
    </xf>
    <xf numFmtId="0" fontId="0" fillId="0" borderId="0" xfId="0" applyFill="1" applyBorder="1" applyAlignment="1">
      <alignment/>
    </xf>
    <xf numFmtId="0" fontId="13" fillId="25" borderId="0" xfId="56" applyFont="1" applyFill="1" applyBorder="1">
      <alignment/>
      <protection/>
    </xf>
    <xf numFmtId="0" fontId="13" fillId="25" borderId="0" xfId="56" applyFont="1" applyFill="1" applyBorder="1" applyAlignment="1">
      <alignment horizontal="center"/>
      <protection/>
    </xf>
    <xf numFmtId="9" fontId="13" fillId="25" borderId="0" xfId="59" applyFont="1" applyFill="1" applyBorder="1" applyAlignment="1">
      <alignment horizontal="center"/>
    </xf>
    <xf numFmtId="0" fontId="13" fillId="25" borderId="0" xfId="59" applyNumberFormat="1" applyFont="1" applyFill="1" applyBorder="1" applyAlignment="1">
      <alignment horizontal="center"/>
    </xf>
    <xf numFmtId="183" fontId="13" fillId="25" borderId="0" xfId="59" applyNumberFormat="1" applyFont="1" applyFill="1" applyBorder="1" applyAlignment="1">
      <alignment horizontal="center"/>
    </xf>
    <xf numFmtId="183" fontId="13" fillId="25" borderId="0" xfId="56" applyNumberFormat="1" applyFont="1" applyFill="1" applyBorder="1" applyAlignment="1">
      <alignment horizontal="center"/>
      <protection/>
    </xf>
    <xf numFmtId="185" fontId="13" fillId="25" borderId="0" xfId="56" applyNumberFormat="1" applyFont="1" applyFill="1" applyBorder="1" applyAlignment="1">
      <alignment horizontal="center"/>
      <protection/>
    </xf>
    <xf numFmtId="4" fontId="13" fillId="25" borderId="0" xfId="51" applyNumberFormat="1" applyFont="1" applyFill="1" applyBorder="1" applyAlignment="1">
      <alignment horizontal="center"/>
    </xf>
    <xf numFmtId="185" fontId="13" fillId="25" borderId="0" xfId="56" applyNumberFormat="1" applyFont="1" applyFill="1" applyBorder="1">
      <alignment/>
      <protection/>
    </xf>
    <xf numFmtId="185" fontId="13" fillId="25" borderId="0" xfId="51" applyNumberFormat="1" applyFont="1" applyFill="1" applyBorder="1" applyAlignment="1">
      <alignment/>
    </xf>
    <xf numFmtId="185" fontId="0" fillId="25" borderId="46" xfId="0" applyNumberFormat="1" applyFill="1" applyBorder="1" applyAlignment="1">
      <alignment/>
    </xf>
    <xf numFmtId="0" fontId="13" fillId="25" borderId="25" xfId="56" applyFont="1" applyFill="1" applyBorder="1" applyAlignment="1">
      <alignment wrapText="1"/>
      <protection/>
    </xf>
    <xf numFmtId="0" fontId="0" fillId="25" borderId="47" xfId="0" applyFill="1" applyBorder="1" applyAlignment="1">
      <alignment/>
    </xf>
    <xf numFmtId="0" fontId="13" fillId="25" borderId="39" xfId="56" applyFont="1" applyFill="1" applyBorder="1" applyAlignment="1">
      <alignment horizontal="center"/>
      <protection/>
    </xf>
    <xf numFmtId="9" fontId="13" fillId="25" borderId="39" xfId="59" applyFont="1" applyFill="1" applyBorder="1" applyAlignment="1">
      <alignment horizontal="center"/>
    </xf>
    <xf numFmtId="0" fontId="13" fillId="25" borderId="39" xfId="59" applyNumberFormat="1" applyFont="1" applyFill="1" applyBorder="1" applyAlignment="1">
      <alignment horizontal="center"/>
    </xf>
    <xf numFmtId="0" fontId="13" fillId="25" borderId="47" xfId="56" applyFont="1" applyFill="1" applyBorder="1" applyAlignment="1">
      <alignment horizontal="center"/>
      <protection/>
    </xf>
    <xf numFmtId="9" fontId="14" fillId="25" borderId="35" xfId="0" applyNumberFormat="1" applyFont="1" applyFill="1" applyBorder="1" applyAlignment="1">
      <alignment horizontal="center"/>
    </xf>
    <xf numFmtId="182" fontId="13" fillId="25" borderId="14" xfId="59" applyNumberFormat="1" applyFont="1" applyFill="1" applyBorder="1" applyAlignment="1">
      <alignment horizontal="center"/>
    </xf>
    <xf numFmtId="182" fontId="13" fillId="25" borderId="14" xfId="56" applyNumberFormat="1" applyFont="1" applyFill="1" applyBorder="1" applyAlignment="1">
      <alignment horizontal="center"/>
      <protection/>
    </xf>
    <xf numFmtId="182" fontId="13" fillId="25" borderId="14" xfId="56" applyNumberFormat="1" applyFont="1" applyFill="1" applyBorder="1" applyAlignment="1">
      <alignment/>
      <protection/>
    </xf>
    <xf numFmtId="182" fontId="13" fillId="25" borderId="14" xfId="51" applyNumberFormat="1" applyFont="1" applyFill="1" applyBorder="1" applyAlignment="1">
      <alignment/>
    </xf>
    <xf numFmtId="182" fontId="14" fillId="25" borderId="24" xfId="0" applyNumberFormat="1" applyFont="1" applyFill="1" applyBorder="1" applyAlignment="1">
      <alignment/>
    </xf>
    <xf numFmtId="182" fontId="14" fillId="25" borderId="14" xfId="0" applyNumberFormat="1" applyFont="1" applyFill="1" applyBorder="1" applyAlignment="1">
      <alignment/>
    </xf>
    <xf numFmtId="182" fontId="14" fillId="25" borderId="15" xfId="0" applyNumberFormat="1" applyFont="1" applyFill="1" applyBorder="1" applyAlignment="1">
      <alignment/>
    </xf>
    <xf numFmtId="182" fontId="13" fillId="25" borderId="10" xfId="59" applyNumberFormat="1" applyFont="1" applyFill="1" applyBorder="1" applyAlignment="1">
      <alignment horizontal="center"/>
    </xf>
    <xf numFmtId="182" fontId="13" fillId="25" borderId="10" xfId="56" applyNumberFormat="1" applyFont="1" applyFill="1" applyBorder="1" applyAlignment="1">
      <alignment horizontal="center"/>
      <protection/>
    </xf>
    <xf numFmtId="182" fontId="13" fillId="25" borderId="10" xfId="51" applyNumberFormat="1" applyFont="1" applyFill="1" applyBorder="1" applyAlignment="1">
      <alignment horizontal="center"/>
    </xf>
    <xf numFmtId="182" fontId="13" fillId="25" borderId="10" xfId="51" applyNumberFormat="1" applyFont="1" applyFill="1" applyBorder="1" applyAlignment="1">
      <alignment/>
    </xf>
    <xf numFmtId="182" fontId="0" fillId="25" borderId="11" xfId="0" applyNumberFormat="1" applyFill="1" applyBorder="1" applyAlignment="1">
      <alignment/>
    </xf>
    <xf numFmtId="182" fontId="14" fillId="25" borderId="26" xfId="0" applyNumberFormat="1" applyFont="1" applyFill="1" applyBorder="1" applyAlignment="1">
      <alignment/>
    </xf>
    <xf numFmtId="182" fontId="14" fillId="25" borderId="10" xfId="0" applyNumberFormat="1" applyFont="1" applyFill="1" applyBorder="1" applyAlignment="1">
      <alignment/>
    </xf>
    <xf numFmtId="182" fontId="14" fillId="25" borderId="18" xfId="0" applyNumberFormat="1" applyFont="1" applyFill="1" applyBorder="1" applyAlignment="1">
      <alignment/>
    </xf>
    <xf numFmtId="182" fontId="13" fillId="25" borderId="21" xfId="59" applyNumberFormat="1" applyFont="1" applyFill="1" applyBorder="1" applyAlignment="1">
      <alignment horizontal="center"/>
    </xf>
    <xf numFmtId="182" fontId="13" fillId="25" borderId="21" xfId="56" applyNumberFormat="1" applyFont="1" applyFill="1" applyBorder="1" applyAlignment="1">
      <alignment horizontal="center"/>
      <protection/>
    </xf>
    <xf numFmtId="182" fontId="13" fillId="25" borderId="21" xfId="51" applyNumberFormat="1" applyFont="1" applyFill="1" applyBorder="1" applyAlignment="1">
      <alignment/>
    </xf>
    <xf numFmtId="182" fontId="0" fillId="25" borderId="48" xfId="0" applyNumberFormat="1" applyFill="1" applyBorder="1" applyAlignment="1">
      <alignment/>
    </xf>
    <xf numFmtId="182" fontId="14" fillId="25" borderId="28" xfId="0" applyNumberFormat="1" applyFont="1" applyFill="1" applyBorder="1" applyAlignment="1">
      <alignment/>
    </xf>
    <xf numFmtId="182" fontId="14" fillId="25" borderId="21" xfId="0" applyNumberFormat="1" applyFont="1" applyFill="1" applyBorder="1" applyAlignment="1">
      <alignment/>
    </xf>
    <xf numFmtId="182" fontId="14" fillId="25" borderId="22" xfId="0" applyNumberFormat="1" applyFont="1" applyFill="1" applyBorder="1" applyAlignment="1">
      <alignment/>
    </xf>
    <xf numFmtId="182" fontId="13" fillId="25" borderId="35" xfId="59" applyNumberFormat="1" applyFont="1" applyFill="1" applyBorder="1" applyAlignment="1">
      <alignment horizontal="center"/>
    </xf>
    <xf numFmtId="182" fontId="13" fillId="25" borderId="35" xfId="56" applyNumberFormat="1" applyFont="1" applyFill="1" applyBorder="1" applyAlignment="1">
      <alignment horizontal="center"/>
      <protection/>
    </xf>
    <xf numFmtId="182" fontId="13" fillId="25" borderId="35" xfId="51" applyNumberFormat="1" applyFont="1" applyFill="1" applyBorder="1" applyAlignment="1">
      <alignment horizontal="center"/>
    </xf>
    <xf numFmtId="182" fontId="13" fillId="25" borderId="35" xfId="51" applyNumberFormat="1" applyFont="1" applyFill="1" applyBorder="1" applyAlignment="1">
      <alignment/>
    </xf>
    <xf numFmtId="182" fontId="11" fillId="25" borderId="49" xfId="56" applyNumberFormat="1" applyFont="1" applyFill="1" applyBorder="1" applyAlignment="1">
      <alignment horizontal="center"/>
      <protection/>
    </xf>
    <xf numFmtId="182" fontId="14" fillId="25" borderId="45" xfId="0" applyNumberFormat="1" applyFont="1" applyFill="1" applyBorder="1" applyAlignment="1">
      <alignment/>
    </xf>
    <xf numFmtId="182" fontId="14" fillId="25" borderId="35" xfId="0" applyNumberFormat="1" applyFont="1" applyFill="1" applyBorder="1" applyAlignment="1">
      <alignment/>
    </xf>
    <xf numFmtId="182" fontId="14" fillId="25" borderId="36" xfId="0" applyNumberFormat="1" applyFont="1" applyFill="1" applyBorder="1" applyAlignment="1">
      <alignment/>
    </xf>
    <xf numFmtId="182" fontId="11" fillId="25" borderId="35" xfId="51" applyNumberFormat="1" applyFont="1" applyFill="1" applyBorder="1" applyAlignment="1">
      <alignment/>
    </xf>
    <xf numFmtId="182" fontId="0" fillId="25" borderId="10" xfId="0" applyNumberFormat="1" applyFill="1" applyBorder="1" applyAlignment="1">
      <alignment/>
    </xf>
    <xf numFmtId="182" fontId="13" fillId="25" borderId="39" xfId="59" applyNumberFormat="1" applyFont="1" applyFill="1" applyBorder="1" applyAlignment="1">
      <alignment horizontal="center"/>
    </xf>
    <xf numFmtId="182" fontId="13" fillId="25" borderId="39" xfId="56" applyNumberFormat="1" applyFont="1" applyFill="1" applyBorder="1" applyAlignment="1">
      <alignment horizontal="center"/>
      <protection/>
    </xf>
    <xf numFmtId="182" fontId="13" fillId="25" borderId="39" xfId="51" applyNumberFormat="1" applyFont="1" applyFill="1" applyBorder="1" applyAlignment="1">
      <alignment/>
    </xf>
    <xf numFmtId="182" fontId="0" fillId="25" borderId="39" xfId="0" applyNumberFormat="1" applyFill="1" applyBorder="1" applyAlignment="1">
      <alignment/>
    </xf>
    <xf numFmtId="182" fontId="0" fillId="25" borderId="50" xfId="0" applyNumberFormat="1" applyFill="1" applyBorder="1" applyAlignment="1">
      <alignment/>
    </xf>
    <xf numFmtId="182" fontId="14" fillId="25" borderId="47" xfId="0" applyNumberFormat="1" applyFont="1" applyFill="1" applyBorder="1" applyAlignment="1">
      <alignment/>
    </xf>
    <xf numFmtId="182" fontId="14" fillId="25" borderId="39" xfId="0" applyNumberFormat="1" applyFont="1" applyFill="1" applyBorder="1" applyAlignment="1">
      <alignment/>
    </xf>
    <xf numFmtId="182" fontId="14" fillId="25" borderId="40" xfId="0" applyNumberFormat="1" applyFont="1" applyFill="1" applyBorder="1" applyAlignment="1">
      <alignment/>
    </xf>
    <xf numFmtId="182" fontId="0" fillId="25" borderId="21" xfId="0" applyNumberFormat="1" applyFill="1" applyBorder="1" applyAlignment="1">
      <alignment/>
    </xf>
    <xf numFmtId="182" fontId="13" fillId="25" borderId="10" xfId="56" applyNumberFormat="1" applyFont="1" applyFill="1" applyBorder="1">
      <alignment/>
      <protection/>
    </xf>
    <xf numFmtId="182" fontId="13" fillId="25" borderId="11" xfId="51" applyNumberFormat="1" applyFont="1" applyFill="1" applyBorder="1" applyAlignment="1">
      <alignment/>
    </xf>
    <xf numFmtId="182" fontId="13" fillId="25" borderId="21" xfId="56" applyNumberFormat="1" applyFont="1" applyFill="1" applyBorder="1">
      <alignment/>
      <protection/>
    </xf>
    <xf numFmtId="182" fontId="13" fillId="25" borderId="48" xfId="51" applyNumberFormat="1" applyFont="1" applyFill="1" applyBorder="1" applyAlignment="1">
      <alignment/>
    </xf>
    <xf numFmtId="9" fontId="13" fillId="25" borderId="14" xfId="58" applyFont="1" applyFill="1" applyBorder="1" applyAlignment="1">
      <alignment horizontal="center"/>
    </xf>
    <xf numFmtId="182" fontId="11" fillId="25" borderId="15" xfId="56" applyNumberFormat="1" applyFont="1" applyFill="1" applyBorder="1" applyAlignment="1">
      <alignment horizontal="center"/>
      <protection/>
    </xf>
    <xf numFmtId="182" fontId="0" fillId="25" borderId="18" xfId="0" applyNumberFormat="1" applyFill="1" applyBorder="1" applyAlignment="1">
      <alignment/>
    </xf>
    <xf numFmtId="0" fontId="9" fillId="25" borderId="27" xfId="56" applyFill="1" applyBorder="1" applyAlignment="1">
      <alignment wrapText="1"/>
      <protection/>
    </xf>
    <xf numFmtId="182" fontId="13" fillId="25" borderId="21" xfId="51" applyNumberFormat="1" applyFont="1" applyFill="1" applyBorder="1" applyAlignment="1">
      <alignment horizontal="center"/>
    </xf>
    <xf numFmtId="182" fontId="0" fillId="25" borderId="22" xfId="0" applyNumberFormat="1" applyFill="1" applyBorder="1" applyAlignment="1">
      <alignment/>
    </xf>
    <xf numFmtId="182" fontId="13" fillId="25" borderId="14" xfId="51" applyNumberFormat="1" applyFont="1" applyFill="1" applyBorder="1" applyAlignment="1">
      <alignment horizontal="center"/>
    </xf>
    <xf numFmtId="182" fontId="11" fillId="25" borderId="36" xfId="56" applyNumberFormat="1" applyFont="1" applyFill="1" applyBorder="1" applyAlignment="1">
      <alignment horizontal="center"/>
      <protection/>
    </xf>
    <xf numFmtId="182" fontId="0" fillId="25" borderId="40" xfId="0" applyNumberFormat="1" applyFill="1" applyBorder="1" applyAlignment="1">
      <alignment/>
    </xf>
    <xf numFmtId="182" fontId="13" fillId="25" borderId="51" xfId="56" applyNumberFormat="1" applyFont="1" applyFill="1" applyBorder="1" applyAlignment="1">
      <alignment horizontal="center"/>
      <protection/>
    </xf>
    <xf numFmtId="182" fontId="13" fillId="25" borderId="51" xfId="51" applyNumberFormat="1" applyFont="1" applyFill="1" applyBorder="1" applyAlignment="1">
      <alignment horizontal="center"/>
    </xf>
    <xf numFmtId="182" fontId="14" fillId="25" borderId="17" xfId="0" applyNumberFormat="1" applyFont="1" applyFill="1" applyBorder="1" applyAlignment="1">
      <alignment/>
    </xf>
    <xf numFmtId="0" fontId="13" fillId="25" borderId="52" xfId="56" applyFont="1" applyFill="1" applyBorder="1" applyAlignment="1">
      <alignment horizontal="center"/>
      <protection/>
    </xf>
    <xf numFmtId="0" fontId="13" fillId="25" borderId="53" xfId="56" applyFont="1" applyFill="1" applyBorder="1" applyAlignment="1">
      <alignment horizontal="center"/>
      <protection/>
    </xf>
    <xf numFmtId="9" fontId="13" fillId="25" borderId="53" xfId="59" applyFont="1" applyFill="1" applyBorder="1" applyAlignment="1">
      <alignment horizontal="center"/>
    </xf>
    <xf numFmtId="0" fontId="13" fillId="25" borderId="53" xfId="59" applyNumberFormat="1" applyFont="1" applyFill="1" applyBorder="1" applyAlignment="1">
      <alignment horizontal="center"/>
    </xf>
    <xf numFmtId="182" fontId="13" fillId="25" borderId="53" xfId="59" applyNumberFormat="1" applyFont="1" applyFill="1" applyBorder="1" applyAlignment="1">
      <alignment horizontal="center"/>
    </xf>
    <xf numFmtId="182" fontId="13" fillId="25" borderId="53" xfId="56" applyNumberFormat="1" applyFont="1" applyFill="1" applyBorder="1" applyAlignment="1">
      <alignment horizontal="center"/>
      <protection/>
    </xf>
    <xf numFmtId="182" fontId="13" fillId="25" borderId="53" xfId="56" applyNumberFormat="1" applyFont="1" applyFill="1" applyBorder="1">
      <alignment/>
      <protection/>
    </xf>
    <xf numFmtId="182" fontId="13" fillId="25" borderId="53" xfId="51" applyNumberFormat="1" applyFont="1" applyFill="1" applyBorder="1" applyAlignment="1">
      <alignment horizontal="center"/>
    </xf>
    <xf numFmtId="182" fontId="13" fillId="25" borderId="53" xfId="51" applyNumberFormat="1" applyFont="1" applyFill="1" applyBorder="1" applyAlignment="1">
      <alignment/>
    </xf>
    <xf numFmtId="182" fontId="11" fillId="25" borderId="54" xfId="51" applyNumberFormat="1" applyFont="1" applyFill="1" applyBorder="1" applyAlignment="1">
      <alignment/>
    </xf>
    <xf numFmtId="9" fontId="13" fillId="25" borderId="14" xfId="59" applyFont="1" applyFill="1" applyBorder="1" applyAlignment="1">
      <alignment horizontal="center"/>
    </xf>
    <xf numFmtId="182" fontId="0" fillId="25" borderId="14" xfId="0" applyNumberFormat="1" applyFill="1" applyBorder="1" applyAlignment="1">
      <alignment/>
    </xf>
    <xf numFmtId="182" fontId="0" fillId="25" borderId="15" xfId="0" applyNumberFormat="1" applyFill="1" applyBorder="1" applyAlignment="1">
      <alignment/>
    </xf>
    <xf numFmtId="182" fontId="11" fillId="25" borderId="15" xfId="51" applyNumberFormat="1" applyFont="1" applyFill="1" applyBorder="1" applyAlignment="1">
      <alignment/>
    </xf>
    <xf numFmtId="182" fontId="13" fillId="25" borderId="18" xfId="51" applyNumberFormat="1" applyFont="1" applyFill="1" applyBorder="1" applyAlignment="1">
      <alignment/>
    </xf>
    <xf numFmtId="182" fontId="13" fillId="25" borderId="22" xfId="51" applyNumberFormat="1" applyFont="1" applyFill="1" applyBorder="1" applyAlignment="1">
      <alignment/>
    </xf>
    <xf numFmtId="182" fontId="11" fillId="25" borderId="55" xfId="51" applyNumberFormat="1" applyFont="1" applyFill="1" applyBorder="1" applyAlignment="1">
      <alignment/>
    </xf>
    <xf numFmtId="182" fontId="11" fillId="25" borderId="36" xfId="51" applyNumberFormat="1" applyFont="1" applyFill="1" applyBorder="1" applyAlignment="1">
      <alignment/>
    </xf>
    <xf numFmtId="182" fontId="13" fillId="25" borderId="39" xfId="51" applyNumberFormat="1" applyFont="1" applyFill="1" applyBorder="1" applyAlignment="1">
      <alignment horizontal="center"/>
    </xf>
    <xf numFmtId="182" fontId="13" fillId="25" borderId="39" xfId="56" applyNumberFormat="1" applyFont="1" applyFill="1" applyBorder="1">
      <alignment/>
      <protection/>
    </xf>
    <xf numFmtId="182" fontId="14" fillId="25" borderId="38" xfId="0" applyNumberFormat="1" applyFont="1" applyFill="1" applyBorder="1" applyAlignment="1">
      <alignment/>
    </xf>
    <xf numFmtId="0" fontId="13" fillId="25" borderId="41" xfId="56" applyFont="1" applyFill="1" applyBorder="1">
      <alignment/>
      <protection/>
    </xf>
    <xf numFmtId="0" fontId="13" fillId="25" borderId="56" xfId="56" applyFont="1" applyFill="1" applyBorder="1">
      <alignment/>
      <protection/>
    </xf>
    <xf numFmtId="0" fontId="13" fillId="25" borderId="57" xfId="56" applyFont="1" applyFill="1" applyBorder="1">
      <alignment/>
      <protection/>
    </xf>
    <xf numFmtId="0" fontId="10" fillId="25" borderId="16" xfId="0" applyFont="1" applyFill="1" applyBorder="1" applyAlignment="1">
      <alignment/>
    </xf>
    <xf numFmtId="1" fontId="0" fillId="0" borderId="0" xfId="0" applyNumberFormat="1" applyAlignment="1">
      <alignment/>
    </xf>
    <xf numFmtId="4" fontId="0" fillId="25" borderId="0" xfId="0" applyNumberFormat="1" applyFill="1" applyAlignment="1">
      <alignment/>
    </xf>
    <xf numFmtId="171" fontId="10" fillId="16" borderId="58" xfId="48" applyFont="1" applyFill="1" applyBorder="1" applyAlignment="1">
      <alignment horizontal="center"/>
    </xf>
    <xf numFmtId="171" fontId="10" fillId="16" borderId="31" xfId="48" applyFont="1" applyFill="1" applyBorder="1" applyAlignment="1">
      <alignment horizontal="center"/>
    </xf>
    <xf numFmtId="171" fontId="10" fillId="16" borderId="59" xfId="48" applyFont="1" applyFill="1" applyBorder="1" applyAlignment="1">
      <alignment horizontal="center"/>
    </xf>
    <xf numFmtId="0" fontId="10" fillId="25" borderId="60" xfId="0" applyFont="1" applyFill="1" applyBorder="1" applyAlignment="1">
      <alignment/>
    </xf>
    <xf numFmtId="39" fontId="10" fillId="25" borderId="24" xfId="48" applyNumberFormat="1" applyFont="1" applyFill="1" applyBorder="1" applyAlignment="1">
      <alignment/>
    </xf>
    <xf numFmtId="39" fontId="9" fillId="25" borderId="14" xfId="48" applyNumberFormat="1" applyFont="1" applyFill="1" applyBorder="1" applyAlignment="1">
      <alignment/>
    </xf>
    <xf numFmtId="39" fontId="9" fillId="25" borderId="15" xfId="48" applyNumberFormat="1" applyFont="1" applyFill="1" applyBorder="1" applyAlignment="1">
      <alignment/>
    </xf>
    <xf numFmtId="0" fontId="0" fillId="25" borderId="61" xfId="0" applyFill="1" applyBorder="1" applyAlignment="1">
      <alignment/>
    </xf>
    <xf numFmtId="39" fontId="9" fillId="25" borderId="26" xfId="48" applyNumberFormat="1" applyFont="1" applyFill="1" applyBorder="1" applyAlignment="1">
      <alignment/>
    </xf>
    <xf numFmtId="39" fontId="9" fillId="25" borderId="10" xfId="48" applyNumberFormat="1" applyFont="1" applyFill="1" applyBorder="1" applyAlignment="1">
      <alignment/>
    </xf>
    <xf numFmtId="39" fontId="9" fillId="25" borderId="18" xfId="48" applyNumberFormat="1" applyFont="1" applyFill="1" applyBorder="1" applyAlignment="1">
      <alignment/>
    </xf>
    <xf numFmtId="39" fontId="9" fillId="25" borderId="21" xfId="48" applyNumberFormat="1" applyFont="1" applyFill="1" applyBorder="1" applyAlignment="1">
      <alignment/>
    </xf>
    <xf numFmtId="0" fontId="10" fillId="25" borderId="61" xfId="0" applyFont="1" applyFill="1" applyBorder="1" applyAlignment="1">
      <alignment/>
    </xf>
    <xf numFmtId="39" fontId="9" fillId="25" borderId="35" xfId="48" applyNumberFormat="1" applyFont="1" applyFill="1" applyBorder="1" applyAlignment="1">
      <alignment/>
    </xf>
    <xf numFmtId="187" fontId="0" fillId="25" borderId="0" xfId="0" applyNumberFormat="1" applyFill="1" applyAlignment="1">
      <alignment/>
    </xf>
    <xf numFmtId="0" fontId="0" fillId="25" borderId="62" xfId="0" applyFill="1" applyBorder="1" applyAlignment="1">
      <alignment/>
    </xf>
    <xf numFmtId="171" fontId="9" fillId="25" borderId="0" xfId="48" applyFont="1" applyFill="1" applyAlignment="1">
      <alignment/>
    </xf>
    <xf numFmtId="4" fontId="6" fillId="0" borderId="10" xfId="0" applyNumberFormat="1" applyFont="1" applyFill="1" applyBorder="1" applyAlignment="1">
      <alignment/>
    </xf>
    <xf numFmtId="0" fontId="6" fillId="0" borderId="10" xfId="0" applyFont="1" applyFill="1" applyBorder="1" applyAlignment="1">
      <alignment/>
    </xf>
    <xf numFmtId="0" fontId="7" fillId="22" borderId="0" xfId="0" applyFont="1" applyFill="1" applyAlignment="1">
      <alignment horizontal="center" vertical="center" wrapText="1"/>
    </xf>
    <xf numFmtId="178" fontId="7" fillId="0" borderId="0" xfId="0" applyNumberFormat="1" applyFont="1" applyFill="1" applyBorder="1" applyAlignment="1">
      <alignment/>
    </xf>
    <xf numFmtId="0" fontId="7" fillId="22" borderId="10" xfId="0" applyFont="1" applyFill="1" applyBorder="1" applyAlignment="1">
      <alignment horizontal="center" vertical="center" wrapText="1"/>
    </xf>
    <xf numFmtId="0" fontId="7" fillId="22" borderId="10" xfId="0" applyFont="1" applyFill="1" applyBorder="1" applyAlignment="1">
      <alignment horizontal="center" vertical="center" wrapText="1"/>
    </xf>
    <xf numFmtId="10" fontId="0" fillId="0" borderId="0" xfId="0" applyNumberFormat="1" applyAlignment="1">
      <alignment/>
    </xf>
    <xf numFmtId="10" fontId="0" fillId="0" borderId="0" xfId="58" applyNumberFormat="1" applyFont="1" applyAlignment="1">
      <alignment/>
    </xf>
    <xf numFmtId="8" fontId="0" fillId="0" borderId="10" xfId="0" applyNumberFormat="1" applyBorder="1" applyAlignment="1">
      <alignment/>
    </xf>
    <xf numFmtId="2" fontId="0" fillId="0" borderId="10" xfId="0" applyNumberFormat="1" applyBorder="1" applyAlignment="1">
      <alignment/>
    </xf>
    <xf numFmtId="0" fontId="0" fillId="24" borderId="0" xfId="0" applyFill="1" applyAlignment="1">
      <alignment/>
    </xf>
    <xf numFmtId="8" fontId="0" fillId="0" borderId="0" xfId="0" applyNumberFormat="1" applyAlignment="1">
      <alignment/>
    </xf>
    <xf numFmtId="8" fontId="0" fillId="24" borderId="10" xfId="0" applyNumberFormat="1" applyFill="1" applyBorder="1" applyAlignment="1">
      <alignment/>
    </xf>
    <xf numFmtId="1" fontId="6" fillId="0" borderId="10" xfId="0" applyNumberFormat="1" applyFont="1" applyBorder="1" applyAlignment="1">
      <alignment/>
    </xf>
    <xf numFmtId="39" fontId="9" fillId="0" borderId="10" xfId="48" applyNumberFormat="1" applyFont="1" applyFill="1" applyBorder="1" applyAlignment="1">
      <alignment/>
    </xf>
    <xf numFmtId="0" fontId="9" fillId="25" borderId="61" xfId="0" applyFont="1" applyFill="1" applyBorder="1" applyAlignment="1">
      <alignment/>
    </xf>
    <xf numFmtId="39" fontId="9" fillId="25" borderId="0" xfId="48" applyNumberFormat="1" applyFont="1" applyFill="1" applyAlignment="1">
      <alignment/>
    </xf>
    <xf numFmtId="10" fontId="9" fillId="25" borderId="14" xfId="58" applyNumberFormat="1" applyFont="1" applyFill="1" applyBorder="1" applyAlignment="1">
      <alignment horizontal="center"/>
    </xf>
    <xf numFmtId="10" fontId="9" fillId="25" borderId="21" xfId="58" applyNumberFormat="1" applyFont="1" applyFill="1" applyBorder="1" applyAlignment="1">
      <alignment horizontal="center"/>
    </xf>
    <xf numFmtId="10" fontId="9" fillId="0" borderId="21" xfId="58" applyNumberFormat="1" applyFont="1" applyFill="1" applyBorder="1" applyAlignment="1">
      <alignment horizontal="center"/>
    </xf>
    <xf numFmtId="10" fontId="9" fillId="25" borderId="22" xfId="58" applyNumberFormat="1" applyFont="1" applyFill="1" applyBorder="1" applyAlignment="1">
      <alignment horizontal="center"/>
    </xf>
    <xf numFmtId="39" fontId="9" fillId="25" borderId="17" xfId="48" applyNumberFormat="1" applyFont="1" applyFill="1" applyBorder="1" applyAlignment="1">
      <alignment/>
    </xf>
    <xf numFmtId="37" fontId="9" fillId="25" borderId="10" xfId="48" applyNumberFormat="1" applyFont="1" applyFill="1" applyBorder="1" applyAlignment="1">
      <alignment/>
    </xf>
    <xf numFmtId="178" fontId="0" fillId="0" borderId="10" xfId="0" applyNumberFormat="1" applyBorder="1" applyAlignment="1">
      <alignment/>
    </xf>
    <xf numFmtId="0" fontId="8" fillId="22" borderId="10" xfId="0" applyFont="1" applyFill="1" applyBorder="1" applyAlignment="1">
      <alignment horizontal="center" vertical="center" wrapText="1"/>
    </xf>
    <xf numFmtId="39" fontId="9" fillId="16" borderId="35" xfId="48" applyNumberFormat="1" applyFont="1" applyFill="1" applyBorder="1" applyAlignment="1">
      <alignment/>
    </xf>
    <xf numFmtId="0" fontId="0" fillId="16" borderId="61" xfId="0" applyFill="1" applyBorder="1" applyAlignment="1">
      <alignment/>
    </xf>
    <xf numFmtId="185" fontId="11" fillId="25" borderId="0" xfId="51" applyNumberFormat="1" applyFont="1" applyFill="1" applyBorder="1" applyAlignment="1">
      <alignment/>
    </xf>
    <xf numFmtId="1" fontId="0" fillId="0" borderId="10" xfId="0" applyNumberFormat="1" applyBorder="1" applyAlignment="1">
      <alignment/>
    </xf>
    <xf numFmtId="1" fontId="16" fillId="0" borderId="10" xfId="0" applyNumberFormat="1" applyFont="1" applyBorder="1" applyAlignment="1">
      <alignment horizontal="right"/>
    </xf>
    <xf numFmtId="0" fontId="0" fillId="25" borderId="44" xfId="0" applyFill="1" applyBorder="1" applyAlignment="1">
      <alignment/>
    </xf>
    <xf numFmtId="0" fontId="0" fillId="16" borderId="23" xfId="0" applyFill="1" applyBorder="1" applyAlignment="1">
      <alignment/>
    </xf>
    <xf numFmtId="1" fontId="0" fillId="0" borderId="17" xfId="0" applyNumberFormat="1" applyBorder="1" applyAlignment="1">
      <alignment/>
    </xf>
    <xf numFmtId="0" fontId="10" fillId="25" borderId="63" xfId="0" applyFont="1" applyFill="1" applyBorder="1" applyAlignment="1">
      <alignment/>
    </xf>
    <xf numFmtId="0" fontId="0" fillId="25" borderId="10" xfId="0" applyFill="1" applyBorder="1" applyAlignment="1">
      <alignment horizontal="left"/>
    </xf>
    <xf numFmtId="37" fontId="9" fillId="25" borderId="26" xfId="48" applyNumberFormat="1" applyFont="1" applyFill="1" applyBorder="1" applyAlignment="1">
      <alignment/>
    </xf>
    <xf numFmtId="37" fontId="9" fillId="25" borderId="18" xfId="48" applyNumberFormat="1" applyFont="1" applyFill="1" applyBorder="1" applyAlignment="1">
      <alignment/>
    </xf>
    <xf numFmtId="37" fontId="9" fillId="25" borderId="28" xfId="48" applyNumberFormat="1" applyFont="1" applyFill="1" applyBorder="1" applyAlignment="1">
      <alignment/>
    </xf>
    <xf numFmtId="37" fontId="9" fillId="25" borderId="21" xfId="48" applyNumberFormat="1" applyFont="1" applyFill="1" applyBorder="1" applyAlignment="1">
      <alignment/>
    </xf>
    <xf numFmtId="37" fontId="9" fillId="25" borderId="22" xfId="48" applyNumberFormat="1" applyFont="1" applyFill="1" applyBorder="1" applyAlignment="1">
      <alignment/>
    </xf>
    <xf numFmtId="37" fontId="9" fillId="24" borderId="45" xfId="48" applyNumberFormat="1" applyFont="1" applyFill="1" applyBorder="1" applyAlignment="1">
      <alignment/>
    </xf>
    <xf numFmtId="37" fontId="9" fillId="24" borderId="35" xfId="48" applyNumberFormat="1" applyFont="1" applyFill="1" applyBorder="1" applyAlignment="1">
      <alignment/>
    </xf>
    <xf numFmtId="37" fontId="9" fillId="24" borderId="36" xfId="48" applyNumberFormat="1" applyFont="1" applyFill="1" applyBorder="1" applyAlignment="1">
      <alignment/>
    </xf>
    <xf numFmtId="37" fontId="10" fillId="25" borderId="26" xfId="48" applyNumberFormat="1" applyFont="1" applyFill="1" applyBorder="1" applyAlignment="1">
      <alignment/>
    </xf>
    <xf numFmtId="37" fontId="9" fillId="25" borderId="45" xfId="48" applyNumberFormat="1" applyFont="1" applyFill="1" applyBorder="1" applyAlignment="1">
      <alignment/>
    </xf>
    <xf numFmtId="37" fontId="9" fillId="25" borderId="34" xfId="48" applyNumberFormat="1" applyFont="1" applyFill="1" applyBorder="1" applyAlignment="1">
      <alignment/>
    </xf>
    <xf numFmtId="37" fontId="9" fillId="25" borderId="64" xfId="48" applyNumberFormat="1" applyFont="1" applyFill="1" applyBorder="1" applyAlignment="1">
      <alignment/>
    </xf>
    <xf numFmtId="37" fontId="9" fillId="24" borderId="57" xfId="48" applyNumberFormat="1" applyFont="1" applyFill="1" applyBorder="1" applyAlignment="1">
      <alignment/>
    </xf>
    <xf numFmtId="37" fontId="9" fillId="24" borderId="65" xfId="48" applyNumberFormat="1" applyFont="1" applyFill="1" applyBorder="1" applyAlignment="1">
      <alignment/>
    </xf>
    <xf numFmtId="0" fontId="17" fillId="25" borderId="0" xfId="0" applyFont="1" applyFill="1" applyAlignment="1">
      <alignment/>
    </xf>
    <xf numFmtId="183" fontId="11" fillId="25" borderId="0" xfId="56" applyNumberFormat="1" applyFont="1" applyFill="1" applyBorder="1" applyAlignment="1">
      <alignment horizontal="center"/>
      <protection/>
    </xf>
    <xf numFmtId="182" fontId="18" fillId="25" borderId="25" xfId="0" applyNumberFormat="1" applyFont="1" applyFill="1" applyBorder="1" applyAlignment="1">
      <alignment/>
    </xf>
    <xf numFmtId="182" fontId="0" fillId="25" borderId="66" xfId="0" applyNumberFormat="1" applyFill="1" applyBorder="1" applyAlignment="1">
      <alignment/>
    </xf>
    <xf numFmtId="183" fontId="18" fillId="25" borderId="67" xfId="0" applyNumberFormat="1" applyFont="1" applyFill="1" applyBorder="1" applyAlignment="1">
      <alignment/>
    </xf>
    <xf numFmtId="0" fontId="18" fillId="25" borderId="23" xfId="0" applyFont="1" applyFill="1" applyBorder="1" applyAlignment="1">
      <alignment wrapText="1"/>
    </xf>
    <xf numFmtId="0" fontId="0" fillId="0" borderId="68" xfId="0" applyBorder="1" applyAlignment="1">
      <alignment/>
    </xf>
    <xf numFmtId="0" fontId="0" fillId="22" borderId="68" xfId="0" applyFill="1" applyBorder="1" applyAlignment="1">
      <alignment/>
    </xf>
    <xf numFmtId="0" fontId="0" fillId="22" borderId="69" xfId="0" applyFill="1" applyBorder="1" applyAlignment="1">
      <alignment/>
    </xf>
    <xf numFmtId="0" fontId="0" fillId="22" borderId="70" xfId="0" applyFill="1" applyBorder="1" applyAlignment="1">
      <alignment/>
    </xf>
    <xf numFmtId="0" fontId="21" fillId="25" borderId="71" xfId="0" applyFont="1" applyFill="1" applyBorder="1" applyAlignment="1">
      <alignment wrapText="1"/>
    </xf>
    <xf numFmtId="0" fontId="21" fillId="25" borderId="72" xfId="0" applyFont="1" applyFill="1" applyBorder="1" applyAlignment="1">
      <alignment wrapText="1"/>
    </xf>
    <xf numFmtId="0" fontId="21" fillId="25" borderId="73" xfId="0" applyFont="1" applyFill="1" applyBorder="1" applyAlignment="1">
      <alignment wrapText="1"/>
    </xf>
    <xf numFmtId="0" fontId="21" fillId="0" borderId="23" xfId="0" applyFont="1" applyBorder="1" applyAlignment="1">
      <alignment/>
    </xf>
    <xf numFmtId="178" fontId="6" fillId="0" borderId="67" xfId="0" applyNumberFormat="1" applyFont="1" applyBorder="1" applyAlignment="1">
      <alignment/>
    </xf>
    <xf numFmtId="182" fontId="12" fillId="25" borderId="14" xfId="59" applyNumberFormat="1" applyFont="1" applyFill="1" applyBorder="1" applyAlignment="1">
      <alignment horizontal="center"/>
    </xf>
    <xf numFmtId="37" fontId="0" fillId="0" borderId="10" xfId="0" applyNumberFormat="1" applyBorder="1" applyAlignment="1">
      <alignment/>
    </xf>
    <xf numFmtId="0" fontId="0" fillId="25" borderId="74" xfId="0" applyFill="1" applyBorder="1" applyAlignment="1">
      <alignment/>
    </xf>
    <xf numFmtId="37" fontId="9" fillId="24" borderId="26" xfId="48" applyNumberFormat="1" applyFont="1" applyFill="1" applyBorder="1" applyAlignment="1">
      <alignment/>
    </xf>
    <xf numFmtId="37" fontId="9" fillId="25" borderId="39" xfId="48" applyNumberFormat="1" applyFont="1" applyFill="1" applyBorder="1" applyAlignment="1">
      <alignment/>
    </xf>
    <xf numFmtId="37" fontId="9" fillId="16" borderId="68" xfId="48" applyNumberFormat="1" applyFont="1" applyFill="1" applyBorder="1" applyAlignment="1">
      <alignment/>
    </xf>
    <xf numFmtId="37" fontId="9" fillId="16" borderId="66" xfId="48" applyNumberFormat="1" applyFont="1" applyFill="1" applyBorder="1" applyAlignment="1">
      <alignment/>
    </xf>
    <xf numFmtId="9" fontId="0" fillId="0" borderId="0" xfId="0" applyNumberFormat="1" applyAlignment="1">
      <alignment/>
    </xf>
    <xf numFmtId="0" fontId="22" fillId="0" borderId="10" xfId="0" applyFont="1" applyBorder="1" applyAlignment="1">
      <alignment horizontal="center"/>
    </xf>
    <xf numFmtId="0" fontId="22" fillId="0" borderId="18" xfId="0" applyFont="1" applyBorder="1" applyAlignment="1">
      <alignment horizontal="center"/>
    </xf>
    <xf numFmtId="0" fontId="23" fillId="0" borderId="26" xfId="0" applyFont="1" applyBorder="1" applyAlignment="1">
      <alignment horizontal="center"/>
    </xf>
    <xf numFmtId="0" fontId="0" fillId="0" borderId="18" xfId="0" applyBorder="1" applyAlignment="1">
      <alignment/>
    </xf>
    <xf numFmtId="0" fontId="24" fillId="0" borderId="26" xfId="0" applyFont="1" applyBorder="1" applyAlignment="1">
      <alignment horizontal="center"/>
    </xf>
    <xf numFmtId="0" fontId="0" fillId="24" borderId="10" xfId="0" applyFill="1" applyBorder="1" applyAlignment="1">
      <alignment/>
    </xf>
    <xf numFmtId="0" fontId="25" fillId="0" borderId="26" xfId="0" applyFont="1" applyBorder="1" applyAlignment="1">
      <alignment horizontal="center"/>
    </xf>
    <xf numFmtId="0" fontId="25" fillId="0" borderId="28" xfId="0" applyFont="1" applyBorder="1" applyAlignment="1">
      <alignment horizontal="center"/>
    </xf>
    <xf numFmtId="0" fontId="0" fillId="0" borderId="21" xfId="0" applyBorder="1" applyAlignment="1">
      <alignment/>
    </xf>
    <xf numFmtId="0" fontId="0" fillId="0" borderId="22" xfId="0" applyBorder="1" applyAlignment="1">
      <alignment/>
    </xf>
    <xf numFmtId="0" fontId="4" fillId="0" borderId="0" xfId="45" applyAlignment="1" applyProtection="1">
      <alignment/>
      <protection/>
    </xf>
    <xf numFmtId="0" fontId="26" fillId="0" borderId="2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26" xfId="0" applyFont="1" applyBorder="1" applyAlignment="1">
      <alignment horizontal="center" vertical="center" wrapText="1"/>
    </xf>
    <xf numFmtId="0" fontId="0" fillId="0" borderId="21" xfId="0" applyBorder="1" applyAlignment="1">
      <alignment horizontal="center"/>
    </xf>
    <xf numFmtId="10" fontId="0" fillId="0" borderId="21" xfId="58" applyNumberFormat="1" applyFont="1" applyBorder="1" applyAlignment="1">
      <alignment/>
    </xf>
    <xf numFmtId="10" fontId="0" fillId="22" borderId="22" xfId="58" applyNumberFormat="1" applyFont="1" applyFill="1" applyBorder="1" applyAlignment="1">
      <alignment/>
    </xf>
    <xf numFmtId="0" fontId="28" fillId="0" borderId="28" xfId="0" applyFont="1" applyBorder="1" applyAlignment="1">
      <alignment horizontal="center"/>
    </xf>
    <xf numFmtId="178" fontId="0" fillId="0" borderId="14" xfId="0" applyNumberFormat="1" applyFill="1" applyBorder="1" applyAlignment="1">
      <alignment/>
    </xf>
    <xf numFmtId="178" fontId="6" fillId="0" borderId="14" xfId="0" applyNumberFormat="1" applyFont="1" applyFill="1" applyBorder="1" applyAlignment="1">
      <alignment horizontal="center"/>
    </xf>
    <xf numFmtId="0" fontId="6" fillId="0" borderId="15" xfId="0" applyFont="1" applyFill="1" applyBorder="1" applyAlignment="1">
      <alignment/>
    </xf>
    <xf numFmtId="0" fontId="6" fillId="0" borderId="26" xfId="0" applyFont="1" applyFill="1" applyBorder="1" applyAlignment="1">
      <alignment/>
    </xf>
    <xf numFmtId="171" fontId="6" fillId="0" borderId="10" xfId="48" applyFont="1" applyFill="1" applyBorder="1" applyAlignment="1">
      <alignment/>
    </xf>
    <xf numFmtId="10" fontId="6" fillId="0" borderId="10" xfId="58" applyNumberFormat="1" applyFont="1" applyFill="1" applyBorder="1" applyAlignment="1">
      <alignment/>
    </xf>
    <xf numFmtId="182" fontId="6" fillId="0" borderId="18" xfId="0" applyNumberFormat="1" applyFont="1" applyFill="1" applyBorder="1" applyAlignment="1">
      <alignment/>
    </xf>
    <xf numFmtId="0" fontId="6" fillId="0" borderId="28" xfId="0" applyFont="1" applyFill="1" applyBorder="1" applyAlignment="1">
      <alignment/>
    </xf>
    <xf numFmtId="178" fontId="6" fillId="0" borderId="21" xfId="0" applyNumberFormat="1" applyFont="1" applyFill="1" applyBorder="1" applyAlignment="1">
      <alignment/>
    </xf>
    <xf numFmtId="0" fontId="6" fillId="0" borderId="0" xfId="0" applyFont="1" applyFill="1" applyAlignment="1">
      <alignment/>
    </xf>
    <xf numFmtId="178" fontId="6" fillId="0" borderId="0" xfId="0" applyNumberFormat="1" applyFont="1" applyFill="1" applyAlignment="1">
      <alignment/>
    </xf>
    <xf numFmtId="171" fontId="6" fillId="0" borderId="68" xfId="48" applyFont="1" applyFill="1" applyBorder="1" applyAlignment="1">
      <alignment/>
    </xf>
    <xf numFmtId="10" fontId="6" fillId="0" borderId="70" xfId="0" applyNumberFormat="1" applyFont="1" applyFill="1" applyBorder="1" applyAlignment="1">
      <alignment/>
    </xf>
    <xf numFmtId="10" fontId="0" fillId="0" borderId="0" xfId="58" applyNumberFormat="1" applyFont="1" applyAlignment="1">
      <alignment/>
    </xf>
    <xf numFmtId="14" fontId="0" fillId="0" borderId="0" xfId="0" applyNumberFormat="1" applyAlignment="1">
      <alignment/>
    </xf>
    <xf numFmtId="9" fontId="0" fillId="0" borderId="0" xfId="58" applyNumberFormat="1" applyFont="1" applyAlignment="1">
      <alignment/>
    </xf>
    <xf numFmtId="2" fontId="5" fillId="22" borderId="66" xfId="0" applyNumberFormat="1" applyFont="1" applyFill="1" applyBorder="1" applyAlignment="1">
      <alignment/>
    </xf>
    <xf numFmtId="0" fontId="0" fillId="0" borderId="58" xfId="0" applyBorder="1" applyAlignment="1">
      <alignment/>
    </xf>
    <xf numFmtId="10" fontId="0" fillId="4" borderId="70" xfId="0" applyNumberFormat="1" applyFill="1" applyBorder="1" applyAlignment="1">
      <alignment/>
    </xf>
    <xf numFmtId="0" fontId="29" fillId="0" borderId="0" xfId="0" applyFont="1" applyAlignment="1">
      <alignment horizontal="left" inden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0" fillId="0" borderId="0" xfId="0" applyFont="1" applyAlignment="1">
      <alignment/>
    </xf>
    <xf numFmtId="171" fontId="6" fillId="0" borderId="39" xfId="48" applyFont="1" applyFill="1" applyBorder="1" applyAlignment="1">
      <alignment/>
    </xf>
    <xf numFmtId="10" fontId="6" fillId="0" borderId="39" xfId="58" applyNumberFormat="1" applyFont="1" applyFill="1" applyBorder="1" applyAlignment="1">
      <alignment/>
    </xf>
    <xf numFmtId="182" fontId="6" fillId="0" borderId="40" xfId="0" applyNumberFormat="1" applyFont="1" applyFill="1" applyBorder="1" applyAlignment="1">
      <alignment/>
    </xf>
    <xf numFmtId="182" fontId="7" fillId="0" borderId="66" xfId="0" applyNumberFormat="1" applyFont="1" applyFill="1" applyBorder="1" applyAlignment="1">
      <alignment/>
    </xf>
    <xf numFmtId="178" fontId="15" fillId="4" borderId="10" xfId="0" applyNumberFormat="1"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178" fontId="6" fillId="4" borderId="10" xfId="0" applyNumberFormat="1" applyFont="1" applyFill="1" applyBorder="1" applyAlignment="1">
      <alignment/>
    </xf>
    <xf numFmtId="0" fontId="6" fillId="0" borderId="49" xfId="0" applyFont="1" applyBorder="1" applyAlignment="1">
      <alignment horizontal="center" vertical="center" wrapText="1"/>
    </xf>
    <xf numFmtId="182" fontId="13" fillId="0" borderId="14" xfId="51" applyNumberFormat="1" applyFont="1" applyFill="1" applyBorder="1" applyAlignment="1">
      <alignment/>
    </xf>
    <xf numFmtId="0" fontId="0" fillId="0" borderId="24" xfId="0" applyBorder="1" applyAlignment="1">
      <alignment horizontal="center"/>
    </xf>
    <xf numFmtId="0" fontId="0" fillId="0" borderId="15" xfId="0" applyBorder="1" applyAlignment="1">
      <alignment horizontal="center"/>
    </xf>
    <xf numFmtId="0" fontId="0" fillId="0" borderId="26" xfId="0" applyBorder="1" applyAlignment="1">
      <alignment/>
    </xf>
    <xf numFmtId="0" fontId="0" fillId="0" borderId="28" xfId="0" applyBorder="1" applyAlignment="1">
      <alignment/>
    </xf>
    <xf numFmtId="0" fontId="32" fillId="0" borderId="0" xfId="0" applyFont="1" applyAlignment="1">
      <alignment/>
    </xf>
    <xf numFmtId="0" fontId="0" fillId="22" borderId="41" xfId="0" applyFill="1" applyBorder="1" applyAlignment="1">
      <alignment/>
    </xf>
    <xf numFmtId="0" fontId="0" fillId="0" borderId="39" xfId="0" applyBorder="1" applyAlignment="1">
      <alignment/>
    </xf>
    <xf numFmtId="37" fontId="0" fillId="0" borderId="0" xfId="0" applyNumberFormat="1" applyAlignment="1">
      <alignment/>
    </xf>
    <xf numFmtId="0" fontId="0" fillId="0" borderId="14" xfId="0" applyBorder="1" applyAlignment="1">
      <alignment horizontal="center"/>
    </xf>
    <xf numFmtId="182" fontId="0" fillId="0" borderId="10" xfId="0" applyNumberFormat="1" applyBorder="1" applyAlignment="1">
      <alignment/>
    </xf>
    <xf numFmtId="182" fontId="0" fillId="0" borderId="18" xfId="0" applyNumberFormat="1" applyBorder="1" applyAlignment="1">
      <alignment/>
    </xf>
    <xf numFmtId="182" fontId="0" fillId="0" borderId="21" xfId="0" applyNumberFormat="1" applyBorder="1" applyAlignment="1">
      <alignment/>
    </xf>
    <xf numFmtId="182" fontId="0" fillId="0" borderId="22" xfId="0" applyNumberFormat="1" applyBorder="1" applyAlignment="1">
      <alignment/>
    </xf>
    <xf numFmtId="10" fontId="0" fillId="4" borderId="59" xfId="58" applyNumberFormat="1" applyFont="1" applyFill="1" applyBorder="1" applyAlignment="1">
      <alignment/>
    </xf>
    <xf numFmtId="0" fontId="9" fillId="25" borderId="24" xfId="0" applyFont="1" applyFill="1" applyBorder="1" applyAlignment="1">
      <alignment/>
    </xf>
    <xf numFmtId="9" fontId="0" fillId="0" borderId="15" xfId="0" applyNumberFormat="1" applyBorder="1" applyAlignment="1">
      <alignment/>
    </xf>
    <xf numFmtId="9" fontId="0" fillId="0" borderId="18" xfId="0" applyNumberFormat="1" applyBorder="1" applyAlignment="1">
      <alignment/>
    </xf>
    <xf numFmtId="182" fontId="0" fillId="0" borderId="10" xfId="0" applyNumberFormat="1" applyBorder="1" applyAlignment="1">
      <alignment vertical="center" wrapText="1"/>
    </xf>
    <xf numFmtId="182" fontId="0" fillId="0" borderId="10" xfId="0" applyNumberFormat="1" applyBorder="1" applyAlignment="1">
      <alignment horizontal="right" vertical="center" wrapText="1"/>
    </xf>
    <xf numFmtId="182" fontId="0" fillId="0" borderId="10" xfId="0" applyNumberFormat="1" applyFill="1" applyBorder="1" applyAlignment="1">
      <alignment vertical="center" wrapText="1"/>
    </xf>
    <xf numFmtId="182" fontId="0" fillId="0" borderId="10" xfId="0" applyNumberFormat="1" applyFill="1" applyBorder="1" applyAlignment="1">
      <alignment horizontal="right" vertical="center" wrapText="1"/>
    </xf>
    <xf numFmtId="178" fontId="7" fillId="22" borderId="10" xfId="0" applyNumberFormat="1" applyFont="1" applyFill="1" applyBorder="1" applyAlignment="1">
      <alignment/>
    </xf>
    <xf numFmtId="178" fontId="7" fillId="4" borderId="10" xfId="0" applyNumberFormat="1" applyFont="1" applyFill="1" applyBorder="1" applyAlignment="1">
      <alignment/>
    </xf>
    <xf numFmtId="2" fontId="6" fillId="0" borderId="10" xfId="0" applyNumberFormat="1" applyFont="1" applyBorder="1" applyAlignment="1">
      <alignment/>
    </xf>
    <xf numFmtId="9" fontId="6" fillId="0" borderId="10" xfId="58" applyFont="1" applyBorder="1" applyAlignment="1">
      <alignment/>
    </xf>
    <xf numFmtId="43" fontId="6" fillId="0" borderId="24" xfId="0" applyNumberFormat="1" applyFont="1" applyBorder="1" applyAlignment="1">
      <alignment horizontal="center" vertical="center" wrapText="1"/>
    </xf>
    <xf numFmtId="43" fontId="6" fillId="0" borderId="14"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22" borderId="0" xfId="0" applyFont="1" applyFill="1" applyAlignment="1">
      <alignment horizontal="center" vertical="center" wrapText="1"/>
    </xf>
    <xf numFmtId="39" fontId="9" fillId="25" borderId="53" xfId="48" applyNumberFormat="1" applyFont="1" applyFill="1" applyBorder="1" applyAlignment="1">
      <alignment/>
    </xf>
    <xf numFmtId="198" fontId="15" fillId="0" borderId="10" xfId="0" applyNumberFormat="1" applyFont="1" applyBorder="1" applyAlignment="1">
      <alignment horizontal="center" vertical="center" wrapText="1"/>
    </xf>
    <xf numFmtId="198" fontId="15" fillId="0" borderId="18" xfId="0" applyNumberFormat="1" applyFont="1" applyBorder="1" applyAlignment="1">
      <alignment horizontal="center" vertical="center" wrapText="1"/>
    </xf>
    <xf numFmtId="4" fontId="6" fillId="0" borderId="0" xfId="0" applyNumberFormat="1" applyFont="1" applyAlignment="1">
      <alignment/>
    </xf>
    <xf numFmtId="200" fontId="6" fillId="0" borderId="10" xfId="48" applyNumberFormat="1" applyFont="1" applyBorder="1" applyAlignment="1">
      <alignment/>
    </xf>
    <xf numFmtId="43" fontId="6" fillId="0" borderId="15" xfId="0" applyNumberFormat="1" applyFont="1" applyFill="1" applyBorder="1" applyAlignment="1">
      <alignment horizontal="center" vertical="center" wrapText="1"/>
    </xf>
    <xf numFmtId="0" fontId="6" fillId="0" borderId="47" xfId="0" applyFont="1" applyBorder="1" applyAlignment="1">
      <alignment horizontal="center" vertical="center" wrapText="1"/>
    </xf>
    <xf numFmtId="178" fontId="6" fillId="0" borderId="39" xfId="0" applyNumberFormat="1" applyFont="1" applyBorder="1" applyAlignment="1">
      <alignment/>
    </xf>
    <xf numFmtId="200" fontId="6" fillId="0" borderId="39" xfId="48" applyNumberFormat="1" applyFont="1" applyBorder="1" applyAlignment="1">
      <alignment/>
    </xf>
    <xf numFmtId="178" fontId="0" fillId="0" borderId="39" xfId="0" applyNumberFormat="1" applyBorder="1" applyAlignment="1">
      <alignment/>
    </xf>
    <xf numFmtId="9" fontId="6" fillId="0" borderId="39" xfId="58" applyFont="1" applyBorder="1" applyAlignment="1">
      <alignment/>
    </xf>
    <xf numFmtId="178" fontId="0" fillId="22" borderId="69" xfId="0" applyNumberFormat="1" applyFill="1" applyBorder="1" applyAlignment="1">
      <alignment/>
    </xf>
    <xf numFmtId="2" fontId="6" fillId="0" borderId="0" xfId="0" applyNumberFormat="1" applyFont="1" applyAlignment="1">
      <alignment/>
    </xf>
    <xf numFmtId="10" fontId="0" fillId="0" borderId="66" xfId="58" applyNumberFormat="1" applyFont="1" applyBorder="1" applyAlignment="1">
      <alignment/>
    </xf>
    <xf numFmtId="0" fontId="0" fillId="0" borderId="66" xfId="0" applyBorder="1" applyAlignment="1">
      <alignment/>
    </xf>
    <xf numFmtId="0" fontId="6" fillId="24" borderId="10" xfId="0" applyFont="1" applyFill="1" applyBorder="1" applyAlignment="1">
      <alignment/>
    </xf>
    <xf numFmtId="0" fontId="0" fillId="0" borderId="69" xfId="0" applyBorder="1" applyAlignment="1">
      <alignment/>
    </xf>
    <xf numFmtId="2" fontId="0" fillId="0" borderId="69" xfId="0" applyNumberFormat="1" applyBorder="1" applyAlignment="1">
      <alignment/>
    </xf>
    <xf numFmtId="2" fontId="0" fillId="0" borderId="70" xfId="0" applyNumberFormat="1" applyBorder="1" applyAlignment="1">
      <alignment/>
    </xf>
    <xf numFmtId="0" fontId="33" fillId="0" borderId="0" xfId="0" applyFont="1" applyAlignment="1">
      <alignment/>
    </xf>
    <xf numFmtId="0" fontId="5" fillId="0" borderId="10" xfId="0" applyFont="1" applyBorder="1" applyAlignment="1">
      <alignment/>
    </xf>
    <xf numFmtId="0" fontId="33" fillId="0" borderId="10" xfId="0" applyFont="1" applyBorder="1" applyAlignment="1">
      <alignment/>
    </xf>
    <xf numFmtId="1" fontId="0" fillId="0" borderId="0" xfId="0" applyNumberFormat="1" applyFill="1" applyBorder="1" applyAlignment="1">
      <alignment/>
    </xf>
    <xf numFmtId="0" fontId="0" fillId="0" borderId="0" xfId="0" applyBorder="1" applyAlignment="1">
      <alignment/>
    </xf>
    <xf numFmtId="39" fontId="9" fillId="0" borderId="21" xfId="48" applyNumberFormat="1" applyFont="1" applyFill="1" applyBorder="1" applyAlignment="1">
      <alignment/>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xf>
    <xf numFmtId="0" fontId="0" fillId="0" borderId="0" xfId="0" applyFont="1" applyBorder="1" applyAlignment="1">
      <alignment/>
    </xf>
    <xf numFmtId="0" fontId="5" fillId="0" borderId="0" xfId="0" applyFont="1" applyBorder="1" applyAlignment="1">
      <alignment/>
    </xf>
    <xf numFmtId="0" fontId="7" fillId="0" borderId="0" xfId="0" applyFont="1" applyFill="1" applyBorder="1" applyAlignment="1">
      <alignment horizontal="center" vertical="center" wrapText="1"/>
    </xf>
    <xf numFmtId="1" fontId="0" fillId="0" borderId="10" xfId="0" applyNumberFormat="1" applyFill="1" applyBorder="1" applyAlignment="1">
      <alignment/>
    </xf>
    <xf numFmtId="39" fontId="9" fillId="25" borderId="0" xfId="48" applyNumberFormat="1" applyFont="1" applyFill="1" applyBorder="1" applyAlignment="1">
      <alignment/>
    </xf>
    <xf numFmtId="2" fontId="5" fillId="0" borderId="10" xfId="0" applyNumberFormat="1" applyFont="1" applyBorder="1" applyAlignment="1">
      <alignment/>
    </xf>
    <xf numFmtId="0" fontId="5" fillId="0" borderId="0" xfId="0" applyFont="1" applyFill="1" applyBorder="1" applyAlignment="1">
      <alignment/>
    </xf>
    <xf numFmtId="1" fontId="0" fillId="10" borderId="70" xfId="0" applyNumberFormat="1" applyFill="1" applyBorder="1" applyAlignment="1">
      <alignment/>
    </xf>
    <xf numFmtId="178" fontId="6" fillId="10" borderId="66" xfId="0" applyNumberFormat="1" applyFont="1" applyFill="1" applyBorder="1" applyAlignment="1">
      <alignment/>
    </xf>
    <xf numFmtId="178" fontId="6" fillId="10" borderId="10" xfId="0" applyNumberFormat="1" applyFont="1" applyFill="1" applyBorder="1" applyAlignment="1">
      <alignment/>
    </xf>
    <xf numFmtId="182" fontId="0" fillId="10" borderId="70" xfId="0" applyNumberFormat="1" applyFill="1" applyBorder="1" applyAlignment="1">
      <alignment/>
    </xf>
    <xf numFmtId="178" fontId="15" fillId="24" borderId="10" xfId="0" applyNumberFormat="1" applyFont="1" applyFill="1" applyBorder="1" applyAlignment="1">
      <alignment/>
    </xf>
    <xf numFmtId="196" fontId="0" fillId="26" borderId="18" xfId="0" applyNumberFormat="1" applyFill="1" applyBorder="1" applyAlignment="1">
      <alignment/>
    </xf>
    <xf numFmtId="202" fontId="0" fillId="0" borderId="0" xfId="0" applyNumberFormat="1" applyAlignment="1">
      <alignment/>
    </xf>
    <xf numFmtId="0" fontId="33" fillId="0" borderId="10" xfId="0" applyFont="1" applyBorder="1" applyAlignment="1">
      <alignment horizontal="center" vertical="center" wrapText="1"/>
    </xf>
    <xf numFmtId="178" fontId="7" fillId="23" borderId="10" xfId="0" applyNumberFormat="1" applyFont="1" applyFill="1" applyBorder="1" applyAlignment="1">
      <alignment/>
    </xf>
    <xf numFmtId="0" fontId="5" fillId="0" borderId="24" xfId="0" applyFont="1" applyBorder="1" applyAlignment="1">
      <alignment horizontal="center"/>
    </xf>
    <xf numFmtId="0" fontId="5" fillId="0" borderId="15" xfId="0" applyFont="1" applyBorder="1" applyAlignment="1">
      <alignment horizontal="center"/>
    </xf>
    <xf numFmtId="0" fontId="0" fillId="0" borderId="26" xfId="0" applyBorder="1" applyAlignment="1">
      <alignment horizontal="center" vertical="center" wrapText="1"/>
    </xf>
    <xf numFmtId="0" fontId="5" fillId="22" borderId="28" xfId="0" applyFont="1" applyFill="1" applyBorder="1" applyAlignment="1">
      <alignment horizontal="center"/>
    </xf>
    <xf numFmtId="0" fontId="0" fillId="22" borderId="22" xfId="0" applyFill="1" applyBorder="1" applyAlignment="1">
      <alignment/>
    </xf>
    <xf numFmtId="0" fontId="49" fillId="0" borderId="30" xfId="0" applyFont="1" applyBorder="1" applyAlignment="1">
      <alignment vertical="top"/>
    </xf>
    <xf numFmtId="167" fontId="49" fillId="0" borderId="30" xfId="0" applyNumberFormat="1" applyFont="1" applyBorder="1" applyAlignment="1">
      <alignment vertical="top"/>
    </xf>
    <xf numFmtId="0" fontId="6" fillId="0" borderId="57"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2" fontId="0" fillId="0" borderId="0" xfId="0" applyNumberFormat="1" applyAlignment="1">
      <alignment/>
    </xf>
    <xf numFmtId="0" fontId="5" fillId="17" borderId="61" xfId="0" applyFont="1" applyFill="1" applyBorder="1" applyAlignment="1">
      <alignment/>
    </xf>
    <xf numFmtId="0" fontId="5" fillId="16" borderId="61" xfId="0" applyFont="1" applyFill="1" applyBorder="1" applyAlignment="1">
      <alignment/>
    </xf>
    <xf numFmtId="1" fontId="5" fillId="16" borderId="11" xfId="0" applyNumberFormat="1" applyFont="1" applyFill="1" applyBorder="1" applyAlignment="1">
      <alignment/>
    </xf>
    <xf numFmtId="203" fontId="0" fillId="16" borderId="61" xfId="0" applyNumberFormat="1" applyFill="1" applyBorder="1" applyAlignment="1">
      <alignment/>
    </xf>
    <xf numFmtId="203" fontId="0" fillId="16" borderId="10" xfId="0" applyNumberFormat="1" applyFill="1" applyBorder="1" applyAlignment="1">
      <alignment/>
    </xf>
    <xf numFmtId="9" fontId="0" fillId="0" borderId="0" xfId="58" applyFont="1" applyAlignment="1">
      <alignment/>
    </xf>
    <xf numFmtId="9" fontId="0" fillId="0" borderId="10" xfId="58" applyFont="1" applyBorder="1" applyAlignment="1">
      <alignment/>
    </xf>
    <xf numFmtId="202" fontId="0" fillId="0" borderId="10" xfId="0" applyNumberFormat="1" applyBorder="1" applyAlignment="1">
      <alignment/>
    </xf>
    <xf numFmtId="0" fontId="0" fillId="0" borderId="10" xfId="0" applyFill="1" applyBorder="1" applyAlignment="1">
      <alignment/>
    </xf>
    <xf numFmtId="1" fontId="0" fillId="10" borderId="10" xfId="0" applyNumberFormat="1" applyFill="1" applyBorder="1" applyAlignment="1">
      <alignment/>
    </xf>
    <xf numFmtId="0" fontId="0" fillId="10" borderId="10" xfId="0" applyFill="1" applyBorder="1" applyAlignment="1">
      <alignment/>
    </xf>
    <xf numFmtId="196" fontId="0" fillId="0" borderId="29" xfId="0" applyNumberFormat="1" applyFill="1" applyBorder="1" applyAlignment="1">
      <alignment/>
    </xf>
    <xf numFmtId="0" fontId="50" fillId="27" borderId="75" xfId="0" applyFont="1" applyFill="1" applyBorder="1" applyAlignment="1">
      <alignment horizontal="left"/>
    </xf>
    <xf numFmtId="0" fontId="50" fillId="27" borderId="76" xfId="0" applyFont="1" applyFill="1" applyBorder="1" applyAlignment="1">
      <alignment horizontal="left"/>
    </xf>
    <xf numFmtId="0" fontId="0" fillId="0" borderId="74" xfId="0" applyFill="1" applyBorder="1" applyAlignment="1">
      <alignment/>
    </xf>
    <xf numFmtId="0" fontId="5" fillId="28" borderId="0" xfId="0" applyFont="1" applyFill="1" applyBorder="1" applyAlignment="1">
      <alignment horizontal="left"/>
    </xf>
    <xf numFmtId="0" fontId="51" fillId="28" borderId="74" xfId="0" applyFont="1" applyFill="1" applyBorder="1" applyAlignment="1">
      <alignment horizontal="left"/>
    </xf>
    <xf numFmtId="0" fontId="5" fillId="28" borderId="29" xfId="0" applyFont="1" applyFill="1" applyBorder="1" applyAlignment="1">
      <alignment horizontal="left"/>
    </xf>
    <xf numFmtId="0" fontId="52" fillId="27" borderId="76" xfId="0" applyFont="1" applyFill="1" applyBorder="1" applyAlignment="1">
      <alignment horizontal="right"/>
    </xf>
    <xf numFmtId="0" fontId="52" fillId="27" borderId="75" xfId="0" applyFont="1" applyFill="1" applyBorder="1" applyAlignment="1">
      <alignment horizontal="right"/>
    </xf>
    <xf numFmtId="1" fontId="0" fillId="29" borderId="0" xfId="0" applyNumberFormat="1" applyFill="1" applyBorder="1" applyAlignment="1">
      <alignment/>
    </xf>
    <xf numFmtId="0" fontId="25" fillId="0" borderId="0" xfId="0" applyFont="1" applyFill="1" applyBorder="1" applyAlignment="1">
      <alignment vertical="top" wrapText="1"/>
    </xf>
    <xf numFmtId="2" fontId="0" fillId="0" borderId="18" xfId="0" applyNumberFormat="1" applyBorder="1" applyAlignment="1">
      <alignment/>
    </xf>
    <xf numFmtId="2" fontId="0" fillId="0" borderId="22" xfId="0" applyNumberFormat="1" applyBorder="1" applyAlignment="1">
      <alignment/>
    </xf>
    <xf numFmtId="0" fontId="33" fillId="0" borderId="24" xfId="0" applyFont="1" applyBorder="1" applyAlignment="1">
      <alignment horizontal="center"/>
    </xf>
    <xf numFmtId="0" fontId="33" fillId="0" borderId="15" xfId="0" applyFont="1" applyBorder="1" applyAlignment="1">
      <alignment horizontal="center"/>
    </xf>
    <xf numFmtId="9" fontId="0" fillId="0" borderId="10" xfId="0" applyNumberFormat="1" applyBorder="1" applyAlignment="1">
      <alignment/>
    </xf>
    <xf numFmtId="0" fontId="0" fillId="29" borderId="0" xfId="0" applyFill="1" applyBorder="1" applyAlignment="1">
      <alignment/>
    </xf>
    <xf numFmtId="0" fontId="33" fillId="0" borderId="2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10" fontId="0" fillId="0" borderId="26" xfId="58" applyNumberFormat="1" applyFont="1" applyBorder="1" applyAlignment="1">
      <alignment/>
    </xf>
    <xf numFmtId="10" fontId="0" fillId="0" borderId="28" xfId="58" applyNumberFormat="1" applyFont="1" applyBorder="1" applyAlignment="1">
      <alignment/>
    </xf>
    <xf numFmtId="0" fontId="33" fillId="0" borderId="14" xfId="0" applyFont="1" applyBorder="1" applyAlignment="1">
      <alignment horizontal="center"/>
    </xf>
    <xf numFmtId="0" fontId="0" fillId="7" borderId="10" xfId="0" applyFill="1" applyBorder="1" applyAlignment="1">
      <alignment/>
    </xf>
    <xf numFmtId="9" fontId="0" fillId="0" borderId="26" xfId="58" applyFont="1" applyBorder="1" applyAlignment="1">
      <alignment/>
    </xf>
    <xf numFmtId="9" fontId="0" fillId="0" borderId="26" xfId="58" applyNumberFormat="1" applyFont="1" applyBorder="1" applyAlignment="1">
      <alignment/>
    </xf>
    <xf numFmtId="9" fontId="0" fillId="0" borderId="28" xfId="58" applyNumberFormat="1" applyFont="1" applyBorder="1" applyAlignment="1">
      <alignment/>
    </xf>
    <xf numFmtId="178" fontId="0" fillId="0" borderId="18" xfId="0" applyNumberFormat="1" applyBorder="1" applyAlignment="1">
      <alignment/>
    </xf>
    <xf numFmtId="178" fontId="0" fillId="0" borderId="22" xfId="0" applyNumberFormat="1" applyBorder="1" applyAlignment="1">
      <alignment/>
    </xf>
    <xf numFmtId="178" fontId="33" fillId="0" borderId="24" xfId="0" applyNumberFormat="1" applyFont="1" applyBorder="1" applyAlignment="1">
      <alignment horizontal="center" vertical="center" wrapText="1"/>
    </xf>
    <xf numFmtId="178" fontId="33" fillId="0" borderId="14" xfId="0" applyNumberFormat="1" applyFont="1" applyBorder="1" applyAlignment="1">
      <alignment horizontal="center" vertical="center" wrapText="1"/>
    </xf>
    <xf numFmtId="178" fontId="33" fillId="0" borderId="15" xfId="0" applyNumberFormat="1" applyFont="1" applyBorder="1" applyAlignment="1">
      <alignment horizontal="center" vertical="center" wrapText="1"/>
    </xf>
    <xf numFmtId="1" fontId="0" fillId="11" borderId="10" xfId="0" applyNumberFormat="1" applyFill="1" applyBorder="1" applyAlignment="1">
      <alignment/>
    </xf>
    <xf numFmtId="0" fontId="5" fillId="0" borderId="0" xfId="0" applyFont="1" applyAlignment="1">
      <alignment/>
    </xf>
    <xf numFmtId="0" fontId="33" fillId="25" borderId="0" xfId="0" applyFont="1" applyFill="1" applyBorder="1" applyAlignment="1">
      <alignment/>
    </xf>
    <xf numFmtId="0" fontId="33" fillId="25" borderId="62" xfId="0" applyFont="1" applyFill="1" applyBorder="1" applyAlignment="1">
      <alignment/>
    </xf>
    <xf numFmtId="39" fontId="9" fillId="17" borderId="35" xfId="48" applyNumberFormat="1" applyFont="1" applyFill="1" applyBorder="1" applyAlignment="1">
      <alignment/>
    </xf>
    <xf numFmtId="39" fontId="9" fillId="0" borderId="69" xfId="48" applyNumberFormat="1" applyFont="1" applyFill="1" applyBorder="1" applyAlignment="1">
      <alignment/>
    </xf>
    <xf numFmtId="39" fontId="9" fillId="4" borderId="51" xfId="48" applyNumberFormat="1" applyFont="1" applyFill="1" applyBorder="1" applyAlignment="1">
      <alignment/>
    </xf>
    <xf numFmtId="171" fontId="10" fillId="11" borderId="31" xfId="48" applyFont="1" applyFill="1" applyBorder="1" applyAlignment="1">
      <alignment horizontal="center"/>
    </xf>
    <xf numFmtId="171" fontId="10" fillId="11" borderId="59" xfId="48" applyFont="1" applyFill="1" applyBorder="1" applyAlignment="1">
      <alignment horizontal="center"/>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xf>
    <xf numFmtId="0" fontId="22" fillId="0" borderId="15"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6" fillId="0" borderId="24" xfId="0" applyFont="1" applyFill="1" applyBorder="1" applyAlignment="1">
      <alignment horizontal="center"/>
    </xf>
    <xf numFmtId="0" fontId="6" fillId="0" borderId="14" xfId="0" applyFont="1" applyFill="1" applyBorder="1" applyAlignment="1">
      <alignment horizontal="center"/>
    </xf>
    <xf numFmtId="0" fontId="20" fillId="25" borderId="77" xfId="0" applyFont="1" applyFill="1" applyBorder="1" applyAlignment="1">
      <alignment wrapText="1"/>
    </xf>
    <xf numFmtId="0" fontId="20" fillId="25" borderId="78" xfId="0" applyFont="1" applyFill="1" applyBorder="1" applyAlignment="1">
      <alignment wrapText="1"/>
    </xf>
    <xf numFmtId="0" fontId="20" fillId="25" borderId="79" xfId="0" applyFont="1" applyFill="1" applyBorder="1" applyAlignment="1">
      <alignment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0" xfId="0" applyFont="1" applyBorder="1" applyAlignment="1">
      <alignment horizontal="center"/>
    </xf>
    <xf numFmtId="0" fontId="5" fillId="0" borderId="0" xfId="0" applyFont="1" applyBorder="1" applyAlignment="1">
      <alignment horizontal="center"/>
    </xf>
    <xf numFmtId="0" fontId="7" fillId="0" borderId="39" xfId="0" applyFont="1" applyBorder="1" applyAlignment="1">
      <alignment horizontal="center"/>
    </xf>
    <xf numFmtId="0" fontId="7" fillId="0" borderId="11" xfId="0" applyFont="1" applyBorder="1" applyAlignment="1">
      <alignment horizontal="center"/>
    </xf>
    <xf numFmtId="0" fontId="7" fillId="0" borderId="74" xfId="0" applyFont="1" applyBorder="1" applyAlignment="1">
      <alignment horizontal="center"/>
    </xf>
    <xf numFmtId="0" fontId="7" fillId="0" borderId="38" xfId="0" applyFont="1" applyBorder="1" applyAlignment="1">
      <alignment horizontal="center"/>
    </xf>
    <xf numFmtId="0" fontId="10" fillId="25" borderId="13" xfId="0" applyFont="1" applyFill="1" applyBorder="1" applyAlignment="1">
      <alignment horizontal="center" wrapText="1"/>
    </xf>
    <xf numFmtId="0" fontId="10" fillId="25" borderId="55" xfId="0" applyFont="1" applyFill="1" applyBorder="1" applyAlignment="1">
      <alignment horizontal="center" wrapText="1"/>
    </xf>
    <xf numFmtId="0" fontId="11" fillId="16" borderId="23" xfId="56" applyFont="1" applyFill="1" applyBorder="1" applyAlignment="1">
      <alignment horizontal="center"/>
      <protection/>
    </xf>
    <xf numFmtId="0" fontId="11" fillId="16" borderId="80" xfId="56" applyFont="1" applyFill="1" applyBorder="1" applyAlignment="1">
      <alignment horizontal="center"/>
      <protection/>
    </xf>
    <xf numFmtId="0" fontId="11" fillId="16" borderId="67" xfId="56" applyFont="1" applyFill="1" applyBorder="1" applyAlignment="1">
      <alignment horizontal="center"/>
      <protection/>
    </xf>
    <xf numFmtId="0" fontId="0" fillId="0" borderId="68" xfId="0" applyBorder="1" applyAlignment="1">
      <alignment horizontal="center"/>
    </xf>
    <xf numFmtId="0" fontId="0" fillId="0" borderId="69" xfId="0"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5" xfId="51"/>
    <cellStyle name="Currency" xfId="52"/>
    <cellStyle name="Currency [0]" xfId="53"/>
    <cellStyle name="Neutral" xfId="54"/>
    <cellStyle name="Normal 4" xfId="55"/>
    <cellStyle name="Normal 5" xfId="56"/>
    <cellStyle name="Notas" xfId="57"/>
    <cellStyle name="Percent" xfId="58"/>
    <cellStyle name="Porcentual 5"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SENSIBILIDAD PRECIO</a:t>
            </a:r>
          </a:p>
        </c:rich>
      </c:tx>
      <c:layout>
        <c:manualLayout>
          <c:xMode val="factor"/>
          <c:yMode val="factor"/>
          <c:x val="-0.002"/>
          <c:y val="-0.00975"/>
        </c:manualLayout>
      </c:layout>
      <c:spPr>
        <a:noFill/>
        <a:ln>
          <a:noFill/>
        </a:ln>
      </c:spPr>
    </c:title>
    <c:plotArea>
      <c:layout>
        <c:manualLayout>
          <c:xMode val="edge"/>
          <c:yMode val="edge"/>
          <c:x val="0.0635"/>
          <c:y val="0.16475"/>
          <c:w val="0.76125"/>
          <c:h val="0.73475"/>
        </c:manualLayout>
      </c:layout>
      <c:scatterChart>
        <c:scatterStyle val="smoothMarker"/>
        <c:varyColors val="0"/>
        <c:ser>
          <c:idx val="0"/>
          <c:order val="0"/>
          <c:tx>
            <c:strRef>
              <c:f>'Analisis sensibilidad precio'!$D$14</c:f>
              <c:strCache>
                <c:ptCount val="1"/>
                <c:pt idx="0">
                  <c:v>VAN</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'Analisis sensibilidad precio'!$B$15:$B$27</c:f>
              <c:numCache/>
            </c:numRef>
          </c:xVal>
          <c:yVal>
            <c:numRef>
              <c:f>'Analisis sensibilidad precio'!$D$15:$D$27</c:f>
              <c:numCache/>
            </c:numRef>
          </c:yVal>
          <c:smooth val="1"/>
        </c:ser>
        <c:axId val="45391879"/>
        <c:axId val="5873728"/>
      </c:scatterChart>
      <c:valAx>
        <c:axId val="453918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VARIACION DEL PRECIO</a:t>
                </a:r>
              </a:p>
            </c:rich>
          </c:tx>
          <c:layout>
            <c:manualLayout>
              <c:xMode val="factor"/>
              <c:yMode val="factor"/>
              <c:x val="0"/>
              <c:y val="-0.004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5873728"/>
        <c:crosses val="autoZero"/>
        <c:crossBetween val="midCat"/>
        <c:dispUnits/>
      </c:valAx>
      <c:valAx>
        <c:axId val="58737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VAN</a:t>
                </a:r>
              </a:p>
            </c:rich>
          </c:tx>
          <c:layout>
            <c:manualLayout>
              <c:xMode val="factor"/>
              <c:yMode val="factor"/>
              <c:x val="-0.002"/>
              <c:y val="0.0427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391879"/>
        <c:crosses val="autoZero"/>
        <c:crossBetween val="midCat"/>
        <c:dispUnits/>
      </c:valAx>
      <c:spPr>
        <a:solidFill>
          <a:srgbClr val="FFFFFF"/>
        </a:solidFill>
        <a:ln w="3175">
          <a:noFill/>
        </a:ln>
      </c:spPr>
    </c:plotArea>
    <c:legend>
      <c:legendPos val="r"/>
      <c:layout>
        <c:manualLayout>
          <c:xMode val="edge"/>
          <c:yMode val="edge"/>
          <c:x val="0.85575"/>
          <c:y val="0.52425"/>
          <c:w val="0.13375"/>
          <c:h val="0.07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SENSIBILIDAD CANTIDAD</a:t>
            </a:r>
          </a:p>
        </c:rich>
      </c:tx>
      <c:layout>
        <c:manualLayout>
          <c:xMode val="factor"/>
          <c:yMode val="factor"/>
          <c:x val="-0.002"/>
          <c:y val="-0.01075"/>
        </c:manualLayout>
      </c:layout>
      <c:spPr>
        <a:noFill/>
        <a:ln>
          <a:noFill/>
        </a:ln>
      </c:spPr>
    </c:title>
    <c:plotArea>
      <c:layout>
        <c:manualLayout>
          <c:xMode val="edge"/>
          <c:yMode val="edge"/>
          <c:x val="0.0635"/>
          <c:y val="0.1825"/>
          <c:w val="0.76125"/>
          <c:h val="0.70625"/>
        </c:manualLayout>
      </c:layout>
      <c:scatterChart>
        <c:scatterStyle val="smoothMarker"/>
        <c:varyColors val="0"/>
        <c:ser>
          <c:idx val="0"/>
          <c:order val="0"/>
          <c:tx>
            <c:strRef>
              <c:f>'Analisis sensibilidad cantidad'!$D$14</c:f>
              <c:strCache>
                <c:ptCount val="1"/>
                <c:pt idx="0">
                  <c:v>VAN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'Analisis sensibilidad cantidad'!$B$15:$B$28</c:f>
              <c:numCache/>
            </c:numRef>
          </c:xVal>
          <c:yVal>
            <c:numRef>
              <c:f>'Analisis sensibilidad cantidad'!$D$15:$D$28</c:f>
              <c:numCache/>
            </c:numRef>
          </c:yVal>
          <c:smooth val="1"/>
        </c:ser>
        <c:axId val="52863553"/>
        <c:axId val="6009930"/>
      </c:scatterChart>
      <c:valAx>
        <c:axId val="528635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Variacion de cantidad</a:t>
                </a:r>
              </a:p>
            </c:rich>
          </c:tx>
          <c:layout>
            <c:manualLayout>
              <c:xMode val="factor"/>
              <c:yMode val="factor"/>
              <c:x val="0"/>
              <c:y val="-0.0062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6009930"/>
        <c:crosses val="autoZero"/>
        <c:crossBetween val="midCat"/>
        <c:dispUnits/>
      </c:valAx>
      <c:valAx>
        <c:axId val="600993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VAN</a:t>
                </a:r>
              </a:p>
            </c:rich>
          </c:tx>
          <c:layout>
            <c:manualLayout>
              <c:xMode val="factor"/>
              <c:yMode val="factor"/>
              <c:x val="-0.00625"/>
              <c:y val="0.0427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863553"/>
        <c:crosses val="autoZero"/>
        <c:crossBetween val="midCat"/>
        <c:dispUnits/>
      </c:valAx>
      <c:spPr>
        <a:solidFill>
          <a:srgbClr val="FFFFFF"/>
        </a:solidFill>
        <a:ln w="3175">
          <a:noFill/>
        </a:ln>
      </c:spPr>
    </c:plotArea>
    <c:legend>
      <c:legendPos val="r"/>
      <c:layout>
        <c:manualLayout>
          <c:xMode val="edge"/>
          <c:yMode val="edge"/>
          <c:x val="0.85575"/>
          <c:y val="0.527"/>
          <c:w val="0.133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SENSIBILIDAD COSTO VARIABLE PRODUCTO</a:t>
            </a:r>
          </a:p>
        </c:rich>
      </c:tx>
      <c:layout>
        <c:manualLayout>
          <c:xMode val="factor"/>
          <c:yMode val="factor"/>
          <c:x val="-0.002"/>
          <c:y val="-0.01"/>
        </c:manualLayout>
      </c:layout>
      <c:spPr>
        <a:noFill/>
        <a:ln>
          <a:noFill/>
        </a:ln>
      </c:spPr>
    </c:title>
    <c:plotArea>
      <c:layout>
        <c:manualLayout>
          <c:xMode val="edge"/>
          <c:yMode val="edge"/>
          <c:x val="0.0635"/>
          <c:y val="0.2675"/>
          <c:w val="0.76125"/>
          <c:h val="0.62925"/>
        </c:manualLayout>
      </c:layout>
      <c:scatterChart>
        <c:scatterStyle val="smoothMarker"/>
        <c:varyColors val="0"/>
        <c:ser>
          <c:idx val="0"/>
          <c:order val="0"/>
          <c:tx>
            <c:strRef>
              <c:f>'Analisis sensibilidad CV1'!$D$14</c:f>
              <c:strCache>
                <c:ptCount val="1"/>
                <c:pt idx="0">
                  <c:v>VAN</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'Analisis sensibilidad CV1'!$B$15:$B$28</c:f>
              <c:numCache/>
            </c:numRef>
          </c:xVal>
          <c:yVal>
            <c:numRef>
              <c:f>'Analisis sensibilidad CV1'!$D$15:$D$28</c:f>
              <c:numCache/>
            </c:numRef>
          </c:yVal>
          <c:smooth val="1"/>
        </c:ser>
        <c:axId val="54089371"/>
        <c:axId val="17042292"/>
      </c:scatterChart>
      <c:valAx>
        <c:axId val="54089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VARIACION COSTO DE VENTA PRODUCTO</a:t>
                </a:r>
              </a:p>
            </c:rich>
          </c:tx>
          <c:layout>
            <c:manualLayout>
              <c:xMode val="factor"/>
              <c:yMode val="factor"/>
              <c:x val="0"/>
              <c:y val="-0.0082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17042292"/>
        <c:crosses val="autoZero"/>
        <c:crossBetween val="midCat"/>
        <c:dispUnits/>
      </c:valAx>
      <c:valAx>
        <c:axId val="170422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VAN</a:t>
                </a:r>
              </a:p>
            </c:rich>
          </c:tx>
          <c:layout>
            <c:manualLayout>
              <c:xMode val="factor"/>
              <c:yMode val="factor"/>
              <c:x val="-0.0007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089371"/>
        <c:crosses val="autoZero"/>
        <c:crossBetween val="midCat"/>
        <c:dispUnits/>
      </c:valAx>
      <c:spPr>
        <a:solidFill>
          <a:srgbClr val="FFFFFF"/>
        </a:solidFill>
        <a:ln w="3175">
          <a:noFill/>
        </a:ln>
      </c:spPr>
    </c:plotArea>
    <c:legend>
      <c:legendPos val="r"/>
      <c:layout>
        <c:manualLayout>
          <c:xMode val="edge"/>
          <c:yMode val="edge"/>
          <c:x val="0.85575"/>
          <c:y val="0.57325"/>
          <c:w val="0.13375"/>
          <c:h val="0.07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SENSIBILIDAD COSTO VARIABLE CONSIGNACIÓN PRODUCTO</a:t>
            </a:r>
          </a:p>
        </c:rich>
      </c:tx>
      <c:layout>
        <c:manualLayout>
          <c:xMode val="factor"/>
          <c:yMode val="factor"/>
          <c:x val="-0.002"/>
          <c:y val="-0.01025"/>
        </c:manualLayout>
      </c:layout>
      <c:spPr>
        <a:noFill/>
        <a:ln>
          <a:noFill/>
        </a:ln>
      </c:spPr>
    </c:title>
    <c:plotArea>
      <c:layout>
        <c:manualLayout>
          <c:xMode val="edge"/>
          <c:yMode val="edge"/>
          <c:x val="0.0635"/>
          <c:y val="0.27675"/>
          <c:w val="0.76125"/>
          <c:h val="0.6165"/>
        </c:manualLayout>
      </c:layout>
      <c:scatterChart>
        <c:scatterStyle val="smoothMarker"/>
        <c:varyColors val="0"/>
        <c:ser>
          <c:idx val="0"/>
          <c:order val="0"/>
          <c:tx>
            <c:strRef>
              <c:f>'Analisis sensibilidad CV2'!$D$14</c:f>
              <c:strCache>
                <c:ptCount val="1"/>
                <c:pt idx="0">
                  <c:v>VAN</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'Analisis sensibilidad CV2'!$B$15:$B$28</c:f>
              <c:numCache/>
            </c:numRef>
          </c:xVal>
          <c:yVal>
            <c:numRef>
              <c:f>'Analisis sensibilidad CV2'!$D$15:$D$28</c:f>
              <c:numCache/>
            </c:numRef>
          </c:yVal>
          <c:smooth val="1"/>
        </c:ser>
        <c:axId val="19162901"/>
        <c:axId val="38248382"/>
      </c:scatterChart>
      <c:valAx>
        <c:axId val="191629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VARIACION COSTO DE CONSIGNACIÓN</a:t>
                </a:r>
              </a:p>
            </c:rich>
          </c:tx>
          <c:layout>
            <c:manualLayout>
              <c:xMode val="factor"/>
              <c:yMode val="factor"/>
              <c:x val="-0.0085"/>
              <c:y val="-0.009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38248382"/>
        <c:crosses val="autoZero"/>
        <c:crossBetween val="midCat"/>
        <c:dispUnits/>
      </c:valAx>
      <c:valAx>
        <c:axId val="3824838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VAN</a:t>
                </a:r>
              </a:p>
            </c:rich>
          </c:tx>
          <c:layout>
            <c:manualLayout>
              <c:xMode val="factor"/>
              <c:yMode val="factor"/>
              <c:x val="-0.00425"/>
              <c:y val="0.0652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162901"/>
        <c:crosses val="autoZero"/>
        <c:crossBetween val="midCat"/>
        <c:dispUnits/>
      </c:valAx>
      <c:spPr>
        <a:solidFill>
          <a:srgbClr val="FFFFFF"/>
        </a:solidFill>
        <a:ln w="3175">
          <a:noFill/>
        </a:ln>
      </c:spPr>
    </c:plotArea>
    <c:legend>
      <c:legendPos val="r"/>
      <c:layout>
        <c:manualLayout>
          <c:xMode val="edge"/>
          <c:yMode val="edge"/>
          <c:x val="0.85575"/>
          <c:y val="0.57575"/>
          <c:w val="0.13375"/>
          <c:h val="0.07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atiotuerca.com/ecuador/autosnuevos.nsf/catmodelodisplay/Volkswagen-Saveiro" TargetMode="External" /><Relationship Id="rId3" Type="http://schemas.openxmlformats.org/officeDocument/2006/relationships/hyperlink" Target="http://www.patiotuerca.com/ecuador/autosnuevos.nsf/catmodelodisplay/Volkswagen-Saveiro" TargetMode="External" /><Relationship Id="rId4"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12</xdr:row>
      <xdr:rowOff>104775</xdr:rowOff>
    </xdr:from>
    <xdr:to>
      <xdr:col>5</xdr:col>
      <xdr:colOff>676275</xdr:colOff>
      <xdr:row>25</xdr:row>
      <xdr:rowOff>95250</xdr:rowOff>
    </xdr:to>
    <xdr:pic>
      <xdr:nvPicPr>
        <xdr:cNvPr id="1" name="Imagen 8"/>
        <xdr:cNvPicPr preferRelativeResize="1">
          <a:picLocks noChangeAspect="1"/>
        </xdr:cNvPicPr>
      </xdr:nvPicPr>
      <xdr:blipFill>
        <a:blip r:embed="rId1"/>
        <a:stretch>
          <a:fillRect/>
        </a:stretch>
      </xdr:blipFill>
      <xdr:spPr>
        <a:xfrm>
          <a:off x="752475" y="2409825"/>
          <a:ext cx="5124450" cy="24669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552450</xdr:colOff>
      <xdr:row>16</xdr:row>
      <xdr:rowOff>161925</xdr:rowOff>
    </xdr:to>
    <xdr:pic>
      <xdr:nvPicPr>
        <xdr:cNvPr id="1" name="Picture 152"/>
        <xdr:cNvPicPr preferRelativeResize="1">
          <a:picLocks noChangeAspect="1"/>
        </xdr:cNvPicPr>
      </xdr:nvPicPr>
      <xdr:blipFill>
        <a:blip r:embed="rId1"/>
        <a:stretch>
          <a:fillRect/>
        </a:stretch>
      </xdr:blipFill>
      <xdr:spPr>
        <a:xfrm>
          <a:off x="762000" y="190500"/>
          <a:ext cx="4362450" cy="3019425"/>
        </a:xfrm>
        <a:prstGeom prst="rect">
          <a:avLst/>
        </a:prstGeom>
        <a:noFill/>
        <a:ln w="1" cmpd="sng">
          <a:noFill/>
        </a:ln>
      </xdr:spPr>
    </xdr:pic>
    <xdr:clientData/>
  </xdr:twoCellAnchor>
  <xdr:twoCellAnchor editAs="oneCell">
    <xdr:from>
      <xdr:col>1</xdr:col>
      <xdr:colOff>0</xdr:colOff>
      <xdr:row>20</xdr:row>
      <xdr:rowOff>0</xdr:rowOff>
    </xdr:from>
    <xdr:to>
      <xdr:col>6</xdr:col>
      <xdr:colOff>542925</xdr:colOff>
      <xdr:row>34</xdr:row>
      <xdr:rowOff>133350</xdr:rowOff>
    </xdr:to>
    <xdr:pic>
      <xdr:nvPicPr>
        <xdr:cNvPr id="2" name="Picture 153"/>
        <xdr:cNvPicPr preferRelativeResize="1">
          <a:picLocks noChangeAspect="1"/>
        </xdr:cNvPicPr>
      </xdr:nvPicPr>
      <xdr:blipFill>
        <a:blip r:embed="rId2"/>
        <a:stretch>
          <a:fillRect/>
        </a:stretch>
      </xdr:blipFill>
      <xdr:spPr>
        <a:xfrm>
          <a:off x="762000" y="3810000"/>
          <a:ext cx="4352925" cy="2800350"/>
        </a:xfrm>
        <a:prstGeom prst="rect">
          <a:avLst/>
        </a:prstGeom>
        <a:noFill/>
        <a:ln w="1" cmpd="sng">
          <a:noFill/>
        </a:ln>
      </xdr:spPr>
    </xdr:pic>
    <xdr:clientData/>
  </xdr:twoCellAnchor>
  <xdr:twoCellAnchor editAs="oneCell">
    <xdr:from>
      <xdr:col>1</xdr:col>
      <xdr:colOff>0</xdr:colOff>
      <xdr:row>38</xdr:row>
      <xdr:rowOff>0</xdr:rowOff>
    </xdr:from>
    <xdr:to>
      <xdr:col>6</xdr:col>
      <xdr:colOff>571500</xdr:colOff>
      <xdr:row>53</xdr:row>
      <xdr:rowOff>85725</xdr:rowOff>
    </xdr:to>
    <xdr:pic>
      <xdr:nvPicPr>
        <xdr:cNvPr id="3" name="Picture 154"/>
        <xdr:cNvPicPr preferRelativeResize="1">
          <a:picLocks noChangeAspect="1"/>
        </xdr:cNvPicPr>
      </xdr:nvPicPr>
      <xdr:blipFill>
        <a:blip r:embed="rId3"/>
        <a:stretch>
          <a:fillRect/>
        </a:stretch>
      </xdr:blipFill>
      <xdr:spPr>
        <a:xfrm>
          <a:off x="762000" y="7239000"/>
          <a:ext cx="4381500" cy="2943225"/>
        </a:xfrm>
        <a:prstGeom prst="rect">
          <a:avLst/>
        </a:prstGeom>
        <a:noFill/>
        <a:ln w="1" cmpd="sng">
          <a:noFill/>
        </a:ln>
      </xdr:spPr>
    </xdr:pic>
    <xdr:clientData/>
  </xdr:twoCellAnchor>
  <xdr:twoCellAnchor editAs="oneCell">
    <xdr:from>
      <xdr:col>1</xdr:col>
      <xdr:colOff>0</xdr:colOff>
      <xdr:row>56</xdr:row>
      <xdr:rowOff>0</xdr:rowOff>
    </xdr:from>
    <xdr:to>
      <xdr:col>6</xdr:col>
      <xdr:colOff>571500</xdr:colOff>
      <xdr:row>70</xdr:row>
      <xdr:rowOff>28575</xdr:rowOff>
    </xdr:to>
    <xdr:pic>
      <xdr:nvPicPr>
        <xdr:cNvPr id="4" name="Picture 158"/>
        <xdr:cNvPicPr preferRelativeResize="1">
          <a:picLocks noChangeAspect="1"/>
        </xdr:cNvPicPr>
      </xdr:nvPicPr>
      <xdr:blipFill>
        <a:blip r:embed="rId4"/>
        <a:stretch>
          <a:fillRect/>
        </a:stretch>
      </xdr:blipFill>
      <xdr:spPr>
        <a:xfrm>
          <a:off x="762000" y="10668000"/>
          <a:ext cx="4381500" cy="2695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123</xdr:row>
      <xdr:rowOff>76200</xdr:rowOff>
    </xdr:from>
    <xdr:to>
      <xdr:col>6</xdr:col>
      <xdr:colOff>914400</xdr:colOff>
      <xdr:row>128</xdr:row>
      <xdr:rowOff>28575</xdr:rowOff>
    </xdr:to>
    <xdr:pic>
      <xdr:nvPicPr>
        <xdr:cNvPr id="1" name="Picture 21" descr="SAVEIRO-mod--">
          <a:hlinkClick r:id="rId3"/>
        </xdr:cNvPr>
        <xdr:cNvPicPr preferRelativeResize="1">
          <a:picLocks noChangeAspect="1"/>
        </xdr:cNvPicPr>
      </xdr:nvPicPr>
      <xdr:blipFill>
        <a:blip r:embed="rId1"/>
        <a:stretch>
          <a:fillRect/>
        </a:stretch>
      </xdr:blipFill>
      <xdr:spPr>
        <a:xfrm>
          <a:off x="4867275" y="34099500"/>
          <a:ext cx="1476375" cy="9239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4"/>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4"/>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4"/>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4"/>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hidden="1"/>
        <xdr:cNvPicPr preferRelativeResize="1">
          <a:picLocks noChangeAspect="1"/>
        </xdr:cNvPicPr>
      </xdr:nvPicPr>
      <xdr:blipFill>
        <a:blip r:embed="rId4"/>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133350</xdr:rowOff>
    </xdr:from>
    <xdr:to>
      <xdr:col>9</xdr:col>
      <xdr:colOff>257175</xdr:colOff>
      <xdr:row>27</xdr:row>
      <xdr:rowOff>95250</xdr:rowOff>
    </xdr:to>
    <xdr:graphicFrame>
      <xdr:nvGraphicFramePr>
        <xdr:cNvPr id="1" name="1 Gráfico"/>
        <xdr:cNvGraphicFramePr/>
      </xdr:nvGraphicFramePr>
      <xdr:xfrm>
        <a:off x="3448050" y="2076450"/>
        <a:ext cx="4572000" cy="3028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14</xdr:row>
      <xdr:rowOff>161925</xdr:rowOff>
    </xdr:from>
    <xdr:to>
      <xdr:col>8</xdr:col>
      <xdr:colOff>733425</xdr:colOff>
      <xdr:row>29</xdr:row>
      <xdr:rowOff>38100</xdr:rowOff>
    </xdr:to>
    <xdr:graphicFrame>
      <xdr:nvGraphicFramePr>
        <xdr:cNvPr id="1" name="1 Gráfico"/>
        <xdr:cNvGraphicFramePr/>
      </xdr:nvGraphicFramePr>
      <xdr:xfrm>
        <a:off x="3495675" y="26860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12</xdr:row>
      <xdr:rowOff>57150</xdr:rowOff>
    </xdr:from>
    <xdr:to>
      <xdr:col>8</xdr:col>
      <xdr:colOff>561975</xdr:colOff>
      <xdr:row>26</xdr:row>
      <xdr:rowOff>133350</xdr:rowOff>
    </xdr:to>
    <xdr:graphicFrame>
      <xdr:nvGraphicFramePr>
        <xdr:cNvPr id="1" name="1 Gráfico"/>
        <xdr:cNvGraphicFramePr/>
      </xdr:nvGraphicFramePr>
      <xdr:xfrm>
        <a:off x="3724275" y="2190750"/>
        <a:ext cx="4572000" cy="2943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13</xdr:row>
      <xdr:rowOff>104775</xdr:rowOff>
    </xdr:from>
    <xdr:to>
      <xdr:col>7</xdr:col>
      <xdr:colOff>895350</xdr:colOff>
      <xdr:row>26</xdr:row>
      <xdr:rowOff>171450</xdr:rowOff>
    </xdr:to>
    <xdr:graphicFrame>
      <xdr:nvGraphicFramePr>
        <xdr:cNvPr id="1" name="1 Gráfico"/>
        <xdr:cNvGraphicFramePr/>
      </xdr:nvGraphicFramePr>
      <xdr:xfrm>
        <a:off x="3400425" y="2438400"/>
        <a:ext cx="4572000" cy="2847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s%20efrain%20qui&#241;onez%20tesis\Fluj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Inversión"/>
      <sheetName val="Varios"/>
      <sheetName val="Sueldos"/>
      <sheetName val="Presupuestos"/>
      <sheetName val="Brokerage Bien.Raices"/>
      <sheetName val="Punto de Equilibrio"/>
      <sheetName val="Depreciación"/>
      <sheetName val="Amortización"/>
      <sheetName val="Estado de Resultado"/>
      <sheetName val="Flujo de Caja"/>
      <sheetName val="Utilidades"/>
      <sheetName val="Recuperación de la Inversión"/>
      <sheetName val="Balance General"/>
      <sheetName val="Razones Financieras"/>
      <sheetName val="123"/>
      <sheetName val="1234"/>
      <sheetName val="Hoja1"/>
      <sheetName val="Hoja2"/>
    </sheetNames>
    <sheetDataSet>
      <sheetData sheetId="1">
        <row r="7">
          <cell r="E7">
            <v>0</v>
          </cell>
          <cell r="N7">
            <v>0</v>
          </cell>
        </row>
        <row r="46">
          <cell r="E46">
            <v>0</v>
          </cell>
          <cell r="H46">
            <v>0</v>
          </cell>
          <cell r="K46">
            <v>0</v>
          </cell>
          <cell r="N46">
            <v>0</v>
          </cell>
          <cell r="Q46">
            <v>0</v>
          </cell>
          <cell r="T46">
            <v>0</v>
          </cell>
        </row>
        <row r="62">
          <cell r="K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ec.gov.ec/"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ahoofinance.com/" TargetMode="External" /><Relationship Id="rId2" Type="http://schemas.openxmlformats.org/officeDocument/2006/relationships/hyperlink" Target="http://www.bankrate.com/brm/ratewatch/leading-rates.asp" TargetMode="External" /><Relationship Id="rId3" Type="http://schemas.openxmlformats.org/officeDocument/2006/relationships/comments" Target="../comments8.xml"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1">
      <selection activeCell="D25" sqref="D25"/>
    </sheetView>
  </sheetViews>
  <sheetFormatPr defaultColWidth="11.421875" defaultRowHeight="15"/>
  <cols>
    <col min="1" max="1" width="29.8515625" style="0" bestFit="1" customWidth="1"/>
  </cols>
  <sheetData>
    <row r="1" spans="1:8" ht="15">
      <c r="A1" t="s">
        <v>89</v>
      </c>
      <c r="C1" t="s">
        <v>150</v>
      </c>
      <c r="D1">
        <v>2010</v>
      </c>
      <c r="E1">
        <v>2011</v>
      </c>
      <c r="F1">
        <v>2012</v>
      </c>
      <c r="G1">
        <v>2013</v>
      </c>
      <c r="H1">
        <v>2014</v>
      </c>
    </row>
    <row r="2" spans="3:6" ht="15.75" thickBot="1">
      <c r="C2" t="s">
        <v>149</v>
      </c>
      <c r="D2" t="s">
        <v>145</v>
      </c>
      <c r="E2" t="s">
        <v>148</v>
      </c>
      <c r="F2" t="s">
        <v>147</v>
      </c>
    </row>
    <row r="3" spans="1:6" ht="15">
      <c r="A3" s="38" t="s">
        <v>90</v>
      </c>
      <c r="B3" s="39" t="s">
        <v>91</v>
      </c>
      <c r="C3" s="40" t="s">
        <v>92</v>
      </c>
      <c r="D3" s="40" t="s">
        <v>80</v>
      </c>
      <c r="E3" s="40" t="s">
        <v>93</v>
      </c>
      <c r="F3" s="41" t="s">
        <v>94</v>
      </c>
    </row>
    <row r="4" spans="1:6" ht="15">
      <c r="A4" s="42" t="s">
        <v>95</v>
      </c>
      <c r="B4" s="43">
        <f>C11</f>
        <v>0.12</v>
      </c>
      <c r="C4" s="44">
        <f>C12</f>
        <v>0.122</v>
      </c>
      <c r="D4" s="44">
        <f>C13</f>
        <v>0.125</v>
      </c>
      <c r="E4" s="44">
        <f>C14</f>
        <v>0.128</v>
      </c>
      <c r="F4" s="45">
        <f>C15</f>
        <v>0.13</v>
      </c>
    </row>
    <row r="5" spans="1:6" ht="15">
      <c r="A5" s="42" t="s">
        <v>96</v>
      </c>
      <c r="B5" s="46"/>
      <c r="C5" s="47"/>
      <c r="D5" s="47"/>
      <c r="E5" s="47"/>
      <c r="F5" s="48"/>
    </row>
    <row r="6" spans="1:6" ht="15">
      <c r="A6" s="49" t="s">
        <v>97</v>
      </c>
      <c r="B6" s="46"/>
      <c r="C6" s="50"/>
      <c r="D6" s="50"/>
      <c r="E6" s="50"/>
      <c r="F6" s="51"/>
    </row>
    <row r="7" spans="1:6" ht="15">
      <c r="A7" s="42" t="s">
        <v>98</v>
      </c>
      <c r="B7" s="52">
        <v>1.12</v>
      </c>
      <c r="C7" s="53">
        <v>1.12</v>
      </c>
      <c r="D7" s="53">
        <v>1.13</v>
      </c>
      <c r="E7" s="53">
        <v>1.135</v>
      </c>
      <c r="F7" s="54">
        <v>1.138</v>
      </c>
    </row>
    <row r="8" spans="1:6" ht="15">
      <c r="A8" s="42" t="s">
        <v>99</v>
      </c>
      <c r="B8" s="46">
        <v>0.25</v>
      </c>
      <c r="C8" s="47">
        <v>0.25</v>
      </c>
      <c r="D8" s="47">
        <v>0.25</v>
      </c>
      <c r="E8" s="47">
        <v>0.25</v>
      </c>
      <c r="F8" s="48">
        <v>0.25</v>
      </c>
    </row>
    <row r="9" spans="1:6" ht="15.75" thickBot="1">
      <c r="A9" s="55" t="s">
        <v>100</v>
      </c>
      <c r="B9" s="56"/>
      <c r="C9" s="57"/>
      <c r="D9" s="57"/>
      <c r="E9" s="57"/>
      <c r="F9" s="58"/>
    </row>
    <row r="10" ht="15.75" thickBot="1"/>
    <row r="11" spans="1:3" ht="18.75" thickBot="1">
      <c r="A11" s="59" t="s">
        <v>101</v>
      </c>
      <c r="B11" s="60">
        <v>2008</v>
      </c>
      <c r="C11" s="61">
        <v>0.12</v>
      </c>
    </row>
    <row r="12" spans="1:3" ht="18">
      <c r="A12" s="62" t="s">
        <v>102</v>
      </c>
      <c r="B12" s="63">
        <v>2009</v>
      </c>
      <c r="C12" s="64">
        <v>0.122</v>
      </c>
    </row>
    <row r="13" spans="1:4" ht="18">
      <c r="A13" s="62"/>
      <c r="B13" s="63">
        <v>2010</v>
      </c>
      <c r="C13" s="64">
        <v>0.125</v>
      </c>
      <c r="D13" t="s">
        <v>145</v>
      </c>
    </row>
    <row r="14" spans="1:4" ht="18">
      <c r="A14" s="62"/>
      <c r="B14" s="63">
        <v>2011</v>
      </c>
      <c r="C14" s="64">
        <v>0.128</v>
      </c>
      <c r="D14" t="s">
        <v>146</v>
      </c>
    </row>
    <row r="15" spans="1:4" ht="18.75" thickBot="1">
      <c r="A15" s="65"/>
      <c r="B15" s="66">
        <v>2013</v>
      </c>
      <c r="C15" s="67">
        <v>0.13</v>
      </c>
      <c r="D15" t="s">
        <v>147</v>
      </c>
    </row>
  </sheetData>
  <sheetProtection/>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1">
      <selection activeCell="C8" sqref="C8"/>
    </sheetView>
  </sheetViews>
  <sheetFormatPr defaultColWidth="11.421875" defaultRowHeight="15"/>
  <cols>
    <col min="3" max="4" width="12.28125" style="0" bestFit="1" customWidth="1"/>
    <col min="5" max="5" width="14.57421875" style="0" customWidth="1"/>
    <col min="6" max="6" width="14.140625" style="0" customWidth="1"/>
  </cols>
  <sheetData>
    <row r="1" ht="15.75">
      <c r="A1" s="380" t="s">
        <v>283</v>
      </c>
    </row>
    <row r="3" spans="2:6" ht="25.5">
      <c r="B3" s="378" t="s">
        <v>172</v>
      </c>
      <c r="C3" s="378" t="s">
        <v>284</v>
      </c>
      <c r="D3" s="378" t="s">
        <v>285</v>
      </c>
      <c r="E3" s="378" t="s">
        <v>286</v>
      </c>
      <c r="F3" s="378" t="s">
        <v>287</v>
      </c>
    </row>
    <row r="4" spans="2:6" ht="15">
      <c r="B4" s="378">
        <v>1</v>
      </c>
      <c r="C4" s="408">
        <f>-'Flujo de Caja'!C38</f>
        <v>33285.87770301026</v>
      </c>
      <c r="D4" s="409">
        <f>'Flujo de Caja'!D38</f>
        <v>12681.348873349885</v>
      </c>
      <c r="E4" s="409">
        <f>C4*'Flujo de Caja'!$C$44</f>
        <v>14111.481280435792</v>
      </c>
      <c r="F4" s="409">
        <v>0</v>
      </c>
    </row>
    <row r="5" spans="2:6" ht="15">
      <c r="B5" s="379">
        <v>2</v>
      </c>
      <c r="C5" s="410">
        <f>C4-F4</f>
        <v>33285.87770301026</v>
      </c>
      <c r="D5" s="411">
        <f>'Flujo de Caja'!E38</f>
        <v>13049.878714576083</v>
      </c>
      <c r="E5" s="411">
        <f>C5*'Flujo de Caja'!$C$44</f>
        <v>14111.481280435792</v>
      </c>
      <c r="F5" s="411">
        <f>D5-E5</f>
        <v>-1061.6025658597082</v>
      </c>
    </row>
    <row r="6" spans="2:6" ht="15">
      <c r="B6" s="379">
        <v>3</v>
      </c>
      <c r="C6" s="410">
        <f>C5-F5</f>
        <v>34347.480268869964</v>
      </c>
      <c r="D6" s="411">
        <f>'Flujo de Caja'!F38</f>
        <v>13395.986762418754</v>
      </c>
      <c r="E6" s="411">
        <f>C6*'Flujo de Caja'!$C$44</f>
        <v>14561.545565026883</v>
      </c>
      <c r="F6" s="411">
        <f>D6-E6</f>
        <v>-1165.5588026081296</v>
      </c>
    </row>
    <row r="7" spans="2:6" ht="15">
      <c r="B7" s="379">
        <v>4</v>
      </c>
      <c r="C7" s="410">
        <f>C6-F6</f>
        <v>35513.039071478095</v>
      </c>
      <c r="D7" s="411">
        <f>'Flujo de Caja'!G38</f>
        <v>20776.519817986366</v>
      </c>
      <c r="E7" s="411">
        <f>C7*'Flujo de Caja'!$C$44</f>
        <v>15055.681888274996</v>
      </c>
      <c r="F7" s="411">
        <f>D7-E7</f>
        <v>5720.83792971137</v>
      </c>
    </row>
    <row r="8" spans="2:6" ht="15">
      <c r="B8" s="379">
        <v>5</v>
      </c>
      <c r="C8" s="410">
        <f>C7-F7</f>
        <v>29792.201141766724</v>
      </c>
      <c r="D8" s="411">
        <f>'Flujo de Caja'!H38</f>
        <v>37635.00502099662</v>
      </c>
      <c r="E8" s="411">
        <f>C8*'Flujo de Caja'!$C$44</f>
        <v>12630.34408964972</v>
      </c>
      <c r="F8" s="411">
        <f>D8-E8</f>
        <v>25004.6609313469</v>
      </c>
    </row>
    <row r="11" ht="15">
      <c r="B11" t="s">
        <v>298</v>
      </c>
    </row>
    <row r="12" ht="15">
      <c r="B12" t="s">
        <v>299</v>
      </c>
    </row>
  </sheetData>
  <sheetProtection/>
  <printOptions/>
  <pageMargins left="0.75" right="0.75" top="1" bottom="1" header="0" footer="0"/>
  <pageSetup orientation="portrait" paperSize="9" r:id="rId1"/>
</worksheet>
</file>

<file path=xl/worksheets/sheet11.xml><?xml version="1.0" encoding="utf-8"?>
<worksheet xmlns="http://schemas.openxmlformats.org/spreadsheetml/2006/main" xmlns:r="http://schemas.openxmlformats.org/officeDocument/2006/relationships">
  <dimension ref="A2:H25"/>
  <sheetViews>
    <sheetView zoomScalePageLayoutView="0" workbookViewId="0" topLeftCell="A1">
      <selection activeCell="B23" sqref="B23"/>
    </sheetView>
  </sheetViews>
  <sheetFormatPr defaultColWidth="11.421875" defaultRowHeight="15"/>
  <cols>
    <col min="1" max="1" width="28.57421875" style="0" customWidth="1"/>
  </cols>
  <sheetData>
    <row r="2" spans="1:8" ht="15">
      <c r="A2" s="69" t="s">
        <v>151</v>
      </c>
      <c r="B2" s="249"/>
      <c r="C2" s="70"/>
      <c r="D2" s="70"/>
      <c r="E2" s="70"/>
      <c r="F2" s="70"/>
      <c r="G2" s="70"/>
      <c r="H2" s="70"/>
    </row>
    <row r="3" spans="1:8" ht="15.75" thickBot="1">
      <c r="A3" s="70"/>
      <c r="B3" s="249"/>
      <c r="C3">
        <v>2010</v>
      </c>
      <c r="D3">
        <v>2011</v>
      </c>
      <c r="E3">
        <v>2012</v>
      </c>
      <c r="F3">
        <v>2013</v>
      </c>
      <c r="G3">
        <v>2014</v>
      </c>
      <c r="H3" s="70"/>
    </row>
    <row r="4" spans="1:8" ht="15.75" thickBot="1">
      <c r="A4" s="74"/>
      <c r="B4" s="250" t="s">
        <v>79</v>
      </c>
      <c r="C4" s="251" t="s">
        <v>91</v>
      </c>
      <c r="D4" s="251" t="s">
        <v>92</v>
      </c>
      <c r="E4" s="251" t="s">
        <v>80</v>
      </c>
      <c r="F4" s="251" t="s">
        <v>93</v>
      </c>
      <c r="G4" s="252" t="s">
        <v>94</v>
      </c>
      <c r="H4" s="80"/>
    </row>
    <row r="5" spans="1:8" ht="15">
      <c r="A5" s="253" t="s">
        <v>152</v>
      </c>
      <c r="B5" s="254"/>
      <c r="C5" s="255"/>
      <c r="D5" s="255"/>
      <c r="E5" s="255"/>
      <c r="F5" s="255"/>
      <c r="G5" s="256"/>
      <c r="H5" s="70"/>
    </row>
    <row r="6" spans="1:8" ht="15">
      <c r="A6" s="257" t="s">
        <v>153</v>
      </c>
      <c r="B6" s="302">
        <v>0</v>
      </c>
      <c r="C6" s="302">
        <f>+'Flujo de Caja'!D38</f>
        <v>12681.348873349885</v>
      </c>
      <c r="D6" s="302">
        <f>+'Flujo de Caja'!E38</f>
        <v>13049.878714576083</v>
      </c>
      <c r="E6" s="302">
        <f>+'Flujo de Caja'!F38</f>
        <v>13395.986762418754</v>
      </c>
      <c r="F6" s="302">
        <f>+'Flujo de Caja'!G38</f>
        <v>20776.519817986366</v>
      </c>
      <c r="G6" s="302">
        <f>+'Flujo de Caja'!H38</f>
        <v>37635.00502099662</v>
      </c>
      <c r="H6" s="70"/>
    </row>
    <row r="7" spans="1:8" ht="15">
      <c r="A7" s="257" t="s">
        <v>154</v>
      </c>
      <c r="B7" s="302">
        <f>'Inversion y gastos'!C139</f>
        <v>25072.730000000003</v>
      </c>
      <c r="C7" s="289">
        <f>+B7</f>
        <v>25072.730000000003</v>
      </c>
      <c r="D7" s="289">
        <f>+C7</f>
        <v>25072.730000000003</v>
      </c>
      <c r="E7" s="289">
        <f>+D7</f>
        <v>25072.730000000003</v>
      </c>
      <c r="F7" s="289">
        <f>+E7</f>
        <v>25072.730000000003</v>
      </c>
      <c r="G7" s="289">
        <f>+F7</f>
        <v>25072.730000000003</v>
      </c>
      <c r="H7" s="70"/>
    </row>
    <row r="8" spans="1:8" ht="15">
      <c r="A8" s="257" t="s">
        <v>155</v>
      </c>
      <c r="B8" s="302"/>
      <c r="C8" s="289">
        <f>-'Depreciacion AF'!M91</f>
        <v>-3930.842085</v>
      </c>
      <c r="D8" s="289">
        <f>+C8-'Depreciacion AF'!N91</f>
        <v>-7861.68417</v>
      </c>
      <c r="E8" s="289">
        <f>+D8-'Depreciacion AF'!O91</f>
        <v>-11792.526255</v>
      </c>
      <c r="F8" s="289">
        <f>+E8-'Depreciacion AF'!P91</f>
        <v>-14869.422555000001</v>
      </c>
      <c r="G8" s="289">
        <f>+F8-'Depreciacion AF'!Q91</f>
        <v>-17946.318855</v>
      </c>
      <c r="H8" s="70"/>
    </row>
    <row r="9" spans="1:8" ht="15.75" thickBot="1">
      <c r="A9" s="257" t="s">
        <v>235</v>
      </c>
      <c r="B9" s="304">
        <f>+'Inversion y gastos'!D142</f>
        <v>988</v>
      </c>
      <c r="C9" s="305"/>
      <c r="D9" s="305"/>
      <c r="E9" s="305"/>
      <c r="F9" s="305"/>
      <c r="G9" s="306"/>
      <c r="H9" s="70"/>
    </row>
    <row r="10" spans="1:8" ht="15">
      <c r="A10" s="257" t="s">
        <v>157</v>
      </c>
      <c r="B10" s="307">
        <f aca="true" t="shared" si="0" ref="B10:G10">SUM(B6:B9)</f>
        <v>26060.730000000003</v>
      </c>
      <c r="C10" s="308">
        <f t="shared" si="0"/>
        <v>33823.236788349896</v>
      </c>
      <c r="D10" s="308">
        <f t="shared" si="0"/>
        <v>30260.924544576083</v>
      </c>
      <c r="E10" s="308">
        <f t="shared" si="0"/>
        <v>26676.190507418756</v>
      </c>
      <c r="F10" s="308">
        <f t="shared" si="0"/>
        <v>30979.827262986368</v>
      </c>
      <c r="G10" s="309">
        <f t="shared" si="0"/>
        <v>44761.41616599662</v>
      </c>
      <c r="H10" s="70"/>
    </row>
    <row r="11" spans="1:8" ht="15">
      <c r="A11" s="257"/>
      <c r="B11" s="258"/>
      <c r="C11" s="259"/>
      <c r="D11" s="259"/>
      <c r="E11" s="259"/>
      <c r="F11" s="259"/>
      <c r="G11" s="260"/>
      <c r="H11" s="70"/>
    </row>
    <row r="12" spans="1:8" ht="15">
      <c r="A12" s="262" t="s">
        <v>158</v>
      </c>
      <c r="B12" s="310"/>
      <c r="C12" s="289"/>
      <c r="D12" s="289"/>
      <c r="E12" s="289"/>
      <c r="F12" s="289"/>
      <c r="G12" s="303"/>
      <c r="H12" s="70"/>
    </row>
    <row r="13" spans="1:8" ht="15">
      <c r="A13" s="257" t="s">
        <v>159</v>
      </c>
      <c r="B13" s="289">
        <v>0</v>
      </c>
      <c r="C13" s="289">
        <v>0</v>
      </c>
      <c r="D13" s="289">
        <f>-'Estado de Resultados'!D24</f>
        <v>5310.836473913404</v>
      </c>
      <c r="E13" s="289">
        <f>-'Estado de Resultados'!E24</f>
        <v>5687.013095281152</v>
      </c>
      <c r="F13" s="289">
        <f>-'Estado de Resultados'!F24</f>
        <v>5965.741172662117</v>
      </c>
      <c r="G13" s="289">
        <f>-'Estado de Resultados'!G24</f>
        <v>5965.741172662117</v>
      </c>
      <c r="H13" s="70"/>
    </row>
    <row r="14" spans="1:8" ht="15">
      <c r="A14" s="257" t="s">
        <v>100</v>
      </c>
      <c r="B14" s="289">
        <v>0</v>
      </c>
      <c r="C14" s="289">
        <v>0</v>
      </c>
      <c r="D14" s="289">
        <f>-'Estado de Resultados'!D22</f>
        <v>3748.8257462918145</v>
      </c>
      <c r="E14" s="289">
        <f>-'Estado de Resultados'!E22</f>
        <v>4014.3621849043425</v>
      </c>
      <c r="F14" s="289">
        <f>-'Estado de Resultados'!F22</f>
        <v>4211.111415996788</v>
      </c>
      <c r="G14" s="289">
        <f>-'Estado de Resultados'!G22</f>
        <v>4211.111415996788</v>
      </c>
      <c r="H14" s="70"/>
    </row>
    <row r="15" spans="1:8" ht="15.75" thickBot="1">
      <c r="A15" s="333" t="s">
        <v>232</v>
      </c>
      <c r="B15" s="335">
        <f>+'capital de trabajo'!C23</f>
        <v>2311.48</v>
      </c>
      <c r="C15" s="335">
        <f>+B15</f>
        <v>2311.48</v>
      </c>
      <c r="D15" s="335">
        <f>+C15</f>
        <v>2311.48</v>
      </c>
      <c r="E15" s="335">
        <f>+D15</f>
        <v>2311.48</v>
      </c>
      <c r="F15" s="335">
        <f>+E15</f>
        <v>2311.48</v>
      </c>
      <c r="G15" s="335">
        <f>+F15</f>
        <v>2311.48</v>
      </c>
      <c r="H15" s="70"/>
    </row>
    <row r="16" spans="1:8" ht="15.75" thickBot="1">
      <c r="A16" s="128" t="s">
        <v>160</v>
      </c>
      <c r="B16" s="336">
        <f aca="true" t="shared" si="1" ref="B16:G16">+SUM(B13:B15)</f>
        <v>2311.48</v>
      </c>
      <c r="C16" s="336">
        <f t="shared" si="1"/>
        <v>2311.48</v>
      </c>
      <c r="D16" s="336">
        <f t="shared" si="1"/>
        <v>11371.142220205218</v>
      </c>
      <c r="E16" s="336">
        <f t="shared" si="1"/>
        <v>12012.855280185495</v>
      </c>
      <c r="F16" s="336">
        <f t="shared" si="1"/>
        <v>12488.332588658905</v>
      </c>
      <c r="G16" s="337">
        <f t="shared" si="1"/>
        <v>12488.332588658905</v>
      </c>
      <c r="H16" s="70"/>
    </row>
    <row r="17" spans="1:8" ht="15">
      <c r="A17" s="257" t="s">
        <v>233</v>
      </c>
      <c r="B17" s="311">
        <f>+Amortizacion!H6</f>
        <v>19930.365</v>
      </c>
      <c r="C17" s="312">
        <f>+Amortizacion!L18</f>
        <v>14014.167400589038</v>
      </c>
      <c r="D17" s="312">
        <f>+Amortizacion!L30</f>
        <v>7398.294608424923</v>
      </c>
      <c r="E17" s="312">
        <f>+Amortizacion!L42</f>
        <v>2.02817318495363E-10</v>
      </c>
      <c r="F17" s="312"/>
      <c r="G17" s="313"/>
      <c r="H17" s="70"/>
    </row>
    <row r="18" spans="1:8" ht="15">
      <c r="A18" s="257" t="s">
        <v>234</v>
      </c>
      <c r="B18" s="334">
        <f aca="true" t="shared" si="2" ref="B18:G18">+B16+B17</f>
        <v>22241.845</v>
      </c>
      <c r="C18" s="334">
        <f>+C16+C17</f>
        <v>16325.647400589038</v>
      </c>
      <c r="D18" s="334">
        <f>+D16+D17</f>
        <v>18769.43682863014</v>
      </c>
      <c r="E18" s="334">
        <f t="shared" si="2"/>
        <v>12012.855280185697</v>
      </c>
      <c r="F18" s="334">
        <f t="shared" si="2"/>
        <v>12488.332588658905</v>
      </c>
      <c r="G18" s="334">
        <f t="shared" si="2"/>
        <v>12488.332588658905</v>
      </c>
      <c r="H18" s="70"/>
    </row>
    <row r="19" spans="1:8" ht="15">
      <c r="A19" s="257" t="s">
        <v>161</v>
      </c>
      <c r="B19" s="302">
        <f aca="true" t="shared" si="3" ref="B19:G19">+B10-B18-B20</f>
        <v>3818.885000000002</v>
      </c>
      <c r="C19" s="302">
        <f t="shared" si="3"/>
        <v>17497.589387760858</v>
      </c>
      <c r="D19" s="302">
        <f t="shared" si="3"/>
        <v>-4441.021705794268</v>
      </c>
      <c r="E19" s="302">
        <f t="shared" si="3"/>
        <v>-2397.7040586103976</v>
      </c>
      <c r="F19" s="302">
        <f t="shared" si="3"/>
        <v>594.271156341114</v>
      </c>
      <c r="G19" s="302">
        <f t="shared" si="3"/>
        <v>14375.860059351366</v>
      </c>
      <c r="H19" s="70"/>
    </row>
    <row r="20" spans="1:8" ht="15">
      <c r="A20" s="257" t="s">
        <v>162</v>
      </c>
      <c r="B20" s="302">
        <v>0</v>
      </c>
      <c r="C20" s="289">
        <v>0</v>
      </c>
      <c r="D20" s="289">
        <f>+'Estado de Resultados'!D25</f>
        <v>15932.509421740211</v>
      </c>
      <c r="E20" s="289">
        <f>+'Estado de Resultados'!E25</f>
        <v>17061.039285843457</v>
      </c>
      <c r="F20" s="289">
        <f>+'Estado de Resultados'!F25</f>
        <v>17897.22351798635</v>
      </c>
      <c r="G20" s="289">
        <f>+'Estado de Resultados'!G25</f>
        <v>17897.22351798635</v>
      </c>
      <c r="H20" s="264"/>
    </row>
    <row r="21" spans="1:8" ht="15.75" thickBot="1">
      <c r="A21" s="257" t="s">
        <v>163</v>
      </c>
      <c r="B21" s="304">
        <f aca="true" t="shared" si="4" ref="B21:G21">SUM(B19:B20)</f>
        <v>3818.885000000002</v>
      </c>
      <c r="C21" s="305">
        <f t="shared" si="4"/>
        <v>17497.589387760858</v>
      </c>
      <c r="D21" s="305">
        <f t="shared" si="4"/>
        <v>11491.487715945943</v>
      </c>
      <c r="E21" s="305">
        <f t="shared" si="4"/>
        <v>14663.33522723306</v>
      </c>
      <c r="F21" s="305">
        <f t="shared" si="4"/>
        <v>18491.494674327463</v>
      </c>
      <c r="G21" s="305">
        <f t="shared" si="4"/>
        <v>32273.083577337715</v>
      </c>
      <c r="H21" s="264"/>
    </row>
    <row r="22" spans="1:8" ht="15.75" thickBot="1">
      <c r="A22" s="265" t="s">
        <v>164</v>
      </c>
      <c r="B22" s="314">
        <f>B18+B21</f>
        <v>26060.730000000003</v>
      </c>
      <c r="C22" s="315">
        <f>+C17+C19+C20+C16</f>
        <v>33823.236788349896</v>
      </c>
      <c r="D22" s="315">
        <f>+D18+D21</f>
        <v>30260.924544576083</v>
      </c>
      <c r="E22" s="315">
        <f>+E21+E18</f>
        <v>26676.190507418756</v>
      </c>
      <c r="F22" s="315">
        <f>+F21+F18</f>
        <v>30979.827262986368</v>
      </c>
      <c r="G22" s="315">
        <f>+G21+G18</f>
        <v>44761.41616599662</v>
      </c>
      <c r="H22" s="70"/>
    </row>
    <row r="23" spans="1:8" ht="15">
      <c r="A23" s="70"/>
      <c r="B23" s="249"/>
      <c r="C23" s="266"/>
      <c r="D23" s="266"/>
      <c r="E23" s="266"/>
      <c r="F23" s="266"/>
      <c r="G23" s="266"/>
      <c r="H23" s="70"/>
    </row>
    <row r="25" ht="15">
      <c r="C25" s="398"/>
    </row>
  </sheetData>
  <sheetProtection/>
  <printOptions/>
  <pageMargins left="0.75" right="0.75" top="1" bottom="1" header="0" footer="0"/>
  <pageSetup orientation="landscape" paperSize="9" r:id="rId1"/>
</worksheet>
</file>

<file path=xl/worksheets/sheet12.xml><?xml version="1.0" encoding="utf-8"?>
<worksheet xmlns="http://schemas.openxmlformats.org/spreadsheetml/2006/main" xmlns:r="http://schemas.openxmlformats.org/officeDocument/2006/relationships">
  <dimension ref="B3:H31"/>
  <sheetViews>
    <sheetView zoomScalePageLayoutView="0" workbookViewId="0" topLeftCell="A1">
      <selection activeCell="C19" sqref="C19"/>
    </sheetView>
  </sheetViews>
  <sheetFormatPr defaultColWidth="11.421875" defaultRowHeight="15"/>
  <cols>
    <col min="2" max="2" width="36.421875" style="0" customWidth="1"/>
    <col min="3" max="3" width="12.421875" style="0" bestFit="1" customWidth="1"/>
    <col min="4" max="4" width="12.57421875" style="0" bestFit="1" customWidth="1"/>
    <col min="5" max="7" width="12.421875" style="0" bestFit="1" customWidth="1"/>
  </cols>
  <sheetData>
    <row r="3" spans="2:7" ht="15">
      <c r="B3" s="69" t="s">
        <v>290</v>
      </c>
      <c r="C3" s="70"/>
      <c r="D3" s="70"/>
      <c r="E3" s="70"/>
      <c r="F3" s="70"/>
      <c r="G3" s="70"/>
    </row>
    <row r="4" spans="2:7" ht="15.75" thickBot="1">
      <c r="B4" s="70"/>
      <c r="C4" s="519">
        <v>2010</v>
      </c>
      <c r="D4" s="519">
        <v>2011</v>
      </c>
      <c r="E4" s="519">
        <v>2012</v>
      </c>
      <c r="F4" s="519">
        <v>2013</v>
      </c>
      <c r="G4" s="519">
        <v>2014</v>
      </c>
    </row>
    <row r="5" spans="2:7" ht="15">
      <c r="B5" s="520" t="s">
        <v>130</v>
      </c>
      <c r="C5" s="525" t="s">
        <v>91</v>
      </c>
      <c r="D5" s="525" t="s">
        <v>92</v>
      </c>
      <c r="E5" s="525" t="s">
        <v>80</v>
      </c>
      <c r="F5" s="525" t="s">
        <v>93</v>
      </c>
      <c r="G5" s="526" t="s">
        <v>94</v>
      </c>
    </row>
    <row r="6" spans="2:7" ht="15">
      <c r="B6" s="3" t="s">
        <v>143</v>
      </c>
      <c r="C6" s="288">
        <f>+'Flujo de Caja'!D4</f>
        <v>237.62</v>
      </c>
      <c r="D6" s="288">
        <f>+'Flujo de Caja'!E4</f>
        <v>237.62</v>
      </c>
      <c r="E6" s="288">
        <f>+'Flujo de Caja'!F4</f>
        <v>237.62</v>
      </c>
      <c r="F6" s="288">
        <f>+'Flujo de Caja'!G4</f>
        <v>237.62</v>
      </c>
      <c r="G6" s="288">
        <f>+'Flujo de Caja'!H4</f>
        <v>237.62</v>
      </c>
    </row>
    <row r="7" spans="2:7" ht="15">
      <c r="B7" s="129" t="s">
        <v>144</v>
      </c>
      <c r="C7" s="259">
        <f>+'Flujo de Caja'!D5</f>
        <v>837.76</v>
      </c>
      <c r="D7" s="259">
        <f>+'Flujo de Caja'!E5</f>
        <v>847.9584273696312</v>
      </c>
      <c r="E7" s="259">
        <f>+'Flujo de Caja'!F5</f>
        <v>858.2810047593322</v>
      </c>
      <c r="F7" s="259">
        <f>+'Flujo de Caja'!G5</f>
        <v>858.2810047593322</v>
      </c>
      <c r="G7" s="259">
        <f>+'Flujo de Caja'!H5</f>
        <v>858.2810047593322</v>
      </c>
    </row>
    <row r="8" spans="2:7" ht="15">
      <c r="B8" s="257" t="s">
        <v>191</v>
      </c>
      <c r="C8" s="263">
        <f>+C6*C7</f>
        <v>199068.5312</v>
      </c>
      <c r="D8" s="263">
        <f>+D6*D7</f>
        <v>201491.88151157176</v>
      </c>
      <c r="E8" s="263">
        <f>+E6*E7</f>
        <v>203944.73235091253</v>
      </c>
      <c r="F8" s="263">
        <f>+F6*F7</f>
        <v>203944.73235091253</v>
      </c>
      <c r="G8" s="263">
        <f>+G6*G7</f>
        <v>203944.73235091253</v>
      </c>
    </row>
    <row r="9" spans="2:7" ht="15.75" thickBot="1">
      <c r="B9" s="257" t="s">
        <v>192</v>
      </c>
      <c r="C9" s="261">
        <f>-'Inversion y gastos'!F71</f>
        <v>-19364.654848</v>
      </c>
      <c r="D9" s="261">
        <f>-'Inversion y gastos'!G71</f>
        <v>-19600.389456963552</v>
      </c>
      <c r="E9" s="261">
        <f>-'Inversion y gastos'!H71</f>
        <v>-19838.993768811015</v>
      </c>
      <c r="F9" s="261">
        <f>-'Inversion y gastos'!I71</f>
        <v>-19838.993768811015</v>
      </c>
      <c r="G9" s="261">
        <f>-'Inversion y gastos'!J71</f>
        <v>-19838.993768811015</v>
      </c>
    </row>
    <row r="10" spans="2:7" ht="15">
      <c r="B10" s="257" t="s">
        <v>310</v>
      </c>
      <c r="C10" s="420">
        <f>-'Inversion y gastos'!G80</f>
        <v>-99534.2656</v>
      </c>
      <c r="D10" s="420">
        <f>C10*(1+'Demanda esperada'!E34)</f>
        <v>-100745.94075578588</v>
      </c>
      <c r="E10" s="420">
        <f>D10*(1+'Demanda esperada'!E34)</f>
        <v>-101972.36617545625</v>
      </c>
      <c r="F10" s="420">
        <f>E10</f>
        <v>-101972.36617545625</v>
      </c>
      <c r="G10" s="420">
        <f>F10</f>
        <v>-101972.36617545625</v>
      </c>
    </row>
    <row r="11" spans="2:7" ht="15">
      <c r="B11" s="475" t="s">
        <v>193</v>
      </c>
      <c r="C11" s="292">
        <f>+C8+C9+C10</f>
        <v>80169.610752</v>
      </c>
      <c r="D11" s="292">
        <f>+D8+D9+D10</f>
        <v>81145.55129882233</v>
      </c>
      <c r="E11" s="292">
        <f>+E8+E9+E10</f>
        <v>82133.37240664526</v>
      </c>
      <c r="F11" s="292">
        <f>+F8+F9+F10</f>
        <v>82133.37240664526</v>
      </c>
      <c r="G11" s="292">
        <f>+G8+G9+G10</f>
        <v>82133.37240664526</v>
      </c>
    </row>
    <row r="12" spans="2:7" ht="15">
      <c r="B12" s="257" t="s">
        <v>194</v>
      </c>
      <c r="C12" s="259"/>
      <c r="D12" s="259"/>
      <c r="E12" s="281"/>
      <c r="F12" s="259"/>
      <c r="G12" s="260"/>
    </row>
    <row r="13" spans="2:8" ht="15">
      <c r="B13" s="49" t="s">
        <v>168</v>
      </c>
      <c r="C13" s="259">
        <f>-'Inversion y gastos'!D98</f>
        <v>-30240</v>
      </c>
      <c r="D13" s="259">
        <f aca="true" t="shared" si="0" ref="D13:G16">+C13</f>
        <v>-30240</v>
      </c>
      <c r="E13" s="281">
        <f t="shared" si="0"/>
        <v>-30240</v>
      </c>
      <c r="F13" s="259">
        <f t="shared" si="0"/>
        <v>-30240</v>
      </c>
      <c r="G13" s="260">
        <f t="shared" si="0"/>
        <v>-30240</v>
      </c>
      <c r="H13" s="452"/>
    </row>
    <row r="14" spans="2:7" ht="15">
      <c r="B14" s="49" t="s">
        <v>203</v>
      </c>
      <c r="C14" s="259">
        <f>-'Inversion y gastos'!D110</f>
        <v>-2100</v>
      </c>
      <c r="D14" s="259">
        <f t="shared" si="0"/>
        <v>-2100</v>
      </c>
      <c r="E14" s="259">
        <f t="shared" si="0"/>
        <v>-2100</v>
      </c>
      <c r="F14" s="259">
        <f t="shared" si="0"/>
        <v>-2100</v>
      </c>
      <c r="G14" s="259">
        <f t="shared" si="0"/>
        <v>-2100</v>
      </c>
    </row>
    <row r="15" spans="2:7" ht="15">
      <c r="B15" s="49" t="s">
        <v>328</v>
      </c>
      <c r="C15" s="259">
        <f>-'Inversion y gastos'!E88</f>
        <v>-13800</v>
      </c>
      <c r="D15" s="259">
        <f>$C$15</f>
        <v>-13800</v>
      </c>
      <c r="E15" s="259">
        <f>$C$15</f>
        <v>-13800</v>
      </c>
      <c r="F15" s="259">
        <f>$C$15</f>
        <v>-13800</v>
      </c>
      <c r="G15" s="259">
        <f>$C$15</f>
        <v>-13800</v>
      </c>
    </row>
    <row r="16" spans="2:7" ht="15">
      <c r="B16" s="49" t="s">
        <v>204</v>
      </c>
      <c r="C16" s="259">
        <f>-'Inversion y gastos'!D103</f>
        <v>-5040</v>
      </c>
      <c r="D16" s="259">
        <f t="shared" si="0"/>
        <v>-5040</v>
      </c>
      <c r="E16" s="259">
        <f t="shared" si="0"/>
        <v>-5040</v>
      </c>
      <c r="F16" s="259">
        <f t="shared" si="0"/>
        <v>-5040</v>
      </c>
      <c r="G16" s="259">
        <f t="shared" si="0"/>
        <v>-5040</v>
      </c>
    </row>
    <row r="17" spans="2:7" ht="15">
      <c r="B17" s="49" t="s">
        <v>182</v>
      </c>
      <c r="C17" s="259">
        <f>Amortizacion!J18</f>
        <v>-1939.8127646300547</v>
      </c>
      <c r="D17" s="259">
        <f>+Amortizacion!J30</f>
        <v>-1240.1375718769023</v>
      </c>
      <c r="E17" s="281">
        <f>+Amortizacion!J42</f>
        <v>-457.71575561629675</v>
      </c>
      <c r="F17" s="259">
        <v>0</v>
      </c>
      <c r="G17" s="260">
        <v>0</v>
      </c>
    </row>
    <row r="18" spans="2:7" ht="15">
      <c r="B18" s="49" t="s">
        <v>329</v>
      </c>
      <c r="C18" s="259">
        <f>'Depreciacion AF'!$E$112</f>
        <v>197.6</v>
      </c>
      <c r="D18" s="259">
        <f>'Depreciacion AF'!$E$112</f>
        <v>197.6</v>
      </c>
      <c r="E18" s="259">
        <f>'Depreciacion AF'!$E$112</f>
        <v>197.6</v>
      </c>
      <c r="F18" s="259">
        <f>'Depreciacion AF'!$E$112</f>
        <v>197.6</v>
      </c>
      <c r="G18" s="259">
        <f>'Depreciacion AF'!$E$112</f>
        <v>197.6</v>
      </c>
    </row>
    <row r="19" spans="2:7" ht="15.75" thickBot="1">
      <c r="B19" s="49" t="s">
        <v>195</v>
      </c>
      <c r="C19" s="261">
        <f>-'Depreciacion AF'!M91</f>
        <v>-3930.842085</v>
      </c>
      <c r="D19" s="261">
        <f>-'Depreciacion AF'!N91</f>
        <v>-3930.842085</v>
      </c>
      <c r="E19" s="261">
        <f>-'Depreciacion AF'!O91</f>
        <v>-3930.842085</v>
      </c>
      <c r="F19" s="261">
        <f>-'Depreciacion AF'!P91</f>
        <v>-3076.8963000000003</v>
      </c>
      <c r="G19" s="261">
        <f>-'Depreciacion AF'!Q91</f>
        <v>-3076.8963000000003</v>
      </c>
    </row>
    <row r="20" spans="2:7" ht="15.75" thickBot="1">
      <c r="B20" s="257" t="s">
        <v>196</v>
      </c>
      <c r="C20" s="523">
        <f>SUM(C13:C19)</f>
        <v>-56853.05484963006</v>
      </c>
      <c r="D20" s="523">
        <f>SUM(D13:D19)</f>
        <v>-56153.3796568769</v>
      </c>
      <c r="E20" s="523">
        <f>SUM(E13:E19)</f>
        <v>-55370.957840616305</v>
      </c>
      <c r="F20" s="523">
        <f>SUM(F13:F19)</f>
        <v>-54059.2963</v>
      </c>
      <c r="G20" s="523">
        <f>SUM(G13:G19)</f>
        <v>-54059.2963</v>
      </c>
    </row>
    <row r="21" spans="2:7" ht="15">
      <c r="B21" s="293" t="s">
        <v>197</v>
      </c>
      <c r="C21" s="522">
        <f>+C11+C20</f>
        <v>23316.55590236993</v>
      </c>
      <c r="D21" s="522">
        <f>+D11+D20</f>
        <v>24992.17164194543</v>
      </c>
      <c r="E21" s="522">
        <f>+E11+E20</f>
        <v>26762.41456602895</v>
      </c>
      <c r="F21" s="522">
        <f>+F11+F20</f>
        <v>28074.076106645254</v>
      </c>
      <c r="G21" s="522">
        <f>+G11+G20</f>
        <v>28074.076106645254</v>
      </c>
    </row>
    <row r="22" spans="2:7" ht="15.75" thickBot="1">
      <c r="B22" s="257" t="s">
        <v>198</v>
      </c>
      <c r="C22" s="444">
        <f>-C21*0.15</f>
        <v>-3497.4833853554896</v>
      </c>
      <c r="D22" s="261">
        <f>-D21*0.15</f>
        <v>-3748.8257462918145</v>
      </c>
      <c r="E22" s="261">
        <f>-E21*0.15</f>
        <v>-4014.3621849043425</v>
      </c>
      <c r="F22" s="261">
        <f>-F21*0.15</f>
        <v>-4211.111415996788</v>
      </c>
      <c r="G22" s="261">
        <f>-G21*0.15</f>
        <v>-4211.111415996788</v>
      </c>
    </row>
    <row r="23" spans="2:7" ht="15">
      <c r="B23" s="257" t="s">
        <v>189</v>
      </c>
      <c r="C23" s="263">
        <f>+C21+C22</f>
        <v>19819.072517014443</v>
      </c>
      <c r="D23" s="263">
        <f>+D21+D22</f>
        <v>21243.345895653616</v>
      </c>
      <c r="E23" s="263">
        <f>+E21+E22</f>
        <v>22748.05238112461</v>
      </c>
      <c r="F23" s="263">
        <f>+F21+F22</f>
        <v>23862.964690648467</v>
      </c>
      <c r="G23" s="263">
        <f>+G21+G22</f>
        <v>23862.964690648467</v>
      </c>
    </row>
    <row r="24" spans="2:7" ht="15.75" thickBot="1">
      <c r="B24" s="257" t="s">
        <v>199</v>
      </c>
      <c r="C24" s="261">
        <f>-C23*0.25</f>
        <v>-4954.768129253611</v>
      </c>
      <c r="D24" s="261">
        <f>-0.25*D23</f>
        <v>-5310.836473913404</v>
      </c>
      <c r="E24" s="261">
        <f>-0.25*E23</f>
        <v>-5687.013095281152</v>
      </c>
      <c r="F24" s="261">
        <f>-0.25*F23</f>
        <v>-5965.741172662117</v>
      </c>
      <c r="G24" s="261">
        <f>-0.25*G23</f>
        <v>-5965.741172662117</v>
      </c>
    </row>
    <row r="25" spans="2:7" ht="15.75" thickBot="1">
      <c r="B25" s="521" t="s">
        <v>200</v>
      </c>
      <c r="C25" s="524">
        <f>+C23+C24</f>
        <v>14864.304387760832</v>
      </c>
      <c r="D25" s="524">
        <f>+D23+D24</f>
        <v>15932.509421740211</v>
      </c>
      <c r="E25" s="524">
        <f>+E23+E24</f>
        <v>17061.039285843457</v>
      </c>
      <c r="F25" s="524">
        <f>+F23+F24</f>
        <v>17897.22351798635</v>
      </c>
      <c r="G25" s="524">
        <f>+G23+G24</f>
        <v>17897.22351798635</v>
      </c>
    </row>
    <row r="26" spans="2:7" ht="15">
      <c r="B26" s="70"/>
      <c r="C26" s="283"/>
      <c r="D26" s="283"/>
      <c r="E26" s="283"/>
      <c r="F26" s="283"/>
      <c r="G26" s="283"/>
    </row>
    <row r="27" spans="2:7" ht="15.75" thickBot="1">
      <c r="B27" s="70"/>
      <c r="C27" s="283"/>
      <c r="D27" s="283"/>
      <c r="E27" s="283"/>
      <c r="F27" s="283"/>
      <c r="G27" s="283"/>
    </row>
    <row r="28" spans="2:7" ht="15">
      <c r="B28" s="122" t="s">
        <v>201</v>
      </c>
      <c r="C28" s="284">
        <f>+C11/C8</f>
        <v>0.40272367645821056</v>
      </c>
      <c r="D28" s="284">
        <f>+D11/D8</f>
        <v>0.4027236764582106</v>
      </c>
      <c r="E28" s="284">
        <f>+E11/E8</f>
        <v>0.4027236764582106</v>
      </c>
      <c r="F28" s="284">
        <f>+F11/F8</f>
        <v>0.4027236764582106</v>
      </c>
      <c r="G28" s="284">
        <f>+G11/G8</f>
        <v>0.4027236764582106</v>
      </c>
    </row>
    <row r="29" spans="2:7" ht="15.75" thickBot="1">
      <c r="B29" s="136" t="s">
        <v>202</v>
      </c>
      <c r="C29" s="285">
        <f>C25/C8</f>
        <v>0.07466928247351651</v>
      </c>
      <c r="D29" s="285">
        <f>D25/D8</f>
        <v>0.07907271152671827</v>
      </c>
      <c r="E29" s="286">
        <f>E25/E8</f>
        <v>0.08365520937548804</v>
      </c>
      <c r="F29" s="285">
        <f>F25/F8</f>
        <v>0.0877552624756786</v>
      </c>
      <c r="G29" s="287">
        <f>G25/G8</f>
        <v>0.0877552624756786</v>
      </c>
    </row>
    <row r="30" spans="2:7" ht="15">
      <c r="B30" s="70"/>
      <c r="C30" s="70"/>
      <c r="D30" s="70"/>
      <c r="E30" s="70"/>
      <c r="F30" s="70"/>
      <c r="G30" s="70"/>
    </row>
    <row r="31" spans="2:7" ht="15">
      <c r="B31" s="70"/>
      <c r="C31" s="70"/>
      <c r="D31" s="70"/>
      <c r="E31" s="264"/>
      <c r="F31" s="70"/>
      <c r="G31" s="70"/>
    </row>
  </sheetData>
  <sheetProtection/>
  <printOptions/>
  <pageMargins left="0.75" right="0.75" top="1" bottom="1" header="0" footer="0"/>
  <pageSetup orientation="landscape" paperSize="9" r:id="rId1"/>
</worksheet>
</file>

<file path=xl/worksheets/sheet13.xml><?xml version="1.0" encoding="utf-8"?>
<worksheet xmlns="http://schemas.openxmlformats.org/spreadsheetml/2006/main" xmlns:r="http://schemas.openxmlformats.org/officeDocument/2006/relationships">
  <dimension ref="A1:J13"/>
  <sheetViews>
    <sheetView zoomScalePageLayoutView="0" workbookViewId="0" topLeftCell="A1">
      <selection activeCell="A2" sqref="A2"/>
    </sheetView>
  </sheetViews>
  <sheetFormatPr defaultColWidth="11.421875" defaultRowHeight="15"/>
  <cols>
    <col min="3" max="3" width="20.00390625" style="0" customWidth="1"/>
    <col min="4" max="4" width="6.421875" style="0" customWidth="1"/>
    <col min="5" max="5" width="8.140625" style="0" bestFit="1" customWidth="1"/>
    <col min="6" max="6" width="12.421875" style="0" bestFit="1" customWidth="1"/>
    <col min="7" max="7" width="13.7109375" style="0" customWidth="1"/>
    <col min="8" max="8" width="13.421875" style="0" customWidth="1"/>
    <col min="9" max="9" width="13.140625" style="0" customWidth="1"/>
    <col min="10" max="10" width="11.57421875" style="0" customWidth="1"/>
  </cols>
  <sheetData>
    <row r="1" ht="15">
      <c r="A1" t="s">
        <v>342</v>
      </c>
    </row>
    <row r="2" ht="15.75" thickBot="1"/>
    <row r="3" spans="3:10" ht="26.25" thickBot="1">
      <c r="C3" s="472" t="s">
        <v>335</v>
      </c>
      <c r="D3" s="473" t="s">
        <v>336</v>
      </c>
      <c r="E3" s="473" t="s">
        <v>289</v>
      </c>
      <c r="F3" s="473" t="s">
        <v>337</v>
      </c>
      <c r="G3" s="473" t="s">
        <v>338</v>
      </c>
      <c r="H3" s="473" t="s">
        <v>339</v>
      </c>
      <c r="I3" s="473" t="s">
        <v>340</v>
      </c>
      <c r="J3" s="473" t="s">
        <v>341</v>
      </c>
    </row>
    <row r="4" spans="3:10" ht="15.75" thickBot="1">
      <c r="C4" s="471" t="s">
        <v>58</v>
      </c>
      <c r="D4" s="469">
        <v>5</v>
      </c>
      <c r="E4" s="469">
        <f>'Inversion y gastos'!C8</f>
        <v>3</v>
      </c>
      <c r="F4" s="470">
        <f>'Inversion y gastos'!D8</f>
        <v>400</v>
      </c>
      <c r="G4" s="470">
        <f>E4*F4</f>
        <v>1200</v>
      </c>
      <c r="H4" s="470">
        <f>G4*0.15</f>
        <v>180</v>
      </c>
      <c r="I4" s="470">
        <f>G4-H4</f>
        <v>1020</v>
      </c>
      <c r="J4" s="470">
        <f>I4*0.1</f>
        <v>102</v>
      </c>
    </row>
    <row r="5" spans="3:10" ht="26.25" thickBot="1">
      <c r="C5" s="471" t="s">
        <v>31</v>
      </c>
      <c r="D5" s="469">
        <v>5</v>
      </c>
      <c r="E5" s="469">
        <f>'Inversion y gastos'!C9</f>
        <v>3</v>
      </c>
      <c r="F5" s="470">
        <f>'Inversion y gastos'!D9</f>
        <v>120</v>
      </c>
      <c r="G5" s="470">
        <f aca="true" t="shared" si="0" ref="G5:G13">E5*F5</f>
        <v>360</v>
      </c>
      <c r="H5" s="470">
        <f aca="true" t="shared" si="1" ref="H5:H13">G5*0.15</f>
        <v>54</v>
      </c>
      <c r="I5" s="470">
        <f aca="true" t="shared" si="2" ref="I5:I13">G5-H5</f>
        <v>306</v>
      </c>
      <c r="J5" s="470">
        <f>I5*0.1</f>
        <v>30.6</v>
      </c>
    </row>
    <row r="6" spans="3:10" ht="15.75" thickBot="1">
      <c r="C6" s="471" t="s">
        <v>32</v>
      </c>
      <c r="D6" s="469">
        <v>5</v>
      </c>
      <c r="E6" s="469">
        <f>'Inversion y gastos'!C10</f>
        <v>6</v>
      </c>
      <c r="F6" s="470">
        <f>'Inversion y gastos'!D10</f>
        <v>70</v>
      </c>
      <c r="G6" s="470">
        <f t="shared" si="0"/>
        <v>420</v>
      </c>
      <c r="H6" s="470">
        <f t="shared" si="1"/>
        <v>63</v>
      </c>
      <c r="I6" s="470">
        <f t="shared" si="2"/>
        <v>357</v>
      </c>
      <c r="J6" s="470">
        <f>I6*0.1</f>
        <v>35.7</v>
      </c>
    </row>
    <row r="7" spans="3:10" ht="15.75" thickBot="1">
      <c r="C7" s="471" t="s">
        <v>33</v>
      </c>
      <c r="D7" s="469">
        <v>5</v>
      </c>
      <c r="E7" s="469">
        <f>'Inversion y gastos'!C11</f>
        <v>4</v>
      </c>
      <c r="F7" s="470">
        <f>'Inversion y gastos'!D11</f>
        <v>400</v>
      </c>
      <c r="G7" s="470">
        <f t="shared" si="0"/>
        <v>1600</v>
      </c>
      <c r="H7" s="470">
        <f t="shared" si="1"/>
        <v>240</v>
      </c>
      <c r="I7" s="470">
        <f t="shared" si="2"/>
        <v>1360</v>
      </c>
      <c r="J7" s="470">
        <f>I7*0.1</f>
        <v>136</v>
      </c>
    </row>
    <row r="8" spans="3:10" ht="39" thickBot="1">
      <c r="C8" s="471" t="s">
        <v>34</v>
      </c>
      <c r="D8" s="469">
        <v>3</v>
      </c>
      <c r="E8" s="469">
        <f>'Inversion y gastos'!C12</f>
        <v>3</v>
      </c>
      <c r="F8" s="470">
        <f>'Inversion y gastos'!D12</f>
        <v>930.01</v>
      </c>
      <c r="G8" s="470">
        <f t="shared" si="0"/>
        <v>2790.0299999999997</v>
      </c>
      <c r="H8" s="470">
        <f t="shared" si="1"/>
        <v>418.50449999999995</v>
      </c>
      <c r="I8" s="470">
        <f t="shared" si="2"/>
        <v>2371.5254999999997</v>
      </c>
      <c r="J8" s="470">
        <f>I8*33%</f>
        <v>782.6034149999999</v>
      </c>
    </row>
    <row r="9" spans="3:10" ht="26.25" thickBot="1">
      <c r="C9" s="471" t="s">
        <v>42</v>
      </c>
      <c r="D9" s="469">
        <v>3</v>
      </c>
      <c r="E9" s="469">
        <f>'Inversion y gastos'!C13</f>
        <v>1</v>
      </c>
      <c r="F9" s="470">
        <f>'Inversion y gastos'!D13</f>
        <v>254.34</v>
      </c>
      <c r="G9" s="470">
        <f t="shared" si="0"/>
        <v>254.34</v>
      </c>
      <c r="H9" s="470">
        <f t="shared" si="1"/>
        <v>38.150999999999996</v>
      </c>
      <c r="I9" s="470">
        <f t="shared" si="2"/>
        <v>216.18900000000002</v>
      </c>
      <c r="J9" s="470">
        <f>I9*33%</f>
        <v>71.34237000000002</v>
      </c>
    </row>
    <row r="10" spans="3:10" ht="26.25" thickBot="1">
      <c r="C10" s="471" t="s">
        <v>39</v>
      </c>
      <c r="D10" s="469">
        <v>5</v>
      </c>
      <c r="E10" s="469">
        <f>'Inversion y gastos'!C15</f>
        <v>1</v>
      </c>
      <c r="F10" s="470">
        <f>'Inversion y gastos'!D15</f>
        <v>316.24</v>
      </c>
      <c r="G10" s="470">
        <f t="shared" si="0"/>
        <v>316.24</v>
      </c>
      <c r="H10" s="470">
        <f t="shared" si="1"/>
        <v>47.436</v>
      </c>
      <c r="I10" s="470">
        <f t="shared" si="2"/>
        <v>268.80400000000003</v>
      </c>
      <c r="J10" s="470">
        <f>I10*10%</f>
        <v>26.880400000000005</v>
      </c>
    </row>
    <row r="11" spans="3:10" ht="39" thickBot="1">
      <c r="C11" s="471" t="s">
        <v>40</v>
      </c>
      <c r="D11" s="469">
        <v>5</v>
      </c>
      <c r="E11" s="469">
        <f>'Inversion y gastos'!C16</f>
        <v>3</v>
      </c>
      <c r="F11" s="470">
        <f>'Inversion y gastos'!D16</f>
        <v>80.43</v>
      </c>
      <c r="G11" s="470">
        <f t="shared" si="0"/>
        <v>241.29000000000002</v>
      </c>
      <c r="H11" s="470">
        <f t="shared" si="1"/>
        <v>36.1935</v>
      </c>
      <c r="I11" s="470">
        <f t="shared" si="2"/>
        <v>205.09650000000002</v>
      </c>
      <c r="J11" s="470">
        <f>I11*10%</f>
        <v>20.509650000000004</v>
      </c>
    </row>
    <row r="12" spans="3:10" ht="39" thickBot="1">
      <c r="C12" s="471" t="s">
        <v>41</v>
      </c>
      <c r="D12" s="469">
        <v>5</v>
      </c>
      <c r="E12" s="469">
        <f>'Inversion y gastos'!C17</f>
        <v>1</v>
      </c>
      <c r="F12" s="470">
        <f>'Inversion y gastos'!D17</f>
        <v>281.25</v>
      </c>
      <c r="G12" s="470">
        <f t="shared" si="0"/>
        <v>281.25</v>
      </c>
      <c r="H12" s="470">
        <f t="shared" si="1"/>
        <v>42.1875</v>
      </c>
      <c r="I12" s="470">
        <f t="shared" si="2"/>
        <v>239.0625</v>
      </c>
      <c r="J12" s="470">
        <f>I12*10%</f>
        <v>23.90625</v>
      </c>
    </row>
    <row r="13" spans="3:10" ht="26.25" thickBot="1">
      <c r="C13" s="471" t="s">
        <v>230</v>
      </c>
      <c r="D13" s="469">
        <v>5</v>
      </c>
      <c r="E13" s="469">
        <v>1</v>
      </c>
      <c r="F13" s="470">
        <f>'Depreciacion AF'!F84</f>
        <v>15890</v>
      </c>
      <c r="G13" s="470">
        <f t="shared" si="0"/>
        <v>15890</v>
      </c>
      <c r="H13" s="470">
        <f t="shared" si="1"/>
        <v>2383.5</v>
      </c>
      <c r="I13" s="470">
        <f t="shared" si="2"/>
        <v>13506.5</v>
      </c>
      <c r="J13" s="470">
        <f>I13*20%</f>
        <v>2701.3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P4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F21" sqref="F21"/>
    </sheetView>
  </sheetViews>
  <sheetFormatPr defaultColWidth="11.421875" defaultRowHeight="15"/>
  <cols>
    <col min="2" max="2" width="31.00390625" style="0" customWidth="1"/>
    <col min="3" max="3" width="10.28125" style="0" bestFit="1" customWidth="1"/>
    <col min="4" max="4" width="11.28125" style="0" customWidth="1"/>
    <col min="5" max="5" width="10.00390625" style="0" customWidth="1"/>
    <col min="6" max="6" width="9.8515625" style="0" customWidth="1"/>
    <col min="7" max="7" width="10.140625" style="0" customWidth="1"/>
    <col min="8" max="8" width="9.8515625" style="0" customWidth="1"/>
    <col min="10" max="10" width="17.8515625" style="0" customWidth="1"/>
  </cols>
  <sheetData>
    <row r="2" spans="4:8" ht="15.75" thickBot="1">
      <c r="D2">
        <v>2010</v>
      </c>
      <c r="E2">
        <v>2011</v>
      </c>
      <c r="F2">
        <v>2012</v>
      </c>
      <c r="G2">
        <v>2013</v>
      </c>
      <c r="H2">
        <v>2014</v>
      </c>
    </row>
    <row r="3" spans="2:8" ht="15">
      <c r="B3" s="69" t="s">
        <v>129</v>
      </c>
      <c r="C3" s="39" t="s">
        <v>79</v>
      </c>
      <c r="D3" s="40" t="s">
        <v>91</v>
      </c>
      <c r="E3" s="40" t="s">
        <v>92</v>
      </c>
      <c r="F3" s="40" t="s">
        <v>80</v>
      </c>
      <c r="G3" s="40" t="s">
        <v>93</v>
      </c>
      <c r="H3" s="41" t="s">
        <v>94</v>
      </c>
    </row>
    <row r="4" spans="2:8" ht="15">
      <c r="B4" s="129" t="s">
        <v>143</v>
      </c>
      <c r="C4" s="248"/>
      <c r="D4" s="484">
        <v>237.62</v>
      </c>
      <c r="E4" s="295">
        <f>$D$4</f>
        <v>237.62</v>
      </c>
      <c r="F4" s="295">
        <f>$D$4</f>
        <v>237.62</v>
      </c>
      <c r="G4" s="295">
        <f>$D$4</f>
        <v>237.62</v>
      </c>
      <c r="H4" s="295">
        <f>$D$4</f>
        <v>237.62</v>
      </c>
    </row>
    <row r="5" spans="2:12" ht="15">
      <c r="B5" s="301" t="s">
        <v>144</v>
      </c>
      <c r="C5" s="299"/>
      <c r="D5" s="484">
        <v>838</v>
      </c>
      <c r="E5" s="451">
        <v>848</v>
      </c>
      <c r="F5" s="451">
        <v>858</v>
      </c>
      <c r="G5" s="451">
        <f>F5</f>
        <v>858</v>
      </c>
      <c r="H5" s="451">
        <f>G5</f>
        <v>858</v>
      </c>
      <c r="J5" s="3" t="s">
        <v>22</v>
      </c>
      <c r="K5" s="3"/>
      <c r="L5" s="485">
        <v>130</v>
      </c>
    </row>
    <row r="6" spans="2:12" ht="15">
      <c r="B6" s="300" t="s">
        <v>130</v>
      </c>
      <c r="C6" s="295">
        <v>0</v>
      </c>
      <c r="D6" s="295">
        <f>D4*D5</f>
        <v>199125.56</v>
      </c>
      <c r="E6" s="295">
        <f>E4*E5</f>
        <v>201501.76</v>
      </c>
      <c r="F6" s="295">
        <f>F4*F5</f>
        <v>203877.96</v>
      </c>
      <c r="G6" s="295">
        <f>G4*G5</f>
        <v>203877.96</v>
      </c>
      <c r="H6" s="295">
        <f>H4*H5</f>
        <v>203877.96</v>
      </c>
      <c r="J6" s="482" t="s">
        <v>23</v>
      </c>
      <c r="K6" s="3"/>
      <c r="L6" s="3">
        <v>200</v>
      </c>
    </row>
    <row r="7" spans="2:12" ht="15">
      <c r="B7" s="478" t="s">
        <v>131</v>
      </c>
      <c r="C7" s="479">
        <f aca="true" t="shared" si="0" ref="C7:H7">C6</f>
        <v>0</v>
      </c>
      <c r="D7" s="479">
        <f t="shared" si="0"/>
        <v>199125.56</v>
      </c>
      <c r="E7" s="479">
        <f t="shared" si="0"/>
        <v>201501.76</v>
      </c>
      <c r="F7" s="479">
        <f t="shared" si="0"/>
        <v>203877.96</v>
      </c>
      <c r="G7" s="479">
        <f t="shared" si="0"/>
        <v>203877.96</v>
      </c>
      <c r="H7" s="479">
        <f t="shared" si="0"/>
        <v>203877.96</v>
      </c>
      <c r="J7" s="451" t="s">
        <v>24</v>
      </c>
      <c r="K7" s="3"/>
      <c r="L7" s="3">
        <v>131.15</v>
      </c>
    </row>
    <row r="8" spans="2:12" ht="15">
      <c r="B8" s="247" t="s">
        <v>132</v>
      </c>
      <c r="C8" s="248"/>
      <c r="D8" s="248"/>
      <c r="E8" s="248"/>
      <c r="F8" s="248"/>
      <c r="G8" s="248"/>
      <c r="H8" s="248"/>
      <c r="J8" s="483" t="s">
        <v>25</v>
      </c>
      <c r="K8" s="3"/>
      <c r="L8" s="3">
        <v>1603.52</v>
      </c>
    </row>
    <row r="9" spans="2:12" ht="15">
      <c r="B9" s="282" t="s">
        <v>135</v>
      </c>
      <c r="C9" s="295"/>
      <c r="D9" s="295">
        <f>-$L$12*K15</f>
        <v>-19364.654848</v>
      </c>
      <c r="E9" s="295">
        <f>-$L$12*L15</f>
        <v>-19600.38945696355</v>
      </c>
      <c r="F9" s="295">
        <f>-$L$12*M15</f>
        <v>-19838.99376881101</v>
      </c>
      <c r="G9" s="295">
        <f>-$L$12*N15</f>
        <v>-19838.99376881101</v>
      </c>
      <c r="H9" s="295">
        <f>-$L$12*O15</f>
        <v>-19838.99376881101</v>
      </c>
      <c r="I9" s="248"/>
      <c r="J9" s="3" t="s">
        <v>26</v>
      </c>
      <c r="K9" s="3"/>
      <c r="L9" s="3">
        <v>66.81</v>
      </c>
    </row>
    <row r="10" spans="2:12" ht="15">
      <c r="B10" s="282" t="s">
        <v>311</v>
      </c>
      <c r="C10" s="295"/>
      <c r="D10" s="295">
        <f>-O23</f>
        <v>-99534.2656</v>
      </c>
      <c r="E10" s="295">
        <f>D10*(1+'Demanda esperada'!$E$34)</f>
        <v>-100745.94075578588</v>
      </c>
      <c r="F10" s="295">
        <f>E10*(1+'Demanda esperada'!$E$34)</f>
        <v>-101972.36617545625</v>
      </c>
      <c r="G10" s="295">
        <f>F10</f>
        <v>-101972.36617545625</v>
      </c>
      <c r="H10" s="295">
        <f>G10</f>
        <v>-101972.36617545625</v>
      </c>
      <c r="I10" s="248"/>
      <c r="J10" s="295" t="s">
        <v>27</v>
      </c>
      <c r="K10" s="3"/>
      <c r="L10" s="3">
        <v>150</v>
      </c>
    </row>
    <row r="11" spans="2:12" ht="15">
      <c r="B11" s="282" t="s">
        <v>168</v>
      </c>
      <c r="C11" s="295"/>
      <c r="D11" s="295">
        <f>+'Estado de Resultados'!C13</f>
        <v>-30240</v>
      </c>
      <c r="E11" s="295">
        <f>+'Estado de Resultados'!D13</f>
        <v>-30240</v>
      </c>
      <c r="F11" s="295">
        <f>+'Estado de Resultados'!E13</f>
        <v>-30240</v>
      </c>
      <c r="G11" s="295">
        <f>+'Estado de Resultados'!F13</f>
        <v>-30240</v>
      </c>
      <c r="H11" s="295">
        <f>+'Estado de Resultados'!G13</f>
        <v>-30240</v>
      </c>
      <c r="I11" s="248"/>
      <c r="J11" s="3" t="s">
        <v>28</v>
      </c>
      <c r="K11" s="3"/>
      <c r="L11" s="3">
        <v>30</v>
      </c>
    </row>
    <row r="12" spans="2:12" ht="15">
      <c r="B12" s="282" t="s">
        <v>203</v>
      </c>
      <c r="C12" s="295"/>
      <c r="D12" s="295">
        <f>+'Estado de Resultados'!C14</f>
        <v>-2100</v>
      </c>
      <c r="E12" s="295">
        <f>+'Estado de Resultados'!D14</f>
        <v>-2100</v>
      </c>
      <c r="F12" s="295">
        <f>+'Estado de Resultados'!E14</f>
        <v>-2100</v>
      </c>
      <c r="G12" s="295">
        <f>+'Estado de Resultados'!F14</f>
        <v>-2100</v>
      </c>
      <c r="H12" s="295">
        <f>+'Estado de Resultados'!G14</f>
        <v>-2100</v>
      </c>
      <c r="I12" s="248"/>
      <c r="J12" s="3" t="s">
        <v>21</v>
      </c>
      <c r="K12" s="3"/>
      <c r="L12" s="3">
        <f>SUM(L5:L11)</f>
        <v>2311.48</v>
      </c>
    </row>
    <row r="13" spans="2:10" ht="15">
      <c r="B13" s="282" t="s">
        <v>328</v>
      </c>
      <c r="C13" s="295"/>
      <c r="D13" s="295">
        <f>'Estado de Resultados'!C15</f>
        <v>-13800</v>
      </c>
      <c r="E13" s="295">
        <f>'Estado de Resultados'!D15</f>
        <v>-13800</v>
      </c>
      <c r="F13" s="295">
        <f>'Estado de Resultados'!E15</f>
        <v>-13800</v>
      </c>
      <c r="G13" s="295">
        <f>'Estado de Resultados'!F15</f>
        <v>-13800</v>
      </c>
      <c r="H13" s="295">
        <f>'Estado de Resultados'!G15</f>
        <v>-13800</v>
      </c>
      <c r="I13" s="248"/>
      <c r="J13" s="248"/>
    </row>
    <row r="14" spans="2:15" ht="15">
      <c r="B14" s="282" t="s">
        <v>204</v>
      </c>
      <c r="C14" s="295"/>
      <c r="D14" s="295">
        <f>+'Estado de Resultados'!C16</f>
        <v>-5040</v>
      </c>
      <c r="E14" s="295">
        <f>+'Estado de Resultados'!D16</f>
        <v>-5040</v>
      </c>
      <c r="F14" s="295">
        <f>+'Estado de Resultados'!E16</f>
        <v>-5040</v>
      </c>
      <c r="G14" s="295">
        <f>+'Estado de Resultados'!F16</f>
        <v>-5040</v>
      </c>
      <c r="H14" s="295">
        <f>+'Estado de Resultados'!G16</f>
        <v>-5040</v>
      </c>
      <c r="I14" s="248"/>
      <c r="J14" s="295" t="s">
        <v>1</v>
      </c>
      <c r="K14" s="3" t="s">
        <v>145</v>
      </c>
      <c r="L14" s="3" t="s">
        <v>146</v>
      </c>
      <c r="M14" s="3" t="s">
        <v>147</v>
      </c>
      <c r="N14" s="3" t="s">
        <v>184</v>
      </c>
      <c r="O14" s="3" t="s">
        <v>185</v>
      </c>
    </row>
    <row r="15" spans="2:15" ht="15">
      <c r="B15" s="282" t="s">
        <v>182</v>
      </c>
      <c r="C15" s="295"/>
      <c r="D15" s="296">
        <f>+Amortizacion!J18</f>
        <v>-1939.8127646300547</v>
      </c>
      <c r="E15" s="296">
        <f>+Amortizacion!J30</f>
        <v>-1240.1375718769023</v>
      </c>
      <c r="F15" s="296">
        <f>+Amortizacion!J42</f>
        <v>-457.71575561629675</v>
      </c>
      <c r="G15" s="295">
        <v>0</v>
      </c>
      <c r="H15" s="295">
        <v>0</v>
      </c>
      <c r="J15" s="3" t="s">
        <v>186</v>
      </c>
      <c r="K15" s="295">
        <v>8.3776</v>
      </c>
      <c r="L15" s="295">
        <v>8.479584273696311</v>
      </c>
      <c r="M15" s="295">
        <v>8.582810047593322</v>
      </c>
      <c r="N15" s="295">
        <v>8.582810047593322</v>
      </c>
      <c r="O15" s="295">
        <v>8.582810047593322</v>
      </c>
    </row>
    <row r="16" spans="2:8" ht="15">
      <c r="B16" s="282" t="s">
        <v>187</v>
      </c>
      <c r="C16" s="3"/>
      <c r="D16" s="295">
        <f>+'Estado de Resultados'!C19</f>
        <v>-3930.842085</v>
      </c>
      <c r="E16" s="295">
        <f>+'Estado de Resultados'!D19</f>
        <v>-3930.842085</v>
      </c>
      <c r="F16" s="295">
        <f>+'Estado de Resultados'!E19</f>
        <v>-3930.842085</v>
      </c>
      <c r="G16" s="295">
        <f>+'Estado de Resultados'!F19</f>
        <v>-3076.8963000000003</v>
      </c>
      <c r="H16" s="295">
        <f>+'Estado de Resultados'!G19</f>
        <v>-3076.8963000000003</v>
      </c>
    </row>
    <row r="17" spans="2:8" ht="15">
      <c r="B17" s="282" t="s">
        <v>316</v>
      </c>
      <c r="C17" s="3"/>
      <c r="D17" s="295"/>
      <c r="E17" s="295"/>
      <c r="F17" s="295"/>
      <c r="G17" s="295"/>
      <c r="H17" s="295">
        <f>'Depreciacion AF'!K90</f>
        <v>3502.9725</v>
      </c>
    </row>
    <row r="18" spans="2:16" ht="15">
      <c r="B18" s="282" t="s">
        <v>317</v>
      </c>
      <c r="C18" s="3"/>
      <c r="D18" s="295"/>
      <c r="E18" s="295"/>
      <c r="F18" s="295"/>
      <c r="G18" s="295"/>
      <c r="H18" s="295">
        <f>-('Depreciacion AF'!J90+SUM('Flujo anl. sensibilidad'!D16:H16))</f>
        <v>-5406.831145</v>
      </c>
      <c r="J18" s="3" t="s">
        <v>301</v>
      </c>
      <c r="K18" s="3" t="s">
        <v>302</v>
      </c>
      <c r="L18" s="3" t="s">
        <v>289</v>
      </c>
      <c r="M18" s="3" t="s">
        <v>303</v>
      </c>
      <c r="N18" s="3" t="s">
        <v>304</v>
      </c>
      <c r="O18" s="3" t="s">
        <v>305</v>
      </c>
      <c r="P18" s="3" t="s">
        <v>313</v>
      </c>
    </row>
    <row r="19" spans="2:16" ht="15">
      <c r="B19" s="282" t="s">
        <v>188</v>
      </c>
      <c r="C19" s="295"/>
      <c r="D19" s="296">
        <f>-+'Estado de Resultados'!C18</f>
        <v>-197.6</v>
      </c>
      <c r="E19" s="296">
        <f>-+'Estado de Resultados'!D18</f>
        <v>-197.6</v>
      </c>
      <c r="F19" s="296">
        <f>-+'Estado de Resultados'!E18</f>
        <v>-197.6</v>
      </c>
      <c r="G19" s="296">
        <f>-+'Estado de Resultados'!F18</f>
        <v>-197.6</v>
      </c>
      <c r="H19" s="296">
        <f>-+'Estado de Resultados'!G18</f>
        <v>-197.6</v>
      </c>
      <c r="J19" s="295" t="s">
        <v>306</v>
      </c>
      <c r="K19" s="295">
        <v>237.62</v>
      </c>
      <c r="L19" s="295">
        <v>837.76</v>
      </c>
      <c r="M19" s="276">
        <f>K19*L19</f>
        <v>199068.5312</v>
      </c>
      <c r="N19" s="481">
        <v>0.15</v>
      </c>
      <c r="O19" s="276">
        <f>P19*L19</f>
        <v>29860.27968</v>
      </c>
      <c r="P19" s="3">
        <f>N19*K19</f>
        <v>35.643</v>
      </c>
    </row>
    <row r="20" spans="2:16" ht="15">
      <c r="B20" s="293" t="s">
        <v>136</v>
      </c>
      <c r="C20" s="479"/>
      <c r="D20" s="479">
        <f>SUM(D8:D19)</f>
        <v>-176147.17529763005</v>
      </c>
      <c r="E20" s="479">
        <f>SUM(E8:E19)</f>
        <v>-176894.90986962634</v>
      </c>
      <c r="F20" s="479">
        <f>SUM(F8:F19)</f>
        <v>-177577.51778488356</v>
      </c>
      <c r="G20" s="479">
        <f>SUM(G8:G19)</f>
        <v>-176265.85624426726</v>
      </c>
      <c r="H20" s="479">
        <f>SUM(H8:H19)</f>
        <v>-178169.71488926726</v>
      </c>
      <c r="I20" s="443"/>
      <c r="J20" s="451" t="s">
        <v>307</v>
      </c>
      <c r="K20" s="295">
        <v>237.62</v>
      </c>
      <c r="L20" s="295">
        <v>837.76</v>
      </c>
      <c r="M20" s="276">
        <f>K20*L20</f>
        <v>199068.5312</v>
      </c>
      <c r="N20" s="481">
        <v>0.15</v>
      </c>
      <c r="O20" s="276">
        <f>P20*L20</f>
        <v>29860.27968</v>
      </c>
      <c r="P20" s="3">
        <f>N20*K20</f>
        <v>35.643</v>
      </c>
    </row>
    <row r="21" spans="2:16" ht="15">
      <c r="B21" s="475" t="s">
        <v>189</v>
      </c>
      <c r="C21" s="479">
        <f aca="true" t="shared" si="1" ref="C21:H21">+C7+C20</f>
        <v>0</v>
      </c>
      <c r="D21" s="479">
        <f>+D7+D20</f>
        <v>22978.38470236995</v>
      </c>
      <c r="E21" s="479">
        <f t="shared" si="1"/>
        <v>24606.85013037367</v>
      </c>
      <c r="F21" s="479">
        <f t="shared" si="1"/>
        <v>26300.442215116433</v>
      </c>
      <c r="G21" s="479">
        <f t="shared" si="1"/>
        <v>27612.103755732736</v>
      </c>
      <c r="H21" s="479">
        <f t="shared" si="1"/>
        <v>25708.245110732736</v>
      </c>
      <c r="J21" s="3" t="s">
        <v>308</v>
      </c>
      <c r="K21" s="295">
        <v>237.62</v>
      </c>
      <c r="L21" s="295">
        <v>837.76</v>
      </c>
      <c r="M21" s="276">
        <f>K21*L21</f>
        <v>199068.5312</v>
      </c>
      <c r="N21" s="481">
        <v>0.1</v>
      </c>
      <c r="O21" s="276">
        <f>P21*L21</f>
        <v>19906.85312</v>
      </c>
      <c r="P21" s="3">
        <f>N21*K21</f>
        <v>23.762</v>
      </c>
    </row>
    <row r="22" spans="2:16" ht="15">
      <c r="B22" s="257" t="s">
        <v>211</v>
      </c>
      <c r="C22" s="295"/>
      <c r="D22" s="295">
        <f>+'Estado de Resultados'!C22</f>
        <v>-3497.4833853554896</v>
      </c>
      <c r="E22" s="295">
        <f>+'Estado de Resultados'!D22</f>
        <v>-3748.8257462918145</v>
      </c>
      <c r="F22" s="295">
        <f>+'Estado de Resultados'!E22</f>
        <v>-4014.3621849043425</v>
      </c>
      <c r="G22" s="295">
        <f>+'Estado de Resultados'!F22</f>
        <v>-4211.111415996788</v>
      </c>
      <c r="H22" s="295">
        <f>+'Estado de Resultados'!G22</f>
        <v>-4211.111415996788</v>
      </c>
      <c r="J22" s="3" t="s">
        <v>309</v>
      </c>
      <c r="K22" s="295">
        <v>237.62</v>
      </c>
      <c r="L22" s="295">
        <v>837.76</v>
      </c>
      <c r="M22" s="276">
        <f>K22*L22</f>
        <v>199068.5312</v>
      </c>
      <c r="N22" s="481">
        <v>0.1</v>
      </c>
      <c r="O22" s="276">
        <f>P22*L22</f>
        <v>19906.85312</v>
      </c>
      <c r="P22" s="3">
        <f>N22*K22</f>
        <v>23.762</v>
      </c>
    </row>
    <row r="23" spans="2:16" ht="15">
      <c r="B23" s="257" t="s">
        <v>99</v>
      </c>
      <c r="C23" s="295"/>
      <c r="D23" s="295">
        <f>+'Estado de Resultados'!C24</f>
        <v>-4954.768129253611</v>
      </c>
      <c r="E23" s="295">
        <f>+'Estado de Resultados'!D24</f>
        <v>-5310.836473913404</v>
      </c>
      <c r="F23" s="295">
        <f>+'Estado de Resultados'!E24</f>
        <v>-5687.013095281152</v>
      </c>
      <c r="G23" s="295">
        <f>+'Estado de Resultados'!F24</f>
        <v>-5965.741172662117</v>
      </c>
      <c r="H23" s="295">
        <f>+'Estado de Resultados'!G24</f>
        <v>-5965.741172662117</v>
      </c>
      <c r="J23" s="3" t="s">
        <v>21</v>
      </c>
      <c r="K23" s="3"/>
      <c r="L23" s="3"/>
      <c r="M23" s="3"/>
      <c r="N23" s="501">
        <f>SUM(N19:N22)</f>
        <v>0.5</v>
      </c>
      <c r="O23" s="276">
        <f>P23*L19</f>
        <v>99534.2656</v>
      </c>
      <c r="P23" s="485">
        <v>118.81</v>
      </c>
    </row>
    <row r="24" spans="2:8" ht="15">
      <c r="B24" s="476" t="s">
        <v>190</v>
      </c>
      <c r="C24" s="479"/>
      <c r="D24" s="479">
        <f>+SUM(D21:D23)</f>
        <v>14526.13318776085</v>
      </c>
      <c r="E24" s="479">
        <f>+SUM(E21:E23)</f>
        <v>15547.18791016845</v>
      </c>
      <c r="F24" s="479">
        <f>+SUM(F21:F23)</f>
        <v>16599.06693493094</v>
      </c>
      <c r="G24" s="479">
        <f>+SUM(G21:G23)</f>
        <v>17435.25116707383</v>
      </c>
      <c r="H24" s="479">
        <f>+SUM(H21:H23)</f>
        <v>15531.392522073831</v>
      </c>
    </row>
    <row r="25" spans="2:11" ht="15">
      <c r="B25" s="282" t="s">
        <v>187</v>
      </c>
      <c r="C25" s="295"/>
      <c r="D25" s="295">
        <f>-D16</f>
        <v>3930.842085</v>
      </c>
      <c r="E25" s="295">
        <f>-E16</f>
        <v>3930.842085</v>
      </c>
      <c r="F25" s="295">
        <f>-F16</f>
        <v>3930.842085</v>
      </c>
      <c r="G25" s="295">
        <f>-G16</f>
        <v>3076.8963000000003</v>
      </c>
      <c r="H25" s="295">
        <f>-H16</f>
        <v>3076.8963000000003</v>
      </c>
      <c r="K25" s="273"/>
    </row>
    <row r="26" spans="2:8" ht="15">
      <c r="B26" s="282" t="s">
        <v>213</v>
      </c>
      <c r="C26" s="295"/>
      <c r="D26" s="295"/>
      <c r="E26" s="295"/>
      <c r="F26" s="295"/>
      <c r="G26" s="295"/>
      <c r="H26" s="295">
        <f>-H18</f>
        <v>5406.831145</v>
      </c>
    </row>
    <row r="27" spans="2:8" ht="15">
      <c r="B27" s="282" t="s">
        <v>188</v>
      </c>
      <c r="C27" s="295"/>
      <c r="D27" s="295">
        <f>-D19</f>
        <v>197.6</v>
      </c>
      <c r="E27" s="295">
        <f>-E19</f>
        <v>197.6</v>
      </c>
      <c r="F27" s="295">
        <f>-F19</f>
        <v>197.6</v>
      </c>
      <c r="G27" s="295">
        <f>-G19</f>
        <v>197.6</v>
      </c>
      <c r="H27" s="295">
        <f>-H19</f>
        <v>197.6</v>
      </c>
    </row>
    <row r="28" spans="2:8" ht="15">
      <c r="B28" s="247" t="s">
        <v>210</v>
      </c>
      <c r="C28" s="248"/>
      <c r="D28" s="248"/>
      <c r="E28" s="248"/>
      <c r="F28" s="248"/>
      <c r="G28" s="248"/>
      <c r="H28" s="248"/>
    </row>
    <row r="29" spans="2:8" ht="15">
      <c r="B29" s="282" t="s">
        <v>169</v>
      </c>
      <c r="C29" s="295">
        <f>-'Inversion y gastos'!C139</f>
        <v>-25072.730000000003</v>
      </c>
      <c r="D29" s="295">
        <v>0</v>
      </c>
      <c r="E29" s="295">
        <v>0</v>
      </c>
      <c r="F29" s="295">
        <v>0</v>
      </c>
      <c r="G29" s="295">
        <v>0</v>
      </c>
      <c r="H29" s="295">
        <v>0</v>
      </c>
    </row>
    <row r="30" spans="2:8" ht="15">
      <c r="B30" s="282" t="s">
        <v>167</v>
      </c>
      <c r="C30" s="295">
        <f>-'Inversion y gastos'!C142</f>
        <v>-588</v>
      </c>
      <c r="D30" s="295">
        <v>0</v>
      </c>
      <c r="E30" s="295">
        <v>0</v>
      </c>
      <c r="F30" s="295">
        <v>0</v>
      </c>
      <c r="G30" s="295">
        <v>0</v>
      </c>
      <c r="H30" s="295">
        <v>0</v>
      </c>
    </row>
    <row r="31" spans="2:8" ht="15">
      <c r="B31" s="282" t="s">
        <v>133</v>
      </c>
      <c r="C31" s="295">
        <f>-'Inversion y gastos'!C141</f>
        <v>-400</v>
      </c>
      <c r="D31" s="295">
        <v>0</v>
      </c>
      <c r="E31" s="295">
        <v>0</v>
      </c>
      <c r="F31" s="295">
        <v>0</v>
      </c>
      <c r="G31" s="295">
        <v>0</v>
      </c>
      <c r="H31" s="295">
        <v>0</v>
      </c>
    </row>
    <row r="32" spans="2:8" ht="15">
      <c r="B32" s="282" t="s">
        <v>134</v>
      </c>
      <c r="C32" s="295">
        <f>-'Inversion y gastos'!E88</f>
        <v>-13800</v>
      </c>
      <c r="D32" s="295">
        <v>0</v>
      </c>
      <c r="E32" s="295">
        <v>0</v>
      </c>
      <c r="F32" s="295">
        <v>0</v>
      </c>
      <c r="G32" s="295">
        <v>0</v>
      </c>
      <c r="H32" s="295">
        <v>0</v>
      </c>
    </row>
    <row r="33" spans="2:8" ht="15">
      <c r="B33" s="477" t="s">
        <v>137</v>
      </c>
      <c r="C33" s="479">
        <f>SUM(C4:C32)</f>
        <v>-39860.73</v>
      </c>
      <c r="D33" s="479">
        <f>+SUM(D24:D32)</f>
        <v>18654.57527276085</v>
      </c>
      <c r="E33" s="479">
        <f>+SUM(E24:E32)</f>
        <v>19675.62999516845</v>
      </c>
      <c r="F33" s="479">
        <f>+SUM(F24:F32)</f>
        <v>20727.509019930938</v>
      </c>
      <c r="G33" s="479">
        <f>+SUM(G24:G32)</f>
        <v>20709.74746707383</v>
      </c>
      <c r="H33" s="479">
        <f>+SUM(H24:H32)</f>
        <v>24212.71996707383</v>
      </c>
    </row>
    <row r="34" spans="2:8" ht="15">
      <c r="B34" s="297" t="s">
        <v>138</v>
      </c>
      <c r="C34" s="295">
        <f>-Amortizacion!G2</f>
        <v>19930.365</v>
      </c>
      <c r="D34" s="3"/>
      <c r="E34" s="3"/>
      <c r="F34" s="3"/>
      <c r="G34" s="3"/>
      <c r="H34" s="3"/>
    </row>
    <row r="35" spans="2:8" ht="15">
      <c r="B35" s="297" t="s">
        <v>183</v>
      </c>
      <c r="C35" s="3"/>
      <c r="D35" s="332">
        <f>+Amortizacion!I18</f>
        <v>-5916.197599410964</v>
      </c>
      <c r="E35" s="332">
        <f>+Amortizacion!I30</f>
        <v>-6615.872792164115</v>
      </c>
      <c r="F35" s="332">
        <f>+Amortizacion!I42</f>
        <v>-7398.2946084247205</v>
      </c>
      <c r="G35" s="3"/>
      <c r="H35" s="3"/>
    </row>
    <row r="36" spans="2:8" ht="15">
      <c r="B36" s="297" t="s">
        <v>231</v>
      </c>
      <c r="C36" s="295">
        <f>'capital de trabajo'!E47</f>
        <v>-13355.512703010258</v>
      </c>
      <c r="D36" s="276"/>
      <c r="E36" s="276"/>
      <c r="F36" s="276"/>
      <c r="G36" s="276"/>
      <c r="H36" s="3"/>
    </row>
    <row r="37" spans="2:8" ht="15.75" thickBot="1">
      <c r="B37" s="297" t="s">
        <v>319</v>
      </c>
      <c r="C37" s="3"/>
      <c r="D37" s="276"/>
      <c r="E37" s="276"/>
      <c r="F37" s="276"/>
      <c r="G37" s="276"/>
      <c r="H37" s="295">
        <f>-SUM(C36:G36)</f>
        <v>13355.512703010258</v>
      </c>
    </row>
    <row r="38" spans="2:8" ht="15.75" thickBot="1">
      <c r="B38" s="298" t="s">
        <v>212</v>
      </c>
      <c r="C38" s="479">
        <f aca="true" t="shared" si="2" ref="C38:H38">+SUM(C33:C37)</f>
        <v>-33285.87770301026</v>
      </c>
      <c r="D38" s="479">
        <f t="shared" si="2"/>
        <v>12738.377673349885</v>
      </c>
      <c r="E38" s="479">
        <f t="shared" si="2"/>
        <v>13059.757203004334</v>
      </c>
      <c r="F38" s="479">
        <f t="shared" si="2"/>
        <v>13329.214411506218</v>
      </c>
      <c r="G38" s="479">
        <f t="shared" si="2"/>
        <v>20709.74746707383</v>
      </c>
      <c r="H38" s="479">
        <f t="shared" si="2"/>
        <v>37568.232670084086</v>
      </c>
    </row>
    <row r="39" ht="15">
      <c r="B39" s="70"/>
    </row>
    <row r="40" ht="15">
      <c r="B40" s="70"/>
    </row>
    <row r="41" ht="15.75" thickBot="1">
      <c r="B41" s="70"/>
    </row>
    <row r="42" spans="2:3" ht="15">
      <c r="B42" s="405" t="s">
        <v>139</v>
      </c>
      <c r="C42" s="406">
        <f>IRR(C38:H38)</f>
        <v>0.39568575993892113</v>
      </c>
    </row>
    <row r="43" spans="2:3" ht="15">
      <c r="B43" s="131" t="s">
        <v>140</v>
      </c>
      <c r="C43" s="460">
        <f>NPV($C$44,D38:H38)+C38</f>
        <v>-1827.9852158299618</v>
      </c>
    </row>
    <row r="44" spans="2:3" ht="15">
      <c r="B44" s="131" t="s">
        <v>141</v>
      </c>
      <c r="C44" s="407">
        <f>'Tasa de descuento'!C18</f>
        <v>0.423948</v>
      </c>
    </row>
    <row r="45" spans="2:3" ht="15.75" thickBot="1">
      <c r="B45" s="136" t="s">
        <v>142</v>
      </c>
      <c r="C45" s="348">
        <v>5</v>
      </c>
    </row>
  </sheetData>
  <sheetProtection/>
  <printOptions/>
  <pageMargins left="0.75" right="0.75" top="1" bottom="1" header="0" footer="0"/>
  <pageSetup orientation="landscape" paperSize="9" scale="75" r:id="rId2"/>
  <drawing r:id="rId1"/>
</worksheet>
</file>

<file path=xl/worksheets/sheet15.xml><?xml version="1.0" encoding="utf-8"?>
<worksheet xmlns="http://schemas.openxmlformats.org/spreadsheetml/2006/main" xmlns:r="http://schemas.openxmlformats.org/officeDocument/2006/relationships">
  <sheetPr>
    <outlinePr summaryBelow="0"/>
  </sheetPr>
  <dimension ref="B2:P27"/>
  <sheetViews>
    <sheetView showGridLines="0" zoomScalePageLayoutView="0" workbookViewId="0" topLeftCell="A11">
      <selection activeCell="J17" sqref="J17"/>
    </sheetView>
  </sheetViews>
  <sheetFormatPr defaultColWidth="11.421875" defaultRowHeight="15" outlineLevelRow="1" outlineLevelCol="1"/>
  <cols>
    <col min="3" max="3" width="6.140625" style="0" customWidth="1"/>
    <col min="4" max="16" width="14.57421875" style="0" bestFit="1" customWidth="1" outlineLevel="1"/>
  </cols>
  <sheetData>
    <row r="1" ht="15.75" thickBot="1"/>
    <row r="2" spans="2:16" ht="15.75">
      <c r="B2" s="488" t="s">
        <v>344</v>
      </c>
      <c r="C2" s="488"/>
      <c r="D2" s="493"/>
      <c r="E2" s="493"/>
      <c r="F2" s="493"/>
      <c r="G2" s="493"/>
      <c r="H2" s="493"/>
      <c r="I2" s="493"/>
      <c r="J2" s="493"/>
      <c r="K2" s="493"/>
      <c r="L2" s="493"/>
      <c r="M2" s="493"/>
      <c r="N2" s="493"/>
      <c r="O2" s="493"/>
      <c r="P2" s="493"/>
    </row>
    <row r="3" spans="2:16" ht="15.75" collapsed="1">
      <c r="B3" s="487"/>
      <c r="C3" s="487"/>
      <c r="D3" s="494" t="s">
        <v>353</v>
      </c>
      <c r="E3" s="494" t="s">
        <v>354</v>
      </c>
      <c r="F3" s="494" t="s">
        <v>355</v>
      </c>
      <c r="G3" s="494" t="s">
        <v>356</v>
      </c>
      <c r="H3" s="494" t="s">
        <v>357</v>
      </c>
      <c r="I3" s="494" t="s">
        <v>358</v>
      </c>
      <c r="J3" s="494" t="s">
        <v>359</v>
      </c>
      <c r="K3" s="494" t="s">
        <v>360</v>
      </c>
      <c r="L3" s="494" t="s">
        <v>361</v>
      </c>
      <c r="M3" s="494" t="s">
        <v>362</v>
      </c>
      <c r="N3" s="494" t="s">
        <v>363</v>
      </c>
      <c r="O3" s="494" t="s">
        <v>364</v>
      </c>
      <c r="P3" s="494" t="s">
        <v>365</v>
      </c>
    </row>
    <row r="4" spans="2:16" ht="45" hidden="1" outlineLevel="1">
      <c r="B4" s="490"/>
      <c r="C4" s="490"/>
      <c r="D4" s="496" t="s">
        <v>343</v>
      </c>
      <c r="E4" s="496" t="s">
        <v>343</v>
      </c>
      <c r="F4" s="496" t="s">
        <v>343</v>
      </c>
      <c r="G4" s="496" t="s">
        <v>343</v>
      </c>
      <c r="H4" s="496" t="s">
        <v>343</v>
      </c>
      <c r="I4" s="496" t="s">
        <v>343</v>
      </c>
      <c r="J4" s="496" t="s">
        <v>343</v>
      </c>
      <c r="K4" s="496" t="s">
        <v>343</v>
      </c>
      <c r="L4" s="496" t="s">
        <v>351</v>
      </c>
      <c r="M4" s="496" t="s">
        <v>343</v>
      </c>
      <c r="N4" s="496" t="s">
        <v>343</v>
      </c>
      <c r="O4" s="496" t="s">
        <v>343</v>
      </c>
      <c r="P4" s="496" t="s">
        <v>343</v>
      </c>
    </row>
    <row r="5" spans="2:16" ht="15">
      <c r="B5" s="491" t="s">
        <v>345</v>
      </c>
      <c r="C5" s="491"/>
      <c r="D5" s="489"/>
      <c r="E5" s="489"/>
      <c r="F5" s="489"/>
      <c r="G5" s="489"/>
      <c r="H5" s="489"/>
      <c r="I5" s="489"/>
      <c r="J5" s="489"/>
      <c r="K5" s="489"/>
      <c r="L5" s="489"/>
      <c r="M5" s="489"/>
      <c r="N5" s="489"/>
      <c r="O5" s="489"/>
      <c r="P5" s="489"/>
    </row>
    <row r="6" spans="2:16" ht="15" outlineLevel="1">
      <c r="B6" s="490"/>
      <c r="C6" s="490" t="s">
        <v>257</v>
      </c>
      <c r="D6" s="495">
        <v>113.65</v>
      </c>
      <c r="E6" s="495">
        <v>126.28</v>
      </c>
      <c r="F6" s="495">
        <v>140.61</v>
      </c>
      <c r="G6" s="495">
        <v>155.9</v>
      </c>
      <c r="H6" s="495">
        <v>173.22</v>
      </c>
      <c r="I6" s="495">
        <v>213.86</v>
      </c>
      <c r="J6" s="495">
        <v>237.62</v>
      </c>
      <c r="K6" s="495">
        <v>261.38</v>
      </c>
      <c r="L6" s="495">
        <v>287.62</v>
      </c>
      <c r="M6" s="495">
        <v>316.27</v>
      </c>
      <c r="N6" s="495">
        <v>316.27</v>
      </c>
      <c r="O6" s="495">
        <v>347.9</v>
      </c>
      <c r="P6" s="495">
        <v>347.9</v>
      </c>
    </row>
    <row r="7" spans="2:16" ht="15">
      <c r="B7" s="491" t="s">
        <v>346</v>
      </c>
      <c r="C7" s="491"/>
      <c r="D7" s="489"/>
      <c r="E7" s="489"/>
      <c r="F7" s="489"/>
      <c r="G7" s="489"/>
      <c r="H7" s="489"/>
      <c r="I7" s="489"/>
      <c r="J7" s="489"/>
      <c r="K7" s="489"/>
      <c r="L7" s="489"/>
      <c r="M7" s="489"/>
      <c r="N7" s="489"/>
      <c r="O7" s="489"/>
      <c r="P7" s="489"/>
    </row>
    <row r="8" spans="2:16" ht="15.75" outlineLevel="1" thickBot="1">
      <c r="B8" s="492"/>
      <c r="C8" s="492" t="s">
        <v>350</v>
      </c>
      <c r="D8" s="486">
        <v>-207513.067077206</v>
      </c>
      <c r="E8" s="486">
        <v>-186557.97645924</v>
      </c>
      <c r="F8" s="486">
        <v>-162782.327325792</v>
      </c>
      <c r="G8" s="486">
        <v>-137413.892207131</v>
      </c>
      <c r="H8" s="486">
        <v>-108677.378390571</v>
      </c>
      <c r="I8" s="486">
        <v>-41249.4383498646</v>
      </c>
      <c r="J8" s="486">
        <v>-1827.98521582996</v>
      </c>
      <c r="K8" s="486">
        <v>37593.4679182048</v>
      </c>
      <c r="L8" s="486">
        <v>81129.6181807078</v>
      </c>
      <c r="M8" s="486">
        <v>128664.324926924</v>
      </c>
      <c r="N8" s="486">
        <v>128664.324926924</v>
      </c>
      <c r="O8" s="486">
        <v>181143.304835574</v>
      </c>
      <c r="P8" s="486">
        <v>181143.304835574</v>
      </c>
    </row>
    <row r="9" ht="15">
      <c r="B9" t="s">
        <v>347</v>
      </c>
    </row>
    <row r="10" ht="15">
      <c r="B10" t="s">
        <v>348</v>
      </c>
    </row>
    <row r="11" ht="15">
      <c r="B11" t="s">
        <v>349</v>
      </c>
    </row>
    <row r="13" ht="15.75" thickBot="1"/>
    <row r="14" spans="2:4" ht="15">
      <c r="B14" s="499" t="s">
        <v>108</v>
      </c>
      <c r="C14" s="508" t="s">
        <v>257</v>
      </c>
      <c r="D14" s="500" t="s">
        <v>350</v>
      </c>
    </row>
    <row r="15" spans="2:4" ht="15">
      <c r="B15" s="511">
        <f aca="true" t="shared" si="0" ref="B15:B27">(C15-$C$21)/$C$21</f>
        <v>-0.5217153438262773</v>
      </c>
      <c r="C15" s="3">
        <v>113.65</v>
      </c>
      <c r="D15" s="513">
        <v>-207513.067077206</v>
      </c>
    </row>
    <row r="16" spans="2:4" ht="15">
      <c r="B16" s="511">
        <f t="shared" si="0"/>
        <v>-0.468563252251494</v>
      </c>
      <c r="C16" s="3">
        <v>126.28</v>
      </c>
      <c r="D16" s="513">
        <v>-186557.97645924</v>
      </c>
    </row>
    <row r="17" spans="2:4" ht="15">
      <c r="B17" s="511">
        <f t="shared" si="0"/>
        <v>-0.4082568807339449</v>
      </c>
      <c r="C17" s="3">
        <v>140.61</v>
      </c>
      <c r="D17" s="513">
        <v>-162782.327325792</v>
      </c>
    </row>
    <row r="18" spans="2:4" ht="15">
      <c r="B18" s="511">
        <f t="shared" si="0"/>
        <v>-0.34391044524871645</v>
      </c>
      <c r="C18" s="3">
        <v>155.9</v>
      </c>
      <c r="D18" s="513">
        <v>-137413.892207131</v>
      </c>
    </row>
    <row r="19" spans="2:4" ht="15">
      <c r="B19" s="511">
        <f t="shared" si="0"/>
        <v>-0.27102095783183233</v>
      </c>
      <c r="C19" s="3">
        <v>173.22</v>
      </c>
      <c r="D19" s="513">
        <v>-108677.378390571</v>
      </c>
    </row>
    <row r="20" spans="2:4" ht="15">
      <c r="B20" s="511">
        <f>(C20-$C$21)/$C$21</f>
        <v>-0.09999158320006729</v>
      </c>
      <c r="C20" s="3">
        <v>213.86</v>
      </c>
      <c r="D20" s="513">
        <v>-41249.4383498646</v>
      </c>
    </row>
    <row r="21" spans="2:4" ht="15">
      <c r="B21" s="511">
        <f t="shared" si="0"/>
        <v>0</v>
      </c>
      <c r="C21" s="509">
        <v>237.62</v>
      </c>
      <c r="D21" s="513">
        <v>-1827.98521582996</v>
      </c>
    </row>
    <row r="22" spans="2:4" ht="15">
      <c r="B22" s="511">
        <f t="shared" si="0"/>
        <v>0.09999158320006729</v>
      </c>
      <c r="C22" s="3">
        <v>261.38</v>
      </c>
      <c r="D22" s="513">
        <v>37593.4679182048</v>
      </c>
    </row>
    <row r="23" spans="2:4" ht="15">
      <c r="B23" s="511">
        <f>(C23-$C$21)/$C$21</f>
        <v>0.21041999831664002</v>
      </c>
      <c r="C23" s="3">
        <v>287.62</v>
      </c>
      <c r="D23" s="513">
        <v>81129.6181807078</v>
      </c>
    </row>
    <row r="24" spans="2:4" ht="15">
      <c r="B24" s="511">
        <f t="shared" si="0"/>
        <v>0.3309906573520746</v>
      </c>
      <c r="C24" s="3">
        <v>316.27</v>
      </c>
      <c r="D24" s="513">
        <v>128664.324926924</v>
      </c>
    </row>
    <row r="25" spans="2:4" ht="15">
      <c r="B25" s="511">
        <f t="shared" si="0"/>
        <v>0.3309906573520746</v>
      </c>
      <c r="C25" s="3">
        <v>316.27</v>
      </c>
      <c r="D25" s="513">
        <v>128664.324926924</v>
      </c>
    </row>
    <row r="26" spans="2:4" ht="15">
      <c r="B26" s="511">
        <f t="shared" si="0"/>
        <v>0.4641023482871811</v>
      </c>
      <c r="C26" s="3">
        <v>347.9</v>
      </c>
      <c r="D26" s="513">
        <v>181143.304835574</v>
      </c>
    </row>
    <row r="27" spans="2:4" ht="15.75" thickBot="1">
      <c r="B27" s="512">
        <f t="shared" si="0"/>
        <v>0.4641023482871811</v>
      </c>
      <c r="C27" s="347">
        <v>347.9</v>
      </c>
      <c r="D27" s="514">
        <v>181143.304835574</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outlinePr summaryBelow="0"/>
  </sheetPr>
  <dimension ref="B2:Q28"/>
  <sheetViews>
    <sheetView showGridLines="0" zoomScalePageLayoutView="0" workbookViewId="0" topLeftCell="A11">
      <selection activeCell="I12" sqref="I12"/>
    </sheetView>
  </sheetViews>
  <sheetFormatPr defaultColWidth="11.421875" defaultRowHeight="15" outlineLevelRow="1" outlineLevelCol="1"/>
  <cols>
    <col min="3" max="3" width="8.7109375" style="0" customWidth="1"/>
    <col min="4" max="4" width="12.140625" style="0" customWidth="1" outlineLevel="1"/>
    <col min="5" max="17" width="16.57421875" style="0" bestFit="1" customWidth="1" outlineLevel="1"/>
  </cols>
  <sheetData>
    <row r="1" ht="15.75" thickBot="1"/>
    <row r="2" spans="2:17" ht="15.75">
      <c r="B2" s="488" t="s">
        <v>344</v>
      </c>
      <c r="C2" s="488"/>
      <c r="D2" s="493"/>
      <c r="E2" s="493"/>
      <c r="F2" s="493"/>
      <c r="G2" s="493"/>
      <c r="H2" s="493"/>
      <c r="I2" s="493"/>
      <c r="J2" s="493"/>
      <c r="K2" s="493"/>
      <c r="L2" s="493"/>
      <c r="M2" s="493"/>
      <c r="N2" s="493"/>
      <c r="O2" s="493"/>
      <c r="P2" s="493"/>
      <c r="Q2" s="493"/>
    </row>
    <row r="3" spans="2:17" ht="15.75" collapsed="1">
      <c r="B3" s="487"/>
      <c r="C3" s="487"/>
      <c r="D3" s="494" t="s">
        <v>366</v>
      </c>
      <c r="E3" s="494" t="s">
        <v>367</v>
      </c>
      <c r="F3" s="494" t="s">
        <v>368</v>
      </c>
      <c r="G3" s="494" t="s">
        <v>369</v>
      </c>
      <c r="H3" s="494" t="s">
        <v>370</v>
      </c>
      <c r="I3" s="494" t="s">
        <v>371</v>
      </c>
      <c r="J3" s="494" t="s">
        <v>372</v>
      </c>
      <c r="K3" s="494" t="s">
        <v>373</v>
      </c>
      <c r="L3" s="494" t="s">
        <v>374</v>
      </c>
      <c r="M3" s="494" t="s">
        <v>375</v>
      </c>
      <c r="N3" s="494" t="s">
        <v>376</v>
      </c>
      <c r="O3" s="494" t="s">
        <v>377</v>
      </c>
      <c r="P3" s="494" t="s">
        <v>378</v>
      </c>
      <c r="Q3" s="494" t="s">
        <v>379</v>
      </c>
    </row>
    <row r="4" spans="2:17" ht="45" hidden="1" outlineLevel="1">
      <c r="B4" s="490"/>
      <c r="C4" s="490"/>
      <c r="D4" s="496" t="s">
        <v>343</v>
      </c>
      <c r="E4" s="496" t="s">
        <v>343</v>
      </c>
      <c r="F4" s="496" t="s">
        <v>343</v>
      </c>
      <c r="G4" s="496" t="s">
        <v>343</v>
      </c>
      <c r="H4" s="496" t="s">
        <v>343</v>
      </c>
      <c r="I4" s="496" t="s">
        <v>343</v>
      </c>
      <c r="J4" s="496" t="s">
        <v>343</v>
      </c>
      <c r="K4" s="496" t="s">
        <v>343</v>
      </c>
      <c r="L4" s="496" t="s">
        <v>343</v>
      </c>
      <c r="M4" s="496" t="s">
        <v>343</v>
      </c>
      <c r="N4" s="496" t="s">
        <v>343</v>
      </c>
      <c r="O4" s="496" t="s">
        <v>343</v>
      </c>
      <c r="P4" s="496" t="s">
        <v>351</v>
      </c>
      <c r="Q4" s="496" t="s">
        <v>351</v>
      </c>
    </row>
    <row r="5" spans="2:17" ht="15">
      <c r="B5" s="491" t="s">
        <v>345</v>
      </c>
      <c r="C5" s="491"/>
      <c r="D5" s="489"/>
      <c r="E5" s="489"/>
      <c r="F5" s="489"/>
      <c r="G5" s="489"/>
      <c r="H5" s="489"/>
      <c r="I5" s="489"/>
      <c r="J5" s="489"/>
      <c r="K5" s="489"/>
      <c r="L5" s="489"/>
      <c r="M5" s="489"/>
      <c r="N5" s="489"/>
      <c r="O5" s="489"/>
      <c r="P5" s="489"/>
      <c r="Q5" s="489"/>
    </row>
    <row r="6" spans="2:17" ht="15" outlineLevel="1">
      <c r="B6" s="490"/>
      <c r="C6" s="490" t="s">
        <v>289</v>
      </c>
      <c r="D6" s="495">
        <v>401</v>
      </c>
      <c r="E6" s="495">
        <v>445</v>
      </c>
      <c r="F6" s="495">
        <v>495</v>
      </c>
      <c r="G6" s="495">
        <v>550</v>
      </c>
      <c r="H6" s="495">
        <v>611</v>
      </c>
      <c r="I6" s="495">
        <v>679</v>
      </c>
      <c r="J6" s="495">
        <v>754</v>
      </c>
      <c r="K6" s="495">
        <v>838</v>
      </c>
      <c r="L6" s="495">
        <v>922</v>
      </c>
      <c r="M6" s="495">
        <v>1014</v>
      </c>
      <c r="N6" s="495">
        <v>1115</v>
      </c>
      <c r="O6" s="495">
        <v>1227</v>
      </c>
      <c r="P6" s="495">
        <v>1350</v>
      </c>
      <c r="Q6" s="495">
        <v>1485</v>
      </c>
    </row>
    <row r="7" spans="2:17" ht="15">
      <c r="B7" s="491" t="s">
        <v>346</v>
      </c>
      <c r="C7" s="491"/>
      <c r="D7" s="489"/>
      <c r="E7" s="489"/>
      <c r="F7" s="489"/>
      <c r="G7" s="489"/>
      <c r="H7" s="489"/>
      <c r="I7" s="489"/>
      <c r="J7" s="489"/>
      <c r="K7" s="489"/>
      <c r="L7" s="489"/>
      <c r="M7" s="489"/>
      <c r="N7" s="489"/>
      <c r="O7" s="489"/>
      <c r="P7" s="489"/>
      <c r="Q7" s="489"/>
    </row>
    <row r="8" spans="2:17" ht="15.75" outlineLevel="1" thickBot="1">
      <c r="B8" s="492"/>
      <c r="C8" s="492" t="s">
        <v>350</v>
      </c>
      <c r="D8" s="486">
        <v>-74751.9543495343</v>
      </c>
      <c r="E8" s="486">
        <v>-67409.4952147906</v>
      </c>
      <c r="F8" s="486">
        <v>-59065.7916525819</v>
      </c>
      <c r="G8" s="486">
        <v>-49887.7177341523</v>
      </c>
      <c r="H8" s="486">
        <v>-39708.3993882576</v>
      </c>
      <c r="I8" s="486">
        <v>-28360.9625436537</v>
      </c>
      <c r="J8" s="486">
        <v>-15845.4072003406</v>
      </c>
      <c r="K8" s="486">
        <v>-1827.98521582996</v>
      </c>
      <c r="L8" s="486">
        <v>12189.4367686807</v>
      </c>
      <c r="M8" s="486">
        <v>27541.8513231448</v>
      </c>
      <c r="N8" s="486">
        <v>44396.1325188064</v>
      </c>
      <c r="O8" s="486">
        <v>63086.028498154</v>
      </c>
      <c r="P8" s="486">
        <v>83611.5392611875</v>
      </c>
      <c r="Q8" s="486">
        <v>106139.538879151</v>
      </c>
    </row>
    <row r="9" ht="15">
      <c r="B9" t="s">
        <v>347</v>
      </c>
    </row>
    <row r="10" ht="15">
      <c r="B10" t="s">
        <v>348</v>
      </c>
    </row>
    <row r="11" ht="15">
      <c r="B11" t="s">
        <v>349</v>
      </c>
    </row>
    <row r="13" ht="15.75" thickBot="1"/>
    <row r="14" spans="2:4" ht="15">
      <c r="B14" s="499" t="s">
        <v>108</v>
      </c>
      <c r="C14" s="508" t="s">
        <v>289</v>
      </c>
      <c r="D14" s="500" t="s">
        <v>350</v>
      </c>
    </row>
    <row r="15" spans="2:4" ht="15">
      <c r="B15" s="511">
        <f aca="true" t="shared" si="0" ref="B15:B20">(C15-$C$22)/$C$22</f>
        <v>-0.5214797136038186</v>
      </c>
      <c r="C15" s="3">
        <v>401</v>
      </c>
      <c r="D15" s="513">
        <v>-74751.9543495343</v>
      </c>
    </row>
    <row r="16" spans="2:4" ht="15">
      <c r="B16" s="511">
        <f t="shared" si="0"/>
        <v>-0.46897374701670647</v>
      </c>
      <c r="C16" s="3">
        <v>445</v>
      </c>
      <c r="D16" s="513">
        <v>-67409.4952147906</v>
      </c>
    </row>
    <row r="17" spans="2:4" ht="15">
      <c r="B17" s="511">
        <f t="shared" si="0"/>
        <v>-0.40930787589498807</v>
      </c>
      <c r="C17" s="3">
        <v>495</v>
      </c>
      <c r="D17" s="513">
        <v>-59065.7916525819</v>
      </c>
    </row>
    <row r="18" spans="2:4" ht="15">
      <c r="B18" s="511">
        <f t="shared" si="0"/>
        <v>-0.3436754176610978</v>
      </c>
      <c r="C18" s="3">
        <v>550</v>
      </c>
      <c r="D18" s="513">
        <v>-49887.7177341523</v>
      </c>
    </row>
    <row r="19" spans="2:4" ht="15">
      <c r="B19" s="511">
        <f t="shared" si="0"/>
        <v>-0.27088305489260145</v>
      </c>
      <c r="C19" s="3">
        <v>611</v>
      </c>
      <c r="D19" s="513">
        <v>-39708.3993882576</v>
      </c>
    </row>
    <row r="20" spans="2:4" ht="15">
      <c r="B20" s="511">
        <f t="shared" si="0"/>
        <v>-0.18973747016706444</v>
      </c>
      <c r="C20" s="3">
        <v>679</v>
      </c>
      <c r="D20" s="513">
        <v>-28360.9625436537</v>
      </c>
    </row>
    <row r="21" spans="2:4" ht="15">
      <c r="B21" s="511">
        <f aca="true" t="shared" si="1" ref="B21:B28">(C21-$C$22)/$C$22</f>
        <v>-0.10023866348448687</v>
      </c>
      <c r="C21" s="3">
        <v>754</v>
      </c>
      <c r="D21" s="513">
        <v>-15845.4072003406</v>
      </c>
    </row>
    <row r="22" spans="2:4" ht="15">
      <c r="B22" s="511">
        <f t="shared" si="1"/>
        <v>0</v>
      </c>
      <c r="C22" s="509">
        <v>838</v>
      </c>
      <c r="D22" s="513">
        <v>-1827.98521582996</v>
      </c>
    </row>
    <row r="23" spans="2:4" ht="15">
      <c r="B23" s="511">
        <f t="shared" si="1"/>
        <v>0.10023866348448687</v>
      </c>
      <c r="C23" s="3">
        <v>922</v>
      </c>
      <c r="D23" s="513">
        <v>12189.4367686807</v>
      </c>
    </row>
    <row r="24" spans="2:4" ht="15">
      <c r="B24" s="511">
        <f t="shared" si="1"/>
        <v>0.2100238663484487</v>
      </c>
      <c r="C24" s="3">
        <v>1014</v>
      </c>
      <c r="D24" s="513">
        <v>27541.8513231448</v>
      </c>
    </row>
    <row r="25" spans="2:4" ht="15">
      <c r="B25" s="511">
        <f t="shared" si="1"/>
        <v>0.3305489260143198</v>
      </c>
      <c r="C25" s="3">
        <v>1115</v>
      </c>
      <c r="D25" s="513">
        <v>44396.1325188064</v>
      </c>
    </row>
    <row r="26" spans="2:4" ht="15">
      <c r="B26" s="511">
        <f t="shared" si="1"/>
        <v>0.46420047732696895</v>
      </c>
      <c r="C26" s="3">
        <v>1227</v>
      </c>
      <c r="D26" s="513">
        <v>63086.028498154</v>
      </c>
    </row>
    <row r="27" spans="2:4" ht="15">
      <c r="B27" s="511">
        <f t="shared" si="1"/>
        <v>0.6109785202863962</v>
      </c>
      <c r="C27" s="3">
        <v>1350</v>
      </c>
      <c r="D27" s="513">
        <v>83611.5392611875</v>
      </c>
    </row>
    <row r="28" spans="2:4" ht="15.75" thickBot="1">
      <c r="B28" s="512">
        <f t="shared" si="1"/>
        <v>0.7720763723150358</v>
      </c>
      <c r="C28" s="347">
        <v>1485</v>
      </c>
      <c r="D28" s="514">
        <v>106139.538879151</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outlinePr summaryBelow="0"/>
  </sheetPr>
  <dimension ref="B2:Q28"/>
  <sheetViews>
    <sheetView showGridLines="0" zoomScalePageLayoutView="0" workbookViewId="0" topLeftCell="A11">
      <selection activeCell="E16" sqref="E16"/>
    </sheetView>
  </sheetViews>
  <sheetFormatPr defaultColWidth="11.421875" defaultRowHeight="15" outlineLevelRow="1" outlineLevelCol="1"/>
  <cols>
    <col min="3" max="3" width="10.140625" style="0" customWidth="1"/>
    <col min="4" max="4" width="10.421875" style="0" customWidth="1" outlineLevel="1"/>
    <col min="5" max="17" width="18.140625" style="0" bestFit="1" customWidth="1" outlineLevel="1"/>
  </cols>
  <sheetData>
    <row r="1" ht="15.75" thickBot="1"/>
    <row r="2" spans="2:17" ht="15.75">
      <c r="B2" s="488" t="s">
        <v>344</v>
      </c>
      <c r="C2" s="488"/>
      <c r="D2" s="493"/>
      <c r="E2" s="493"/>
      <c r="F2" s="493"/>
      <c r="G2" s="493"/>
      <c r="H2" s="493"/>
      <c r="I2" s="493"/>
      <c r="J2" s="493"/>
      <c r="K2" s="493"/>
      <c r="L2" s="493"/>
      <c r="M2" s="493"/>
      <c r="N2" s="493"/>
      <c r="O2" s="493"/>
      <c r="P2" s="493"/>
      <c r="Q2" s="493"/>
    </row>
    <row r="3" spans="2:17" ht="15.75" collapsed="1">
      <c r="B3" s="487"/>
      <c r="C3" s="487"/>
      <c r="D3" s="494" t="s">
        <v>380</v>
      </c>
      <c r="E3" s="494" t="s">
        <v>381</v>
      </c>
      <c r="F3" s="494" t="s">
        <v>382</v>
      </c>
      <c r="G3" s="494" t="s">
        <v>383</v>
      </c>
      <c r="H3" s="494" t="s">
        <v>384</v>
      </c>
      <c r="I3" s="494" t="s">
        <v>385</v>
      </c>
      <c r="J3" s="494" t="s">
        <v>386</v>
      </c>
      <c r="K3" s="494" t="s">
        <v>387</v>
      </c>
      <c r="L3" s="494" t="s">
        <v>388</v>
      </c>
      <c r="M3" s="494" t="s">
        <v>389</v>
      </c>
      <c r="N3" s="494" t="s">
        <v>390</v>
      </c>
      <c r="O3" s="494" t="s">
        <v>391</v>
      </c>
      <c r="P3" s="494" t="s">
        <v>392</v>
      </c>
      <c r="Q3" s="494" t="s">
        <v>393</v>
      </c>
    </row>
    <row r="4" spans="2:17" ht="33.75" hidden="1" outlineLevel="1">
      <c r="B4" s="490"/>
      <c r="C4" s="490"/>
      <c r="D4" s="496" t="s">
        <v>343</v>
      </c>
      <c r="E4" s="496" t="s">
        <v>343</v>
      </c>
      <c r="F4" s="496" t="s">
        <v>343</v>
      </c>
      <c r="G4" s="496" t="s">
        <v>343</v>
      </c>
      <c r="H4" s="496" t="s">
        <v>343</v>
      </c>
      <c r="I4" s="496" t="s">
        <v>343</v>
      </c>
      <c r="J4" s="496" t="s">
        <v>343</v>
      </c>
      <c r="K4" s="496" t="s">
        <v>343</v>
      </c>
      <c r="L4" s="496" t="s">
        <v>343</v>
      </c>
      <c r="M4" s="496" t="s">
        <v>343</v>
      </c>
      <c r="N4" s="496" t="s">
        <v>343</v>
      </c>
      <c r="O4" s="496" t="s">
        <v>343</v>
      </c>
      <c r="P4" s="496" t="s">
        <v>343</v>
      </c>
      <c r="Q4" s="496" t="s">
        <v>343</v>
      </c>
    </row>
    <row r="5" spans="2:17" ht="15">
      <c r="B5" s="491" t="s">
        <v>345</v>
      </c>
      <c r="C5" s="491"/>
      <c r="D5" s="489"/>
      <c r="E5" s="489"/>
      <c r="F5" s="489"/>
      <c r="G5" s="489"/>
      <c r="H5" s="489"/>
      <c r="I5" s="489"/>
      <c r="J5" s="489"/>
      <c r="K5" s="489"/>
      <c r="L5" s="489"/>
      <c r="M5" s="489"/>
      <c r="N5" s="489"/>
      <c r="O5" s="489"/>
      <c r="P5" s="489"/>
      <c r="Q5" s="489"/>
    </row>
    <row r="6" spans="2:17" ht="15" outlineLevel="1">
      <c r="B6" s="490"/>
      <c r="C6" s="490" t="s">
        <v>352</v>
      </c>
      <c r="D6" s="502">
        <v>62</v>
      </c>
      <c r="E6" s="502">
        <v>69</v>
      </c>
      <c r="F6" s="502">
        <v>77</v>
      </c>
      <c r="G6" s="502">
        <v>85</v>
      </c>
      <c r="H6" s="502">
        <v>95</v>
      </c>
      <c r="I6" s="502">
        <v>105</v>
      </c>
      <c r="J6" s="502">
        <v>117</v>
      </c>
      <c r="K6" s="502">
        <v>130</v>
      </c>
      <c r="L6" s="502">
        <v>143</v>
      </c>
      <c r="M6" s="502">
        <v>157</v>
      </c>
      <c r="N6" s="502">
        <v>173</v>
      </c>
      <c r="O6" s="502">
        <v>190</v>
      </c>
      <c r="P6" s="502">
        <v>209</v>
      </c>
      <c r="Q6" s="502">
        <v>230</v>
      </c>
    </row>
    <row r="7" spans="2:17" ht="15">
      <c r="B7" s="491" t="s">
        <v>346</v>
      </c>
      <c r="C7" s="491"/>
      <c r="D7" s="489"/>
      <c r="E7" s="489"/>
      <c r="F7" s="489"/>
      <c r="G7" s="489"/>
      <c r="H7" s="489"/>
      <c r="I7" s="489"/>
      <c r="J7" s="489"/>
      <c r="K7" s="489"/>
      <c r="L7" s="489"/>
      <c r="M7" s="489"/>
      <c r="N7" s="489"/>
      <c r="O7" s="489"/>
      <c r="P7" s="489"/>
      <c r="Q7" s="489"/>
    </row>
    <row r="8" spans="2:17" ht="15.75" outlineLevel="1" thickBot="1">
      <c r="B8" s="492"/>
      <c r="C8" s="492" t="s">
        <v>350</v>
      </c>
      <c r="D8" s="486">
        <v>-699.745062626731</v>
      </c>
      <c r="E8" s="486">
        <v>-815.887431338841</v>
      </c>
      <c r="F8" s="486">
        <v>-948.621567009784</v>
      </c>
      <c r="G8" s="486">
        <v>-1081.35570268076</v>
      </c>
      <c r="H8" s="486">
        <v>-1247.27337226949</v>
      </c>
      <c r="I8" s="486">
        <v>-1413.19104185822</v>
      </c>
      <c r="J8" s="486">
        <v>-1612.29224536464</v>
      </c>
      <c r="K8" s="486">
        <v>-1827.98521582996</v>
      </c>
      <c r="L8" s="486">
        <v>-2043.67818629529</v>
      </c>
      <c r="M8" s="486">
        <v>-2275.9629237195</v>
      </c>
      <c r="N8" s="486">
        <v>-2541.43119506144</v>
      </c>
      <c r="O8" s="486">
        <v>-2823.49123336222</v>
      </c>
      <c r="P8" s="486">
        <v>-3138.73480558079</v>
      </c>
      <c r="Q8" s="486">
        <v>-3487.16191171709</v>
      </c>
    </row>
    <row r="9" ht="15">
      <c r="B9" t="s">
        <v>347</v>
      </c>
    </row>
    <row r="10" ht="15">
      <c r="B10" t="s">
        <v>348</v>
      </c>
    </row>
    <row r="11" ht="15">
      <c r="B11" t="s">
        <v>349</v>
      </c>
    </row>
    <row r="13" ht="15.75" thickBot="1"/>
    <row r="14" spans="2:4" ht="30">
      <c r="B14" s="515" t="s">
        <v>108</v>
      </c>
      <c r="C14" s="516" t="s">
        <v>352</v>
      </c>
      <c r="D14" s="517" t="s">
        <v>350</v>
      </c>
    </row>
    <row r="15" spans="2:4" ht="15">
      <c r="B15" s="506">
        <f aca="true" t="shared" si="0" ref="B15:B20">(C15-$C$22)/$C$22</f>
        <v>-0.5230769230769231</v>
      </c>
      <c r="C15" s="3">
        <v>62</v>
      </c>
      <c r="D15" s="513">
        <v>-699.745062626731</v>
      </c>
    </row>
    <row r="16" spans="2:4" ht="15">
      <c r="B16" s="506">
        <f t="shared" si="0"/>
        <v>-0.46923076923076923</v>
      </c>
      <c r="C16" s="3">
        <v>69</v>
      </c>
      <c r="D16" s="513">
        <v>-815.887431338841</v>
      </c>
    </row>
    <row r="17" spans="2:4" ht="15">
      <c r="B17" s="506">
        <f t="shared" si="0"/>
        <v>-0.4076923076923077</v>
      </c>
      <c r="C17" s="3">
        <v>77</v>
      </c>
      <c r="D17" s="513">
        <v>-948.621567009784</v>
      </c>
    </row>
    <row r="18" spans="2:4" ht="15">
      <c r="B18" s="506">
        <f t="shared" si="0"/>
        <v>-0.34615384615384615</v>
      </c>
      <c r="C18" s="3">
        <v>85</v>
      </c>
      <c r="D18" s="513">
        <v>-1081.35570268076</v>
      </c>
    </row>
    <row r="19" spans="2:4" ht="15">
      <c r="B19" s="506">
        <f t="shared" si="0"/>
        <v>-0.2692307692307692</v>
      </c>
      <c r="C19" s="3">
        <v>95</v>
      </c>
      <c r="D19" s="513">
        <v>-1247.27337226949</v>
      </c>
    </row>
    <row r="20" spans="2:4" ht="15">
      <c r="B20" s="506">
        <f t="shared" si="0"/>
        <v>-0.19230769230769232</v>
      </c>
      <c r="C20" s="3">
        <v>105</v>
      </c>
      <c r="D20" s="513">
        <v>-1413.19104185822</v>
      </c>
    </row>
    <row r="21" spans="2:4" ht="15">
      <c r="B21" s="506">
        <f aca="true" t="shared" si="1" ref="B21:B28">(C21-$C$22)/$C$22</f>
        <v>-0.1</v>
      </c>
      <c r="C21" s="3">
        <v>117</v>
      </c>
      <c r="D21" s="513">
        <v>-1612.29224536464</v>
      </c>
    </row>
    <row r="22" spans="2:4" ht="15">
      <c r="B22" s="506">
        <f t="shared" si="1"/>
        <v>0</v>
      </c>
      <c r="C22" s="509">
        <v>130</v>
      </c>
      <c r="D22" s="513">
        <v>-1827.98521582996</v>
      </c>
    </row>
    <row r="23" spans="2:4" ht="15">
      <c r="B23" s="506">
        <f t="shared" si="1"/>
        <v>0.1</v>
      </c>
      <c r="C23" s="3">
        <v>143</v>
      </c>
      <c r="D23" s="513">
        <v>-2043.67818629529</v>
      </c>
    </row>
    <row r="24" spans="2:4" ht="15">
      <c r="B24" s="506">
        <f t="shared" si="1"/>
        <v>0.2076923076923077</v>
      </c>
      <c r="C24" s="3">
        <v>157</v>
      </c>
      <c r="D24" s="513">
        <v>-2275.9629237195</v>
      </c>
    </row>
    <row r="25" spans="2:4" ht="15">
      <c r="B25" s="506">
        <f t="shared" si="1"/>
        <v>0.33076923076923076</v>
      </c>
      <c r="C25" s="3">
        <v>173</v>
      </c>
      <c r="D25" s="513">
        <v>-2541.43119506144</v>
      </c>
    </row>
    <row r="26" spans="2:4" ht="15">
      <c r="B26" s="506">
        <f t="shared" si="1"/>
        <v>0.46153846153846156</v>
      </c>
      <c r="C26" s="3">
        <v>190</v>
      </c>
      <c r="D26" s="513">
        <v>-2823.49123336222</v>
      </c>
    </row>
    <row r="27" spans="2:4" ht="15">
      <c r="B27" s="506">
        <f t="shared" si="1"/>
        <v>0.6076923076923076</v>
      </c>
      <c r="C27" s="3">
        <v>209</v>
      </c>
      <c r="D27" s="513">
        <v>-3138.73480558079</v>
      </c>
    </row>
    <row r="28" spans="2:4" ht="15.75" thickBot="1">
      <c r="B28" s="507">
        <f t="shared" si="1"/>
        <v>0.7692307692307693</v>
      </c>
      <c r="C28" s="347">
        <v>230</v>
      </c>
      <c r="D28" s="514">
        <v>-3487.16191171709</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outlinePr summaryBelow="0"/>
  </sheetPr>
  <dimension ref="B2:Q28"/>
  <sheetViews>
    <sheetView showGridLines="0" zoomScalePageLayoutView="0" workbookViewId="0" topLeftCell="A11">
      <selection activeCell="I16" sqref="I16"/>
    </sheetView>
  </sheetViews>
  <sheetFormatPr defaultColWidth="11.421875" defaultRowHeight="15" outlineLevelRow="1" outlineLevelCol="1"/>
  <cols>
    <col min="3" max="3" width="10.8515625" style="0" customWidth="1"/>
    <col min="4" max="4" width="13.28125" style="0" customWidth="1" outlineLevel="1"/>
    <col min="5" max="17" width="19.7109375" style="0" bestFit="1" customWidth="1" outlineLevel="1"/>
  </cols>
  <sheetData>
    <row r="1" ht="15.75" thickBot="1"/>
    <row r="2" spans="2:17" ht="15.75">
      <c r="B2" s="488" t="s">
        <v>344</v>
      </c>
      <c r="C2" s="488"/>
      <c r="D2" s="493"/>
      <c r="E2" s="493"/>
      <c r="F2" s="493"/>
      <c r="G2" s="493"/>
      <c r="H2" s="493"/>
      <c r="I2" s="493"/>
      <c r="J2" s="493"/>
      <c r="K2" s="493"/>
      <c r="L2" s="493"/>
      <c r="M2" s="493"/>
      <c r="N2" s="493"/>
      <c r="O2" s="493"/>
      <c r="P2" s="493"/>
      <c r="Q2" s="493"/>
    </row>
    <row r="3" spans="2:17" ht="15.75" collapsed="1">
      <c r="B3" s="487"/>
      <c r="C3" s="487"/>
      <c r="D3" s="494" t="s">
        <v>394</v>
      </c>
      <c r="E3" s="494" t="s">
        <v>395</v>
      </c>
      <c r="F3" s="494" t="s">
        <v>396</v>
      </c>
      <c r="G3" s="494" t="s">
        <v>397</v>
      </c>
      <c r="H3" s="494" t="s">
        <v>398</v>
      </c>
      <c r="I3" s="494" t="s">
        <v>399</v>
      </c>
      <c r="J3" s="494" t="s">
        <v>400</v>
      </c>
      <c r="K3" s="494" t="s">
        <v>401</v>
      </c>
      <c r="L3" s="494" t="s">
        <v>402</v>
      </c>
      <c r="M3" s="494" t="s">
        <v>403</v>
      </c>
      <c r="N3" s="494" t="s">
        <v>404</v>
      </c>
      <c r="O3" s="494" t="s">
        <v>405</v>
      </c>
      <c r="P3" s="494" t="s">
        <v>406</v>
      </c>
      <c r="Q3" s="494" t="s">
        <v>407</v>
      </c>
    </row>
    <row r="4" spans="2:17" ht="33.75" hidden="1" outlineLevel="1">
      <c r="B4" s="490"/>
      <c r="C4" s="490"/>
      <c r="D4" s="496" t="s">
        <v>343</v>
      </c>
      <c r="E4" s="496" t="s">
        <v>343</v>
      </c>
      <c r="F4" s="496" t="s">
        <v>343</v>
      </c>
      <c r="G4" s="496" t="s">
        <v>343</v>
      </c>
      <c r="H4" s="496" t="s">
        <v>343</v>
      </c>
      <c r="I4" s="496" t="s">
        <v>351</v>
      </c>
      <c r="J4" s="496" t="s">
        <v>343</v>
      </c>
      <c r="K4" s="496" t="s">
        <v>343</v>
      </c>
      <c r="L4" s="496" t="s">
        <v>343</v>
      </c>
      <c r="M4" s="496" t="s">
        <v>343</v>
      </c>
      <c r="N4" s="496" t="s">
        <v>343</v>
      </c>
      <c r="O4" s="496" t="s">
        <v>343</v>
      </c>
      <c r="P4" s="496" t="s">
        <v>343</v>
      </c>
      <c r="Q4" s="496" t="s">
        <v>343</v>
      </c>
    </row>
    <row r="5" spans="2:17" ht="15">
      <c r="B5" s="491" t="s">
        <v>345</v>
      </c>
      <c r="C5" s="491"/>
      <c r="D5" s="489"/>
      <c r="E5" s="489"/>
      <c r="F5" s="489"/>
      <c r="G5" s="489"/>
      <c r="H5" s="489"/>
      <c r="I5" s="489"/>
      <c r="J5" s="489"/>
      <c r="K5" s="489"/>
      <c r="L5" s="489"/>
      <c r="M5" s="489"/>
      <c r="N5" s="489"/>
      <c r="O5" s="489"/>
      <c r="P5" s="489"/>
      <c r="Q5" s="489"/>
    </row>
    <row r="6" spans="2:17" ht="15" outlineLevel="1">
      <c r="B6" s="490"/>
      <c r="C6" s="490" t="s">
        <v>408</v>
      </c>
      <c r="D6" s="502">
        <v>56.83</v>
      </c>
      <c r="E6" s="502">
        <v>63.14</v>
      </c>
      <c r="F6" s="502">
        <v>70.16</v>
      </c>
      <c r="G6" s="502">
        <v>77.95</v>
      </c>
      <c r="H6" s="502">
        <v>86.61</v>
      </c>
      <c r="I6" s="502">
        <v>96.24</v>
      </c>
      <c r="J6" s="502">
        <v>106.93</v>
      </c>
      <c r="K6" s="502">
        <v>118.81</v>
      </c>
      <c r="L6" s="502">
        <v>130.69</v>
      </c>
      <c r="M6" s="502">
        <v>143.76</v>
      </c>
      <c r="N6" s="502">
        <v>158.14</v>
      </c>
      <c r="O6" s="502">
        <v>173.95</v>
      </c>
      <c r="P6" s="502">
        <v>191.34</v>
      </c>
      <c r="Q6" s="502">
        <v>210.48</v>
      </c>
    </row>
    <row r="7" spans="2:17" ht="15">
      <c r="B7" s="491" t="s">
        <v>346</v>
      </c>
      <c r="C7" s="491"/>
      <c r="D7" s="489"/>
      <c r="E7" s="489"/>
      <c r="F7" s="489"/>
      <c r="G7" s="489"/>
      <c r="H7" s="489"/>
      <c r="I7" s="489"/>
      <c r="J7" s="489"/>
      <c r="K7" s="489"/>
      <c r="L7" s="489"/>
      <c r="M7" s="489"/>
      <c r="N7" s="489"/>
      <c r="O7" s="489"/>
      <c r="P7" s="489"/>
      <c r="Q7" s="489"/>
    </row>
    <row r="8" spans="2:17" ht="15.75" outlineLevel="1" thickBot="1">
      <c r="B8" s="492"/>
      <c r="C8" s="492" t="s">
        <v>350</v>
      </c>
      <c r="D8" s="486">
        <v>101007.786395253</v>
      </c>
      <c r="E8" s="486">
        <v>90538.3814442055</v>
      </c>
      <c r="F8" s="486">
        <v>78890.961039078</v>
      </c>
      <c r="G8" s="486">
        <v>65965.9745781174</v>
      </c>
      <c r="H8" s="486">
        <v>51597.504391735</v>
      </c>
      <c r="I8" s="486">
        <v>35619.6328103421</v>
      </c>
      <c r="J8" s="486">
        <v>17883.0339313089</v>
      </c>
      <c r="K8" s="486">
        <v>-1827.98521582996</v>
      </c>
      <c r="L8" s="486">
        <v>-21539.0043629689</v>
      </c>
      <c r="M8" s="486">
        <v>-43224.4437782134</v>
      </c>
      <c r="N8" s="486">
        <v>-67083.40466507</v>
      </c>
      <c r="O8" s="486">
        <v>-93314.9882270452</v>
      </c>
      <c r="P8" s="486">
        <v>-122168.070968522</v>
      </c>
      <c r="Q8" s="486">
        <v>-153924.712927801</v>
      </c>
    </row>
    <row r="9" ht="15">
      <c r="B9" t="s">
        <v>347</v>
      </c>
    </row>
    <row r="10" ht="15">
      <c r="B10" t="s">
        <v>348</v>
      </c>
    </row>
    <row r="11" ht="15">
      <c r="B11" t="s">
        <v>349</v>
      </c>
    </row>
    <row r="13" ht="15.75" thickBot="1"/>
    <row r="14" spans="2:4" ht="39" customHeight="1">
      <c r="B14" s="503" t="s">
        <v>108</v>
      </c>
      <c r="C14" s="505" t="s">
        <v>408</v>
      </c>
      <c r="D14" s="504" t="s">
        <v>350</v>
      </c>
    </row>
    <row r="15" spans="2:4" ht="15">
      <c r="B15" s="510">
        <f aca="true" t="shared" si="0" ref="B15:B20">(C15-$C$22)/$C$22</f>
        <v>-0.5216732598266139</v>
      </c>
      <c r="C15" s="3">
        <v>56.83</v>
      </c>
      <c r="D15" s="497">
        <v>101007.786395253</v>
      </c>
    </row>
    <row r="16" spans="2:4" ht="15">
      <c r="B16" s="510">
        <f t="shared" si="0"/>
        <v>-0.468563252251494</v>
      </c>
      <c r="C16" s="3">
        <v>63.14</v>
      </c>
      <c r="D16" s="497">
        <v>90538.3814442055</v>
      </c>
    </row>
    <row r="17" spans="2:4" ht="15">
      <c r="B17" s="510">
        <f t="shared" si="0"/>
        <v>-0.40947731672418153</v>
      </c>
      <c r="C17" s="3">
        <v>70.16</v>
      </c>
      <c r="D17" s="497">
        <v>78890.961039078</v>
      </c>
    </row>
    <row r="18" spans="2:4" ht="15">
      <c r="B18" s="510">
        <f t="shared" si="0"/>
        <v>-0.34391044524871645</v>
      </c>
      <c r="C18" s="3">
        <v>77.95</v>
      </c>
      <c r="D18" s="497">
        <v>65965.9745781174</v>
      </c>
    </row>
    <row r="19" spans="2:4" ht="15">
      <c r="B19" s="510">
        <f t="shared" si="0"/>
        <v>-0.27102095783183233</v>
      </c>
      <c r="C19" s="3">
        <v>86.61</v>
      </c>
      <c r="D19" s="497">
        <v>51597.504391735</v>
      </c>
    </row>
    <row r="20" spans="2:4" ht="15">
      <c r="B20" s="510">
        <f t="shared" si="0"/>
        <v>-0.18996717448026265</v>
      </c>
      <c r="C20" s="3">
        <v>96.24</v>
      </c>
      <c r="D20" s="497">
        <v>35619.6328103421</v>
      </c>
    </row>
    <row r="21" spans="2:4" ht="15">
      <c r="B21" s="510">
        <f aca="true" t="shared" si="1" ref="B21:B28">(C21-$C$22)/$C$22</f>
        <v>-0.09999158320006729</v>
      </c>
      <c r="C21" s="3">
        <v>106.93</v>
      </c>
      <c r="D21" s="497">
        <v>17883.0339313089</v>
      </c>
    </row>
    <row r="22" spans="2:4" ht="15">
      <c r="B22" s="510">
        <f t="shared" si="1"/>
        <v>0</v>
      </c>
      <c r="C22" s="509">
        <v>118.81</v>
      </c>
      <c r="D22" s="497">
        <v>-1827.98521582996</v>
      </c>
    </row>
    <row r="23" spans="2:4" ht="15">
      <c r="B23" s="510">
        <f t="shared" si="1"/>
        <v>0.09999158320006729</v>
      </c>
      <c r="C23" s="3">
        <v>130.69</v>
      </c>
      <c r="D23" s="497">
        <v>-21539.0043629689</v>
      </c>
    </row>
    <row r="24" spans="2:4" ht="15">
      <c r="B24" s="510">
        <f t="shared" si="1"/>
        <v>0.20999915832000662</v>
      </c>
      <c r="C24" s="3">
        <v>143.76</v>
      </c>
      <c r="D24" s="497">
        <v>-43224.4437782134</v>
      </c>
    </row>
    <row r="25" spans="2:4" ht="15">
      <c r="B25" s="510">
        <f t="shared" si="1"/>
        <v>0.33103274135173794</v>
      </c>
      <c r="C25" s="3">
        <v>158.14</v>
      </c>
      <c r="D25" s="497">
        <v>-67083.40466507</v>
      </c>
    </row>
    <row r="26" spans="2:4" ht="15">
      <c r="B26" s="510">
        <f t="shared" si="1"/>
        <v>0.4641023482871811</v>
      </c>
      <c r="C26" s="3">
        <v>173.95</v>
      </c>
      <c r="D26" s="497">
        <v>-93314.9882270452</v>
      </c>
    </row>
    <row r="27" spans="2:4" ht="15">
      <c r="B27" s="510">
        <f t="shared" si="1"/>
        <v>0.610470499116236</v>
      </c>
      <c r="C27" s="3">
        <v>191.34</v>
      </c>
      <c r="D27" s="497">
        <v>-122168.070968522</v>
      </c>
    </row>
    <row r="28" spans="2:4" ht="15.75" thickBot="1">
      <c r="B28" s="510">
        <f t="shared" si="1"/>
        <v>0.7715680498274555</v>
      </c>
      <c r="C28" s="347">
        <v>210.48</v>
      </c>
      <c r="D28" s="498">
        <v>-153924.712927801</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B4:K16"/>
  <sheetViews>
    <sheetView zoomScalePageLayoutView="0" workbookViewId="0" topLeftCell="A48">
      <selection activeCell="K51" sqref="K51"/>
    </sheetView>
  </sheetViews>
  <sheetFormatPr defaultColWidth="11.421875" defaultRowHeight="15"/>
  <sheetData>
    <row r="4" spans="2:11" ht="15">
      <c r="B4" s="480"/>
      <c r="E4" s="480"/>
      <c r="H4" s="480"/>
      <c r="K4" s="480"/>
    </row>
    <row r="5" spans="2:11" ht="15">
      <c r="B5" s="480"/>
      <c r="E5" s="480"/>
      <c r="H5" s="480"/>
      <c r="K5" s="480"/>
    </row>
    <row r="6" spans="2:11" ht="15">
      <c r="B6" s="480"/>
      <c r="E6" s="480"/>
      <c r="H6" s="480"/>
      <c r="K6" s="480"/>
    </row>
    <row r="7" spans="2:11" ht="15">
      <c r="B7" s="480"/>
      <c r="E7" s="480"/>
      <c r="H7" s="480"/>
      <c r="K7" s="480"/>
    </row>
    <row r="8" spans="2:11" ht="15">
      <c r="B8" s="480"/>
      <c r="E8" s="480"/>
      <c r="H8" s="480"/>
      <c r="K8" s="480"/>
    </row>
    <row r="9" spans="2:11" ht="15">
      <c r="B9" s="480"/>
      <c r="E9" s="480"/>
      <c r="H9" s="480"/>
      <c r="K9" s="480"/>
    </row>
    <row r="10" spans="2:11" ht="15">
      <c r="B10" s="480"/>
      <c r="E10" s="480"/>
      <c r="H10" s="480"/>
      <c r="K10" s="480"/>
    </row>
    <row r="11" spans="2:11" ht="15">
      <c r="B11" s="480"/>
      <c r="E11" s="480"/>
      <c r="H11" s="480"/>
      <c r="K11" s="480"/>
    </row>
    <row r="12" spans="2:11" ht="15">
      <c r="B12" s="480"/>
      <c r="E12" s="480"/>
      <c r="H12" s="480"/>
      <c r="K12" s="480"/>
    </row>
    <row r="13" spans="2:11" ht="15">
      <c r="B13" s="480"/>
      <c r="E13" s="480"/>
      <c r="H13" s="480"/>
      <c r="K13" s="480"/>
    </row>
    <row r="14" spans="2:11" ht="15">
      <c r="B14" s="480"/>
      <c r="E14" s="480"/>
      <c r="H14" s="480"/>
      <c r="K14" s="480"/>
    </row>
    <row r="15" spans="2:11" ht="15">
      <c r="B15" s="480"/>
      <c r="E15" s="480"/>
      <c r="H15" s="480"/>
      <c r="K15" s="480"/>
    </row>
    <row r="16" spans="2:11" ht="15">
      <c r="B16" s="480"/>
      <c r="E16" s="480"/>
      <c r="H16" s="480"/>
      <c r="K16" s="480"/>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F34"/>
  <sheetViews>
    <sheetView zoomScalePageLayoutView="0" workbookViewId="0" topLeftCell="A19">
      <selection activeCell="C38" sqref="C38"/>
    </sheetView>
  </sheetViews>
  <sheetFormatPr defaultColWidth="11.421875" defaultRowHeight="15"/>
  <cols>
    <col min="2" max="2" width="32.28125" style="0" bestFit="1" customWidth="1"/>
    <col min="11" max="11" width="34.00390625" style="0" customWidth="1"/>
  </cols>
  <sheetData>
    <row r="1" ht="15">
      <c r="B1" t="s">
        <v>256</v>
      </c>
    </row>
    <row r="2" ht="15.75" thickBot="1"/>
    <row r="3" spans="2:5" ht="15">
      <c r="B3" s="527" t="s">
        <v>236</v>
      </c>
      <c r="C3" s="529" t="s">
        <v>237</v>
      </c>
      <c r="D3" s="529"/>
      <c r="E3" s="530"/>
    </row>
    <row r="4" spans="2:5" ht="15">
      <c r="B4" s="528"/>
      <c r="C4" s="339" t="s">
        <v>207</v>
      </c>
      <c r="D4" s="339" t="s">
        <v>238</v>
      </c>
      <c r="E4" s="340" t="s">
        <v>239</v>
      </c>
    </row>
    <row r="5" spans="2:5" ht="15">
      <c r="B5" s="341" t="s">
        <v>240</v>
      </c>
      <c r="C5" s="3">
        <f>C6+C9</f>
        <v>30896</v>
      </c>
      <c r="D5" s="3">
        <f>D6+D9</f>
        <v>15810</v>
      </c>
      <c r="E5" s="342">
        <f>E6+E9</f>
        <v>14586</v>
      </c>
    </row>
    <row r="6" spans="2:5" ht="15">
      <c r="B6" s="343" t="s">
        <v>241</v>
      </c>
      <c r="C6" s="344">
        <f>SUM(C7:C8)</f>
        <v>30464</v>
      </c>
      <c r="D6" s="3">
        <f>SUM(D7:D8)</f>
        <v>15583</v>
      </c>
      <c r="E6" s="342">
        <f>SUM(E7:E8)</f>
        <v>14381</v>
      </c>
    </row>
    <row r="7" spans="2:5" ht="15">
      <c r="B7" s="345" t="s">
        <v>242</v>
      </c>
      <c r="C7" s="3">
        <v>30460</v>
      </c>
      <c r="D7" s="3">
        <v>15582</v>
      </c>
      <c r="E7" s="342">
        <v>14378</v>
      </c>
    </row>
    <row r="8" spans="2:5" ht="15">
      <c r="B8" s="345" t="s">
        <v>243</v>
      </c>
      <c r="C8" s="3">
        <v>4</v>
      </c>
      <c r="D8" s="3">
        <v>1</v>
      </c>
      <c r="E8" s="342">
        <v>3</v>
      </c>
    </row>
    <row r="9" spans="2:5" ht="15.75" thickBot="1">
      <c r="B9" s="346" t="s">
        <v>244</v>
      </c>
      <c r="C9" s="347">
        <v>432</v>
      </c>
      <c r="D9" s="347">
        <v>227</v>
      </c>
      <c r="E9" s="348">
        <v>205</v>
      </c>
    </row>
    <row r="11" spans="2:4" ht="15">
      <c r="B11" t="s">
        <v>245</v>
      </c>
      <c r="C11">
        <f>C6</f>
        <v>30464</v>
      </c>
      <c r="D11" t="s">
        <v>246</v>
      </c>
    </row>
    <row r="12" ht="15">
      <c r="D12" s="349" t="s">
        <v>247</v>
      </c>
    </row>
    <row r="26" ht="15.75" thickBot="1"/>
    <row r="27" ht="15.75" thickBot="1">
      <c r="C27" s="434">
        <f>11</f>
        <v>11</v>
      </c>
    </row>
    <row r="28" spans="2:6" ht="45.75" thickBot="1">
      <c r="B28" s="2" t="s">
        <v>248</v>
      </c>
      <c r="C28" s="433">
        <f>C27/400</f>
        <v>0.0275</v>
      </c>
      <c r="D28" s="274"/>
      <c r="E28" s="274"/>
      <c r="F28" s="274"/>
    </row>
    <row r="29" ht="15.75" thickBot="1"/>
    <row r="30" spans="2:4" ht="15.75" thickBot="1">
      <c r="B30" s="322" t="s">
        <v>249</v>
      </c>
      <c r="C30" s="455">
        <v>837.76</v>
      </c>
      <c r="D30">
        <f>$C$28*$C$6</f>
        <v>837.76</v>
      </c>
    </row>
    <row r="31" ht="15.75" thickBot="1"/>
    <row r="32" spans="2:5" ht="15">
      <c r="B32" s="350" t="s">
        <v>250</v>
      </c>
      <c r="C32" s="351" t="s">
        <v>251</v>
      </c>
      <c r="D32" s="351" t="s">
        <v>252</v>
      </c>
      <c r="E32" s="352" t="s">
        <v>253</v>
      </c>
    </row>
    <row r="33" spans="2:5" ht="15">
      <c r="B33" s="353" t="s">
        <v>241</v>
      </c>
      <c r="C33" s="421">
        <v>2252.72</v>
      </c>
      <c r="D33" s="421">
        <v>2278.73</v>
      </c>
      <c r="E33" s="422">
        <v>2306.47</v>
      </c>
    </row>
    <row r="34" spans="2:5" ht="15.75" thickBot="1">
      <c r="B34" s="357" t="s">
        <v>254</v>
      </c>
      <c r="C34" s="354" t="s">
        <v>255</v>
      </c>
      <c r="D34" s="355">
        <f>(D33-C33)/C33</f>
        <v>0.011546042117973037</v>
      </c>
      <c r="E34" s="356">
        <f>(E33-D33)/D33</f>
        <v>0.012173447490488027</v>
      </c>
    </row>
  </sheetData>
  <sheetProtection/>
  <mergeCells count="2">
    <mergeCell ref="B3:B4"/>
    <mergeCell ref="C3:E3"/>
  </mergeCells>
  <hyperlinks>
    <hyperlink ref="D12" r:id="rId1" display="www.inec.gov.ec"/>
  </hyperlinks>
  <printOptions/>
  <pageMargins left="0.75" right="0.75" top="1" bottom="1" header="0" footer="0"/>
  <pageSetup orientation="landscape" paperSize="9" scale="76" r:id="rId5"/>
  <ignoredErrors>
    <ignoredError sqref="C6:E6" formulaRange="1"/>
  </ignoredErrors>
  <drawing r:id="rId4"/>
  <legacy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J192"/>
  <sheetViews>
    <sheetView zoomScale="90" zoomScaleNormal="90" zoomScalePageLayoutView="0" workbookViewId="0" topLeftCell="A58">
      <selection activeCell="F74" sqref="F74"/>
    </sheetView>
  </sheetViews>
  <sheetFormatPr defaultColWidth="11.00390625" defaultRowHeight="15"/>
  <cols>
    <col min="2" max="2" width="21.57421875" style="2" customWidth="1"/>
    <col min="3" max="3" width="10.28125" style="0" customWidth="1"/>
    <col min="4" max="4" width="10.8515625" style="1" customWidth="1"/>
    <col min="5" max="5" width="14.8515625" style="1" bestFit="1" customWidth="1"/>
    <col min="6" max="6" width="12.8515625" style="0" customWidth="1"/>
    <col min="7" max="7" width="15.140625" style="0" bestFit="1" customWidth="1"/>
    <col min="8" max="8" width="15.28125" style="0" customWidth="1"/>
    <col min="9" max="9" width="14.7109375" style="0" bestFit="1" customWidth="1"/>
    <col min="10" max="10" width="16.57421875" style="0" bestFit="1" customWidth="1"/>
    <col min="12" max="12" width="25.7109375" style="0" bestFit="1" customWidth="1"/>
  </cols>
  <sheetData>
    <row r="1" ht="15">
      <c r="C1" s="34" t="s">
        <v>65</v>
      </c>
    </row>
    <row r="2" spans="2:3" ht="30">
      <c r="B2" s="29" t="s">
        <v>77</v>
      </c>
      <c r="C2" s="11" t="s">
        <v>66</v>
      </c>
    </row>
    <row r="3" ht="15">
      <c r="C3" s="11" t="s">
        <v>67</v>
      </c>
    </row>
    <row r="4" ht="15">
      <c r="C4" s="11"/>
    </row>
    <row r="5" ht="15"/>
    <row r="6" spans="2:8" ht="25.5">
      <c r="B6" s="272" t="s">
        <v>30</v>
      </c>
      <c r="C6" s="540" t="s">
        <v>79</v>
      </c>
      <c r="D6" s="540"/>
      <c r="E6" s="540"/>
      <c r="F6" s="541"/>
      <c r="G6" s="541"/>
      <c r="H6" s="541"/>
    </row>
    <row r="7" spans="2:8" s="30" customFormat="1" ht="28.5" customHeight="1">
      <c r="B7" s="31" t="s">
        <v>1</v>
      </c>
      <c r="C7" s="32" t="s">
        <v>2</v>
      </c>
      <c r="D7" s="33" t="s">
        <v>3</v>
      </c>
      <c r="E7" s="33" t="s">
        <v>4</v>
      </c>
      <c r="F7" s="445"/>
      <c r="G7" s="445"/>
      <c r="H7" s="445"/>
    </row>
    <row r="8" spans="2:8" ht="15">
      <c r="B8" s="5" t="s">
        <v>58</v>
      </c>
      <c r="C8" s="6">
        <v>3</v>
      </c>
      <c r="D8" s="8">
        <v>400</v>
      </c>
      <c r="E8" s="4">
        <f>C8*D8</f>
        <v>1200</v>
      </c>
      <c r="F8" s="443"/>
      <c r="G8" s="443"/>
      <c r="H8" s="443"/>
    </row>
    <row r="9" spans="2:8" ht="25.5">
      <c r="B9" s="5" t="s">
        <v>31</v>
      </c>
      <c r="C9" s="6">
        <v>3</v>
      </c>
      <c r="D9" s="8">
        <v>120</v>
      </c>
      <c r="E9" s="4">
        <f aca="true" t="shared" si="0" ref="E9:E18">C9*D9</f>
        <v>360</v>
      </c>
      <c r="F9" s="443"/>
      <c r="G9" s="443"/>
      <c r="H9" s="443"/>
    </row>
    <row r="10" spans="2:8" ht="15">
      <c r="B10" s="5" t="s">
        <v>32</v>
      </c>
      <c r="C10" s="6">
        <v>6</v>
      </c>
      <c r="D10" s="8">
        <v>70</v>
      </c>
      <c r="E10" s="4">
        <f t="shared" si="0"/>
        <v>420</v>
      </c>
      <c r="F10" s="443"/>
      <c r="G10" s="443"/>
      <c r="H10" s="443"/>
    </row>
    <row r="11" spans="2:8" ht="15">
      <c r="B11" s="5" t="s">
        <v>33</v>
      </c>
      <c r="C11" s="6">
        <v>4</v>
      </c>
      <c r="D11" s="8">
        <v>400</v>
      </c>
      <c r="E11" s="4">
        <f t="shared" si="0"/>
        <v>1600</v>
      </c>
      <c r="F11" s="443"/>
      <c r="G11" s="147"/>
      <c r="H11" s="443"/>
    </row>
    <row r="12" spans="2:8" ht="51">
      <c r="B12" s="5" t="s">
        <v>34</v>
      </c>
      <c r="C12" s="6">
        <v>3</v>
      </c>
      <c r="D12" s="8">
        <v>930.01</v>
      </c>
      <c r="E12" s="4">
        <f t="shared" si="0"/>
        <v>2790.0299999999997</v>
      </c>
      <c r="F12" s="443"/>
      <c r="G12" s="147"/>
      <c r="H12" s="443"/>
    </row>
    <row r="13" spans="2:8" ht="38.25">
      <c r="B13" s="5" t="s">
        <v>42</v>
      </c>
      <c r="C13" s="6">
        <v>1</v>
      </c>
      <c r="D13" s="8">
        <v>254.34</v>
      </c>
      <c r="E13" s="4">
        <f t="shared" si="0"/>
        <v>254.34</v>
      </c>
      <c r="F13" s="443"/>
      <c r="G13" s="443"/>
      <c r="H13" s="443"/>
    </row>
    <row r="14" spans="2:8" ht="15">
      <c r="B14" s="5" t="s">
        <v>35</v>
      </c>
      <c r="C14" s="6">
        <v>1</v>
      </c>
      <c r="D14" s="8">
        <v>40</v>
      </c>
      <c r="E14" s="4">
        <f t="shared" si="0"/>
        <v>40</v>
      </c>
      <c r="F14" s="443"/>
      <c r="G14" s="443"/>
      <c r="H14" s="443"/>
    </row>
    <row r="15" spans="2:8" ht="25.5">
      <c r="B15" s="5" t="s">
        <v>39</v>
      </c>
      <c r="C15" s="6">
        <v>1</v>
      </c>
      <c r="D15" s="8">
        <v>316.24</v>
      </c>
      <c r="E15" s="4">
        <f t="shared" si="0"/>
        <v>316.24</v>
      </c>
      <c r="F15" s="443"/>
      <c r="G15" s="443"/>
      <c r="H15" s="443"/>
    </row>
    <row r="16" spans="2:8" ht="38.25">
      <c r="B16" s="5" t="s">
        <v>40</v>
      </c>
      <c r="C16" s="6">
        <v>3</v>
      </c>
      <c r="D16" s="8">
        <v>80.43</v>
      </c>
      <c r="E16" s="4">
        <f t="shared" si="0"/>
        <v>241.29000000000002</v>
      </c>
      <c r="F16" s="443"/>
      <c r="G16" s="443"/>
      <c r="H16" s="443"/>
    </row>
    <row r="17" spans="2:8" ht="38.25">
      <c r="B17" s="5" t="s">
        <v>41</v>
      </c>
      <c r="C17" s="6">
        <v>1</v>
      </c>
      <c r="D17" s="8">
        <v>281.25</v>
      </c>
      <c r="E17" s="4">
        <f t="shared" si="0"/>
        <v>281.25</v>
      </c>
      <c r="F17" s="443"/>
      <c r="G17" s="443"/>
      <c r="H17" s="443"/>
    </row>
    <row r="18" spans="2:8" ht="15">
      <c r="B18" s="5" t="s">
        <v>36</v>
      </c>
      <c r="C18" s="6">
        <v>3</v>
      </c>
      <c r="D18" s="8">
        <v>20</v>
      </c>
      <c r="E18" s="4">
        <f t="shared" si="0"/>
        <v>60</v>
      </c>
      <c r="F18" s="443"/>
      <c r="G18" s="443"/>
      <c r="H18" s="443"/>
    </row>
    <row r="19" spans="2:8" ht="15">
      <c r="B19" s="5" t="s">
        <v>21</v>
      </c>
      <c r="C19" s="6">
        <f>SUM(C9:C18)</f>
        <v>26</v>
      </c>
      <c r="D19" s="8">
        <f>SUM(D8:D18)</f>
        <v>2912.27</v>
      </c>
      <c r="E19" s="412">
        <f>SUM(E8:E18)</f>
        <v>7563.15</v>
      </c>
      <c r="F19" s="443"/>
      <c r="G19" s="443"/>
      <c r="H19" s="443"/>
    </row>
    <row r="20" ht="15"/>
    <row r="21" spans="2:8" ht="25.5">
      <c r="B21" s="272" t="s">
        <v>0</v>
      </c>
      <c r="C21" s="532" t="s">
        <v>79</v>
      </c>
      <c r="D21" s="532"/>
      <c r="E21" s="532"/>
      <c r="F21" s="543" t="s">
        <v>81</v>
      </c>
      <c r="G21" s="544"/>
      <c r="H21" s="545"/>
    </row>
    <row r="22" spans="2:10" ht="30.75" customHeight="1">
      <c r="B22" s="14" t="s">
        <v>1</v>
      </c>
      <c r="C22" s="15" t="s">
        <v>2</v>
      </c>
      <c r="D22" s="16" t="s">
        <v>3</v>
      </c>
      <c r="E22" s="16" t="s">
        <v>4</v>
      </c>
      <c r="F22" s="31" t="s">
        <v>145</v>
      </c>
      <c r="G22" s="31" t="s">
        <v>146</v>
      </c>
      <c r="H22" s="31" t="s">
        <v>147</v>
      </c>
      <c r="I22" s="37" t="s">
        <v>184</v>
      </c>
      <c r="J22" s="37" t="s">
        <v>185</v>
      </c>
    </row>
    <row r="23" spans="2:10" ht="15.75" customHeight="1">
      <c r="B23" s="5" t="s">
        <v>5</v>
      </c>
      <c r="C23" s="6">
        <v>20</v>
      </c>
      <c r="D23" s="8">
        <v>4.75</v>
      </c>
      <c r="E23" s="4">
        <f>C23*D23</f>
        <v>95</v>
      </c>
      <c r="F23" s="290">
        <f aca="true" t="shared" si="1" ref="F23:J32">E23</f>
        <v>95</v>
      </c>
      <c r="G23" s="290">
        <f t="shared" si="1"/>
        <v>95</v>
      </c>
      <c r="H23" s="290">
        <f t="shared" si="1"/>
        <v>95</v>
      </c>
      <c r="I23" s="290">
        <f t="shared" si="1"/>
        <v>95</v>
      </c>
      <c r="J23" s="290">
        <f t="shared" si="1"/>
        <v>95</v>
      </c>
    </row>
    <row r="24" spans="2:10" ht="38.25">
      <c r="B24" s="5" t="s">
        <v>37</v>
      </c>
      <c r="C24" s="6">
        <v>20</v>
      </c>
      <c r="D24" s="8">
        <v>0.33</v>
      </c>
      <c r="E24" s="4">
        <f aca="true" t="shared" si="2" ref="E24:E40">C24*D24</f>
        <v>6.6000000000000005</v>
      </c>
      <c r="F24" s="290">
        <f t="shared" si="1"/>
        <v>6.6000000000000005</v>
      </c>
      <c r="G24" s="290">
        <f t="shared" si="1"/>
        <v>6.6000000000000005</v>
      </c>
      <c r="H24" s="290">
        <f t="shared" si="1"/>
        <v>6.6000000000000005</v>
      </c>
      <c r="I24" s="290">
        <f t="shared" si="1"/>
        <v>6.6000000000000005</v>
      </c>
      <c r="J24" s="290">
        <f t="shared" si="1"/>
        <v>6.6000000000000005</v>
      </c>
    </row>
    <row r="25" spans="2:10" ht="15">
      <c r="B25" s="5" t="s">
        <v>6</v>
      </c>
      <c r="C25" s="6">
        <v>20</v>
      </c>
      <c r="D25" s="8">
        <v>0.34</v>
      </c>
      <c r="E25" s="4">
        <f t="shared" si="2"/>
        <v>6.800000000000001</v>
      </c>
      <c r="F25" s="290">
        <f t="shared" si="1"/>
        <v>6.800000000000001</v>
      </c>
      <c r="G25" s="290">
        <f t="shared" si="1"/>
        <v>6.800000000000001</v>
      </c>
      <c r="H25" s="290">
        <f t="shared" si="1"/>
        <v>6.800000000000001</v>
      </c>
      <c r="I25" s="290">
        <f t="shared" si="1"/>
        <v>6.800000000000001</v>
      </c>
      <c r="J25" s="290">
        <f t="shared" si="1"/>
        <v>6.800000000000001</v>
      </c>
    </row>
    <row r="26" spans="2:10" ht="16.5" customHeight="1">
      <c r="B26" s="5" t="s">
        <v>7</v>
      </c>
      <c r="C26" s="6">
        <v>20</v>
      </c>
      <c r="D26" s="8">
        <v>3.22</v>
      </c>
      <c r="E26" s="4">
        <f t="shared" si="2"/>
        <v>64.4</v>
      </c>
      <c r="F26" s="290">
        <f t="shared" si="1"/>
        <v>64.4</v>
      </c>
      <c r="G26" s="290">
        <f t="shared" si="1"/>
        <v>64.4</v>
      </c>
      <c r="H26" s="290">
        <f t="shared" si="1"/>
        <v>64.4</v>
      </c>
      <c r="I26" s="290">
        <f t="shared" si="1"/>
        <v>64.4</v>
      </c>
      <c r="J26" s="290">
        <f t="shared" si="1"/>
        <v>64.4</v>
      </c>
    </row>
    <row r="27" spans="2:10" ht="25.5" customHeight="1">
      <c r="B27" s="5" t="s">
        <v>8</v>
      </c>
      <c r="C27" s="6">
        <v>10</v>
      </c>
      <c r="D27" s="8">
        <v>0.9</v>
      </c>
      <c r="E27" s="4">
        <f t="shared" si="2"/>
        <v>9</v>
      </c>
      <c r="F27" s="290">
        <f t="shared" si="1"/>
        <v>9</v>
      </c>
      <c r="G27" s="290">
        <f t="shared" si="1"/>
        <v>9</v>
      </c>
      <c r="H27" s="290">
        <f t="shared" si="1"/>
        <v>9</v>
      </c>
      <c r="I27" s="290">
        <f t="shared" si="1"/>
        <v>9</v>
      </c>
      <c r="J27" s="290">
        <f t="shared" si="1"/>
        <v>9</v>
      </c>
    </row>
    <row r="28" spans="2:10" ht="25.5">
      <c r="B28" s="5" t="s">
        <v>9</v>
      </c>
      <c r="C28" s="6">
        <v>10</v>
      </c>
      <c r="D28" s="8">
        <v>0.28</v>
      </c>
      <c r="E28" s="4">
        <f t="shared" si="2"/>
        <v>2.8000000000000003</v>
      </c>
      <c r="F28" s="290">
        <f t="shared" si="1"/>
        <v>2.8000000000000003</v>
      </c>
      <c r="G28" s="290">
        <f t="shared" si="1"/>
        <v>2.8000000000000003</v>
      </c>
      <c r="H28" s="290">
        <f t="shared" si="1"/>
        <v>2.8000000000000003</v>
      </c>
      <c r="I28" s="290">
        <f t="shared" si="1"/>
        <v>2.8000000000000003</v>
      </c>
      <c r="J28" s="290">
        <f t="shared" si="1"/>
        <v>2.8000000000000003</v>
      </c>
    </row>
    <row r="29" spans="2:10" ht="25.5">
      <c r="B29" s="5" t="s">
        <v>10</v>
      </c>
      <c r="C29" s="6">
        <v>3</v>
      </c>
      <c r="D29" s="8">
        <v>0.63</v>
      </c>
      <c r="E29" s="4">
        <f t="shared" si="2"/>
        <v>1.8900000000000001</v>
      </c>
      <c r="F29" s="290">
        <f t="shared" si="1"/>
        <v>1.8900000000000001</v>
      </c>
      <c r="G29" s="290">
        <f t="shared" si="1"/>
        <v>1.8900000000000001</v>
      </c>
      <c r="H29" s="290">
        <f t="shared" si="1"/>
        <v>1.8900000000000001</v>
      </c>
      <c r="I29" s="290">
        <f t="shared" si="1"/>
        <v>1.8900000000000001</v>
      </c>
      <c r="J29" s="290">
        <f t="shared" si="1"/>
        <v>1.8900000000000001</v>
      </c>
    </row>
    <row r="30" spans="2:10" ht="15">
      <c r="B30" s="5" t="s">
        <v>11</v>
      </c>
      <c r="C30" s="6">
        <v>3</v>
      </c>
      <c r="D30" s="8">
        <v>2.83</v>
      </c>
      <c r="E30" s="4">
        <f t="shared" si="2"/>
        <v>8.49</v>
      </c>
      <c r="F30" s="290">
        <f t="shared" si="1"/>
        <v>8.49</v>
      </c>
      <c r="G30" s="290">
        <f t="shared" si="1"/>
        <v>8.49</v>
      </c>
      <c r="H30" s="290">
        <f t="shared" si="1"/>
        <v>8.49</v>
      </c>
      <c r="I30" s="290">
        <f t="shared" si="1"/>
        <v>8.49</v>
      </c>
      <c r="J30" s="290">
        <f t="shared" si="1"/>
        <v>8.49</v>
      </c>
    </row>
    <row r="31" spans="2:10" ht="15">
      <c r="B31" s="5" t="s">
        <v>12</v>
      </c>
      <c r="C31" s="6">
        <v>5</v>
      </c>
      <c r="D31" s="8">
        <v>0.19</v>
      </c>
      <c r="E31" s="4">
        <f t="shared" si="2"/>
        <v>0.95</v>
      </c>
      <c r="F31" s="290">
        <f t="shared" si="1"/>
        <v>0.95</v>
      </c>
      <c r="G31" s="290">
        <f t="shared" si="1"/>
        <v>0.95</v>
      </c>
      <c r="H31" s="290">
        <f t="shared" si="1"/>
        <v>0.95</v>
      </c>
      <c r="I31" s="290">
        <f t="shared" si="1"/>
        <v>0.95</v>
      </c>
      <c r="J31" s="290">
        <f t="shared" si="1"/>
        <v>0.95</v>
      </c>
    </row>
    <row r="32" spans="2:10" ht="25.5">
      <c r="B32" s="5" t="s">
        <v>13</v>
      </c>
      <c r="C32" s="6">
        <v>3</v>
      </c>
      <c r="D32" s="8">
        <v>0.49</v>
      </c>
      <c r="E32" s="4">
        <f t="shared" si="2"/>
        <v>1.47</v>
      </c>
      <c r="F32" s="290">
        <f t="shared" si="1"/>
        <v>1.47</v>
      </c>
      <c r="G32" s="290">
        <f t="shared" si="1"/>
        <v>1.47</v>
      </c>
      <c r="H32" s="290">
        <f t="shared" si="1"/>
        <v>1.47</v>
      </c>
      <c r="I32" s="290">
        <f t="shared" si="1"/>
        <v>1.47</v>
      </c>
      <c r="J32" s="290">
        <f t="shared" si="1"/>
        <v>1.47</v>
      </c>
    </row>
    <row r="33" spans="2:10" ht="38.25">
      <c r="B33" s="5" t="s">
        <v>14</v>
      </c>
      <c r="C33" s="6">
        <v>3</v>
      </c>
      <c r="D33" s="8">
        <v>3.14</v>
      </c>
      <c r="E33" s="4">
        <f t="shared" si="2"/>
        <v>9.42</v>
      </c>
      <c r="F33" s="290">
        <f aca="true" t="shared" si="3" ref="F33:J41">E33</f>
        <v>9.42</v>
      </c>
      <c r="G33" s="290">
        <f t="shared" si="3"/>
        <v>9.42</v>
      </c>
      <c r="H33" s="290">
        <f t="shared" si="3"/>
        <v>9.42</v>
      </c>
      <c r="I33" s="290">
        <f t="shared" si="3"/>
        <v>9.42</v>
      </c>
      <c r="J33" s="290">
        <f t="shared" si="3"/>
        <v>9.42</v>
      </c>
    </row>
    <row r="34" spans="2:10" ht="25.5">
      <c r="B34" s="5" t="s">
        <v>15</v>
      </c>
      <c r="C34" s="6">
        <v>3</v>
      </c>
      <c r="D34" s="8">
        <v>19.07</v>
      </c>
      <c r="E34" s="4">
        <f t="shared" si="2"/>
        <v>57.21</v>
      </c>
      <c r="F34" s="290">
        <f t="shared" si="3"/>
        <v>57.21</v>
      </c>
      <c r="G34" s="290">
        <f t="shared" si="3"/>
        <v>57.21</v>
      </c>
      <c r="H34" s="290">
        <f t="shared" si="3"/>
        <v>57.21</v>
      </c>
      <c r="I34" s="290">
        <f t="shared" si="3"/>
        <v>57.21</v>
      </c>
      <c r="J34" s="290">
        <f t="shared" si="3"/>
        <v>57.21</v>
      </c>
    </row>
    <row r="35" spans="2:10" ht="15">
      <c r="B35" s="5" t="s">
        <v>16</v>
      </c>
      <c r="C35" s="6">
        <v>10</v>
      </c>
      <c r="D35" s="8">
        <v>1.64</v>
      </c>
      <c r="E35" s="4">
        <f t="shared" si="2"/>
        <v>16.4</v>
      </c>
      <c r="F35" s="290">
        <f t="shared" si="3"/>
        <v>16.4</v>
      </c>
      <c r="G35" s="290">
        <f t="shared" si="3"/>
        <v>16.4</v>
      </c>
      <c r="H35" s="290">
        <f t="shared" si="3"/>
        <v>16.4</v>
      </c>
      <c r="I35" s="290">
        <f t="shared" si="3"/>
        <v>16.4</v>
      </c>
      <c r="J35" s="290">
        <f t="shared" si="3"/>
        <v>16.4</v>
      </c>
    </row>
    <row r="36" spans="2:10" ht="25.5">
      <c r="B36" s="5" t="s">
        <v>17</v>
      </c>
      <c r="C36" s="6">
        <v>5</v>
      </c>
      <c r="D36" s="8">
        <v>0.76</v>
      </c>
      <c r="E36" s="4">
        <f t="shared" si="2"/>
        <v>3.8</v>
      </c>
      <c r="F36" s="290">
        <f t="shared" si="3"/>
        <v>3.8</v>
      </c>
      <c r="G36" s="290">
        <f t="shared" si="3"/>
        <v>3.8</v>
      </c>
      <c r="H36" s="290">
        <f t="shared" si="3"/>
        <v>3.8</v>
      </c>
      <c r="I36" s="290">
        <f t="shared" si="3"/>
        <v>3.8</v>
      </c>
      <c r="J36" s="290">
        <f t="shared" si="3"/>
        <v>3.8</v>
      </c>
    </row>
    <row r="37" spans="2:10" ht="25.5">
      <c r="B37" s="5" t="s">
        <v>18</v>
      </c>
      <c r="C37" s="6">
        <v>15</v>
      </c>
      <c r="D37" s="8">
        <v>1.74</v>
      </c>
      <c r="E37" s="4">
        <f t="shared" si="2"/>
        <v>26.1</v>
      </c>
      <c r="F37" s="290">
        <f t="shared" si="3"/>
        <v>26.1</v>
      </c>
      <c r="G37" s="290">
        <f t="shared" si="3"/>
        <v>26.1</v>
      </c>
      <c r="H37" s="290">
        <f t="shared" si="3"/>
        <v>26.1</v>
      </c>
      <c r="I37" s="290">
        <f t="shared" si="3"/>
        <v>26.1</v>
      </c>
      <c r="J37" s="290">
        <f t="shared" si="3"/>
        <v>26.1</v>
      </c>
    </row>
    <row r="38" spans="2:10" ht="25.5">
      <c r="B38" s="5" t="s">
        <v>19</v>
      </c>
      <c r="C38" s="6">
        <v>25</v>
      </c>
      <c r="D38" s="8">
        <v>0.91</v>
      </c>
      <c r="E38" s="4">
        <f t="shared" si="2"/>
        <v>22.75</v>
      </c>
      <c r="F38" s="290">
        <f t="shared" si="3"/>
        <v>22.75</v>
      </c>
      <c r="G38" s="290">
        <f t="shared" si="3"/>
        <v>22.75</v>
      </c>
      <c r="H38" s="290">
        <f t="shared" si="3"/>
        <v>22.75</v>
      </c>
      <c r="I38" s="290">
        <f t="shared" si="3"/>
        <v>22.75</v>
      </c>
      <c r="J38" s="290">
        <f t="shared" si="3"/>
        <v>22.75</v>
      </c>
    </row>
    <row r="39" spans="2:10" ht="25.5">
      <c r="B39" s="5" t="s">
        <v>38</v>
      </c>
      <c r="C39" s="6">
        <v>35</v>
      </c>
      <c r="D39" s="8">
        <v>2.6</v>
      </c>
      <c r="E39" s="4">
        <f t="shared" si="2"/>
        <v>91</v>
      </c>
      <c r="F39" s="290">
        <f t="shared" si="3"/>
        <v>91</v>
      </c>
      <c r="G39" s="290">
        <f t="shared" si="3"/>
        <v>91</v>
      </c>
      <c r="H39" s="290">
        <f t="shared" si="3"/>
        <v>91</v>
      </c>
      <c r="I39" s="290">
        <f t="shared" si="3"/>
        <v>91</v>
      </c>
      <c r="J39" s="290">
        <f t="shared" si="3"/>
        <v>91</v>
      </c>
    </row>
    <row r="40" spans="2:10" ht="51">
      <c r="B40" s="5" t="s">
        <v>20</v>
      </c>
      <c r="C40" s="6">
        <v>30</v>
      </c>
      <c r="D40" s="8">
        <v>0.85</v>
      </c>
      <c r="E40" s="4">
        <f t="shared" si="2"/>
        <v>25.5</v>
      </c>
      <c r="F40" s="290">
        <f t="shared" si="3"/>
        <v>25.5</v>
      </c>
      <c r="G40" s="290">
        <f t="shared" si="3"/>
        <v>25.5</v>
      </c>
      <c r="H40" s="290">
        <f t="shared" si="3"/>
        <v>25.5</v>
      </c>
      <c r="I40" s="290">
        <f t="shared" si="3"/>
        <v>25.5</v>
      </c>
      <c r="J40" s="290">
        <f t="shared" si="3"/>
        <v>25.5</v>
      </c>
    </row>
    <row r="41" spans="2:10" ht="15">
      <c r="B41" s="5" t="s">
        <v>21</v>
      </c>
      <c r="C41" s="6">
        <f>SUM(C23:C40)</f>
        <v>240</v>
      </c>
      <c r="D41" s="8">
        <f>SUM(D23:D40)</f>
        <v>44.67</v>
      </c>
      <c r="E41" s="413">
        <f>SUM(E23:E40)</f>
        <v>449.58</v>
      </c>
      <c r="F41" s="1">
        <f t="shared" si="3"/>
        <v>449.58</v>
      </c>
      <c r="G41" s="1">
        <f t="shared" si="3"/>
        <v>449.58</v>
      </c>
      <c r="H41" s="1">
        <f t="shared" si="3"/>
        <v>449.58</v>
      </c>
      <c r="I41" s="1">
        <f t="shared" si="3"/>
        <v>449.58</v>
      </c>
      <c r="J41" s="1">
        <f t="shared" si="3"/>
        <v>449.58</v>
      </c>
    </row>
    <row r="42" spans="2:7" ht="15">
      <c r="B42" s="13"/>
      <c r="C42" s="11"/>
      <c r="D42" s="12"/>
      <c r="E42" s="12"/>
      <c r="F42" s="11"/>
      <c r="G42" s="11"/>
    </row>
    <row r="43" spans="2:8" ht="25.5">
      <c r="B43" s="272" t="s">
        <v>62</v>
      </c>
      <c r="C43" s="532" t="s">
        <v>79</v>
      </c>
      <c r="D43" s="532"/>
      <c r="E43" s="532"/>
      <c r="F43" s="531"/>
      <c r="G43" s="531"/>
      <c r="H43" s="531"/>
    </row>
    <row r="44" spans="2:8" ht="24.75" customHeight="1">
      <c r="B44" s="18" t="s">
        <v>1</v>
      </c>
      <c r="C44" s="15" t="s">
        <v>2</v>
      </c>
      <c r="D44" s="17" t="s">
        <v>3</v>
      </c>
      <c r="E44" s="17" t="s">
        <v>4</v>
      </c>
      <c r="F44" s="445"/>
      <c r="G44" s="445"/>
      <c r="H44" s="446"/>
    </row>
    <row r="45" spans="2:8" ht="38.25">
      <c r="B45" s="19" t="s">
        <v>63</v>
      </c>
      <c r="C45" s="6">
        <v>1</v>
      </c>
      <c r="D45" s="8">
        <v>300</v>
      </c>
      <c r="E45" s="4">
        <f>C45*D45</f>
        <v>300</v>
      </c>
      <c r="F45" s="447"/>
      <c r="G45" s="447"/>
      <c r="H45" s="448"/>
    </row>
    <row r="46" spans="2:8" ht="25.5">
      <c r="B46" s="19" t="s">
        <v>54</v>
      </c>
      <c r="C46" s="6">
        <v>42</v>
      </c>
      <c r="D46" s="8">
        <v>20</v>
      </c>
      <c r="E46" s="4">
        <f>C46*D46</f>
        <v>840</v>
      </c>
      <c r="F46" s="447"/>
      <c r="G46" s="447"/>
      <c r="H46" s="448"/>
    </row>
    <row r="47" spans="2:8" ht="25.5">
      <c r="B47" s="19" t="s">
        <v>55</v>
      </c>
      <c r="C47" s="6">
        <v>2</v>
      </c>
      <c r="D47" s="8">
        <v>15</v>
      </c>
      <c r="E47" s="4">
        <f>C47*D47</f>
        <v>30</v>
      </c>
      <c r="F47" s="447"/>
      <c r="G47" s="447"/>
      <c r="H47" s="448"/>
    </row>
    <row r="48" spans="2:8" ht="15">
      <c r="B48" s="18" t="s">
        <v>21</v>
      </c>
      <c r="C48" s="6">
        <f>SUM(C45:C47)</f>
        <v>45</v>
      </c>
      <c r="D48" s="8">
        <f>SUM(D45:D47)</f>
        <v>335</v>
      </c>
      <c r="E48" s="388">
        <f>SUM(E45:E47)</f>
        <v>1170</v>
      </c>
      <c r="F48" s="447"/>
      <c r="G48" s="447"/>
      <c r="H48" s="448"/>
    </row>
    <row r="49" spans="2:7" ht="15">
      <c r="B49" s="13"/>
      <c r="C49" s="11"/>
      <c r="D49" s="12"/>
      <c r="E49" s="12"/>
      <c r="F49" s="11"/>
      <c r="G49" s="11"/>
    </row>
    <row r="50" spans="2:8" ht="25.5">
      <c r="B50" s="272" t="s">
        <v>78</v>
      </c>
      <c r="C50" s="532" t="s">
        <v>79</v>
      </c>
      <c r="D50" s="532"/>
      <c r="E50" s="532"/>
      <c r="F50" s="531"/>
      <c r="G50" s="531"/>
      <c r="H50" s="531"/>
    </row>
    <row r="51" spans="2:8" ht="15">
      <c r="B51" s="14" t="s">
        <v>1</v>
      </c>
      <c r="C51" s="3"/>
      <c r="D51" s="17"/>
      <c r="E51" s="35" t="s">
        <v>82</v>
      </c>
      <c r="F51" s="387"/>
      <c r="G51" s="387"/>
      <c r="H51" s="449"/>
    </row>
    <row r="52" spans="2:8" ht="38.25">
      <c r="B52" s="5" t="s">
        <v>60</v>
      </c>
      <c r="C52" s="3"/>
      <c r="D52" s="8"/>
      <c r="E52" s="4">
        <v>400</v>
      </c>
      <c r="F52" s="387"/>
      <c r="G52" s="387"/>
      <c r="H52" s="443"/>
    </row>
    <row r="53" spans="2:8" ht="15">
      <c r="B53" s="14" t="s">
        <v>21</v>
      </c>
      <c r="C53" s="3"/>
      <c r="D53" s="8"/>
      <c r="E53" s="413">
        <f>SUM(E52)</f>
        <v>400</v>
      </c>
      <c r="F53" s="387"/>
      <c r="G53" s="387"/>
      <c r="H53" s="443"/>
    </row>
    <row r="54" spans="2:7" ht="15">
      <c r="B54" s="21"/>
      <c r="C54" s="20"/>
      <c r="D54" s="20"/>
      <c r="E54" s="20"/>
      <c r="F54" s="11"/>
      <c r="G54" s="11"/>
    </row>
    <row r="55" spans="2:8" ht="25.5">
      <c r="B55" s="272" t="s">
        <v>61</v>
      </c>
      <c r="C55" s="532" t="s">
        <v>79</v>
      </c>
      <c r="D55" s="532"/>
      <c r="E55" s="532"/>
      <c r="F55" s="531"/>
      <c r="G55" s="531"/>
      <c r="H55" s="531"/>
    </row>
    <row r="56" spans="2:8" ht="15">
      <c r="B56" s="14" t="s">
        <v>1</v>
      </c>
      <c r="C56" s="3"/>
      <c r="D56" s="17"/>
      <c r="E56" s="35" t="s">
        <v>82</v>
      </c>
      <c r="F56" s="387"/>
      <c r="G56" s="387"/>
      <c r="H56" s="449"/>
    </row>
    <row r="57" spans="2:8" ht="25.5">
      <c r="B57" s="5" t="s">
        <v>59</v>
      </c>
      <c r="C57" s="3"/>
      <c r="D57" s="8"/>
      <c r="E57" s="4">
        <v>588</v>
      </c>
      <c r="F57" s="387"/>
      <c r="G57" s="387"/>
      <c r="H57" s="443"/>
    </row>
    <row r="58" spans="2:8" ht="15">
      <c r="B58" s="14" t="s">
        <v>21</v>
      </c>
      <c r="C58" s="3"/>
      <c r="D58" s="8"/>
      <c r="E58" s="413">
        <f>SUM(E57)</f>
        <v>588</v>
      </c>
      <c r="F58" s="387"/>
      <c r="G58" s="387"/>
      <c r="H58" s="443"/>
    </row>
    <row r="59" spans="2:7" ht="15">
      <c r="B59" s="13"/>
      <c r="C59" s="11"/>
      <c r="D59" s="12"/>
      <c r="E59" s="12"/>
      <c r="F59" s="11"/>
      <c r="G59" s="11"/>
    </row>
    <row r="60" spans="2:8" ht="38.25">
      <c r="B60" s="272" t="s">
        <v>83</v>
      </c>
      <c r="C60" s="542" t="s">
        <v>79</v>
      </c>
      <c r="D60" s="542"/>
      <c r="E60" s="542"/>
      <c r="F60" s="531"/>
      <c r="G60" s="531"/>
      <c r="H60" s="531"/>
    </row>
    <row r="61" spans="2:10" ht="25.5">
      <c r="B61" s="18" t="s">
        <v>1</v>
      </c>
      <c r="C61" s="3"/>
      <c r="D61" s="17" t="s">
        <v>292</v>
      </c>
      <c r="E61" s="35" t="s">
        <v>292</v>
      </c>
      <c r="F61" s="6" t="s">
        <v>145</v>
      </c>
      <c r="G61" s="6" t="s">
        <v>146</v>
      </c>
      <c r="H61" s="3" t="s">
        <v>147</v>
      </c>
      <c r="I61" s="3" t="s">
        <v>184</v>
      </c>
      <c r="J61" s="36" t="s">
        <v>185</v>
      </c>
    </row>
    <row r="62" spans="2:10" ht="15">
      <c r="B62" s="18"/>
      <c r="C62" s="3"/>
      <c r="D62" s="17"/>
      <c r="E62" s="35"/>
      <c r="F62" s="414">
        <f>+'Flujo de Caja'!D5</f>
        <v>837.76</v>
      </c>
      <c r="G62" s="414">
        <f>+'Flujo de Caja'!E5</f>
        <v>847.9584273696312</v>
      </c>
      <c r="H62" s="414">
        <f>+'Flujo de Caja'!F5</f>
        <v>858.2810047593322</v>
      </c>
      <c r="I62" s="414">
        <f>+'Flujo de Caja'!G5</f>
        <v>858.2810047593322</v>
      </c>
      <c r="J62" s="414">
        <f>+'Flujo de Caja'!H5</f>
        <v>858.2810047593322</v>
      </c>
    </row>
    <row r="63" spans="2:10" ht="25.5">
      <c r="B63" s="18" t="s">
        <v>186</v>
      </c>
      <c r="C63" s="3"/>
      <c r="D63" s="17"/>
      <c r="E63" s="35"/>
      <c r="F63" s="280">
        <f>+F62/100</f>
        <v>8.3776</v>
      </c>
      <c r="G63" s="280">
        <f>+G62/100</f>
        <v>8.479584273696311</v>
      </c>
      <c r="H63" s="280">
        <f>+H62/100</f>
        <v>8.582810047593322</v>
      </c>
      <c r="I63" s="280">
        <f>+I62/100</f>
        <v>8.582810047593322</v>
      </c>
      <c r="J63" s="280">
        <f>+J62/100</f>
        <v>8.582810047593322</v>
      </c>
    </row>
    <row r="64" spans="2:10" ht="15">
      <c r="B64" s="19" t="s">
        <v>22</v>
      </c>
      <c r="C64" s="3"/>
      <c r="D64" s="8"/>
      <c r="E64" s="457">
        <v>130</v>
      </c>
      <c r="F64" s="414">
        <f>$E$64*F63</f>
        <v>1089.088</v>
      </c>
      <c r="G64" s="414">
        <f>$E$64*G63</f>
        <v>1102.3459555805205</v>
      </c>
      <c r="H64" s="414">
        <f>$E$64*H63</f>
        <v>1115.7653061871317</v>
      </c>
      <c r="I64" s="414">
        <f>$E$64*I63</f>
        <v>1115.7653061871317</v>
      </c>
      <c r="J64" s="414">
        <f>$E$64*J63</f>
        <v>1115.7653061871317</v>
      </c>
    </row>
    <row r="65" spans="2:10" ht="15">
      <c r="B65" s="19" t="s">
        <v>23</v>
      </c>
      <c r="C65" s="3"/>
      <c r="D65" s="8"/>
      <c r="E65" s="4">
        <v>200</v>
      </c>
      <c r="F65" s="414">
        <f aca="true" t="shared" si="4" ref="F65:F70">+E65*$F$63</f>
        <v>1675.5199999999998</v>
      </c>
      <c r="G65" s="414">
        <f aca="true" t="shared" si="5" ref="G65:G70">+E65*$G$63</f>
        <v>1695.9168547392621</v>
      </c>
      <c r="H65" s="414">
        <f aca="true" t="shared" si="6" ref="H65:H70">+E65*$H$63</f>
        <v>1716.5620095186644</v>
      </c>
      <c r="I65" s="414">
        <f aca="true" t="shared" si="7" ref="I65:I70">+E65*$I$63</f>
        <v>1716.5620095186644</v>
      </c>
      <c r="J65" s="414">
        <f aca="true" t="shared" si="8" ref="J65:J70">+E65*$J$63</f>
        <v>1716.5620095186644</v>
      </c>
    </row>
    <row r="66" spans="2:10" ht="15">
      <c r="B66" s="19" t="s">
        <v>24</v>
      </c>
      <c r="C66" s="3"/>
      <c r="D66" s="8"/>
      <c r="E66" s="4">
        <v>131.15</v>
      </c>
      <c r="F66" s="414">
        <f t="shared" si="4"/>
        <v>1098.72224</v>
      </c>
      <c r="G66" s="414">
        <f t="shared" si="5"/>
        <v>1112.0974774952713</v>
      </c>
      <c r="H66" s="414">
        <f t="shared" si="6"/>
        <v>1125.6355377418643</v>
      </c>
      <c r="I66" s="414">
        <f t="shared" si="7"/>
        <v>1125.6355377418643</v>
      </c>
      <c r="J66" s="414">
        <f t="shared" si="8"/>
        <v>1125.6355377418643</v>
      </c>
    </row>
    <row r="67" spans="2:10" ht="15">
      <c r="B67" s="19" t="s">
        <v>25</v>
      </c>
      <c r="C67" s="3"/>
      <c r="D67" s="8"/>
      <c r="E67" s="4">
        <v>1603.52</v>
      </c>
      <c r="F67" s="414">
        <f t="shared" si="4"/>
        <v>13433.649151999998</v>
      </c>
      <c r="G67" s="414">
        <f>+E67*$G$63</f>
        <v>13597.182974557509</v>
      </c>
      <c r="H67" s="414">
        <f>+E67*$H$63</f>
        <v>13762.707567516843</v>
      </c>
      <c r="I67" s="414">
        <f t="shared" si="7"/>
        <v>13762.707567516843</v>
      </c>
      <c r="J67" s="414">
        <f t="shared" si="8"/>
        <v>13762.707567516843</v>
      </c>
    </row>
    <row r="68" spans="2:10" ht="15">
      <c r="B68" s="19" t="s">
        <v>26</v>
      </c>
      <c r="C68" s="3"/>
      <c r="D68" s="8"/>
      <c r="E68" s="4">
        <v>66.81</v>
      </c>
      <c r="F68" s="414">
        <f t="shared" si="4"/>
        <v>559.707456</v>
      </c>
      <c r="G68" s="414">
        <f t="shared" si="5"/>
        <v>566.5210253256505</v>
      </c>
      <c r="H68" s="414">
        <f t="shared" si="6"/>
        <v>573.4175392797098</v>
      </c>
      <c r="I68" s="414">
        <f t="shared" si="7"/>
        <v>573.4175392797098</v>
      </c>
      <c r="J68" s="414">
        <f t="shared" si="8"/>
        <v>573.4175392797098</v>
      </c>
    </row>
    <row r="69" spans="2:10" ht="38.25">
      <c r="B69" s="19" t="s">
        <v>27</v>
      </c>
      <c r="C69" s="3"/>
      <c r="D69" s="8"/>
      <c r="E69" s="4">
        <v>150</v>
      </c>
      <c r="F69" s="414">
        <f t="shared" si="4"/>
        <v>1256.6399999999999</v>
      </c>
      <c r="G69" s="414">
        <f t="shared" si="5"/>
        <v>1271.9376410544467</v>
      </c>
      <c r="H69" s="414">
        <f t="shared" si="6"/>
        <v>1287.4215071389983</v>
      </c>
      <c r="I69" s="414">
        <f t="shared" si="7"/>
        <v>1287.4215071389983</v>
      </c>
      <c r="J69" s="414">
        <f t="shared" si="8"/>
        <v>1287.4215071389983</v>
      </c>
    </row>
    <row r="70" spans="2:10" ht="25.5">
      <c r="B70" s="19" t="s">
        <v>28</v>
      </c>
      <c r="C70" s="3"/>
      <c r="D70" s="8"/>
      <c r="E70" s="4">
        <v>30</v>
      </c>
      <c r="F70" s="414">
        <f t="shared" si="4"/>
        <v>251.32799999999997</v>
      </c>
      <c r="G70" s="414">
        <f t="shared" si="5"/>
        <v>254.38752821088934</v>
      </c>
      <c r="H70" s="414">
        <f t="shared" si="6"/>
        <v>257.48430142779966</v>
      </c>
      <c r="I70" s="414">
        <f t="shared" si="7"/>
        <v>257.48430142779966</v>
      </c>
      <c r="J70" s="414">
        <f t="shared" si="8"/>
        <v>257.48430142779966</v>
      </c>
    </row>
    <row r="71" spans="2:10" ht="15">
      <c r="B71" s="18" t="s">
        <v>21</v>
      </c>
      <c r="C71" s="3"/>
      <c r="D71" s="4"/>
      <c r="E71" s="10">
        <f aca="true" t="shared" si="9" ref="E71:J71">SUM(E64:E70)</f>
        <v>2311.48</v>
      </c>
      <c r="F71" s="10">
        <f>SUM(F64:F70)</f>
        <v>19364.654848</v>
      </c>
      <c r="G71" s="10">
        <f t="shared" si="9"/>
        <v>19600.389456963552</v>
      </c>
      <c r="H71" s="10">
        <f t="shared" si="9"/>
        <v>19838.993768811015</v>
      </c>
      <c r="I71" s="10">
        <f t="shared" si="9"/>
        <v>19838.993768811015</v>
      </c>
      <c r="J71" s="10">
        <f t="shared" si="9"/>
        <v>19838.993768811015</v>
      </c>
    </row>
    <row r="72" spans="2:10" ht="15">
      <c r="B72" s="13"/>
      <c r="C72" s="11"/>
      <c r="D72" s="12"/>
      <c r="E72" s="12"/>
      <c r="F72" s="432"/>
      <c r="G72" s="432"/>
      <c r="H72" s="432"/>
      <c r="I72" s="432"/>
      <c r="J72" s="432"/>
    </row>
    <row r="73" spans="3:7" ht="15">
      <c r="C73" s="11"/>
      <c r="D73" s="12"/>
      <c r="E73" s="12"/>
      <c r="F73" s="423"/>
      <c r="G73" s="11"/>
    </row>
    <row r="74" spans="2:7" ht="39" thickBot="1">
      <c r="B74" s="419" t="s">
        <v>300</v>
      </c>
      <c r="C74" s="11"/>
      <c r="D74" s="12"/>
      <c r="E74" s="12"/>
      <c r="F74" s="11"/>
      <c r="G74" s="11"/>
    </row>
    <row r="75" spans="2:8" ht="37.5" customHeight="1">
      <c r="B75" s="416" t="s">
        <v>301</v>
      </c>
      <c r="C75" s="417" t="s">
        <v>302</v>
      </c>
      <c r="D75" s="417" t="s">
        <v>289</v>
      </c>
      <c r="E75" s="417" t="s">
        <v>303</v>
      </c>
      <c r="F75" s="417" t="s">
        <v>304</v>
      </c>
      <c r="G75" s="417" t="s">
        <v>305</v>
      </c>
      <c r="H75" s="425" t="s">
        <v>313</v>
      </c>
    </row>
    <row r="76" spans="2:8" ht="15">
      <c r="B76" s="418" t="s">
        <v>306</v>
      </c>
      <c r="C76" s="8">
        <f>$C$149</f>
        <v>237.62</v>
      </c>
      <c r="D76" s="424">
        <f>'Flujo de Caja'!$D$5</f>
        <v>837.76</v>
      </c>
      <c r="E76" s="290">
        <f>C76*D76</f>
        <v>199068.5312</v>
      </c>
      <c r="F76" s="415">
        <v>0.15</v>
      </c>
      <c r="G76" s="290">
        <f>E76*F76</f>
        <v>29860.27968</v>
      </c>
      <c r="H76" s="401">
        <f>C76*F76</f>
        <v>35.643</v>
      </c>
    </row>
    <row r="77" spans="2:8" ht="15">
      <c r="B77" s="418" t="s">
        <v>307</v>
      </c>
      <c r="C77" s="8">
        <f>$C$149</f>
        <v>237.62</v>
      </c>
      <c r="D77" s="424">
        <f>'Flujo de Caja'!$D$5</f>
        <v>837.76</v>
      </c>
      <c r="E77" s="290">
        <f>C77*D77</f>
        <v>199068.5312</v>
      </c>
      <c r="F77" s="415">
        <v>0.15</v>
      </c>
      <c r="G77" s="290">
        <f>E77*F77</f>
        <v>29860.27968</v>
      </c>
      <c r="H77" s="401">
        <f>C77*F77</f>
        <v>35.643</v>
      </c>
    </row>
    <row r="78" spans="2:8" ht="15">
      <c r="B78" s="418" t="s">
        <v>308</v>
      </c>
      <c r="C78" s="8">
        <f>$C$149</f>
        <v>237.62</v>
      </c>
      <c r="D78" s="424">
        <f>'Flujo de Caja'!$D$5</f>
        <v>837.76</v>
      </c>
      <c r="E78" s="290">
        <f>C78*D78</f>
        <v>199068.5312</v>
      </c>
      <c r="F78" s="415">
        <v>0.1</v>
      </c>
      <c r="G78" s="290">
        <f>E78*F78</f>
        <v>19906.85312</v>
      </c>
      <c r="H78" s="401">
        <f>C78*F78</f>
        <v>23.762</v>
      </c>
    </row>
    <row r="79" spans="2:8" ht="15.75" thickBot="1">
      <c r="B79" s="426" t="s">
        <v>309</v>
      </c>
      <c r="C79" s="427">
        <f>$C$149</f>
        <v>237.62</v>
      </c>
      <c r="D79" s="428">
        <f>'Flujo de Caja'!$D$5</f>
        <v>837.76</v>
      </c>
      <c r="E79" s="429">
        <f>C79*D79</f>
        <v>199068.5312</v>
      </c>
      <c r="F79" s="430">
        <v>0.1</v>
      </c>
      <c r="G79" s="429">
        <f>E79*F79</f>
        <v>19906.85312</v>
      </c>
      <c r="H79" s="401">
        <f>C79*F79</f>
        <v>23.762</v>
      </c>
    </row>
    <row r="80" spans="2:9" ht="15.75" thickBot="1">
      <c r="B80" s="538" t="s">
        <v>21</v>
      </c>
      <c r="C80" s="539"/>
      <c r="D80" s="539"/>
      <c r="E80" s="539"/>
      <c r="F80" s="539"/>
      <c r="G80" s="431">
        <f>D76*H80</f>
        <v>99534.2656</v>
      </c>
      <c r="H80" s="458">
        <v>118.81</v>
      </c>
      <c r="I80" t="s">
        <v>312</v>
      </c>
    </row>
    <row r="81" spans="2:7" ht="15">
      <c r="B81" s="13"/>
      <c r="C81" s="11"/>
      <c r="D81" s="12"/>
      <c r="E81" s="12"/>
      <c r="F81" s="11"/>
      <c r="G81" s="11"/>
    </row>
    <row r="82" spans="2:7" ht="15">
      <c r="B82" s="13"/>
      <c r="C82" s="11"/>
      <c r="D82" s="12"/>
      <c r="E82" s="12"/>
      <c r="F82" s="11"/>
      <c r="G82" s="11"/>
    </row>
    <row r="83" spans="2:8" s="30" customFormat="1" ht="25.5">
      <c r="B83" s="271" t="s">
        <v>84</v>
      </c>
      <c r="C83" s="532" t="s">
        <v>79</v>
      </c>
      <c r="D83" s="532"/>
      <c r="E83" s="532"/>
      <c r="F83" s="531"/>
      <c r="G83" s="531"/>
      <c r="H83" s="531"/>
    </row>
    <row r="84" spans="2:8" s="30" customFormat="1" ht="28.5" customHeight="1">
      <c r="B84" s="31" t="s">
        <v>1</v>
      </c>
      <c r="C84" s="31" t="s">
        <v>85</v>
      </c>
      <c r="D84" s="33" t="s">
        <v>3</v>
      </c>
      <c r="E84" s="31" t="s">
        <v>45</v>
      </c>
      <c r="F84" s="450"/>
      <c r="G84" s="445"/>
      <c r="H84" s="450"/>
    </row>
    <row r="85" spans="2:8" ht="38.25">
      <c r="B85" s="5" t="s">
        <v>72</v>
      </c>
      <c r="C85" s="23">
        <v>1</v>
      </c>
      <c r="D85" s="8">
        <v>430</v>
      </c>
      <c r="E85" s="4">
        <f>D85*12</f>
        <v>5160</v>
      </c>
      <c r="F85" s="443"/>
      <c r="G85" s="387"/>
      <c r="H85" s="443"/>
    </row>
    <row r="86" spans="2:8" ht="25.5">
      <c r="B86" s="5" t="s">
        <v>43</v>
      </c>
      <c r="C86" s="23">
        <v>1</v>
      </c>
      <c r="D86" s="8">
        <v>440</v>
      </c>
      <c r="E86" s="4">
        <f>D86*12</f>
        <v>5280</v>
      </c>
      <c r="F86" s="443"/>
      <c r="G86" s="387"/>
      <c r="H86" s="443"/>
    </row>
    <row r="87" spans="2:8" ht="38.25">
      <c r="B87" s="5" t="s">
        <v>71</v>
      </c>
      <c r="C87" s="23">
        <v>1</v>
      </c>
      <c r="D87" s="8">
        <v>280</v>
      </c>
      <c r="E87" s="4">
        <f>D87*12</f>
        <v>3360</v>
      </c>
      <c r="F87" s="443"/>
      <c r="G87" s="387"/>
      <c r="H87" s="443"/>
    </row>
    <row r="88" spans="2:8" ht="15">
      <c r="B88" s="5" t="s">
        <v>21</v>
      </c>
      <c r="C88" s="8">
        <f>SUM(C85:C87)</f>
        <v>3</v>
      </c>
      <c r="D88" s="8">
        <f>SUM(D85:D87)</f>
        <v>1150</v>
      </c>
      <c r="E88" s="413">
        <f>SUM(E85:E87)</f>
        <v>13800</v>
      </c>
      <c r="F88" s="443"/>
      <c r="G88" s="387"/>
      <c r="H88" s="443"/>
    </row>
    <row r="89" spans="2:7" ht="15">
      <c r="B89" s="13"/>
      <c r="C89" s="11"/>
      <c r="D89" s="12"/>
      <c r="E89" s="12"/>
      <c r="F89" s="11"/>
      <c r="G89" s="11"/>
    </row>
    <row r="90" spans="2:7" ht="25.5">
      <c r="B90" s="269" t="s">
        <v>46</v>
      </c>
      <c r="C90" s="11"/>
      <c r="D90" s="12"/>
      <c r="E90" s="12"/>
      <c r="F90" s="11"/>
      <c r="G90" s="11"/>
    </row>
    <row r="91" spans="2:7" ht="25.5">
      <c r="B91" s="5" t="s">
        <v>1</v>
      </c>
      <c r="C91" s="7" t="s">
        <v>86</v>
      </c>
      <c r="D91" s="5" t="s">
        <v>87</v>
      </c>
      <c r="E91" s="12"/>
      <c r="F91" s="11"/>
      <c r="G91" s="11"/>
    </row>
    <row r="92" spans="2:7" ht="25.5">
      <c r="B92" s="24" t="s">
        <v>47</v>
      </c>
      <c r="C92" s="8"/>
      <c r="D92" s="6"/>
      <c r="E92" s="12"/>
      <c r="F92" s="11"/>
      <c r="G92" s="11"/>
    </row>
    <row r="93" spans="2:7" ht="25.5">
      <c r="B93" s="5" t="s">
        <v>315</v>
      </c>
      <c r="C93" s="459">
        <v>600</v>
      </c>
      <c r="D93" s="268">
        <f>C93*12</f>
        <v>7200</v>
      </c>
      <c r="E93" s="12"/>
      <c r="F93" s="11"/>
      <c r="G93" s="11"/>
    </row>
    <row r="94" spans="2:7" ht="15">
      <c r="B94" s="5" t="s">
        <v>48</v>
      </c>
      <c r="C94" s="459">
        <v>600</v>
      </c>
      <c r="D94" s="268">
        <f>C94*12</f>
        <v>7200</v>
      </c>
      <c r="E94" s="12"/>
      <c r="F94" s="11"/>
      <c r="G94" s="11"/>
    </row>
    <row r="95" spans="2:7" ht="25.5">
      <c r="B95" s="5" t="s">
        <v>64</v>
      </c>
      <c r="C95" s="459">
        <v>600</v>
      </c>
      <c r="D95" s="268">
        <f>C95*12</f>
        <v>7200</v>
      </c>
      <c r="E95" s="12"/>
      <c r="F95" s="11"/>
      <c r="G95" s="11"/>
    </row>
    <row r="96" spans="2:7" ht="15">
      <c r="B96" s="5" t="s">
        <v>333</v>
      </c>
      <c r="C96" s="385">
        <f>D115</f>
        <v>500</v>
      </c>
      <c r="D96" s="268">
        <f>C96*12</f>
        <v>6000</v>
      </c>
      <c r="E96" s="12"/>
      <c r="F96" s="11"/>
      <c r="G96" s="11"/>
    </row>
    <row r="97" spans="2:7" ht="15">
      <c r="B97" s="5" t="s">
        <v>334</v>
      </c>
      <c r="C97" s="385">
        <f>+D117</f>
        <v>220</v>
      </c>
      <c r="D97" s="268">
        <f>C97*12</f>
        <v>2640</v>
      </c>
      <c r="E97" s="12"/>
      <c r="F97" s="11"/>
      <c r="G97" s="11"/>
    </row>
    <row r="98" spans="2:7" ht="15">
      <c r="B98" s="5"/>
      <c r="C98" s="8"/>
      <c r="D98" s="412">
        <f>+D93+D94+D95+D97+D96</f>
        <v>30240</v>
      </c>
      <c r="E98" s="12"/>
      <c r="F98" s="11"/>
      <c r="G98" s="11"/>
    </row>
    <row r="99" spans="2:7" ht="15" hidden="1">
      <c r="B99" s="68"/>
      <c r="C99" s="20"/>
      <c r="D99" s="386"/>
      <c r="E99" s="12"/>
      <c r="F99" s="11"/>
      <c r="G99" s="11"/>
    </row>
    <row r="100" spans="2:7" ht="15">
      <c r="B100" s="269" t="s">
        <v>206</v>
      </c>
      <c r="C100" s="20"/>
      <c r="D100" s="387"/>
      <c r="E100" s="12"/>
      <c r="F100" s="11"/>
      <c r="G100" s="11"/>
    </row>
    <row r="101" spans="2:7" ht="25.5">
      <c r="B101" s="5" t="s">
        <v>49</v>
      </c>
      <c r="C101" s="4">
        <v>294</v>
      </c>
      <c r="D101" s="4">
        <f>C101*12</f>
        <v>3528</v>
      </c>
      <c r="E101" s="12"/>
      <c r="F101" s="11"/>
      <c r="G101" s="11"/>
    </row>
    <row r="102" spans="2:7" ht="25.5">
      <c r="B102" s="5" t="s">
        <v>50</v>
      </c>
      <c r="C102" s="4">
        <v>126</v>
      </c>
      <c r="D102" s="4">
        <f>C102*12</f>
        <v>1512</v>
      </c>
      <c r="E102" s="12"/>
      <c r="F102" s="11"/>
      <c r="G102" s="11"/>
    </row>
    <row r="103" spans="2:7" ht="15">
      <c r="B103" s="5" t="s">
        <v>207</v>
      </c>
      <c r="C103" s="4"/>
      <c r="D103" s="412">
        <f>+D101+D102</f>
        <v>5040</v>
      </c>
      <c r="E103" s="12"/>
      <c r="F103" s="11"/>
      <c r="G103" s="11"/>
    </row>
    <row r="104" spans="2:7" ht="15" hidden="1">
      <c r="B104" s="389"/>
      <c r="C104" s="28"/>
      <c r="D104" s="28"/>
      <c r="E104" s="12"/>
      <c r="F104" s="11"/>
      <c r="G104" s="11"/>
    </row>
    <row r="105" spans="2:7" ht="15">
      <c r="B105" s="291" t="s">
        <v>205</v>
      </c>
      <c r="C105" s="28"/>
      <c r="D105" s="28"/>
      <c r="E105" s="12"/>
      <c r="F105" s="11"/>
      <c r="G105" s="11"/>
    </row>
    <row r="106" spans="2:7" ht="15">
      <c r="B106" s="5" t="s">
        <v>51</v>
      </c>
      <c r="C106" s="388">
        <v>50</v>
      </c>
      <c r="D106" s="4">
        <f>C106*12</f>
        <v>600</v>
      </c>
      <c r="E106" s="12"/>
      <c r="F106" s="11"/>
      <c r="G106" s="11"/>
    </row>
    <row r="107" spans="2:7" ht="15">
      <c r="B107" s="5" t="s">
        <v>52</v>
      </c>
      <c r="C107" s="388">
        <v>25</v>
      </c>
      <c r="D107" s="4">
        <f>C107*12</f>
        <v>300</v>
      </c>
      <c r="E107" s="12"/>
      <c r="F107" s="11"/>
      <c r="G107" s="11"/>
    </row>
    <row r="108" spans="2:7" ht="15">
      <c r="B108" s="5" t="s">
        <v>53</v>
      </c>
      <c r="C108" s="388">
        <v>40</v>
      </c>
      <c r="D108" s="4">
        <f>C108*12</f>
        <v>480</v>
      </c>
      <c r="E108" s="12"/>
      <c r="F108" s="11"/>
      <c r="G108" s="11"/>
    </row>
    <row r="109" spans="2:7" ht="15">
      <c r="B109" s="5" t="s">
        <v>294</v>
      </c>
      <c r="C109" s="388">
        <v>60</v>
      </c>
      <c r="D109" s="4">
        <f>C109*12</f>
        <v>720</v>
      </c>
      <c r="E109" s="12"/>
      <c r="F109" s="11"/>
      <c r="G109" s="11"/>
    </row>
    <row r="110" spans="2:7" ht="15">
      <c r="B110" s="5" t="s">
        <v>21</v>
      </c>
      <c r="C110" s="8">
        <f>SUM(C93:C109)</f>
        <v>3115</v>
      </c>
      <c r="D110" s="412">
        <f>+D106+D107+D108+D109</f>
        <v>2100</v>
      </c>
      <c r="E110" s="12"/>
      <c r="F110" s="11"/>
      <c r="G110" s="11"/>
    </row>
    <row r="111" spans="2:7" ht="15">
      <c r="B111" s="68"/>
      <c r="C111" s="20"/>
      <c r="D111" s="270"/>
      <c r="E111" s="12"/>
      <c r="F111" s="11"/>
      <c r="G111" s="11"/>
    </row>
    <row r="112" spans="2:7" ht="15">
      <c r="B112" s="68"/>
      <c r="C112" s="20"/>
      <c r="D112" s="270"/>
      <c r="E112" s="12"/>
      <c r="F112" s="11"/>
      <c r="G112" s="11"/>
    </row>
    <row r="113" spans="2:7" ht="38.25">
      <c r="B113" s="269" t="s">
        <v>56</v>
      </c>
      <c r="C113" s="11"/>
      <c r="D113" s="12"/>
      <c r="E113" s="12"/>
      <c r="F113" s="11"/>
      <c r="G113" s="11"/>
    </row>
    <row r="114" spans="2:7" ht="25.5">
      <c r="B114" s="31" t="s">
        <v>1</v>
      </c>
      <c r="C114" s="31" t="s">
        <v>2</v>
      </c>
      <c r="D114" s="33" t="s">
        <v>44</v>
      </c>
      <c r="E114" s="31" t="s">
        <v>45</v>
      </c>
      <c r="F114" s="31" t="s">
        <v>314</v>
      </c>
      <c r="G114" s="11"/>
    </row>
    <row r="115" spans="2:7" ht="15">
      <c r="B115" s="5" t="s">
        <v>295</v>
      </c>
      <c r="C115" s="6">
        <v>2</v>
      </c>
      <c r="D115" s="8">
        <f>C115*F115</f>
        <v>500</v>
      </c>
      <c r="E115" s="267">
        <f>D115*12</f>
        <v>6000</v>
      </c>
      <c r="F115" s="435">
        <v>250</v>
      </c>
      <c r="G115" s="11"/>
    </row>
    <row r="116" spans="2:7" ht="63.75">
      <c r="B116" s="5" t="s">
        <v>57</v>
      </c>
      <c r="C116" s="6">
        <v>1</v>
      </c>
      <c r="D116" s="8">
        <f>C116*F116</f>
        <v>220</v>
      </c>
      <c r="E116" s="267">
        <f>D116*12</f>
        <v>2640</v>
      </c>
      <c r="F116" s="435">
        <v>220</v>
      </c>
      <c r="G116" s="11"/>
    </row>
    <row r="117" spans="2:7" ht="15">
      <c r="B117" s="5" t="s">
        <v>21</v>
      </c>
      <c r="C117" s="6">
        <f>SUM(C116)</f>
        <v>1</v>
      </c>
      <c r="D117" s="8">
        <f>SUM(D116)</f>
        <v>220</v>
      </c>
      <c r="E117" s="22">
        <f>SUM(E115:E116)</f>
        <v>8640</v>
      </c>
      <c r="F117" s="11"/>
      <c r="G117" s="11"/>
    </row>
    <row r="118" spans="2:7" ht="15">
      <c r="B118" s="68"/>
      <c r="C118" s="20"/>
      <c r="D118" s="270"/>
      <c r="E118" s="12"/>
      <c r="F118" s="11"/>
      <c r="G118" s="11"/>
    </row>
    <row r="119" spans="2:7" ht="15">
      <c r="B119" s="68"/>
      <c r="C119" s="20"/>
      <c r="D119" s="270"/>
      <c r="E119" s="12"/>
      <c r="F119" s="11"/>
      <c r="G119" s="11"/>
    </row>
    <row r="120" spans="2:7" ht="25.5">
      <c r="B120" s="5" t="s">
        <v>170</v>
      </c>
      <c r="C120" s="9">
        <f>+D98+D110+E117</f>
        <v>40980</v>
      </c>
      <c r="D120" s="270"/>
      <c r="E120" s="12"/>
      <c r="F120" s="11"/>
      <c r="G120" s="11"/>
    </row>
    <row r="121" spans="2:7" ht="15">
      <c r="B121" s="68"/>
      <c r="C121" s="20"/>
      <c r="D121" s="270"/>
      <c r="E121" s="12"/>
      <c r="F121" s="11"/>
      <c r="G121" s="11"/>
    </row>
    <row r="122" spans="2:7" ht="15">
      <c r="B122" s="68"/>
      <c r="C122" s="20"/>
      <c r="D122" s="270"/>
      <c r="E122" s="12"/>
      <c r="F122" s="11"/>
      <c r="G122" s="11"/>
    </row>
    <row r="123" spans="2:7" ht="15">
      <c r="B123" s="68"/>
      <c r="C123" s="20"/>
      <c r="D123" s="270"/>
      <c r="E123" s="12"/>
      <c r="F123" s="11"/>
      <c r="G123" s="11"/>
    </row>
    <row r="124" spans="2:7" ht="15.75" thickBot="1">
      <c r="B124" s="68" t="s">
        <v>220</v>
      </c>
      <c r="C124" s="20"/>
      <c r="D124" s="270" t="s">
        <v>144</v>
      </c>
      <c r="E124" s="12"/>
      <c r="F124" s="11"/>
      <c r="G124" s="11"/>
    </row>
    <row r="125" spans="2:10" ht="15.75" thickBot="1">
      <c r="B125" s="329" t="s">
        <v>227</v>
      </c>
      <c r="C125" s="330">
        <v>15890</v>
      </c>
      <c r="D125" s="270">
        <v>1</v>
      </c>
      <c r="E125" s="12"/>
      <c r="F125" s="11"/>
      <c r="G125" s="535"/>
      <c r="H125" s="326"/>
      <c r="I125" s="535"/>
      <c r="J125" s="326" t="s">
        <v>227</v>
      </c>
    </row>
    <row r="126" spans="2:10" ht="15">
      <c r="B126" s="68" t="s">
        <v>226</v>
      </c>
      <c r="C126" s="20">
        <v>15890</v>
      </c>
      <c r="D126" s="270"/>
      <c r="E126" s="12"/>
      <c r="F126" s="11"/>
      <c r="G126" s="536"/>
      <c r="H126" s="327"/>
      <c r="I126" s="536"/>
      <c r="J126" s="327" t="s">
        <v>228</v>
      </c>
    </row>
    <row r="127" spans="2:10" ht="15">
      <c r="B127" s="68"/>
      <c r="C127" s="20"/>
      <c r="D127" s="270"/>
      <c r="E127" s="12"/>
      <c r="F127" s="11"/>
      <c r="G127" s="537"/>
      <c r="H127" s="328"/>
      <c r="I127" s="537"/>
      <c r="J127" s="328" t="s">
        <v>229</v>
      </c>
    </row>
    <row r="128" spans="2:7" ht="15">
      <c r="B128" s="68"/>
      <c r="C128" s="20"/>
      <c r="D128" s="270"/>
      <c r="E128" s="12"/>
      <c r="F128" s="11"/>
      <c r="G128" s="11"/>
    </row>
    <row r="129" spans="2:7" ht="15">
      <c r="B129" s="68"/>
      <c r="C129" s="20"/>
      <c r="D129" s="270"/>
      <c r="E129" s="12"/>
      <c r="F129" s="11"/>
      <c r="G129" s="11"/>
    </row>
    <row r="130" spans="2:7" ht="15">
      <c r="B130" s="68"/>
      <c r="C130" s="20"/>
      <c r="D130" s="270"/>
      <c r="E130" s="12"/>
      <c r="F130" s="11"/>
      <c r="G130" s="11"/>
    </row>
    <row r="131" spans="2:7" ht="15">
      <c r="B131" s="13"/>
      <c r="C131" s="11"/>
      <c r="D131" s="12"/>
      <c r="E131" s="12"/>
      <c r="F131" s="11"/>
      <c r="G131" s="11"/>
    </row>
    <row r="132" spans="2:7" ht="25.5">
      <c r="B132" s="25" t="s">
        <v>68</v>
      </c>
      <c r="C132" s="11"/>
      <c r="D132" s="12"/>
      <c r="E132" s="12"/>
      <c r="F132" s="11"/>
      <c r="G132" s="11"/>
    </row>
    <row r="133" spans="2:7" ht="15">
      <c r="B133" s="13"/>
      <c r="C133" s="11"/>
      <c r="D133" s="12"/>
      <c r="E133" s="12"/>
      <c r="F133" s="11"/>
      <c r="G133" s="11"/>
    </row>
    <row r="134" spans="2:7" ht="30">
      <c r="B134" s="462" t="s">
        <v>331</v>
      </c>
      <c r="C134" s="6"/>
      <c r="D134" s="12"/>
      <c r="E134" s="12"/>
      <c r="F134" s="11"/>
      <c r="G134" s="11"/>
    </row>
    <row r="135" spans="2:7" ht="15">
      <c r="B135" s="14" t="s">
        <v>330</v>
      </c>
      <c r="C135" s="8">
        <f>+C126</f>
        <v>15890</v>
      </c>
      <c r="D135" s="12"/>
      <c r="E135" s="12"/>
      <c r="F135" s="11"/>
      <c r="G135" s="11"/>
    </row>
    <row r="136" spans="2:7" ht="25.5">
      <c r="B136" s="14" t="s">
        <v>30</v>
      </c>
      <c r="C136" s="8">
        <f>E19</f>
        <v>7563.15</v>
      </c>
      <c r="D136" s="12"/>
      <c r="E136" s="12"/>
      <c r="F136" s="11"/>
      <c r="G136" s="11"/>
    </row>
    <row r="137" spans="2:7" ht="15">
      <c r="B137" s="14" t="s">
        <v>88</v>
      </c>
      <c r="C137" s="8">
        <f>E41</f>
        <v>449.58</v>
      </c>
      <c r="D137" s="12"/>
      <c r="E137" s="12"/>
      <c r="F137" s="11"/>
      <c r="G137" s="11"/>
    </row>
    <row r="138" spans="2:7" ht="25.5">
      <c r="B138" s="14" t="s">
        <v>165</v>
      </c>
      <c r="C138" s="8">
        <f>E48</f>
        <v>1170</v>
      </c>
      <c r="D138" s="12"/>
      <c r="E138" s="12"/>
      <c r="F138" s="11"/>
      <c r="G138" s="11"/>
    </row>
    <row r="139" spans="2:7" ht="15">
      <c r="B139" s="24" t="s">
        <v>332</v>
      </c>
      <c r="C139" s="4">
        <f>+SUM(C135:C138)</f>
        <v>25072.730000000003</v>
      </c>
      <c r="D139" s="12"/>
      <c r="E139" s="12"/>
      <c r="F139" s="11"/>
      <c r="G139" s="11"/>
    </row>
    <row r="140" spans="2:7" ht="25.5">
      <c r="B140" s="5" t="s">
        <v>166</v>
      </c>
      <c r="C140" s="4">
        <f>+E88</f>
        <v>13800</v>
      </c>
      <c r="D140" s="12"/>
      <c r="E140" s="12"/>
      <c r="F140" s="11"/>
      <c r="G140" s="11"/>
    </row>
    <row r="141" spans="2:7" ht="25.5">
      <c r="B141" s="5" t="s">
        <v>69</v>
      </c>
      <c r="C141" s="4">
        <f>E53</f>
        <v>400</v>
      </c>
      <c r="D141" s="12"/>
      <c r="E141" s="12"/>
      <c r="F141" s="11"/>
      <c r="G141" s="11"/>
    </row>
    <row r="142" spans="2:7" ht="25.5">
      <c r="B142" s="5" t="s">
        <v>70</v>
      </c>
      <c r="C142" s="4">
        <f>E58</f>
        <v>588</v>
      </c>
      <c r="D142" s="12">
        <f>+C141+C142</f>
        <v>988</v>
      </c>
      <c r="E142" s="12"/>
      <c r="F142" s="11"/>
      <c r="G142" s="11"/>
    </row>
    <row r="143" spans="2:7" ht="15">
      <c r="B143" s="5" t="s">
        <v>21</v>
      </c>
      <c r="C143" s="463">
        <f>SUM(C139:C142)</f>
        <v>39860.73</v>
      </c>
      <c r="D143" s="12"/>
      <c r="E143" s="12"/>
      <c r="F143" s="11"/>
      <c r="G143" s="11"/>
    </row>
    <row r="144" spans="2:7" ht="15">
      <c r="B144" s="13"/>
      <c r="C144" s="11"/>
      <c r="D144" s="12"/>
      <c r="E144" s="12"/>
      <c r="F144" s="11"/>
      <c r="G144" s="11"/>
    </row>
    <row r="145" spans="2:7" ht="38.25">
      <c r="B145" s="26" t="s">
        <v>73</v>
      </c>
      <c r="C145" s="27"/>
      <c r="D145" s="12"/>
      <c r="E145" s="12"/>
      <c r="F145" s="11"/>
      <c r="G145" s="11"/>
    </row>
    <row r="146" spans="2:7" ht="38.25">
      <c r="B146" s="26" t="s">
        <v>76</v>
      </c>
      <c r="C146" s="27"/>
      <c r="D146" s="12"/>
      <c r="E146" s="12"/>
      <c r="F146" s="11"/>
      <c r="G146" s="11"/>
    </row>
    <row r="147" spans="2:7" ht="15">
      <c r="B147" s="26" t="s">
        <v>74</v>
      </c>
      <c r="C147" s="28"/>
      <c r="D147" s="12"/>
      <c r="E147" s="12"/>
      <c r="F147" s="11"/>
      <c r="G147" s="11"/>
    </row>
    <row r="148" spans="2:7" ht="15.75" thickBot="1">
      <c r="B148" s="13"/>
      <c r="C148" s="12"/>
      <c r="D148" s="12"/>
      <c r="E148" s="12"/>
      <c r="F148" s="11"/>
      <c r="G148" s="11"/>
    </row>
    <row r="149" spans="2:7" ht="15.75" thickBot="1">
      <c r="B149" s="18" t="s">
        <v>75</v>
      </c>
      <c r="C149" s="456">
        <v>237.62</v>
      </c>
      <c r="D149" s="12"/>
      <c r="E149" s="12"/>
      <c r="F149" s="11"/>
      <c r="G149" s="11"/>
    </row>
    <row r="150" spans="2:7" ht="15.75" thickBot="1">
      <c r="B150" s="13"/>
      <c r="C150" s="11"/>
      <c r="D150" s="12"/>
      <c r="E150" s="12"/>
      <c r="F150" s="11"/>
      <c r="G150" s="11"/>
    </row>
    <row r="151" spans="2:7" ht="15">
      <c r="B151" s="13"/>
      <c r="C151" s="533" t="s">
        <v>257</v>
      </c>
      <c r="D151" s="534"/>
      <c r="E151" s="358" t="s">
        <v>258</v>
      </c>
      <c r="F151" s="359" t="s">
        <v>108</v>
      </c>
      <c r="G151" s="360" t="s">
        <v>259</v>
      </c>
    </row>
    <row r="152" spans="2:7" ht="15">
      <c r="B152" s="13"/>
      <c r="C152" s="361" t="s">
        <v>260</v>
      </c>
      <c r="D152" s="4">
        <f>(200+229)/2</f>
        <v>214.5</v>
      </c>
      <c r="E152" s="362">
        <v>238</v>
      </c>
      <c r="F152" s="363">
        <f>E152/$E$156</f>
        <v>0.595</v>
      </c>
      <c r="G152" s="364">
        <f>D152*(F152/$F$156)</f>
        <v>127.6275</v>
      </c>
    </row>
    <row r="153" spans="2:7" ht="15">
      <c r="B153" s="13"/>
      <c r="C153" s="361" t="s">
        <v>261</v>
      </c>
      <c r="D153" s="4">
        <f>(230+259)/2</f>
        <v>244.5</v>
      </c>
      <c r="E153" s="362">
        <v>73</v>
      </c>
      <c r="F153" s="363">
        <f>E153/$E$156</f>
        <v>0.1825</v>
      </c>
      <c r="G153" s="364">
        <f>D153*(F153/$F$156)</f>
        <v>44.621249999999996</v>
      </c>
    </row>
    <row r="154" spans="2:7" ht="15">
      <c r="B154" s="13"/>
      <c r="C154" s="361" t="s">
        <v>262</v>
      </c>
      <c r="D154" s="4">
        <f>(260+299)/2</f>
        <v>279.5</v>
      </c>
      <c r="E154" s="362">
        <v>27</v>
      </c>
      <c r="F154" s="363">
        <f>E154/$E$156</f>
        <v>0.0675</v>
      </c>
      <c r="G154" s="364">
        <f>D154*(F154/$F$156)</f>
        <v>18.86625</v>
      </c>
    </row>
    <row r="155" spans="2:7" ht="15.75" thickBot="1">
      <c r="B155" s="13"/>
      <c r="C155" s="365" t="s">
        <v>263</v>
      </c>
      <c r="D155" s="366">
        <v>300</v>
      </c>
      <c r="E155" s="381">
        <v>62</v>
      </c>
      <c r="F155" s="382">
        <f>E155/$E$156</f>
        <v>0.155</v>
      </c>
      <c r="G155" s="383">
        <f>D155*(F155/$F$156)</f>
        <v>46.5</v>
      </c>
    </row>
    <row r="156" spans="2:7" ht="15.75" thickBot="1">
      <c r="B156" s="13"/>
      <c r="C156" s="367"/>
      <c r="D156" s="368"/>
      <c r="E156" s="369">
        <f>SUM(E152:E155)</f>
        <v>400</v>
      </c>
      <c r="F156" s="370">
        <f>SUM(F152:F155)</f>
        <v>1</v>
      </c>
      <c r="G156" s="384">
        <f>SUM(G152:G155)</f>
        <v>237.615</v>
      </c>
    </row>
    <row r="157" spans="2:7" ht="15">
      <c r="B157" s="13"/>
      <c r="C157" s="11"/>
      <c r="D157" s="12"/>
      <c r="E157" s="12"/>
      <c r="F157" s="11"/>
      <c r="G157" s="11"/>
    </row>
    <row r="158" spans="2:7" ht="15">
      <c r="B158" s="13"/>
      <c r="C158" s="11"/>
      <c r="D158" s="12"/>
      <c r="E158" s="12"/>
      <c r="F158" s="11"/>
      <c r="G158" s="11"/>
    </row>
    <row r="159" spans="2:7" ht="15">
      <c r="B159" s="13"/>
      <c r="C159" s="11"/>
      <c r="D159" s="12"/>
      <c r="E159" s="12"/>
      <c r="F159" s="11"/>
      <c r="G159" s="11"/>
    </row>
    <row r="160" spans="2:7" ht="15">
      <c r="B160" s="13"/>
      <c r="C160" s="11"/>
      <c r="D160" s="12"/>
      <c r="E160" s="12"/>
      <c r="F160" s="11"/>
      <c r="G160" s="11"/>
    </row>
    <row r="161" spans="2:7" ht="15">
      <c r="B161" s="13"/>
      <c r="C161" s="11"/>
      <c r="D161" s="12"/>
      <c r="E161" s="12"/>
      <c r="F161" s="11"/>
      <c r="G161" s="11"/>
    </row>
    <row r="162" spans="2:7" ht="15">
      <c r="B162" s="13"/>
      <c r="C162" s="11"/>
      <c r="D162" s="12"/>
      <c r="E162" s="12"/>
      <c r="F162" s="11"/>
      <c r="G162" s="11"/>
    </row>
    <row r="163" spans="2:7" ht="15">
      <c r="B163" s="13"/>
      <c r="C163" s="11"/>
      <c r="D163" s="12"/>
      <c r="E163" s="12"/>
      <c r="F163" s="11"/>
      <c r="G163" s="11"/>
    </row>
    <row r="164" spans="2:7" ht="15">
      <c r="B164" s="13"/>
      <c r="C164" s="11"/>
      <c r="D164" s="12"/>
      <c r="E164" s="12"/>
      <c r="F164" s="11"/>
      <c r="G164" s="11"/>
    </row>
    <row r="165" spans="2:7" ht="15">
      <c r="B165" s="13"/>
      <c r="C165" s="11"/>
      <c r="D165" s="12"/>
      <c r="E165" s="12"/>
      <c r="F165" s="11"/>
      <c r="G165" s="11"/>
    </row>
    <row r="166" spans="2:7" ht="15">
      <c r="B166" s="13"/>
      <c r="C166" s="11"/>
      <c r="D166" s="12"/>
      <c r="E166" s="12"/>
      <c r="F166" s="11"/>
      <c r="G166" s="11"/>
    </row>
    <row r="167" spans="2:7" ht="15">
      <c r="B167" s="13"/>
      <c r="C167" s="11"/>
      <c r="D167" s="12"/>
      <c r="E167" s="12"/>
      <c r="F167" s="11"/>
      <c r="G167" s="11"/>
    </row>
    <row r="168" spans="2:7" ht="15">
      <c r="B168" s="13"/>
      <c r="C168" s="11"/>
      <c r="D168" s="12"/>
      <c r="E168" s="12"/>
      <c r="F168" s="11"/>
      <c r="G168" s="11"/>
    </row>
    <row r="169" spans="2:7" ht="15">
      <c r="B169" s="13"/>
      <c r="C169" s="11"/>
      <c r="D169" s="12"/>
      <c r="E169" s="12"/>
      <c r="F169" s="11"/>
      <c r="G169" s="11"/>
    </row>
    <row r="170" spans="2:7" ht="15">
      <c r="B170" s="13"/>
      <c r="C170" s="11"/>
      <c r="D170" s="12"/>
      <c r="E170" s="12"/>
      <c r="F170" s="11"/>
      <c r="G170" s="11"/>
    </row>
    <row r="171" spans="2:7" ht="15">
      <c r="B171" s="13"/>
      <c r="C171" s="11"/>
      <c r="D171" s="12"/>
      <c r="E171" s="12"/>
      <c r="F171" s="11"/>
      <c r="G171" s="11"/>
    </row>
    <row r="172" spans="2:7" ht="15">
      <c r="B172" s="13"/>
      <c r="C172" s="11"/>
      <c r="D172" s="12"/>
      <c r="E172" s="12"/>
      <c r="F172" s="11"/>
      <c r="G172" s="11"/>
    </row>
    <row r="173" spans="2:7" ht="15">
      <c r="B173" s="13"/>
      <c r="C173" s="11"/>
      <c r="D173" s="12"/>
      <c r="E173" s="12"/>
      <c r="F173" s="11"/>
      <c r="G173" s="11"/>
    </row>
    <row r="174" spans="2:7" ht="15">
      <c r="B174" s="13"/>
      <c r="C174" s="11"/>
      <c r="D174" s="12"/>
      <c r="E174" s="12"/>
      <c r="F174" s="11"/>
      <c r="G174" s="11"/>
    </row>
    <row r="175" spans="2:7" ht="15">
      <c r="B175" s="13"/>
      <c r="C175" s="11"/>
      <c r="D175" s="12"/>
      <c r="E175" s="12"/>
      <c r="F175" s="11"/>
      <c r="G175" s="11"/>
    </row>
    <row r="176" spans="2:7" ht="15">
      <c r="B176" s="13"/>
      <c r="C176" s="11"/>
      <c r="D176" s="12"/>
      <c r="E176" s="12"/>
      <c r="F176" s="11"/>
      <c r="G176" s="11"/>
    </row>
    <row r="177" spans="2:7" ht="15">
      <c r="B177" s="13"/>
      <c r="C177" s="11"/>
      <c r="D177" s="12"/>
      <c r="E177" s="12"/>
      <c r="F177" s="11"/>
      <c r="G177" s="11"/>
    </row>
    <row r="178" spans="2:7" ht="15">
      <c r="B178" s="13"/>
      <c r="C178" s="11"/>
      <c r="D178" s="12"/>
      <c r="E178" s="12"/>
      <c r="F178" s="11"/>
      <c r="G178" s="11"/>
    </row>
    <row r="179" spans="2:7" ht="15">
      <c r="B179" s="13"/>
      <c r="C179" s="11"/>
      <c r="D179" s="12"/>
      <c r="E179" s="12"/>
      <c r="F179" s="11"/>
      <c r="G179" s="11"/>
    </row>
    <row r="180" spans="2:7" ht="15">
      <c r="B180" s="13"/>
      <c r="C180" s="11"/>
      <c r="D180" s="12"/>
      <c r="E180" s="12"/>
      <c r="F180" s="11"/>
      <c r="G180" s="11"/>
    </row>
    <row r="181" spans="2:7" ht="15">
      <c r="B181" s="13"/>
      <c r="C181" s="11"/>
      <c r="D181" s="12"/>
      <c r="E181" s="12"/>
      <c r="F181" s="11"/>
      <c r="G181" s="11"/>
    </row>
    <row r="182" spans="2:7" ht="15">
      <c r="B182" s="13"/>
      <c r="C182" s="11"/>
      <c r="D182" s="12"/>
      <c r="E182" s="12"/>
      <c r="F182" s="11"/>
      <c r="G182" s="11"/>
    </row>
    <row r="183" spans="2:7" ht="15">
      <c r="B183" s="13"/>
      <c r="C183" s="11"/>
      <c r="D183" s="12"/>
      <c r="E183" s="12"/>
      <c r="F183" s="11"/>
      <c r="G183" s="11"/>
    </row>
    <row r="184" spans="2:7" ht="15">
      <c r="B184" s="13"/>
      <c r="C184" s="11"/>
      <c r="D184" s="12"/>
      <c r="E184" s="12"/>
      <c r="F184" s="11"/>
      <c r="G184" s="11"/>
    </row>
    <row r="185" spans="2:7" ht="15">
      <c r="B185" s="13"/>
      <c r="C185" s="11"/>
      <c r="D185" s="12"/>
      <c r="E185" s="12"/>
      <c r="F185" s="11"/>
      <c r="G185" s="11"/>
    </row>
    <row r="186" spans="2:7" ht="15">
      <c r="B186" s="13"/>
      <c r="C186" s="11"/>
      <c r="D186" s="12"/>
      <c r="E186" s="12"/>
      <c r="F186" s="11"/>
      <c r="G186" s="11"/>
    </row>
    <row r="187" spans="2:7" ht="15">
      <c r="B187" s="13"/>
      <c r="C187" s="11"/>
      <c r="D187" s="12"/>
      <c r="E187" s="12"/>
      <c r="F187" s="11"/>
      <c r="G187" s="11"/>
    </row>
    <row r="188" spans="2:7" ht="15">
      <c r="B188" s="13"/>
      <c r="C188" s="11"/>
      <c r="D188" s="12"/>
      <c r="E188" s="12"/>
      <c r="F188" s="11"/>
      <c r="G188" s="11"/>
    </row>
    <row r="189" spans="2:7" ht="15">
      <c r="B189" s="13"/>
      <c r="C189" s="11"/>
      <c r="D189" s="12"/>
      <c r="E189" s="12"/>
      <c r="F189" s="11"/>
      <c r="G189" s="11"/>
    </row>
    <row r="190" spans="2:7" ht="15">
      <c r="B190" s="13"/>
      <c r="C190" s="11"/>
      <c r="D190" s="12"/>
      <c r="E190" s="12"/>
      <c r="F190" s="11"/>
      <c r="G190" s="11"/>
    </row>
    <row r="191" spans="2:7" ht="15">
      <c r="B191" s="13"/>
      <c r="C191" s="11"/>
      <c r="D191" s="12"/>
      <c r="E191" s="12"/>
      <c r="F191" s="11"/>
      <c r="G191" s="11"/>
    </row>
    <row r="192" spans="2:7" ht="15">
      <c r="B192" s="13"/>
      <c r="C192" s="11"/>
      <c r="D192" s="12"/>
      <c r="E192" s="12"/>
      <c r="F192" s="11"/>
      <c r="G192" s="11"/>
    </row>
  </sheetData>
  <sheetProtection/>
  <mergeCells count="18">
    <mergeCell ref="I125:I127"/>
    <mergeCell ref="C83:E83"/>
    <mergeCell ref="F83:H83"/>
    <mergeCell ref="C6:E6"/>
    <mergeCell ref="F6:H6"/>
    <mergeCell ref="C60:E60"/>
    <mergeCell ref="F60:H60"/>
    <mergeCell ref="F21:H21"/>
    <mergeCell ref="C21:E21"/>
    <mergeCell ref="C43:E43"/>
    <mergeCell ref="F43:H43"/>
    <mergeCell ref="C50:E50"/>
    <mergeCell ref="F50:H50"/>
    <mergeCell ref="C151:D151"/>
    <mergeCell ref="C55:E55"/>
    <mergeCell ref="F55:H55"/>
    <mergeCell ref="G125:G127"/>
    <mergeCell ref="B80:F80"/>
  </mergeCells>
  <printOptions/>
  <pageMargins left="0.7" right="0.7" top="0.75" bottom="0.75" header="0.3" footer="0.3"/>
  <pageSetup horizontalDpi="600" verticalDpi="600" orientation="portrait" paperSize="9" scale="48" r:id="rId4"/>
  <drawing r:id="rId3"/>
  <legacyDrawing r:id="rId2"/>
</worksheet>
</file>

<file path=xl/worksheets/sheet5.xml><?xml version="1.0" encoding="utf-8"?>
<worksheet xmlns="http://schemas.openxmlformats.org/spreadsheetml/2006/main" xmlns:r="http://schemas.openxmlformats.org/officeDocument/2006/relationships">
  <dimension ref="B2:O47"/>
  <sheetViews>
    <sheetView zoomScalePageLayoutView="0" workbookViewId="0" topLeftCell="A28">
      <selection activeCell="D57" sqref="D57"/>
    </sheetView>
  </sheetViews>
  <sheetFormatPr defaultColWidth="11.421875" defaultRowHeight="15"/>
  <cols>
    <col min="2" max="2" width="36.140625" style="0" customWidth="1"/>
    <col min="3" max="3" width="11.00390625" style="0" customWidth="1"/>
    <col min="4" max="4" width="10.28125" style="0" customWidth="1"/>
    <col min="5" max="5" width="11.140625" style="0" customWidth="1"/>
    <col min="6" max="6" width="11.00390625" style="0" customWidth="1"/>
    <col min="7" max="7" width="10.8515625" style="0" customWidth="1"/>
    <col min="8" max="8" width="10.421875" style="0" customWidth="1"/>
    <col min="9" max="9" width="10.28125" style="0" customWidth="1"/>
    <col min="10" max="11" width="10.8515625" style="0" customWidth="1"/>
    <col min="12" max="12" width="10.57421875" style="0" customWidth="1"/>
    <col min="13" max="13" width="10.7109375" style="0" customWidth="1"/>
    <col min="14" max="14" width="10.421875" style="0" customWidth="1"/>
  </cols>
  <sheetData>
    <row r="2" ht="15">
      <c r="B2" t="s">
        <v>291</v>
      </c>
    </row>
    <row r="3" ht="15.75" thickBot="1"/>
    <row r="4" ht="15">
      <c r="B4" s="396" t="s">
        <v>217</v>
      </c>
    </row>
    <row r="5" spans="2:4" ht="15">
      <c r="B5" s="3" t="s">
        <v>221</v>
      </c>
      <c r="C5" s="3">
        <v>3</v>
      </c>
      <c r="D5" s="3" t="s">
        <v>218</v>
      </c>
    </row>
    <row r="6" spans="2:4" ht="15">
      <c r="B6" s="3" t="s">
        <v>219</v>
      </c>
      <c r="C6" s="3">
        <v>10</v>
      </c>
      <c r="D6" s="3" t="s">
        <v>218</v>
      </c>
    </row>
    <row r="7" spans="2:4" ht="15">
      <c r="B7" s="3" t="s">
        <v>222</v>
      </c>
      <c r="C7" s="3">
        <v>1</v>
      </c>
      <c r="D7" s="3" t="s">
        <v>218</v>
      </c>
    </row>
    <row r="8" spans="2:4" ht="15">
      <c r="B8" s="3" t="s">
        <v>223</v>
      </c>
      <c r="C8" s="3">
        <v>2</v>
      </c>
      <c r="D8" s="3" t="s">
        <v>218</v>
      </c>
    </row>
    <row r="9" spans="2:4" ht="15.75" thickBot="1">
      <c r="B9" s="397" t="s">
        <v>224</v>
      </c>
      <c r="C9" s="397">
        <v>14</v>
      </c>
      <c r="D9" s="397" t="s">
        <v>218</v>
      </c>
    </row>
    <row r="10" spans="2:4" ht="15.75" thickBot="1">
      <c r="B10" s="323" t="s">
        <v>225</v>
      </c>
      <c r="C10" s="324">
        <f>SUM(C5:C9)</f>
        <v>30</v>
      </c>
      <c r="D10" s="325" t="s">
        <v>218</v>
      </c>
    </row>
    <row r="14" ht="15.75" thickBot="1">
      <c r="B14" t="s">
        <v>83</v>
      </c>
    </row>
    <row r="15" spans="2:3" ht="15">
      <c r="B15" s="464" t="s">
        <v>1</v>
      </c>
      <c r="C15" s="465" t="s">
        <v>29</v>
      </c>
    </row>
    <row r="16" spans="2:3" ht="15">
      <c r="B16" s="466" t="s">
        <v>22</v>
      </c>
      <c r="C16" s="342">
        <v>130</v>
      </c>
    </row>
    <row r="17" spans="2:3" ht="15">
      <c r="B17" s="466" t="s">
        <v>23</v>
      </c>
      <c r="C17" s="342">
        <v>200</v>
      </c>
    </row>
    <row r="18" spans="2:3" ht="15">
      <c r="B18" s="466" t="s">
        <v>24</v>
      </c>
      <c r="C18" s="342">
        <v>131.15</v>
      </c>
    </row>
    <row r="19" spans="2:3" ht="15">
      <c r="B19" s="466" t="s">
        <v>25</v>
      </c>
      <c r="C19" s="342">
        <v>1603.52</v>
      </c>
    </row>
    <row r="20" spans="2:3" ht="15">
      <c r="B20" s="466" t="s">
        <v>26</v>
      </c>
      <c r="C20" s="342">
        <v>66.81</v>
      </c>
    </row>
    <row r="21" spans="2:3" ht="30">
      <c r="B21" s="466" t="s">
        <v>27</v>
      </c>
      <c r="C21" s="342">
        <v>150</v>
      </c>
    </row>
    <row r="22" spans="2:3" ht="30">
      <c r="B22" s="466" t="s">
        <v>28</v>
      </c>
      <c r="C22" s="342">
        <v>30</v>
      </c>
    </row>
    <row r="23" spans="2:3" ht="15.75" thickBot="1">
      <c r="B23" s="467" t="s">
        <v>296</v>
      </c>
      <c r="C23" s="468">
        <f>SUM(C16:C22)</f>
        <v>2311.48</v>
      </c>
    </row>
    <row r="25" spans="4:5" ht="15">
      <c r="D25">
        <f>+C23*30/360</f>
        <v>192.6233333333333</v>
      </c>
      <c r="E25">
        <f>+D25*12</f>
        <v>2311.4799999999996</v>
      </c>
    </row>
    <row r="28" ht="15">
      <c r="L28" s="248"/>
    </row>
    <row r="29" ht="15.75" thickBot="1"/>
    <row r="30" spans="2:7" ht="15.75" thickBot="1">
      <c r="B30" s="322" t="s">
        <v>318</v>
      </c>
      <c r="C30" s="436">
        <f>-E25</f>
        <v>-2311.4799999999996</v>
      </c>
      <c r="D30" s="437">
        <f>$C$30*'Demanda esperada'!$E$34</f>
        <v>-28.13868040531326</v>
      </c>
      <c r="E30" s="437">
        <f>$C$30*'Demanda esperada'!$E$34</f>
        <v>-28.13868040531326</v>
      </c>
      <c r="F30" s="437">
        <f>$C$30*'Demanda esperada'!$E$34</f>
        <v>-28.13868040531326</v>
      </c>
      <c r="G30" s="438">
        <f>$C$30*'Demanda esperada'!$E$34</f>
        <v>-28.13868040531326</v>
      </c>
    </row>
    <row r="32" ht="15">
      <c r="B32" s="439" t="s">
        <v>325</v>
      </c>
    </row>
    <row r="34" spans="3:15" ht="15">
      <c r="C34" s="441">
        <v>1</v>
      </c>
      <c r="D34" s="441">
        <v>2</v>
      </c>
      <c r="E34" s="441">
        <v>3</v>
      </c>
      <c r="F34" s="441">
        <v>4</v>
      </c>
      <c r="G34" s="441">
        <v>5</v>
      </c>
      <c r="H34" s="441">
        <v>6</v>
      </c>
      <c r="I34" s="441">
        <v>7</v>
      </c>
      <c r="J34" s="441">
        <v>8</v>
      </c>
      <c r="K34" s="441">
        <v>9</v>
      </c>
      <c r="L34" s="441">
        <v>10</v>
      </c>
      <c r="M34" s="441">
        <v>11</v>
      </c>
      <c r="N34" s="441">
        <v>12</v>
      </c>
      <c r="O34" s="248"/>
    </row>
    <row r="35" spans="2:14" ht="15">
      <c r="B35" s="3" t="s">
        <v>323</v>
      </c>
      <c r="C35" s="3">
        <f>'Inversion y gastos'!$C$149</f>
        <v>237.62</v>
      </c>
      <c r="D35" s="3">
        <f>'Inversion y gastos'!$C$149</f>
        <v>237.62</v>
      </c>
      <c r="E35" s="3">
        <f>'Inversion y gastos'!$C$149</f>
        <v>237.62</v>
      </c>
      <c r="F35" s="3">
        <f>'Inversion y gastos'!$C$149</f>
        <v>237.62</v>
      </c>
      <c r="G35" s="3">
        <f>'Inversion y gastos'!$C$149</f>
        <v>237.62</v>
      </c>
      <c r="H35" s="3">
        <f>'Inversion y gastos'!$C$149</f>
        <v>237.62</v>
      </c>
      <c r="I35" s="3">
        <f>'Inversion y gastos'!$C$149</f>
        <v>237.62</v>
      </c>
      <c r="J35" s="3">
        <f>'Inversion y gastos'!$C$149</f>
        <v>237.62</v>
      </c>
      <c r="K35" s="3">
        <f>'Inversion y gastos'!$C$149</f>
        <v>237.62</v>
      </c>
      <c r="L35" s="3">
        <f>'Inversion y gastos'!$C$149</f>
        <v>237.62</v>
      </c>
      <c r="M35" s="3">
        <f>'Inversion y gastos'!$C$149</f>
        <v>237.62</v>
      </c>
      <c r="N35" s="3">
        <f>'Inversion y gastos'!$C$149</f>
        <v>237.62</v>
      </c>
    </row>
    <row r="36" spans="2:14" ht="15">
      <c r="B36" s="3" t="s">
        <v>2</v>
      </c>
      <c r="C36" s="3">
        <v>39</v>
      </c>
      <c r="D36" s="3">
        <v>40</v>
      </c>
      <c r="E36" s="3">
        <v>52</v>
      </c>
      <c r="F36" s="3">
        <v>64</v>
      </c>
      <c r="G36" s="3">
        <v>90</v>
      </c>
      <c r="H36" s="3">
        <v>75</v>
      </c>
      <c r="I36" s="3">
        <v>57</v>
      </c>
      <c r="J36" s="3">
        <v>69</v>
      </c>
      <c r="K36" s="3">
        <v>71</v>
      </c>
      <c r="L36" s="3">
        <v>85</v>
      </c>
      <c r="M36" s="3">
        <v>94</v>
      </c>
      <c r="N36" s="3">
        <v>102</v>
      </c>
    </row>
    <row r="37" spans="2:15" ht="15">
      <c r="B37" s="440" t="s">
        <v>320</v>
      </c>
      <c r="C37" s="440">
        <f>C35*C36</f>
        <v>9267.18</v>
      </c>
      <c r="D37" s="440">
        <f aca="true" t="shared" si="0" ref="D37:N37">D35*D36</f>
        <v>9504.8</v>
      </c>
      <c r="E37" s="440">
        <f t="shared" si="0"/>
        <v>12356.24</v>
      </c>
      <c r="F37" s="440">
        <f t="shared" si="0"/>
        <v>15207.68</v>
      </c>
      <c r="G37" s="440">
        <f t="shared" si="0"/>
        <v>21385.8</v>
      </c>
      <c r="H37" s="440">
        <f t="shared" si="0"/>
        <v>17821.5</v>
      </c>
      <c r="I37" s="440">
        <f t="shared" si="0"/>
        <v>13544.34</v>
      </c>
      <c r="J37" s="440">
        <f t="shared" si="0"/>
        <v>16395.78</v>
      </c>
      <c r="K37" s="440">
        <f t="shared" si="0"/>
        <v>16871.02</v>
      </c>
      <c r="L37" s="440">
        <f>L35*L36</f>
        <v>20197.7</v>
      </c>
      <c r="M37" s="440">
        <f t="shared" si="0"/>
        <v>22336.28</v>
      </c>
      <c r="N37" s="440">
        <f t="shared" si="0"/>
        <v>24237.24</v>
      </c>
      <c r="O37" s="454"/>
    </row>
    <row r="38" spans="2:14" ht="15">
      <c r="B38" s="3" t="s">
        <v>135</v>
      </c>
      <c r="C38" s="295">
        <f>'Estado de Resultados'!$C$9/12</f>
        <v>-1613.7212373333332</v>
      </c>
      <c r="D38" s="295">
        <f>$C$38</f>
        <v>-1613.7212373333332</v>
      </c>
      <c r="E38" s="295">
        <f aca="true" t="shared" si="1" ref="E38:N38">$C$38</f>
        <v>-1613.7212373333332</v>
      </c>
      <c r="F38" s="295">
        <f t="shared" si="1"/>
        <v>-1613.7212373333332</v>
      </c>
      <c r="G38" s="295">
        <f t="shared" si="1"/>
        <v>-1613.7212373333332</v>
      </c>
      <c r="H38" s="295">
        <f t="shared" si="1"/>
        <v>-1613.7212373333332</v>
      </c>
      <c r="I38" s="295">
        <f t="shared" si="1"/>
        <v>-1613.7212373333332</v>
      </c>
      <c r="J38" s="295">
        <f t="shared" si="1"/>
        <v>-1613.7212373333332</v>
      </c>
      <c r="K38" s="295">
        <f t="shared" si="1"/>
        <v>-1613.7212373333332</v>
      </c>
      <c r="L38" s="295">
        <f t="shared" si="1"/>
        <v>-1613.7212373333332</v>
      </c>
      <c r="M38" s="295">
        <f t="shared" si="1"/>
        <v>-1613.7212373333332</v>
      </c>
      <c r="N38" s="295">
        <f t="shared" si="1"/>
        <v>-1613.7212373333332</v>
      </c>
    </row>
    <row r="39" spans="2:14" ht="15">
      <c r="B39" s="3" t="s">
        <v>311</v>
      </c>
      <c r="C39" s="295">
        <f>'Estado de Resultados'!$C$10/12</f>
        <v>-8294.522133333334</v>
      </c>
      <c r="D39" s="295">
        <f>$C$39</f>
        <v>-8294.522133333334</v>
      </c>
      <c r="E39" s="295">
        <f aca="true" t="shared" si="2" ref="E39:N39">$C$39</f>
        <v>-8294.522133333334</v>
      </c>
      <c r="F39" s="295">
        <f t="shared" si="2"/>
        <v>-8294.522133333334</v>
      </c>
      <c r="G39" s="295">
        <f t="shared" si="2"/>
        <v>-8294.522133333334</v>
      </c>
      <c r="H39" s="295">
        <f t="shared" si="2"/>
        <v>-8294.522133333334</v>
      </c>
      <c r="I39" s="295">
        <f t="shared" si="2"/>
        <v>-8294.522133333334</v>
      </c>
      <c r="J39" s="295">
        <f t="shared" si="2"/>
        <v>-8294.522133333334</v>
      </c>
      <c r="K39" s="295">
        <f t="shared" si="2"/>
        <v>-8294.522133333334</v>
      </c>
      <c r="L39" s="295">
        <f t="shared" si="2"/>
        <v>-8294.522133333334</v>
      </c>
      <c r="M39" s="295">
        <f t="shared" si="2"/>
        <v>-8294.522133333334</v>
      </c>
      <c r="N39" s="295">
        <f t="shared" si="2"/>
        <v>-8294.522133333334</v>
      </c>
    </row>
    <row r="40" spans="2:14" ht="15">
      <c r="B40" s="3" t="s">
        <v>168</v>
      </c>
      <c r="C40" s="3">
        <f>'Estado de Resultados'!$C$13/12</f>
        <v>-2520</v>
      </c>
      <c r="D40" s="3">
        <f>$C$40</f>
        <v>-2520</v>
      </c>
      <c r="E40" s="3">
        <f aca="true" t="shared" si="3" ref="E40:N40">$C$40</f>
        <v>-2520</v>
      </c>
      <c r="F40" s="3">
        <f t="shared" si="3"/>
        <v>-2520</v>
      </c>
      <c r="G40" s="3">
        <f t="shared" si="3"/>
        <v>-2520</v>
      </c>
      <c r="H40" s="3">
        <f t="shared" si="3"/>
        <v>-2520</v>
      </c>
      <c r="I40" s="3">
        <f t="shared" si="3"/>
        <v>-2520</v>
      </c>
      <c r="J40" s="3">
        <f t="shared" si="3"/>
        <v>-2520</v>
      </c>
      <c r="K40" s="3">
        <f t="shared" si="3"/>
        <v>-2520</v>
      </c>
      <c r="L40" s="3">
        <f t="shared" si="3"/>
        <v>-2520</v>
      </c>
      <c r="M40" s="3">
        <f t="shared" si="3"/>
        <v>-2520</v>
      </c>
      <c r="N40" s="3">
        <f t="shared" si="3"/>
        <v>-2520</v>
      </c>
    </row>
    <row r="41" spans="2:14" ht="15">
      <c r="B41" s="3" t="s">
        <v>327</v>
      </c>
      <c r="C41" s="276">
        <f>Amortizacion!E7</f>
        <v>-654.6675303367515</v>
      </c>
      <c r="D41" s="276">
        <f>C41</f>
        <v>-654.6675303367515</v>
      </c>
      <c r="E41" s="276">
        <f aca="true" t="shared" si="4" ref="E41:N41">D41</f>
        <v>-654.6675303367515</v>
      </c>
      <c r="F41" s="276">
        <f t="shared" si="4"/>
        <v>-654.6675303367515</v>
      </c>
      <c r="G41" s="276">
        <f t="shared" si="4"/>
        <v>-654.6675303367515</v>
      </c>
      <c r="H41" s="276">
        <f t="shared" si="4"/>
        <v>-654.6675303367515</v>
      </c>
      <c r="I41" s="276">
        <f t="shared" si="4"/>
        <v>-654.6675303367515</v>
      </c>
      <c r="J41" s="276">
        <f t="shared" si="4"/>
        <v>-654.6675303367515</v>
      </c>
      <c r="K41" s="276">
        <f t="shared" si="4"/>
        <v>-654.6675303367515</v>
      </c>
      <c r="L41" s="276">
        <f t="shared" si="4"/>
        <v>-654.6675303367515</v>
      </c>
      <c r="M41" s="276">
        <f t="shared" si="4"/>
        <v>-654.6675303367515</v>
      </c>
      <c r="N41" s="276">
        <f t="shared" si="4"/>
        <v>-654.6675303367515</v>
      </c>
    </row>
    <row r="42" spans="2:14" ht="15">
      <c r="B42" s="3" t="s">
        <v>203</v>
      </c>
      <c r="C42" s="3">
        <f>'Estado de Resultados'!$C$14/12</f>
        <v>-175</v>
      </c>
      <c r="D42" s="3">
        <f>$C$42</f>
        <v>-175</v>
      </c>
      <c r="E42" s="3">
        <f aca="true" t="shared" si="5" ref="E42:N42">$C$42</f>
        <v>-175</v>
      </c>
      <c r="F42" s="3">
        <f t="shared" si="5"/>
        <v>-175</v>
      </c>
      <c r="G42" s="3">
        <f t="shared" si="5"/>
        <v>-175</v>
      </c>
      <c r="H42" s="3">
        <f t="shared" si="5"/>
        <v>-175</v>
      </c>
      <c r="I42" s="3">
        <f t="shared" si="5"/>
        <v>-175</v>
      </c>
      <c r="J42" s="3">
        <f t="shared" si="5"/>
        <v>-175</v>
      </c>
      <c r="K42" s="3">
        <f t="shared" si="5"/>
        <v>-175</v>
      </c>
      <c r="L42" s="3">
        <f t="shared" si="5"/>
        <v>-175</v>
      </c>
      <c r="M42" s="3">
        <f t="shared" si="5"/>
        <v>-175</v>
      </c>
      <c r="N42" s="3">
        <f t="shared" si="5"/>
        <v>-175</v>
      </c>
    </row>
    <row r="43" spans="2:14" ht="15">
      <c r="B43" s="3" t="s">
        <v>328</v>
      </c>
      <c r="C43" s="3">
        <f>'Estado de Resultados'!$C$15/12</f>
        <v>-1150</v>
      </c>
      <c r="D43" s="3">
        <f>'Estado de Resultados'!$C$15/12</f>
        <v>-1150</v>
      </c>
      <c r="E43" s="3">
        <f>'Estado de Resultados'!$C$15/12</f>
        <v>-1150</v>
      </c>
      <c r="F43" s="3">
        <f>'Estado de Resultados'!$C$15/12</f>
        <v>-1150</v>
      </c>
      <c r="G43" s="3">
        <f>'Estado de Resultados'!$C$15/12</f>
        <v>-1150</v>
      </c>
      <c r="H43" s="3">
        <f>'Estado de Resultados'!$C$15/12</f>
        <v>-1150</v>
      </c>
      <c r="I43" s="3">
        <f>'Estado de Resultados'!$C$15/12</f>
        <v>-1150</v>
      </c>
      <c r="J43" s="3">
        <f>'Estado de Resultados'!$C$15/12</f>
        <v>-1150</v>
      </c>
      <c r="K43" s="3">
        <f>'Estado de Resultados'!$C$15/12</f>
        <v>-1150</v>
      </c>
      <c r="L43" s="3">
        <f>'Estado de Resultados'!$C$15/12</f>
        <v>-1150</v>
      </c>
      <c r="M43" s="3">
        <f>'Estado de Resultados'!$C$15/12</f>
        <v>-1150</v>
      </c>
      <c r="N43" s="3">
        <f>'Estado de Resultados'!$C$15/12</f>
        <v>-1150</v>
      </c>
    </row>
    <row r="44" spans="2:14" ht="15">
      <c r="B44" s="3" t="s">
        <v>204</v>
      </c>
      <c r="C44" s="3">
        <f>-('Inversion y gastos'!$C$101+'Inversion y gastos'!$C$102)</f>
        <v>-420</v>
      </c>
      <c r="D44" s="3">
        <f>$C$44</f>
        <v>-420</v>
      </c>
      <c r="E44" s="3">
        <f aca="true" t="shared" si="6" ref="E44:N44">$C$44</f>
        <v>-420</v>
      </c>
      <c r="F44" s="3">
        <f t="shared" si="6"/>
        <v>-420</v>
      </c>
      <c r="G44" s="3">
        <f t="shared" si="6"/>
        <v>-420</v>
      </c>
      <c r="H44" s="3">
        <f t="shared" si="6"/>
        <v>-420</v>
      </c>
      <c r="I44" s="3">
        <f t="shared" si="6"/>
        <v>-420</v>
      </c>
      <c r="J44" s="3">
        <f t="shared" si="6"/>
        <v>-420</v>
      </c>
      <c r="K44" s="3">
        <f t="shared" si="6"/>
        <v>-420</v>
      </c>
      <c r="L44" s="3">
        <f t="shared" si="6"/>
        <v>-420</v>
      </c>
      <c r="M44" s="3">
        <f t="shared" si="6"/>
        <v>-420</v>
      </c>
      <c r="N44" s="3">
        <f t="shared" si="6"/>
        <v>-420</v>
      </c>
    </row>
    <row r="45" spans="2:15" ht="15">
      <c r="B45" s="440" t="s">
        <v>321</v>
      </c>
      <c r="C45" s="453">
        <f aca="true" t="shared" si="7" ref="C45:N45">SUM(C38:C44)</f>
        <v>-14827.910901003419</v>
      </c>
      <c r="D45" s="453">
        <f t="shared" si="7"/>
        <v>-14827.910901003419</v>
      </c>
      <c r="E45" s="453">
        <f t="shared" si="7"/>
        <v>-14827.910901003419</v>
      </c>
      <c r="F45" s="453">
        <f t="shared" si="7"/>
        <v>-14827.910901003419</v>
      </c>
      <c r="G45" s="453">
        <f t="shared" si="7"/>
        <v>-14827.910901003419</v>
      </c>
      <c r="H45" s="453">
        <f t="shared" si="7"/>
        <v>-14827.910901003419</v>
      </c>
      <c r="I45" s="453">
        <f t="shared" si="7"/>
        <v>-14827.910901003419</v>
      </c>
      <c r="J45" s="453">
        <f t="shared" si="7"/>
        <v>-14827.910901003419</v>
      </c>
      <c r="K45" s="453">
        <f t="shared" si="7"/>
        <v>-14827.910901003419</v>
      </c>
      <c r="L45" s="453">
        <f t="shared" si="7"/>
        <v>-14827.910901003419</v>
      </c>
      <c r="M45" s="453">
        <f t="shared" si="7"/>
        <v>-14827.910901003419</v>
      </c>
      <c r="N45" s="453">
        <f t="shared" si="7"/>
        <v>-14827.910901003419</v>
      </c>
      <c r="O45" s="248">
        <f>SUM(C45:N45)</f>
        <v>-177934.93081204104</v>
      </c>
    </row>
    <row r="46" spans="2:14" ht="15">
      <c r="B46" s="3" t="s">
        <v>322</v>
      </c>
      <c r="C46" s="295">
        <f aca="true" t="shared" si="8" ref="C46:N46">C37+C45</f>
        <v>-5560.730901003419</v>
      </c>
      <c r="D46" s="295">
        <f t="shared" si="8"/>
        <v>-5323.11090100342</v>
      </c>
      <c r="E46" s="295">
        <f t="shared" si="8"/>
        <v>-2471.670901003419</v>
      </c>
      <c r="F46" s="295">
        <f t="shared" si="8"/>
        <v>379.7690989965813</v>
      </c>
      <c r="G46" s="295">
        <f t="shared" si="8"/>
        <v>6557.88909899658</v>
      </c>
      <c r="H46" s="295">
        <f t="shared" si="8"/>
        <v>2993.589098996581</v>
      </c>
      <c r="I46" s="295">
        <f t="shared" si="8"/>
        <v>-1283.5709010034188</v>
      </c>
      <c r="J46" s="295">
        <f t="shared" si="8"/>
        <v>1567.8690989965799</v>
      </c>
      <c r="K46" s="295">
        <f t="shared" si="8"/>
        <v>2043.1090989965815</v>
      </c>
      <c r="L46" s="295">
        <f t="shared" si="8"/>
        <v>5369.789098996582</v>
      </c>
      <c r="M46" s="295">
        <f t="shared" si="8"/>
        <v>7508.36909899658</v>
      </c>
      <c r="N46" s="295">
        <f t="shared" si="8"/>
        <v>9409.329098996583</v>
      </c>
    </row>
    <row r="47" spans="2:14" ht="15">
      <c r="B47" s="440" t="s">
        <v>326</v>
      </c>
      <c r="C47" s="295">
        <f>C46</f>
        <v>-5560.730901003419</v>
      </c>
      <c r="D47" s="295">
        <f>C47+D46</f>
        <v>-10883.841802006838</v>
      </c>
      <c r="E47" s="518">
        <f aca="true" t="shared" si="9" ref="E47:N47">D47+E46</f>
        <v>-13355.512703010258</v>
      </c>
      <c r="F47" s="295">
        <f t="shared" si="9"/>
        <v>-12975.743604013676</v>
      </c>
      <c r="G47" s="295">
        <f t="shared" si="9"/>
        <v>-6417.854505017096</v>
      </c>
      <c r="H47" s="295">
        <f t="shared" si="9"/>
        <v>-3424.265406020515</v>
      </c>
      <c r="I47" s="295">
        <f t="shared" si="9"/>
        <v>-4707.836307023934</v>
      </c>
      <c r="J47" s="295">
        <f t="shared" si="9"/>
        <v>-3139.967208027354</v>
      </c>
      <c r="K47" s="451">
        <f t="shared" si="9"/>
        <v>-1096.8581090307725</v>
      </c>
      <c r="L47" s="451">
        <f t="shared" si="9"/>
        <v>4272.930989965809</v>
      </c>
      <c r="M47" s="295">
        <f t="shared" si="9"/>
        <v>11781.300088962389</v>
      </c>
      <c r="N47" s="451">
        <f t="shared" si="9"/>
        <v>21190.62918795897</v>
      </c>
    </row>
  </sheetData>
  <sheetProtection/>
  <printOptions/>
  <pageMargins left="0.75" right="0.75" top="1" bottom="1" header="0" footer="0"/>
  <pageSetup orientation="portrait" paperSize="9" scale="96" r:id="rId1"/>
</worksheet>
</file>

<file path=xl/worksheets/sheet6.xml><?xml version="1.0" encoding="utf-8"?>
<worksheet xmlns="http://schemas.openxmlformats.org/spreadsheetml/2006/main" xmlns:r="http://schemas.openxmlformats.org/officeDocument/2006/relationships">
  <dimension ref="A1:Y232"/>
  <sheetViews>
    <sheetView zoomScale="70" zoomScaleNormal="70" zoomScalePageLayoutView="0" workbookViewId="0" topLeftCell="A1">
      <pane xSplit="1" ySplit="33" topLeftCell="B52" activePane="bottomRight" state="frozen"/>
      <selection pane="topLeft" activeCell="A1" sqref="A1"/>
      <selection pane="topRight" activeCell="B1" sqref="B1"/>
      <selection pane="bottomLeft" activeCell="A34" sqref="A34"/>
      <selection pane="bottomRight" activeCell="E112" sqref="E112"/>
    </sheetView>
  </sheetViews>
  <sheetFormatPr defaultColWidth="11.421875" defaultRowHeight="15"/>
  <cols>
    <col min="1" max="1" width="70.421875" style="71" customWidth="1"/>
    <col min="2" max="2" width="15.140625" style="71" bestFit="1" customWidth="1"/>
    <col min="3" max="3" width="11.8515625" style="71" customWidth="1"/>
    <col min="4" max="4" width="12.7109375" style="71" customWidth="1"/>
    <col min="5" max="5" width="12.8515625" style="71" customWidth="1"/>
    <col min="6" max="6" width="14.7109375" style="71" customWidth="1"/>
    <col min="7" max="7" width="16.421875" style="71" customWidth="1"/>
    <col min="8" max="8" width="13.7109375" style="71" customWidth="1"/>
    <col min="9" max="9" width="16.421875" style="71" customWidth="1"/>
    <col min="10" max="10" width="17.7109375" style="71" bestFit="1" customWidth="1"/>
    <col min="11" max="11" width="16.140625" style="71" bestFit="1" customWidth="1"/>
    <col min="12" max="12" width="15.00390625" style="71" customWidth="1"/>
    <col min="13" max="17" width="14.57421875" style="71" bestFit="1" customWidth="1"/>
    <col min="18" max="18" width="18.421875" style="71" customWidth="1"/>
    <col min="19" max="16384" width="11.421875" style="71" customWidth="1"/>
  </cols>
  <sheetData>
    <row r="1" spans="1:22" ht="18.75" customHeight="1">
      <c r="A1" s="69" t="s">
        <v>103</v>
      </c>
      <c r="B1" s="70"/>
      <c r="C1" s="70"/>
      <c r="D1" s="70"/>
      <c r="E1" s="70"/>
      <c r="F1" s="70"/>
      <c r="G1" s="70"/>
      <c r="H1" s="70"/>
      <c r="I1" s="70"/>
      <c r="J1" s="70"/>
      <c r="K1" s="70"/>
      <c r="L1" s="70"/>
      <c r="M1" s="70"/>
      <c r="N1" s="70"/>
      <c r="O1" s="70"/>
      <c r="P1" s="70"/>
      <c r="Q1" s="70"/>
      <c r="R1" s="70"/>
      <c r="S1" s="70"/>
      <c r="T1" s="70"/>
      <c r="U1" s="70"/>
      <c r="V1" s="70"/>
    </row>
    <row r="2" spans="1:22" ht="15">
      <c r="A2" s="72"/>
      <c r="B2" s="70"/>
      <c r="C2" s="70"/>
      <c r="D2" s="70"/>
      <c r="E2" s="70"/>
      <c r="F2" s="70"/>
      <c r="G2" s="70"/>
      <c r="H2" s="70"/>
      <c r="I2" s="70"/>
      <c r="J2" s="70"/>
      <c r="K2" s="70"/>
      <c r="L2" s="70"/>
      <c r="M2" s="70"/>
      <c r="N2" s="70"/>
      <c r="O2" s="70"/>
      <c r="P2" s="70"/>
      <c r="Q2" s="70"/>
      <c r="R2" s="70"/>
      <c r="S2" s="70"/>
      <c r="T2" s="70"/>
      <c r="U2" s="70"/>
      <c r="V2" s="70"/>
    </row>
    <row r="3" spans="1:22" ht="15" hidden="1">
      <c r="A3" s="73" t="s">
        <v>104</v>
      </c>
      <c r="B3" s="70"/>
      <c r="C3" s="70"/>
      <c r="D3" s="70"/>
      <c r="E3" s="70"/>
      <c r="F3" s="70"/>
      <c r="G3" s="70"/>
      <c r="H3" s="70"/>
      <c r="I3" s="70"/>
      <c r="J3" s="70"/>
      <c r="K3" s="70"/>
      <c r="L3" s="70"/>
      <c r="M3" s="70"/>
      <c r="N3" s="70"/>
      <c r="O3" s="70"/>
      <c r="P3" s="70"/>
      <c r="Q3" s="70"/>
      <c r="R3" s="70"/>
      <c r="S3" s="70"/>
      <c r="T3" s="70"/>
      <c r="U3" s="70"/>
      <c r="V3" s="70"/>
    </row>
    <row r="4" spans="1:22" s="81" customFormat="1" ht="15.75" hidden="1" thickBot="1">
      <c r="A4" s="74"/>
      <c r="B4" s="75"/>
      <c r="C4" s="546" t="s">
        <v>105</v>
      </c>
      <c r="D4" s="547"/>
      <c r="E4" s="76" t="s">
        <v>106</v>
      </c>
      <c r="F4" s="77" t="s">
        <v>107</v>
      </c>
      <c r="G4" s="78" t="s">
        <v>108</v>
      </c>
      <c r="H4" s="79"/>
      <c r="I4" s="74"/>
      <c r="J4" s="74"/>
      <c r="K4" s="74"/>
      <c r="L4" s="74"/>
      <c r="M4" s="74"/>
      <c r="N4" s="80"/>
      <c r="O4" s="80"/>
      <c r="P4" s="80"/>
      <c r="Q4" s="80"/>
      <c r="R4" s="80"/>
      <c r="S4" s="80"/>
      <c r="T4" s="80"/>
      <c r="U4" s="80"/>
      <c r="V4" s="80"/>
    </row>
    <row r="5" spans="1:22" s="81" customFormat="1" ht="15" hidden="1">
      <c r="A5" s="82" t="s">
        <v>109</v>
      </c>
      <c r="B5" s="83" t="s">
        <v>110</v>
      </c>
      <c r="C5" s="84" t="s">
        <v>108</v>
      </c>
      <c r="D5" s="85" t="s">
        <v>111</v>
      </c>
      <c r="E5" s="86" t="s">
        <v>112</v>
      </c>
      <c r="F5" s="83" t="s">
        <v>113</v>
      </c>
      <c r="G5" s="86" t="s">
        <v>114</v>
      </c>
      <c r="H5" s="87" t="s">
        <v>91</v>
      </c>
      <c r="I5" s="88" t="s">
        <v>92</v>
      </c>
      <c r="J5" s="88" t="s">
        <v>80</v>
      </c>
      <c r="K5" s="88" t="s">
        <v>93</v>
      </c>
      <c r="L5" s="88" t="s">
        <v>94</v>
      </c>
      <c r="M5" s="89" t="s">
        <v>82</v>
      </c>
      <c r="N5" s="80"/>
      <c r="O5" s="80"/>
      <c r="P5" s="80"/>
      <c r="Q5" s="80"/>
      <c r="R5" s="80"/>
      <c r="S5" s="80"/>
      <c r="T5" s="80"/>
      <c r="U5" s="80"/>
      <c r="V5" s="80"/>
    </row>
    <row r="6" spans="1:22" ht="15" hidden="1">
      <c r="A6" s="90">
        <v>1</v>
      </c>
      <c r="B6" s="91">
        <f>'[1]Inversión'!E7</f>
        <v>0</v>
      </c>
      <c r="C6" s="92">
        <v>0</v>
      </c>
      <c r="D6" s="93">
        <f>B6*C6</f>
        <v>0</v>
      </c>
      <c r="E6" s="94">
        <v>0</v>
      </c>
      <c r="F6" s="95">
        <f>B6-D6</f>
        <v>0</v>
      </c>
      <c r="G6" s="96">
        <v>0</v>
      </c>
      <c r="H6" s="93">
        <f>F6*G6</f>
        <v>0</v>
      </c>
      <c r="I6" s="93">
        <f>H6</f>
        <v>0</v>
      </c>
      <c r="J6" s="93">
        <f>I6</f>
        <v>0</v>
      </c>
      <c r="K6" s="93">
        <f>J6</f>
        <v>0</v>
      </c>
      <c r="L6" s="93">
        <f>K6</f>
        <v>0</v>
      </c>
      <c r="M6" s="97">
        <f>SUM(H6:L6)</f>
        <v>0</v>
      </c>
      <c r="N6" s="70"/>
      <c r="O6" s="70"/>
      <c r="P6" s="70"/>
      <c r="Q6" s="70"/>
      <c r="R6" s="70"/>
      <c r="S6" s="70"/>
      <c r="T6" s="70"/>
      <c r="U6" s="70"/>
      <c r="V6" s="70"/>
    </row>
    <row r="7" spans="1:22" ht="15" hidden="1">
      <c r="A7" s="90">
        <v>2</v>
      </c>
      <c r="B7" s="91"/>
      <c r="C7" s="93"/>
      <c r="D7" s="93"/>
      <c r="E7" s="98"/>
      <c r="F7" s="93"/>
      <c r="G7" s="96"/>
      <c r="H7" s="93"/>
      <c r="I7" s="93"/>
      <c r="J7" s="93"/>
      <c r="K7" s="93"/>
      <c r="L7" s="93"/>
      <c r="M7" s="97"/>
      <c r="N7" s="70"/>
      <c r="O7" s="70"/>
      <c r="P7" s="70"/>
      <c r="Q7" s="70"/>
      <c r="R7" s="70"/>
      <c r="S7" s="70"/>
      <c r="T7" s="70"/>
      <c r="U7" s="70"/>
      <c r="V7" s="70"/>
    </row>
    <row r="8" spans="1:22" ht="15" hidden="1">
      <c r="A8" s="90">
        <v>3</v>
      </c>
      <c r="B8" s="91">
        <f>'[1]Inversión'!N7</f>
        <v>0</v>
      </c>
      <c r="C8" s="92">
        <v>0</v>
      </c>
      <c r="D8" s="93">
        <f>B8*C8</f>
        <v>0</v>
      </c>
      <c r="E8" s="98">
        <v>0</v>
      </c>
      <c r="F8" s="93">
        <f>B8-D8</f>
        <v>0</v>
      </c>
      <c r="G8" s="96">
        <v>0</v>
      </c>
      <c r="H8" s="93"/>
      <c r="I8" s="93"/>
      <c r="J8" s="93">
        <f>F8*G8</f>
        <v>0</v>
      </c>
      <c r="K8" s="93">
        <f>J8</f>
        <v>0</v>
      </c>
      <c r="L8" s="93">
        <f>K8</f>
        <v>0</v>
      </c>
      <c r="M8" s="97">
        <f>SUM(H8:L8)</f>
        <v>0</v>
      </c>
      <c r="N8" s="70"/>
      <c r="O8" s="70"/>
      <c r="P8" s="70"/>
      <c r="Q8" s="70"/>
      <c r="R8" s="70"/>
      <c r="S8" s="70"/>
      <c r="T8" s="70"/>
      <c r="U8" s="70"/>
      <c r="V8" s="70"/>
    </row>
    <row r="9" spans="1:22" ht="15" hidden="1">
      <c r="A9" s="90">
        <v>4</v>
      </c>
      <c r="B9" s="91"/>
      <c r="C9" s="93"/>
      <c r="D9" s="93"/>
      <c r="E9" s="98"/>
      <c r="F9" s="93"/>
      <c r="G9" s="96"/>
      <c r="H9" s="93"/>
      <c r="I9" s="93"/>
      <c r="J9" s="93"/>
      <c r="K9" s="93"/>
      <c r="L9" s="93"/>
      <c r="M9" s="97"/>
      <c r="N9" s="70"/>
      <c r="O9" s="70"/>
      <c r="P9" s="70"/>
      <c r="Q9" s="70"/>
      <c r="R9" s="70"/>
      <c r="S9" s="70"/>
      <c r="T9" s="70"/>
      <c r="U9" s="70"/>
      <c r="V9" s="70"/>
    </row>
    <row r="10" spans="1:22" ht="15" hidden="1">
      <c r="A10" s="90">
        <v>5</v>
      </c>
      <c r="B10" s="91"/>
      <c r="C10" s="93"/>
      <c r="D10" s="93"/>
      <c r="E10" s="98"/>
      <c r="F10" s="93"/>
      <c r="G10" s="96"/>
      <c r="H10" s="93"/>
      <c r="I10" s="93"/>
      <c r="J10" s="93"/>
      <c r="K10" s="93"/>
      <c r="L10" s="93"/>
      <c r="M10" s="97"/>
      <c r="N10" s="70"/>
      <c r="O10" s="70"/>
      <c r="P10" s="70"/>
      <c r="Q10" s="70"/>
      <c r="R10" s="70"/>
      <c r="S10" s="70"/>
      <c r="T10" s="70"/>
      <c r="U10" s="70"/>
      <c r="V10" s="70"/>
    </row>
    <row r="11" spans="1:22" ht="15.75" hidden="1" thickBot="1">
      <c r="A11" s="99" t="s">
        <v>82</v>
      </c>
      <c r="B11" s="100">
        <f>SUM(B6:B10)</f>
        <v>0</v>
      </c>
      <c r="C11" s="101"/>
      <c r="D11" s="101">
        <f>SUM(D6:D10)</f>
        <v>0</v>
      </c>
      <c r="E11" s="102"/>
      <c r="F11" s="101">
        <f>SUM(F6:F10)</f>
        <v>0</v>
      </c>
      <c r="G11" s="101"/>
      <c r="H11" s="101">
        <f aca="true" t="shared" si="0" ref="H11:M11">SUM(H6:H10)</f>
        <v>0</v>
      </c>
      <c r="I11" s="101">
        <f t="shared" si="0"/>
        <v>0</v>
      </c>
      <c r="J11" s="101">
        <f t="shared" si="0"/>
        <v>0</v>
      </c>
      <c r="K11" s="101">
        <f t="shared" si="0"/>
        <v>0</v>
      </c>
      <c r="L11" s="101">
        <f t="shared" si="0"/>
        <v>0</v>
      </c>
      <c r="M11" s="103">
        <f t="shared" si="0"/>
        <v>0</v>
      </c>
      <c r="N11" s="70"/>
      <c r="O11" s="70"/>
      <c r="P11" s="70"/>
      <c r="Q11" s="70"/>
      <c r="R11" s="70"/>
      <c r="S11" s="70"/>
      <c r="T11" s="70"/>
      <c r="U11" s="70"/>
      <c r="V11" s="70"/>
    </row>
    <row r="12" spans="1:22" ht="15" hidden="1">
      <c r="A12" s="72"/>
      <c r="B12" s="104"/>
      <c r="C12" s="105"/>
      <c r="D12" s="104"/>
      <c r="E12" s="70"/>
      <c r="F12" s="104"/>
      <c r="G12" s="70"/>
      <c r="H12" s="104"/>
      <c r="I12" s="104"/>
      <c r="J12" s="104"/>
      <c r="K12" s="104"/>
      <c r="L12" s="104"/>
      <c r="M12" s="104"/>
      <c r="N12" s="70"/>
      <c r="O12" s="70"/>
      <c r="P12" s="70"/>
      <c r="Q12" s="70"/>
      <c r="R12" s="70"/>
      <c r="S12" s="70"/>
      <c r="T12" s="70"/>
      <c r="U12" s="70"/>
      <c r="V12" s="70"/>
    </row>
    <row r="13" spans="1:22" ht="15" hidden="1">
      <c r="A13" s="73" t="s">
        <v>115</v>
      </c>
      <c r="B13" s="104"/>
      <c r="C13" s="105"/>
      <c r="D13" s="104"/>
      <c r="E13" s="70"/>
      <c r="F13" s="104"/>
      <c r="G13" s="70"/>
      <c r="H13" s="104"/>
      <c r="I13" s="104"/>
      <c r="J13" s="104"/>
      <c r="K13" s="104"/>
      <c r="L13" s="104"/>
      <c r="M13" s="104"/>
      <c r="N13" s="70"/>
      <c r="O13" s="70"/>
      <c r="P13" s="70"/>
      <c r="Q13" s="70"/>
      <c r="R13" s="70"/>
      <c r="S13" s="70"/>
      <c r="T13" s="70"/>
      <c r="U13" s="70"/>
      <c r="V13" s="70"/>
    </row>
    <row r="14" spans="1:22" s="81" customFormat="1" ht="15.75" hidden="1" thickBot="1">
      <c r="A14" s="74"/>
      <c r="B14" s="75"/>
      <c r="C14" s="546" t="s">
        <v>105</v>
      </c>
      <c r="D14" s="547"/>
      <c r="E14" s="76" t="s">
        <v>106</v>
      </c>
      <c r="F14" s="77" t="s">
        <v>107</v>
      </c>
      <c r="G14" s="78" t="s">
        <v>108</v>
      </c>
      <c r="H14" s="79"/>
      <c r="I14" s="74"/>
      <c r="J14" s="74"/>
      <c r="K14" s="74"/>
      <c r="L14" s="74"/>
      <c r="M14" s="74"/>
      <c r="N14" s="80"/>
      <c r="O14" s="80"/>
      <c r="P14" s="80"/>
      <c r="Q14" s="80"/>
      <c r="R14" s="80"/>
      <c r="S14" s="80"/>
      <c r="T14" s="80"/>
      <c r="U14" s="80"/>
      <c r="V14" s="80"/>
    </row>
    <row r="15" spans="1:22" s="81" customFormat="1" ht="15" hidden="1">
      <c r="A15" s="82" t="s">
        <v>109</v>
      </c>
      <c r="B15" s="83" t="s">
        <v>110</v>
      </c>
      <c r="C15" s="84" t="s">
        <v>108</v>
      </c>
      <c r="D15" s="85" t="s">
        <v>111</v>
      </c>
      <c r="E15" s="86" t="s">
        <v>112</v>
      </c>
      <c r="F15" s="83" t="s">
        <v>113</v>
      </c>
      <c r="G15" s="86" t="s">
        <v>114</v>
      </c>
      <c r="H15" s="87" t="s">
        <v>91</v>
      </c>
      <c r="I15" s="88" t="s">
        <v>92</v>
      </c>
      <c r="J15" s="88" t="s">
        <v>80</v>
      </c>
      <c r="K15" s="88" t="s">
        <v>93</v>
      </c>
      <c r="L15" s="88" t="s">
        <v>94</v>
      </c>
      <c r="M15" s="89" t="s">
        <v>82</v>
      </c>
      <c r="N15" s="80"/>
      <c r="O15" s="80"/>
      <c r="P15" s="80"/>
      <c r="Q15" s="80"/>
      <c r="R15" s="80"/>
      <c r="S15" s="80"/>
      <c r="T15" s="80"/>
      <c r="U15" s="80"/>
      <c r="V15" s="80"/>
    </row>
    <row r="16" spans="1:22" ht="15" hidden="1">
      <c r="A16" s="90">
        <v>1</v>
      </c>
      <c r="B16" s="91">
        <f>'[1]Inversión'!E46+'[1]Inversión'!H46</f>
        <v>0</v>
      </c>
      <c r="C16" s="92">
        <v>0</v>
      </c>
      <c r="D16" s="93">
        <f>B16*C16</f>
        <v>0</v>
      </c>
      <c r="E16" s="94">
        <v>3</v>
      </c>
      <c r="F16" s="95">
        <f>B16-D16</f>
        <v>0</v>
      </c>
      <c r="G16" s="106">
        <v>0</v>
      </c>
      <c r="H16" s="93">
        <f>F16*G16</f>
        <v>0</v>
      </c>
      <c r="I16" s="93">
        <f>H16</f>
        <v>0</v>
      </c>
      <c r="J16" s="93">
        <f>I16</f>
        <v>0</v>
      </c>
      <c r="K16" s="93"/>
      <c r="L16" s="93"/>
      <c r="M16" s="97">
        <f>SUM(H16:L16)</f>
        <v>0</v>
      </c>
      <c r="N16" s="70"/>
      <c r="O16" s="70"/>
      <c r="P16" s="70"/>
      <c r="Q16" s="70"/>
      <c r="R16" s="70"/>
      <c r="S16" s="70"/>
      <c r="T16" s="70"/>
      <c r="U16" s="70"/>
      <c r="V16" s="70"/>
    </row>
    <row r="17" spans="1:22" ht="15" hidden="1">
      <c r="A17" s="90">
        <v>2</v>
      </c>
      <c r="B17" s="91">
        <f>'[1]Inversión'!K46</f>
        <v>0</v>
      </c>
      <c r="C17" s="92">
        <v>0</v>
      </c>
      <c r="D17" s="93">
        <f>B17*C17</f>
        <v>0</v>
      </c>
      <c r="E17" s="98">
        <v>3</v>
      </c>
      <c r="F17" s="93">
        <f>B17-D17</f>
        <v>0</v>
      </c>
      <c r="G17" s="106">
        <v>0</v>
      </c>
      <c r="H17" s="93"/>
      <c r="I17" s="93">
        <f>F17*G17</f>
        <v>0</v>
      </c>
      <c r="J17" s="93">
        <f>I17</f>
        <v>0</v>
      </c>
      <c r="K17" s="93">
        <f>J17</f>
        <v>0</v>
      </c>
      <c r="L17" s="93"/>
      <c r="M17" s="97">
        <f>SUM(H17:L17)</f>
        <v>0</v>
      </c>
      <c r="N17" s="70"/>
      <c r="O17" s="70"/>
      <c r="P17" s="70"/>
      <c r="Q17" s="70"/>
      <c r="R17" s="70"/>
      <c r="S17" s="70"/>
      <c r="T17" s="70"/>
      <c r="U17" s="70"/>
      <c r="V17" s="70"/>
    </row>
    <row r="18" spans="1:22" ht="15" hidden="1">
      <c r="A18" s="90">
        <v>3</v>
      </c>
      <c r="B18" s="91">
        <f>'[1]Inversión'!N46</f>
        <v>0</v>
      </c>
      <c r="C18" s="92">
        <v>0</v>
      </c>
      <c r="D18" s="93">
        <f>B18*C18</f>
        <v>0</v>
      </c>
      <c r="E18" s="98">
        <v>3</v>
      </c>
      <c r="F18" s="93">
        <f>B18-D18</f>
        <v>0</v>
      </c>
      <c r="G18" s="106">
        <v>0</v>
      </c>
      <c r="H18" s="93"/>
      <c r="I18" s="93"/>
      <c r="J18" s="93">
        <f>F18*G18</f>
        <v>0</v>
      </c>
      <c r="K18" s="93">
        <f>J18</f>
        <v>0</v>
      </c>
      <c r="L18" s="93">
        <f>K18</f>
        <v>0</v>
      </c>
      <c r="M18" s="97">
        <f>SUM(H18:L18)</f>
        <v>0</v>
      </c>
      <c r="N18" s="70"/>
      <c r="O18" s="70"/>
      <c r="P18" s="70"/>
      <c r="Q18" s="70"/>
      <c r="R18" s="70"/>
      <c r="S18" s="70"/>
      <c r="T18" s="70"/>
      <c r="U18" s="70"/>
      <c r="V18" s="70"/>
    </row>
    <row r="19" spans="1:22" ht="15" hidden="1">
      <c r="A19" s="90">
        <v>4</v>
      </c>
      <c r="B19" s="91">
        <f>'[1]Inversión'!Q46</f>
        <v>0</v>
      </c>
      <c r="C19" s="92">
        <v>0</v>
      </c>
      <c r="D19" s="93">
        <f>B19*C19</f>
        <v>0</v>
      </c>
      <c r="E19" s="98">
        <v>3</v>
      </c>
      <c r="F19" s="93">
        <f>B19-D19</f>
        <v>0</v>
      </c>
      <c r="G19" s="106">
        <v>0</v>
      </c>
      <c r="H19" s="93"/>
      <c r="I19" s="93"/>
      <c r="J19" s="93"/>
      <c r="K19" s="93">
        <f>F19*G19</f>
        <v>0</v>
      </c>
      <c r="L19" s="93">
        <f>K19</f>
        <v>0</v>
      </c>
      <c r="M19" s="97">
        <f>SUM(H19:L19)</f>
        <v>0</v>
      </c>
      <c r="N19" s="70"/>
      <c r="O19" s="70"/>
      <c r="P19" s="70"/>
      <c r="Q19" s="70"/>
      <c r="R19" s="70"/>
      <c r="S19" s="70"/>
      <c r="T19" s="70"/>
      <c r="U19" s="70"/>
      <c r="V19" s="70"/>
    </row>
    <row r="20" spans="1:22" ht="15" hidden="1">
      <c r="A20" s="90">
        <v>5</v>
      </c>
      <c r="B20" s="91">
        <f>'[1]Inversión'!T46</f>
        <v>0</v>
      </c>
      <c r="C20" s="92">
        <v>0</v>
      </c>
      <c r="D20" s="93">
        <f>B20*C20</f>
        <v>0</v>
      </c>
      <c r="E20" s="98">
        <v>3</v>
      </c>
      <c r="F20" s="93">
        <f>B20-D20</f>
        <v>0</v>
      </c>
      <c r="G20" s="106">
        <v>0</v>
      </c>
      <c r="H20" s="93"/>
      <c r="I20" s="93"/>
      <c r="J20" s="93"/>
      <c r="K20" s="93"/>
      <c r="L20" s="93">
        <f>F20*G20</f>
        <v>0</v>
      </c>
      <c r="M20" s="97">
        <f>SUM(H20:L20)</f>
        <v>0</v>
      </c>
      <c r="N20" s="70"/>
      <c r="O20" s="70"/>
      <c r="P20" s="70"/>
      <c r="Q20" s="70"/>
      <c r="R20" s="70"/>
      <c r="S20" s="70"/>
      <c r="T20" s="70"/>
      <c r="U20" s="70"/>
      <c r="V20" s="70"/>
    </row>
    <row r="21" spans="1:22" ht="15.75" hidden="1" thickBot="1">
      <c r="A21" s="99" t="s">
        <v>82</v>
      </c>
      <c r="B21" s="100">
        <f>SUM(B16:B20)</f>
        <v>0</v>
      </c>
      <c r="C21" s="102"/>
      <c r="D21" s="101">
        <f>SUM(D16:D20)</f>
        <v>0</v>
      </c>
      <c r="E21" s="102"/>
      <c r="F21" s="101">
        <f>SUM(F16:F20)</f>
        <v>0</v>
      </c>
      <c r="G21" s="101"/>
      <c r="H21" s="101">
        <f aca="true" t="shared" si="1" ref="H21:M21">SUM(H16:H20)</f>
        <v>0</v>
      </c>
      <c r="I21" s="101">
        <f t="shared" si="1"/>
        <v>0</v>
      </c>
      <c r="J21" s="101">
        <f t="shared" si="1"/>
        <v>0</v>
      </c>
      <c r="K21" s="101">
        <f t="shared" si="1"/>
        <v>0</v>
      </c>
      <c r="L21" s="101">
        <f t="shared" si="1"/>
        <v>0</v>
      </c>
      <c r="M21" s="103">
        <f t="shared" si="1"/>
        <v>0</v>
      </c>
      <c r="N21" s="70"/>
      <c r="O21" s="70"/>
      <c r="P21" s="70"/>
      <c r="Q21" s="70"/>
      <c r="R21" s="70"/>
      <c r="S21" s="70"/>
      <c r="T21" s="70"/>
      <c r="U21" s="70"/>
      <c r="V21" s="70"/>
    </row>
    <row r="22" spans="1:22" ht="15.75" thickBot="1">
      <c r="A22" s="72"/>
      <c r="B22" s="104"/>
      <c r="C22" s="105"/>
      <c r="D22" s="104"/>
      <c r="E22" s="70"/>
      <c r="F22" s="104"/>
      <c r="G22" s="70"/>
      <c r="H22" s="104"/>
      <c r="I22" s="104"/>
      <c r="J22" s="104"/>
      <c r="K22" s="104"/>
      <c r="L22" s="70"/>
      <c r="M22" s="104"/>
      <c r="N22" s="70"/>
      <c r="O22" s="70"/>
      <c r="P22" s="70"/>
      <c r="Q22" s="70"/>
      <c r="R22" s="70"/>
      <c r="S22" s="70"/>
      <c r="T22" s="70"/>
      <c r="U22" s="70"/>
      <c r="V22" s="70"/>
    </row>
    <row r="23" spans="1:22" ht="15.75" hidden="1" thickBot="1">
      <c r="A23" s="73" t="s">
        <v>116</v>
      </c>
      <c r="B23" s="104"/>
      <c r="C23" s="105"/>
      <c r="D23" s="104"/>
      <c r="E23" s="70"/>
      <c r="F23" s="104"/>
      <c r="G23" s="70"/>
      <c r="H23" s="104"/>
      <c r="I23" s="104"/>
      <c r="J23" s="104"/>
      <c r="K23" s="104"/>
      <c r="L23" s="70"/>
      <c r="M23" s="104"/>
      <c r="N23" s="70"/>
      <c r="O23" s="70"/>
      <c r="P23" s="70"/>
      <c r="Q23" s="70"/>
      <c r="R23" s="70"/>
      <c r="S23" s="70"/>
      <c r="T23" s="70"/>
      <c r="U23" s="70"/>
      <c r="V23" s="70"/>
    </row>
    <row r="24" spans="1:22" s="81" customFormat="1" ht="15.75" hidden="1" thickBot="1">
      <c r="A24" s="74"/>
      <c r="B24" s="75"/>
      <c r="C24" s="546" t="s">
        <v>105</v>
      </c>
      <c r="D24" s="547"/>
      <c r="E24" s="76" t="s">
        <v>106</v>
      </c>
      <c r="F24" s="77" t="s">
        <v>107</v>
      </c>
      <c r="G24" s="78" t="s">
        <v>108</v>
      </c>
      <c r="H24" s="79"/>
      <c r="I24" s="74"/>
      <c r="J24" s="74"/>
      <c r="K24" s="74"/>
      <c r="L24" s="74"/>
      <c r="M24" s="74"/>
      <c r="N24" s="80"/>
      <c r="O24" s="80"/>
      <c r="P24" s="80"/>
      <c r="Q24" s="80"/>
      <c r="R24" s="80"/>
      <c r="S24" s="80"/>
      <c r="T24" s="80"/>
      <c r="U24" s="80"/>
      <c r="V24" s="80"/>
    </row>
    <row r="25" spans="1:22" s="81" customFormat="1" ht="15.75" hidden="1" thickBot="1">
      <c r="A25" s="82" t="s">
        <v>109</v>
      </c>
      <c r="B25" s="83" t="s">
        <v>110</v>
      </c>
      <c r="C25" s="84" t="s">
        <v>108</v>
      </c>
      <c r="D25" s="85" t="s">
        <v>111</v>
      </c>
      <c r="E25" s="86" t="s">
        <v>112</v>
      </c>
      <c r="F25" s="83" t="s">
        <v>113</v>
      </c>
      <c r="G25" s="86" t="s">
        <v>114</v>
      </c>
      <c r="H25" s="87" t="s">
        <v>91</v>
      </c>
      <c r="I25" s="88" t="s">
        <v>92</v>
      </c>
      <c r="J25" s="88" t="s">
        <v>80</v>
      </c>
      <c r="K25" s="88" t="s">
        <v>93</v>
      </c>
      <c r="L25" s="88" t="s">
        <v>94</v>
      </c>
      <c r="M25" s="89" t="s">
        <v>82</v>
      </c>
      <c r="N25" s="80"/>
      <c r="O25" s="80"/>
      <c r="P25" s="80"/>
      <c r="Q25" s="80"/>
      <c r="R25" s="80"/>
      <c r="S25" s="80"/>
      <c r="T25" s="80"/>
      <c r="U25" s="80"/>
      <c r="V25" s="80"/>
    </row>
    <row r="26" spans="1:22" ht="15.75" hidden="1" thickBot="1">
      <c r="A26" s="90">
        <v>1</v>
      </c>
      <c r="B26" s="91">
        <v>0</v>
      </c>
      <c r="C26" s="92">
        <v>0</v>
      </c>
      <c r="D26" s="93">
        <f>B26*C26</f>
        <v>0</v>
      </c>
      <c r="E26" s="94">
        <v>0</v>
      </c>
      <c r="F26" s="95">
        <f>B26-D26</f>
        <v>0</v>
      </c>
      <c r="G26" s="96">
        <v>0</v>
      </c>
      <c r="H26" s="93">
        <f>F26*G26</f>
        <v>0</v>
      </c>
      <c r="I26" s="93">
        <f aca="true" t="shared" si="2" ref="I26:L27">H26</f>
        <v>0</v>
      </c>
      <c r="J26" s="93">
        <f t="shared" si="2"/>
        <v>0</v>
      </c>
      <c r="K26" s="93">
        <f t="shared" si="2"/>
        <v>0</v>
      </c>
      <c r="L26" s="93">
        <f t="shared" si="2"/>
        <v>0</v>
      </c>
      <c r="M26" s="97">
        <f>SUM(H26:L26)</f>
        <v>0</v>
      </c>
      <c r="N26" s="70"/>
      <c r="O26" s="70"/>
      <c r="P26" s="70"/>
      <c r="Q26" s="70"/>
      <c r="R26" s="70"/>
      <c r="S26" s="70"/>
      <c r="T26" s="70"/>
      <c r="U26" s="70"/>
      <c r="V26" s="70"/>
    </row>
    <row r="27" spans="1:22" ht="15.75" hidden="1" thickBot="1">
      <c r="A27" s="90">
        <v>2</v>
      </c>
      <c r="B27" s="91">
        <f>'[1]Inversión'!K62</f>
        <v>0</v>
      </c>
      <c r="C27" s="92">
        <v>0</v>
      </c>
      <c r="D27" s="93">
        <f>B27*C27</f>
        <v>0</v>
      </c>
      <c r="E27" s="98">
        <v>0</v>
      </c>
      <c r="F27" s="93">
        <f>B27-D27</f>
        <v>0</v>
      </c>
      <c r="G27" s="96">
        <v>0</v>
      </c>
      <c r="H27" s="93"/>
      <c r="I27" s="93">
        <f>F27*G27</f>
        <v>0</v>
      </c>
      <c r="J27" s="93">
        <f t="shared" si="2"/>
        <v>0</v>
      </c>
      <c r="K27" s="93">
        <f t="shared" si="2"/>
        <v>0</v>
      </c>
      <c r="L27" s="93">
        <f t="shared" si="2"/>
        <v>0</v>
      </c>
      <c r="M27" s="97">
        <f>SUM(H27:L27)</f>
        <v>0</v>
      </c>
      <c r="N27" s="70"/>
      <c r="O27" s="70"/>
      <c r="P27" s="70"/>
      <c r="Q27" s="70"/>
      <c r="R27" s="70"/>
      <c r="S27" s="70"/>
      <c r="T27" s="70"/>
      <c r="U27" s="70"/>
      <c r="V27" s="70"/>
    </row>
    <row r="28" spans="1:22" ht="15.75" hidden="1" thickBot="1">
      <c r="A28" s="90">
        <v>3</v>
      </c>
      <c r="B28" s="91"/>
      <c r="C28" s="93"/>
      <c r="D28" s="93"/>
      <c r="E28" s="98"/>
      <c r="F28" s="93">
        <f>B28-D28</f>
        <v>0</v>
      </c>
      <c r="G28" s="93"/>
      <c r="H28" s="93"/>
      <c r="I28" s="93"/>
      <c r="J28" s="93"/>
      <c r="K28" s="93"/>
      <c r="L28" s="93"/>
      <c r="M28" s="97"/>
      <c r="N28" s="70"/>
      <c r="O28" s="70"/>
      <c r="P28" s="70"/>
      <c r="Q28" s="70"/>
      <c r="R28" s="70"/>
      <c r="S28" s="70"/>
      <c r="T28" s="70"/>
      <c r="U28" s="70"/>
      <c r="V28" s="70"/>
    </row>
    <row r="29" spans="1:22" ht="15.75" hidden="1" thickBot="1">
      <c r="A29" s="90">
        <v>4</v>
      </c>
      <c r="B29" s="91"/>
      <c r="C29" s="93"/>
      <c r="D29" s="93"/>
      <c r="E29" s="98"/>
      <c r="F29" s="93">
        <f>B29-D29</f>
        <v>0</v>
      </c>
      <c r="G29" s="93"/>
      <c r="H29" s="93"/>
      <c r="I29" s="93"/>
      <c r="J29" s="93"/>
      <c r="K29" s="93"/>
      <c r="L29" s="93"/>
      <c r="M29" s="97"/>
      <c r="N29" s="70"/>
      <c r="O29" s="70"/>
      <c r="P29" s="70"/>
      <c r="Q29" s="70"/>
      <c r="R29" s="70"/>
      <c r="S29" s="70"/>
      <c r="T29" s="70"/>
      <c r="U29" s="70"/>
      <c r="V29" s="70"/>
    </row>
    <row r="30" spans="1:22" ht="15.75" hidden="1" thickBot="1">
      <c r="A30" s="90">
        <v>5</v>
      </c>
      <c r="B30" s="91"/>
      <c r="C30" s="93"/>
      <c r="D30" s="93"/>
      <c r="E30" s="98"/>
      <c r="F30" s="93">
        <f>B30-D30</f>
        <v>0</v>
      </c>
      <c r="G30" s="93"/>
      <c r="H30" s="93"/>
      <c r="I30" s="93"/>
      <c r="J30" s="93"/>
      <c r="K30" s="93"/>
      <c r="L30" s="93"/>
      <c r="M30" s="97"/>
      <c r="N30" s="70"/>
      <c r="O30" s="70"/>
      <c r="P30" s="70"/>
      <c r="Q30" s="70"/>
      <c r="R30" s="70"/>
      <c r="S30" s="70"/>
      <c r="T30" s="70"/>
      <c r="U30" s="70"/>
      <c r="V30" s="70"/>
    </row>
    <row r="31" spans="1:22" ht="15.75" hidden="1" thickBot="1">
      <c r="A31" s="107" t="s">
        <v>82</v>
      </c>
      <c r="B31" s="108">
        <f>SUM(B26:B30)</f>
        <v>0</v>
      </c>
      <c r="C31" s="109"/>
      <c r="D31" s="109">
        <f>SUM(D26:D30)</f>
        <v>0</v>
      </c>
      <c r="E31" s="110"/>
      <c r="F31" s="109">
        <f>SUM(F26:F30)</f>
        <v>0</v>
      </c>
      <c r="G31" s="109"/>
      <c r="H31" s="109">
        <f aca="true" t="shared" si="3" ref="H31:M31">SUM(H26:H30)</f>
        <v>0</v>
      </c>
      <c r="I31" s="109">
        <f t="shared" si="3"/>
        <v>0</v>
      </c>
      <c r="J31" s="109">
        <f t="shared" si="3"/>
        <v>0</v>
      </c>
      <c r="K31" s="109">
        <f t="shared" si="3"/>
        <v>0</v>
      </c>
      <c r="L31" s="109">
        <f t="shared" si="3"/>
        <v>0</v>
      </c>
      <c r="M31" s="111">
        <f t="shared" si="3"/>
        <v>0</v>
      </c>
      <c r="N31" s="70"/>
      <c r="O31" s="70"/>
      <c r="P31" s="70"/>
      <c r="Q31" s="70"/>
      <c r="R31" s="70"/>
      <c r="S31" s="70"/>
      <c r="T31" s="70"/>
      <c r="U31" s="70"/>
      <c r="V31" s="70"/>
    </row>
    <row r="32" spans="1:25" ht="28.5" customHeight="1" thickBot="1">
      <c r="A32" s="548" t="s">
        <v>117</v>
      </c>
      <c r="B32" s="549"/>
      <c r="C32" s="549"/>
      <c r="D32" s="549"/>
      <c r="E32" s="549"/>
      <c r="F32" s="549"/>
      <c r="G32" s="549"/>
      <c r="H32" s="549"/>
      <c r="I32" s="549"/>
      <c r="J32" s="549"/>
      <c r="K32" s="549"/>
      <c r="L32" s="549"/>
      <c r="M32" s="549"/>
      <c r="N32" s="549"/>
      <c r="O32" s="549"/>
      <c r="P32" s="549"/>
      <c r="Q32" s="550"/>
      <c r="R32" s="70"/>
      <c r="S32" s="70"/>
      <c r="T32" s="70"/>
      <c r="U32" s="70"/>
      <c r="V32" s="70"/>
      <c r="W32" s="70"/>
      <c r="X32" s="70"/>
      <c r="Y32" s="70"/>
    </row>
    <row r="33" spans="1:25" ht="39" thickBot="1">
      <c r="A33" s="112" t="s">
        <v>1</v>
      </c>
      <c r="B33" s="113" t="s">
        <v>118</v>
      </c>
      <c r="C33" s="114" t="s">
        <v>119</v>
      </c>
      <c r="D33" s="115" t="s">
        <v>120</v>
      </c>
      <c r="E33" s="114" t="s">
        <v>121</v>
      </c>
      <c r="F33" s="114" t="s">
        <v>122</v>
      </c>
      <c r="G33" s="114" t="s">
        <v>123</v>
      </c>
      <c r="H33" s="113" t="s">
        <v>124</v>
      </c>
      <c r="I33" s="114" t="s">
        <v>125</v>
      </c>
      <c r="J33" s="116" t="s">
        <v>126</v>
      </c>
      <c r="K33" s="112" t="s">
        <v>105</v>
      </c>
      <c r="L33" s="117" t="s">
        <v>127</v>
      </c>
      <c r="M33" s="112" t="s">
        <v>91</v>
      </c>
      <c r="N33" s="112" t="s">
        <v>92</v>
      </c>
      <c r="O33" s="112" t="s">
        <v>80</v>
      </c>
      <c r="P33" s="112" t="s">
        <v>93</v>
      </c>
      <c r="Q33" s="112" t="s">
        <v>94</v>
      </c>
      <c r="R33" s="70"/>
      <c r="S33" s="70"/>
      <c r="T33" s="70"/>
      <c r="U33" s="70"/>
      <c r="V33" s="70"/>
      <c r="W33" s="70"/>
      <c r="X33" s="70"/>
      <c r="Y33" s="70"/>
    </row>
    <row r="34" spans="1:25" ht="18">
      <c r="A34" s="118" t="str">
        <f>'Inversion y gastos'!B8</f>
        <v>Estación de trabajo</v>
      </c>
      <c r="B34" s="119">
        <v>5</v>
      </c>
      <c r="C34" s="120">
        <v>0</v>
      </c>
      <c r="D34" s="211">
        <v>0.1</v>
      </c>
      <c r="E34" s="121">
        <f>'Inversion y gastos'!C8</f>
        <v>3</v>
      </c>
      <c r="F34" s="166">
        <f>'Inversion y gastos'!D8</f>
        <v>400</v>
      </c>
      <c r="G34" s="167">
        <f>E34*F34</f>
        <v>1200</v>
      </c>
      <c r="H34" s="168"/>
      <c r="I34" s="169"/>
      <c r="J34" s="169">
        <f>G34</f>
        <v>1200</v>
      </c>
      <c r="K34" s="390">
        <f>J34*0.15</f>
        <v>180</v>
      </c>
      <c r="L34" s="212">
        <f>J34-K34</f>
        <v>1020</v>
      </c>
      <c r="M34" s="170"/>
      <c r="N34" s="171"/>
      <c r="O34" s="171"/>
      <c r="P34" s="171"/>
      <c r="Q34" s="172"/>
      <c r="R34" s="70"/>
      <c r="S34" s="70"/>
      <c r="T34" s="70"/>
      <c r="U34" s="70"/>
      <c r="V34" s="70"/>
      <c r="W34" s="70"/>
      <c r="X34" s="70"/>
      <c r="Y34" s="70"/>
    </row>
    <row r="35" spans="1:25" ht="18">
      <c r="A35" s="123"/>
      <c r="B35" s="124"/>
      <c r="C35" s="125">
        <v>1</v>
      </c>
      <c r="D35" s="126"/>
      <c r="E35" s="127"/>
      <c r="F35" s="173"/>
      <c r="G35" s="174"/>
      <c r="H35" s="174">
        <f>$L$34*$D$34</f>
        <v>102</v>
      </c>
      <c r="I35" s="175">
        <f>H35</f>
        <v>102</v>
      </c>
      <c r="J35" s="176"/>
      <c r="K35" s="176"/>
      <c r="L35" s="213"/>
      <c r="M35" s="178">
        <f>H35</f>
        <v>102</v>
      </c>
      <c r="N35" s="179"/>
      <c r="O35" s="179"/>
      <c r="P35" s="179"/>
      <c r="Q35" s="180"/>
      <c r="R35" s="70"/>
      <c r="S35" s="70"/>
      <c r="T35" s="70"/>
      <c r="U35" s="70"/>
      <c r="V35" s="70"/>
      <c r="W35" s="70"/>
      <c r="X35" s="70"/>
      <c r="Y35" s="70"/>
    </row>
    <row r="36" spans="1:25" ht="18">
      <c r="A36" s="159"/>
      <c r="B36" s="124"/>
      <c r="C36" s="125">
        <v>2</v>
      </c>
      <c r="D36" s="126"/>
      <c r="E36" s="127"/>
      <c r="F36" s="173"/>
      <c r="G36" s="174"/>
      <c r="H36" s="174">
        <f>$L$34*$D$34</f>
        <v>102</v>
      </c>
      <c r="I36" s="175">
        <f>I35+H36</f>
        <v>204</v>
      </c>
      <c r="J36" s="176"/>
      <c r="K36" s="176"/>
      <c r="L36" s="213"/>
      <c r="M36" s="178"/>
      <c r="N36" s="179">
        <f>H36</f>
        <v>102</v>
      </c>
      <c r="O36" s="179"/>
      <c r="P36" s="179"/>
      <c r="Q36" s="180"/>
      <c r="R36" s="70"/>
      <c r="S36" s="70"/>
      <c r="T36" s="70"/>
      <c r="U36" s="70"/>
      <c r="V36" s="70"/>
      <c r="W36" s="70"/>
      <c r="X36" s="70"/>
      <c r="Y36" s="70"/>
    </row>
    <row r="37" spans="1:25" ht="18">
      <c r="A37" s="159"/>
      <c r="B37" s="124"/>
      <c r="C37" s="125">
        <v>3</v>
      </c>
      <c r="D37" s="126"/>
      <c r="E37" s="127"/>
      <c r="F37" s="173"/>
      <c r="G37" s="174"/>
      <c r="H37" s="174">
        <f>$L$34*$D$34</f>
        <v>102</v>
      </c>
      <c r="I37" s="175">
        <f>I36+H37</f>
        <v>306</v>
      </c>
      <c r="J37" s="176"/>
      <c r="K37" s="176"/>
      <c r="L37" s="213"/>
      <c r="M37" s="178"/>
      <c r="N37" s="179"/>
      <c r="O37" s="179">
        <f>H37</f>
        <v>102</v>
      </c>
      <c r="P37" s="179"/>
      <c r="Q37" s="180"/>
      <c r="R37" s="70"/>
      <c r="S37" s="70"/>
      <c r="T37" s="70"/>
      <c r="U37" s="70"/>
      <c r="V37" s="70"/>
      <c r="W37" s="70"/>
      <c r="X37" s="70"/>
      <c r="Y37" s="70"/>
    </row>
    <row r="38" spans="1:25" ht="18">
      <c r="A38" s="130"/>
      <c r="B38" s="124"/>
      <c r="C38" s="125">
        <v>4</v>
      </c>
      <c r="D38" s="126"/>
      <c r="E38" s="127"/>
      <c r="F38" s="173"/>
      <c r="G38" s="174"/>
      <c r="H38" s="174">
        <f>$L$34*$D$34</f>
        <v>102</v>
      </c>
      <c r="I38" s="175">
        <f>I37+H38</f>
        <v>408</v>
      </c>
      <c r="J38" s="176"/>
      <c r="K38" s="176"/>
      <c r="L38" s="213"/>
      <c r="M38" s="178"/>
      <c r="N38" s="179"/>
      <c r="O38" s="179"/>
      <c r="P38" s="179">
        <f>H38</f>
        <v>102</v>
      </c>
      <c r="Q38" s="180"/>
      <c r="R38" s="70"/>
      <c r="S38" s="70"/>
      <c r="T38" s="70"/>
      <c r="U38" s="70"/>
      <c r="V38" s="70"/>
      <c r="W38" s="70"/>
      <c r="X38" s="70"/>
      <c r="Y38" s="70"/>
    </row>
    <row r="39" spans="1:25" ht="18.75" thickBot="1">
      <c r="A39" s="214"/>
      <c r="B39" s="132"/>
      <c r="C39" s="133">
        <v>5</v>
      </c>
      <c r="D39" s="134"/>
      <c r="E39" s="135"/>
      <c r="F39" s="181"/>
      <c r="G39" s="182"/>
      <c r="H39" s="182">
        <f>$L$34*$D$34</f>
        <v>102</v>
      </c>
      <c r="I39" s="215">
        <f>I38+H39</f>
        <v>510</v>
      </c>
      <c r="J39" s="183"/>
      <c r="K39" s="183"/>
      <c r="L39" s="216"/>
      <c r="M39" s="185"/>
      <c r="N39" s="186"/>
      <c r="O39" s="186"/>
      <c r="P39" s="186"/>
      <c r="Q39" s="187">
        <f>H39</f>
        <v>102</v>
      </c>
      <c r="R39" s="70"/>
      <c r="S39" s="70"/>
      <c r="T39" s="70"/>
      <c r="U39" s="70"/>
      <c r="V39" s="70"/>
      <c r="W39" s="70"/>
      <c r="X39" s="70"/>
      <c r="Y39" s="70"/>
    </row>
    <row r="40" spans="1:25" ht="18">
      <c r="A40" s="118" t="str">
        <f>'Inversion y gastos'!B9</f>
        <v>Silla secretaria con brazos</v>
      </c>
      <c r="B40" s="119">
        <v>5</v>
      </c>
      <c r="C40" s="120">
        <v>0</v>
      </c>
      <c r="D40" s="211">
        <v>0.1</v>
      </c>
      <c r="E40" s="121">
        <f>'Inversion y gastos'!C9</f>
        <v>3</v>
      </c>
      <c r="F40" s="166">
        <f>'Inversion y gastos'!D9</f>
        <v>120</v>
      </c>
      <c r="G40" s="167">
        <f>E40*F40</f>
        <v>360</v>
      </c>
      <c r="H40" s="167"/>
      <c r="I40" s="217"/>
      <c r="J40" s="169">
        <f>G40</f>
        <v>360</v>
      </c>
      <c r="K40" s="169">
        <f>J40*0.15</f>
        <v>54</v>
      </c>
      <c r="L40" s="212">
        <f>J40-K40</f>
        <v>306</v>
      </c>
      <c r="M40" s="193"/>
      <c r="N40" s="194"/>
      <c r="O40" s="194"/>
      <c r="P40" s="194"/>
      <c r="Q40" s="195"/>
      <c r="R40" s="70"/>
      <c r="S40" s="70"/>
      <c r="T40" s="70"/>
      <c r="U40" s="70"/>
      <c r="V40" s="70"/>
      <c r="W40" s="70"/>
      <c r="X40" s="70"/>
      <c r="Y40" s="70"/>
    </row>
    <row r="41" spans="1:25" ht="18">
      <c r="A41" s="142"/>
      <c r="B41" s="138"/>
      <c r="C41" s="139">
        <v>1</v>
      </c>
      <c r="D41" s="140"/>
      <c r="E41" s="141"/>
      <c r="F41" s="188"/>
      <c r="G41" s="189"/>
      <c r="H41" s="189">
        <f>$L$40*$D$40</f>
        <v>30.6</v>
      </c>
      <c r="I41" s="190">
        <f>H41</f>
        <v>30.6</v>
      </c>
      <c r="J41" s="196"/>
      <c r="K41" s="191"/>
      <c r="L41" s="218"/>
      <c r="M41" s="193">
        <f>H41</f>
        <v>30.6</v>
      </c>
      <c r="N41" s="194"/>
      <c r="O41" s="194"/>
      <c r="P41" s="194"/>
      <c r="Q41" s="195"/>
      <c r="R41" s="70"/>
      <c r="S41" s="70"/>
      <c r="T41" s="70"/>
      <c r="U41" s="70"/>
      <c r="V41" s="70"/>
      <c r="W41" s="70"/>
      <c r="X41" s="70"/>
      <c r="Y41" s="70"/>
    </row>
    <row r="42" spans="1:25" ht="18">
      <c r="A42" s="142"/>
      <c r="B42" s="138"/>
      <c r="C42" s="139">
        <v>2</v>
      </c>
      <c r="D42" s="140"/>
      <c r="E42" s="141"/>
      <c r="F42" s="188"/>
      <c r="G42" s="189"/>
      <c r="H42" s="189">
        <f>$L$40*$D$40</f>
        <v>30.6</v>
      </c>
      <c r="I42" s="190">
        <f>I41+H42</f>
        <v>61.2</v>
      </c>
      <c r="J42" s="196"/>
      <c r="K42" s="191"/>
      <c r="L42" s="218"/>
      <c r="M42" s="193"/>
      <c r="N42" s="193">
        <f>H42</f>
        <v>30.6</v>
      </c>
      <c r="O42" s="194"/>
      <c r="P42" s="194"/>
      <c r="Q42" s="195"/>
      <c r="R42" s="70"/>
      <c r="S42" s="70"/>
      <c r="T42" s="70"/>
      <c r="U42" s="70"/>
      <c r="V42" s="70"/>
      <c r="W42" s="70"/>
      <c r="X42" s="70"/>
      <c r="Y42" s="70"/>
    </row>
    <row r="43" spans="1:25" ht="18">
      <c r="A43" s="142"/>
      <c r="B43" s="131"/>
      <c r="C43" s="125">
        <v>3</v>
      </c>
      <c r="D43" s="126"/>
      <c r="E43" s="127"/>
      <c r="F43" s="173"/>
      <c r="G43" s="174"/>
      <c r="H43" s="189">
        <f>$L$40*$D$40</f>
        <v>30.6</v>
      </c>
      <c r="I43" s="190">
        <f>I42+H43</f>
        <v>91.80000000000001</v>
      </c>
      <c r="J43" s="176"/>
      <c r="K43" s="197"/>
      <c r="L43" s="213"/>
      <c r="M43" s="178"/>
      <c r="N43" s="179"/>
      <c r="O43" s="179">
        <f>H43</f>
        <v>30.6</v>
      </c>
      <c r="P43" s="179"/>
      <c r="Q43" s="180"/>
      <c r="R43" s="70"/>
      <c r="S43" s="70"/>
      <c r="T43" s="70"/>
      <c r="U43" s="70"/>
      <c r="V43" s="70"/>
      <c r="W43" s="70"/>
      <c r="X43" s="70"/>
      <c r="Y43" s="70"/>
    </row>
    <row r="44" spans="1:25" ht="18">
      <c r="A44" s="142"/>
      <c r="B44" s="160"/>
      <c r="C44" s="161">
        <v>4</v>
      </c>
      <c r="D44" s="162"/>
      <c r="E44" s="163"/>
      <c r="F44" s="198"/>
      <c r="G44" s="199"/>
      <c r="H44" s="189">
        <f>$L$40*$D$40</f>
        <v>30.6</v>
      </c>
      <c r="I44" s="190">
        <f>I43+H44</f>
        <v>122.4</v>
      </c>
      <c r="J44" s="200"/>
      <c r="K44" s="201"/>
      <c r="L44" s="219"/>
      <c r="M44" s="203"/>
      <c r="N44" s="204"/>
      <c r="O44" s="204"/>
      <c r="P44" s="204">
        <f>H44</f>
        <v>30.6</v>
      </c>
      <c r="Q44" s="205"/>
      <c r="R44" s="70"/>
      <c r="S44" s="70"/>
      <c r="T44" s="70"/>
      <c r="U44" s="70"/>
      <c r="V44" s="70"/>
      <c r="W44" s="70"/>
      <c r="X44" s="70"/>
      <c r="Y44" s="70"/>
    </row>
    <row r="45" spans="1:25" ht="18.75" thickBot="1">
      <c r="A45" s="65"/>
      <c r="B45" s="132"/>
      <c r="C45" s="133">
        <v>5</v>
      </c>
      <c r="D45" s="137"/>
      <c r="E45" s="135"/>
      <c r="F45" s="181"/>
      <c r="G45" s="182"/>
      <c r="H45" s="220">
        <f>$L$40*$D$40</f>
        <v>30.6</v>
      </c>
      <c r="I45" s="221">
        <f>I44+H45</f>
        <v>153</v>
      </c>
      <c r="J45" s="183"/>
      <c r="K45" s="206"/>
      <c r="L45" s="216"/>
      <c r="M45" s="185"/>
      <c r="N45" s="186"/>
      <c r="O45" s="186"/>
      <c r="P45" s="186"/>
      <c r="Q45" s="187">
        <f>H45</f>
        <v>30.6</v>
      </c>
      <c r="R45" s="70"/>
      <c r="S45" s="70"/>
      <c r="T45" s="70"/>
      <c r="U45" s="70"/>
      <c r="V45" s="70"/>
      <c r="W45" s="70"/>
      <c r="X45" s="70"/>
      <c r="Y45" s="70"/>
    </row>
    <row r="46" spans="1:25" ht="18">
      <c r="A46" s="142" t="str">
        <f>'Inversion y gastos'!B10</f>
        <v>Silla para usuarios</v>
      </c>
      <c r="B46" s="138">
        <v>5</v>
      </c>
      <c r="C46" s="139">
        <v>0</v>
      </c>
      <c r="D46" s="165">
        <v>0.1</v>
      </c>
      <c r="E46" s="141">
        <f>'Inversion y gastos'!C10</f>
        <v>6</v>
      </c>
      <c r="F46" s="188">
        <f>'Inversion y gastos'!D10</f>
        <v>70</v>
      </c>
      <c r="G46" s="189">
        <f>E46*F46</f>
        <v>420</v>
      </c>
      <c r="H46" s="189"/>
      <c r="I46" s="190"/>
      <c r="J46" s="191">
        <f>G46</f>
        <v>420</v>
      </c>
      <c r="K46" s="191">
        <f>J46*0.15</f>
        <v>63</v>
      </c>
      <c r="L46" s="192">
        <f>J46-K46</f>
        <v>357</v>
      </c>
      <c r="M46" s="193"/>
      <c r="N46" s="194"/>
      <c r="O46" s="194"/>
      <c r="P46" s="194"/>
      <c r="Q46" s="195"/>
      <c r="R46" s="70"/>
      <c r="S46" s="70"/>
      <c r="T46" s="70"/>
      <c r="U46" s="70"/>
      <c r="V46" s="70"/>
      <c r="W46" s="70"/>
      <c r="X46" s="70"/>
      <c r="Y46" s="70"/>
    </row>
    <row r="47" spans="1:25" ht="18">
      <c r="A47" s="142"/>
      <c r="B47" s="124"/>
      <c r="C47" s="125">
        <v>1</v>
      </c>
      <c r="D47" s="126"/>
      <c r="E47" s="127"/>
      <c r="F47" s="173"/>
      <c r="G47" s="174"/>
      <c r="H47" s="174">
        <f>$L$46*$D$46</f>
        <v>35.7</v>
      </c>
      <c r="I47" s="175">
        <f>H47</f>
        <v>35.7</v>
      </c>
      <c r="J47" s="176"/>
      <c r="K47" s="197"/>
      <c r="L47" s="177"/>
      <c r="M47" s="178">
        <f>H47</f>
        <v>35.7</v>
      </c>
      <c r="N47" s="179"/>
      <c r="O47" s="179"/>
      <c r="P47" s="179"/>
      <c r="Q47" s="180"/>
      <c r="R47" s="70"/>
      <c r="S47" s="70"/>
      <c r="T47" s="70"/>
      <c r="U47" s="70"/>
      <c r="V47" s="70"/>
      <c r="W47" s="70"/>
      <c r="X47" s="70"/>
      <c r="Y47" s="70"/>
    </row>
    <row r="48" spans="1:25" ht="18">
      <c r="A48" s="142"/>
      <c r="B48" s="124"/>
      <c r="C48" s="125">
        <v>2</v>
      </c>
      <c r="D48" s="126"/>
      <c r="E48" s="127"/>
      <c r="F48" s="173"/>
      <c r="G48" s="174"/>
      <c r="H48" s="174">
        <f>$L$46*$D$46</f>
        <v>35.7</v>
      </c>
      <c r="I48" s="175">
        <f>I47+H48</f>
        <v>71.4</v>
      </c>
      <c r="J48" s="176"/>
      <c r="K48" s="197"/>
      <c r="L48" s="177"/>
      <c r="M48" s="178"/>
      <c r="N48" s="179">
        <f>H48</f>
        <v>35.7</v>
      </c>
      <c r="O48" s="179"/>
      <c r="P48" s="179"/>
      <c r="Q48" s="180"/>
      <c r="R48" s="70"/>
      <c r="S48" s="70"/>
      <c r="T48" s="70"/>
      <c r="U48" s="70"/>
      <c r="V48" s="70"/>
      <c r="W48" s="70"/>
      <c r="X48" s="70"/>
      <c r="Y48" s="70"/>
    </row>
    <row r="49" spans="1:25" ht="18">
      <c r="A49" s="142"/>
      <c r="B49" s="124"/>
      <c r="C49" s="125">
        <v>3</v>
      </c>
      <c r="D49" s="126"/>
      <c r="E49" s="127"/>
      <c r="F49" s="173"/>
      <c r="G49" s="174"/>
      <c r="H49" s="174">
        <f>$L$46*$D$46</f>
        <v>35.7</v>
      </c>
      <c r="I49" s="175">
        <f>I48+H49</f>
        <v>107.10000000000001</v>
      </c>
      <c r="J49" s="176"/>
      <c r="K49" s="197"/>
      <c r="L49" s="177"/>
      <c r="M49" s="178"/>
      <c r="N49" s="179"/>
      <c r="O49" s="179">
        <f>H49</f>
        <v>35.7</v>
      </c>
      <c r="P49" s="179"/>
      <c r="Q49" s="180"/>
      <c r="R49" s="70"/>
      <c r="S49" s="70"/>
      <c r="T49" s="70"/>
      <c r="U49" s="70"/>
      <c r="V49" s="70"/>
      <c r="W49" s="70"/>
      <c r="X49" s="70"/>
      <c r="Y49" s="70"/>
    </row>
    <row r="50" spans="1:25" ht="18">
      <c r="A50" s="142"/>
      <c r="B50" s="164"/>
      <c r="C50" s="161">
        <v>4</v>
      </c>
      <c r="D50" s="162"/>
      <c r="E50" s="163"/>
      <c r="F50" s="198"/>
      <c r="G50" s="199"/>
      <c r="H50" s="174">
        <f>$L$46*$D$46</f>
        <v>35.7</v>
      </c>
      <c r="I50" s="175">
        <f>I49+H50</f>
        <v>142.8</v>
      </c>
      <c r="J50" s="200"/>
      <c r="K50" s="201"/>
      <c r="L50" s="202"/>
      <c r="M50" s="203"/>
      <c r="N50" s="204"/>
      <c r="O50" s="204"/>
      <c r="P50" s="204">
        <f>H50</f>
        <v>35.7</v>
      </c>
      <c r="Q50" s="205"/>
      <c r="R50" s="70"/>
      <c r="S50" s="70"/>
      <c r="T50" s="70"/>
      <c r="U50" s="70"/>
      <c r="V50" s="70"/>
      <c r="W50" s="70"/>
      <c r="X50" s="70"/>
      <c r="Y50" s="70"/>
    </row>
    <row r="51" spans="1:25" ht="18.75" thickBot="1">
      <c r="A51" s="143"/>
      <c r="B51" s="132"/>
      <c r="C51" s="133">
        <v>5</v>
      </c>
      <c r="D51" s="134"/>
      <c r="E51" s="135"/>
      <c r="F51" s="181"/>
      <c r="G51" s="182"/>
      <c r="H51" s="174">
        <f>$L$46*$D$46</f>
        <v>35.7</v>
      </c>
      <c r="I51" s="175">
        <f>I50+H51</f>
        <v>178.5</v>
      </c>
      <c r="J51" s="183"/>
      <c r="K51" s="206"/>
      <c r="L51" s="184"/>
      <c r="M51" s="185"/>
      <c r="N51" s="186"/>
      <c r="O51" s="186"/>
      <c r="P51" s="186"/>
      <c r="Q51" s="187">
        <f>H51</f>
        <v>35.7</v>
      </c>
      <c r="R51" s="70"/>
      <c r="S51" s="70"/>
      <c r="T51" s="70"/>
      <c r="U51" s="70"/>
      <c r="V51" s="70"/>
      <c r="W51" s="70"/>
      <c r="X51" s="70"/>
      <c r="Y51" s="70"/>
    </row>
    <row r="52" spans="1:25" ht="18.75" thickBot="1">
      <c r="A52" s="118" t="str">
        <f>'Inversion y gastos'!B11</f>
        <v>Archivadores</v>
      </c>
      <c r="B52" s="223">
        <v>5</v>
      </c>
      <c r="C52" s="224">
        <v>0</v>
      </c>
      <c r="D52" s="225">
        <v>0.1</v>
      </c>
      <c r="E52" s="226">
        <f>'Inversion y gastos'!C11</f>
        <v>4</v>
      </c>
      <c r="F52" s="227">
        <f>'Inversion y gastos'!D11</f>
        <v>400</v>
      </c>
      <c r="G52" s="228">
        <f>E52*F52</f>
        <v>1600</v>
      </c>
      <c r="H52" s="229"/>
      <c r="I52" s="230"/>
      <c r="J52" s="231">
        <f>G52</f>
        <v>1600</v>
      </c>
      <c r="K52" s="231">
        <f>J52*0.15</f>
        <v>240</v>
      </c>
      <c r="L52" s="232">
        <f>J52-K52</f>
        <v>1360</v>
      </c>
      <c r="M52" s="193"/>
      <c r="N52" s="194"/>
      <c r="O52" s="194"/>
      <c r="P52" s="194"/>
      <c r="Q52" s="195"/>
      <c r="R52" s="70"/>
      <c r="S52" s="70"/>
      <c r="T52" s="70"/>
      <c r="U52" s="70"/>
      <c r="V52" s="70"/>
      <c r="W52" s="70"/>
      <c r="X52" s="70"/>
      <c r="Y52" s="70"/>
    </row>
    <row r="53" spans="1:25" ht="18">
      <c r="A53" s="118"/>
      <c r="B53" s="119"/>
      <c r="C53" s="120">
        <v>1</v>
      </c>
      <c r="D53" s="233"/>
      <c r="E53" s="121"/>
      <c r="F53" s="166"/>
      <c r="G53" s="167"/>
      <c r="H53" s="167">
        <f>$L$52*$D$52</f>
        <v>136</v>
      </c>
      <c r="I53" s="217">
        <f>H53</f>
        <v>136</v>
      </c>
      <c r="J53" s="169"/>
      <c r="K53" s="234"/>
      <c r="L53" s="235"/>
      <c r="M53" s="222">
        <f>H53</f>
        <v>136</v>
      </c>
      <c r="N53" s="179"/>
      <c r="O53" s="179"/>
      <c r="P53" s="179"/>
      <c r="Q53" s="180"/>
      <c r="R53" s="70"/>
      <c r="S53" s="70"/>
      <c r="T53" s="70"/>
      <c r="U53" s="70"/>
      <c r="V53" s="70"/>
      <c r="W53" s="70"/>
      <c r="X53" s="70"/>
      <c r="Y53" s="70"/>
    </row>
    <row r="54" spans="1:25" ht="18">
      <c r="A54" s="142"/>
      <c r="B54" s="124"/>
      <c r="C54" s="125">
        <v>2</v>
      </c>
      <c r="D54" s="126"/>
      <c r="E54" s="127"/>
      <c r="F54" s="173"/>
      <c r="G54" s="174"/>
      <c r="H54" s="174">
        <f>$L$52*$D$52</f>
        <v>136</v>
      </c>
      <c r="I54" s="175">
        <f>I53+H54</f>
        <v>272</v>
      </c>
      <c r="J54" s="176"/>
      <c r="K54" s="197"/>
      <c r="L54" s="213"/>
      <c r="M54" s="222"/>
      <c r="N54" s="179">
        <f>H54</f>
        <v>136</v>
      </c>
      <c r="O54" s="179"/>
      <c r="P54" s="179"/>
      <c r="Q54" s="180"/>
      <c r="R54" s="70"/>
      <c r="S54" s="70"/>
      <c r="T54" s="70"/>
      <c r="U54" s="70"/>
      <c r="V54" s="70"/>
      <c r="W54" s="70"/>
      <c r="X54" s="70"/>
      <c r="Y54" s="70"/>
    </row>
    <row r="55" spans="1:25" ht="18">
      <c r="A55" s="142"/>
      <c r="B55" s="124"/>
      <c r="C55" s="125">
        <v>3</v>
      </c>
      <c r="D55" s="126"/>
      <c r="E55" s="127"/>
      <c r="F55" s="173"/>
      <c r="G55" s="174"/>
      <c r="H55" s="174">
        <f>$L$52*$D$52</f>
        <v>136</v>
      </c>
      <c r="I55" s="175">
        <f>I54+H55</f>
        <v>408</v>
      </c>
      <c r="J55" s="176"/>
      <c r="K55" s="197"/>
      <c r="L55" s="213"/>
      <c r="M55" s="222"/>
      <c r="N55" s="179"/>
      <c r="O55" s="179">
        <f>H55</f>
        <v>136</v>
      </c>
      <c r="P55" s="179"/>
      <c r="Q55" s="180"/>
      <c r="R55" s="70"/>
      <c r="S55" s="70"/>
      <c r="T55" s="70"/>
      <c r="U55" s="70"/>
      <c r="V55" s="70"/>
      <c r="W55" s="70"/>
      <c r="X55" s="70"/>
      <c r="Y55" s="70"/>
    </row>
    <row r="56" spans="1:25" ht="18">
      <c r="A56" s="142"/>
      <c r="B56" s="124"/>
      <c r="C56" s="125">
        <v>4</v>
      </c>
      <c r="D56" s="126"/>
      <c r="E56" s="127"/>
      <c r="F56" s="173"/>
      <c r="G56" s="174"/>
      <c r="H56" s="174">
        <f>$L$52*$D$52</f>
        <v>136</v>
      </c>
      <c r="I56" s="175">
        <f>I55+H56</f>
        <v>544</v>
      </c>
      <c r="J56" s="176"/>
      <c r="K56" s="197"/>
      <c r="L56" s="213"/>
      <c r="M56" s="222"/>
      <c r="N56" s="179"/>
      <c r="O56" s="179"/>
      <c r="P56" s="179">
        <f>H56</f>
        <v>136</v>
      </c>
      <c r="Q56" s="180"/>
      <c r="R56" s="70"/>
      <c r="S56" s="70"/>
      <c r="T56" s="70"/>
      <c r="U56" s="70"/>
      <c r="V56" s="70"/>
      <c r="W56" s="70"/>
      <c r="X56" s="70"/>
      <c r="Y56" s="70"/>
    </row>
    <row r="57" spans="1:25" ht="18.75" thickBot="1">
      <c r="A57" s="143"/>
      <c r="B57" s="132"/>
      <c r="C57" s="133">
        <v>5</v>
      </c>
      <c r="D57" s="134"/>
      <c r="E57" s="135"/>
      <c r="F57" s="181"/>
      <c r="G57" s="182"/>
      <c r="H57" s="182">
        <f>$L$52*$D$52</f>
        <v>136</v>
      </c>
      <c r="I57" s="215">
        <f>I56+H57</f>
        <v>680</v>
      </c>
      <c r="J57" s="183"/>
      <c r="K57" s="206"/>
      <c r="L57" s="216"/>
      <c r="M57" s="243"/>
      <c r="N57" s="204"/>
      <c r="O57" s="204"/>
      <c r="P57" s="204"/>
      <c r="Q57" s="205">
        <f>H57</f>
        <v>136</v>
      </c>
      <c r="R57" s="70"/>
      <c r="S57" s="70"/>
      <c r="T57" s="70"/>
      <c r="U57" s="70"/>
      <c r="V57" s="70"/>
      <c r="W57" s="70"/>
      <c r="X57" s="70"/>
      <c r="Y57" s="70"/>
    </row>
    <row r="58" spans="1:25" ht="18">
      <c r="A58" s="118" t="str">
        <f>'Inversion y gastos'!B12</f>
        <v>Equipo de computación (monitor, cpu, mouse y teclado)</v>
      </c>
      <c r="B58" s="119">
        <v>3</v>
      </c>
      <c r="C58" s="120">
        <v>0</v>
      </c>
      <c r="D58" s="233">
        <v>0.33</v>
      </c>
      <c r="E58" s="121">
        <f>'Inversion y gastos'!C12</f>
        <v>3</v>
      </c>
      <c r="F58" s="166">
        <f>'Inversion y gastos'!D12</f>
        <v>930.01</v>
      </c>
      <c r="G58" s="167">
        <f>E58*F58</f>
        <v>2790.0299999999997</v>
      </c>
      <c r="H58" s="167"/>
      <c r="I58" s="217"/>
      <c r="J58" s="169">
        <f>G58</f>
        <v>2790.0299999999997</v>
      </c>
      <c r="K58" s="169">
        <f>J58*0.15</f>
        <v>418.50449999999995</v>
      </c>
      <c r="L58" s="236">
        <f>J58-K58</f>
        <v>2371.5254999999997</v>
      </c>
      <c r="M58" s="170"/>
      <c r="N58" s="171"/>
      <c r="O58" s="171"/>
      <c r="P58" s="171"/>
      <c r="Q58" s="172"/>
      <c r="R58" s="70"/>
      <c r="S58" s="70"/>
      <c r="T58" s="70"/>
      <c r="U58" s="70"/>
      <c r="V58" s="70"/>
      <c r="W58" s="70"/>
      <c r="X58" s="70"/>
      <c r="Y58" s="70"/>
    </row>
    <row r="59" spans="1:25" ht="18">
      <c r="A59" s="142"/>
      <c r="B59" s="138"/>
      <c r="C59" s="125">
        <v>1</v>
      </c>
      <c r="D59" s="126"/>
      <c r="E59" s="127"/>
      <c r="F59" s="173"/>
      <c r="G59" s="174"/>
      <c r="H59" s="174">
        <f>$L$58*$D$58</f>
        <v>782.6034149999999</v>
      </c>
      <c r="I59" s="175">
        <f>H59</f>
        <v>782.6034149999999</v>
      </c>
      <c r="J59" s="207"/>
      <c r="K59" s="197"/>
      <c r="L59" s="213"/>
      <c r="M59" s="178">
        <f>H59</f>
        <v>782.6034149999999</v>
      </c>
      <c r="N59" s="179"/>
      <c r="O59" s="179"/>
      <c r="P59" s="179"/>
      <c r="Q59" s="180"/>
      <c r="R59" s="70"/>
      <c r="S59" s="70"/>
      <c r="T59" s="70"/>
      <c r="U59" s="70"/>
      <c r="V59" s="70"/>
      <c r="W59" s="70"/>
      <c r="X59" s="70"/>
      <c r="Y59" s="70"/>
    </row>
    <row r="60" spans="1:25" ht="18">
      <c r="A60" s="142"/>
      <c r="B60" s="138"/>
      <c r="C60" s="125">
        <v>2</v>
      </c>
      <c r="D60" s="126"/>
      <c r="E60" s="127"/>
      <c r="F60" s="173"/>
      <c r="G60" s="174"/>
      <c r="H60" s="174">
        <f>$L$58*$D$58</f>
        <v>782.6034149999999</v>
      </c>
      <c r="I60" s="175">
        <f>I59+H60</f>
        <v>1565.2068299999999</v>
      </c>
      <c r="J60" s="207"/>
      <c r="K60" s="197"/>
      <c r="L60" s="213"/>
      <c r="M60" s="178"/>
      <c r="N60" s="179">
        <f>H60</f>
        <v>782.6034149999999</v>
      </c>
      <c r="O60" s="179"/>
      <c r="P60" s="179"/>
      <c r="Q60" s="180"/>
      <c r="R60" s="70"/>
      <c r="S60" s="70"/>
      <c r="T60" s="70"/>
      <c r="U60" s="70"/>
      <c r="V60" s="70"/>
      <c r="W60" s="70"/>
      <c r="X60" s="70"/>
      <c r="Y60" s="70"/>
    </row>
    <row r="61" spans="1:25" ht="18.75" thickBot="1">
      <c r="A61" s="142"/>
      <c r="B61" s="223"/>
      <c r="C61" s="161">
        <v>3</v>
      </c>
      <c r="D61" s="162"/>
      <c r="E61" s="163"/>
      <c r="F61" s="198"/>
      <c r="G61" s="199"/>
      <c r="H61" s="199">
        <f>$L$58*$D$58</f>
        <v>782.6034149999999</v>
      </c>
      <c r="I61" s="241">
        <f>I60+H61</f>
        <v>2347.8102449999997</v>
      </c>
      <c r="J61" s="242"/>
      <c r="K61" s="201"/>
      <c r="L61" s="219"/>
      <c r="M61" s="185"/>
      <c r="N61" s="186"/>
      <c r="O61" s="186">
        <f>H61</f>
        <v>782.6034149999999</v>
      </c>
      <c r="P61" s="186"/>
      <c r="Q61" s="187"/>
      <c r="R61" s="70"/>
      <c r="S61" s="70"/>
      <c r="T61" s="70"/>
      <c r="U61" s="70"/>
      <c r="V61" s="70"/>
      <c r="W61" s="70"/>
      <c r="X61" s="70"/>
      <c r="Y61" s="70"/>
    </row>
    <row r="62" spans="1:25" ht="18">
      <c r="A62" s="118" t="str">
        <f>'Inversion y gastos'!B13</f>
        <v>Impresora multifunción Lexmark WIFI y USB </v>
      </c>
      <c r="B62" s="119">
        <v>3</v>
      </c>
      <c r="C62" s="120">
        <v>0</v>
      </c>
      <c r="D62" s="233">
        <v>0.33</v>
      </c>
      <c r="E62" s="121">
        <f>'Inversion y gastos'!C13</f>
        <v>1</v>
      </c>
      <c r="F62" s="166">
        <f>'Inversion y gastos'!D13</f>
        <v>254.34</v>
      </c>
      <c r="G62" s="167">
        <f>E62*F62</f>
        <v>254.34</v>
      </c>
      <c r="H62" s="167"/>
      <c r="I62" s="217"/>
      <c r="J62" s="169">
        <f>G62</f>
        <v>254.34</v>
      </c>
      <c r="K62" s="169">
        <f>J62*0.15</f>
        <v>38.150999999999996</v>
      </c>
      <c r="L62" s="236">
        <f>J62-K62</f>
        <v>216.18900000000002</v>
      </c>
      <c r="M62" s="170"/>
      <c r="N62" s="171"/>
      <c r="O62" s="171"/>
      <c r="P62" s="171"/>
      <c r="Q62" s="172"/>
      <c r="R62" s="70"/>
      <c r="S62" s="70"/>
      <c r="T62" s="70"/>
      <c r="U62" s="70"/>
      <c r="V62" s="70"/>
      <c r="W62" s="70"/>
      <c r="X62" s="70"/>
      <c r="Y62" s="70"/>
    </row>
    <row r="63" spans="1:25" ht="18">
      <c r="A63" s="142"/>
      <c r="B63" s="124"/>
      <c r="C63" s="125">
        <v>1</v>
      </c>
      <c r="D63" s="126"/>
      <c r="E63" s="127"/>
      <c r="F63" s="173"/>
      <c r="G63" s="174"/>
      <c r="H63" s="174">
        <f>$L$62*$D$62</f>
        <v>71.34237000000002</v>
      </c>
      <c r="I63" s="175">
        <f>H63</f>
        <v>71.34237000000002</v>
      </c>
      <c r="J63" s="207"/>
      <c r="K63" s="176"/>
      <c r="L63" s="237"/>
      <c r="M63" s="178">
        <f>H63</f>
        <v>71.34237000000002</v>
      </c>
      <c r="N63" s="179"/>
      <c r="O63" s="179"/>
      <c r="P63" s="179"/>
      <c r="Q63" s="180"/>
      <c r="R63" s="70"/>
      <c r="S63" s="70"/>
      <c r="T63" s="70"/>
      <c r="U63" s="70"/>
      <c r="V63" s="70"/>
      <c r="W63" s="70"/>
      <c r="X63" s="70"/>
      <c r="Y63" s="70"/>
    </row>
    <row r="64" spans="1:25" ht="18">
      <c r="A64" s="142"/>
      <c r="B64" s="124"/>
      <c r="C64" s="125">
        <v>2</v>
      </c>
      <c r="D64" s="126"/>
      <c r="E64" s="127"/>
      <c r="F64" s="173"/>
      <c r="G64" s="174"/>
      <c r="H64" s="174">
        <f>$L$62*$D$62</f>
        <v>71.34237000000002</v>
      </c>
      <c r="I64" s="175">
        <f>I63+H64</f>
        <v>142.68474000000003</v>
      </c>
      <c r="J64" s="207"/>
      <c r="K64" s="176"/>
      <c r="L64" s="237"/>
      <c r="M64" s="178"/>
      <c r="N64" s="179">
        <f>H64</f>
        <v>71.34237000000002</v>
      </c>
      <c r="O64" s="179"/>
      <c r="P64" s="179"/>
      <c r="Q64" s="180"/>
      <c r="R64" s="70"/>
      <c r="S64" s="70"/>
      <c r="T64" s="70"/>
      <c r="U64" s="70"/>
      <c r="V64" s="70"/>
      <c r="W64" s="70"/>
      <c r="X64" s="70"/>
      <c r="Y64" s="70"/>
    </row>
    <row r="65" spans="1:25" ht="18.75" thickBot="1">
      <c r="A65" s="143"/>
      <c r="B65" s="132"/>
      <c r="C65" s="133">
        <v>3</v>
      </c>
      <c r="D65" s="134"/>
      <c r="E65" s="135"/>
      <c r="F65" s="181"/>
      <c r="G65" s="182"/>
      <c r="H65" s="182">
        <f>$L$62*$D$62</f>
        <v>71.34237000000002</v>
      </c>
      <c r="I65" s="215">
        <f>I64+H65</f>
        <v>214.02711000000005</v>
      </c>
      <c r="J65" s="209"/>
      <c r="K65" s="183"/>
      <c r="L65" s="238"/>
      <c r="M65" s="203"/>
      <c r="N65" s="204"/>
      <c r="O65" s="204">
        <f>H65</f>
        <v>71.34237000000002</v>
      </c>
      <c r="P65" s="204"/>
      <c r="Q65" s="205"/>
      <c r="R65" s="70"/>
      <c r="S65" s="70"/>
      <c r="T65" s="70"/>
      <c r="U65" s="70"/>
      <c r="V65" s="70"/>
      <c r="W65" s="70"/>
      <c r="X65" s="70"/>
      <c r="Y65" s="70"/>
    </row>
    <row r="66" spans="1:25" ht="18">
      <c r="A66" s="142" t="str">
        <f>'Inversion y gastos'!B15</f>
        <v>Aire Acondicionado LG de 12000BTU</v>
      </c>
      <c r="B66" s="138">
        <v>5</v>
      </c>
      <c r="C66" s="139">
        <v>0</v>
      </c>
      <c r="D66" s="144">
        <v>0.1</v>
      </c>
      <c r="E66" s="141">
        <f>'Inversion y gastos'!C15</f>
        <v>1</v>
      </c>
      <c r="F66" s="188">
        <f>'Inversion y gastos'!D15</f>
        <v>316.24</v>
      </c>
      <c r="G66" s="189">
        <f>E66*F66</f>
        <v>316.24</v>
      </c>
      <c r="H66" s="189"/>
      <c r="I66" s="190"/>
      <c r="J66" s="191">
        <f>G66</f>
        <v>316.24</v>
      </c>
      <c r="K66" s="191">
        <f>J66*0.15</f>
        <v>47.436</v>
      </c>
      <c r="L66" s="240">
        <f>J66-K66</f>
        <v>268.80400000000003</v>
      </c>
      <c r="M66" s="193"/>
      <c r="N66" s="194"/>
      <c r="O66" s="194"/>
      <c r="P66" s="194"/>
      <c r="Q66" s="195"/>
      <c r="R66" s="70"/>
      <c r="S66" s="70"/>
      <c r="T66" s="70"/>
      <c r="U66" s="70"/>
      <c r="V66" s="70"/>
      <c r="W66" s="70"/>
      <c r="X66" s="70"/>
      <c r="Y66" s="70"/>
    </row>
    <row r="67" spans="1:25" ht="18">
      <c r="A67" s="142"/>
      <c r="B67" s="131"/>
      <c r="C67" s="125">
        <v>1</v>
      </c>
      <c r="D67" s="126"/>
      <c r="E67" s="127"/>
      <c r="F67" s="173"/>
      <c r="G67" s="174"/>
      <c r="H67" s="174">
        <f>$L$66*$D$66</f>
        <v>26.880400000000005</v>
      </c>
      <c r="I67" s="175">
        <f>H67</f>
        <v>26.880400000000005</v>
      </c>
      <c r="J67" s="207"/>
      <c r="K67" s="176"/>
      <c r="L67" s="237"/>
      <c r="M67" s="178">
        <f>H67</f>
        <v>26.880400000000005</v>
      </c>
      <c r="N67" s="179"/>
      <c r="O67" s="179"/>
      <c r="P67" s="179"/>
      <c r="Q67" s="180"/>
      <c r="R67" s="70"/>
      <c r="S67" s="70"/>
      <c r="T67" s="70"/>
      <c r="U67" s="70"/>
      <c r="V67" s="70"/>
      <c r="W67" s="70"/>
      <c r="X67" s="70"/>
      <c r="Y67" s="70"/>
    </row>
    <row r="68" spans="1:25" ht="18">
      <c r="A68" s="142"/>
      <c r="B68" s="124"/>
      <c r="C68" s="125">
        <v>2</v>
      </c>
      <c r="D68" s="126"/>
      <c r="E68" s="127"/>
      <c r="F68" s="173"/>
      <c r="G68" s="174"/>
      <c r="H68" s="174">
        <f>$L$66*$D$66</f>
        <v>26.880400000000005</v>
      </c>
      <c r="I68" s="175">
        <f>I67+H68</f>
        <v>53.76080000000001</v>
      </c>
      <c r="J68" s="207"/>
      <c r="K68" s="176"/>
      <c r="L68" s="237"/>
      <c r="M68" s="178"/>
      <c r="N68" s="179">
        <f>H68</f>
        <v>26.880400000000005</v>
      </c>
      <c r="O68" s="179"/>
      <c r="P68" s="179"/>
      <c r="Q68" s="180"/>
      <c r="R68" s="70"/>
      <c r="S68" s="70"/>
      <c r="T68" s="70"/>
      <c r="U68" s="70"/>
      <c r="V68" s="70"/>
      <c r="W68" s="70"/>
      <c r="X68" s="70"/>
      <c r="Y68" s="70"/>
    </row>
    <row r="69" spans="1:25" ht="18">
      <c r="A69" s="142"/>
      <c r="B69" s="124"/>
      <c r="C69" s="125">
        <v>3</v>
      </c>
      <c r="D69" s="126"/>
      <c r="E69" s="127"/>
      <c r="F69" s="173"/>
      <c r="G69" s="174"/>
      <c r="H69" s="174">
        <f>$L$66*$D$66</f>
        <v>26.880400000000005</v>
      </c>
      <c r="I69" s="175">
        <f>I68+H69</f>
        <v>80.64120000000001</v>
      </c>
      <c r="J69" s="207"/>
      <c r="K69" s="176"/>
      <c r="L69" s="237"/>
      <c r="M69" s="178"/>
      <c r="N69" s="179"/>
      <c r="O69" s="179">
        <f>H69</f>
        <v>26.880400000000005</v>
      </c>
      <c r="P69" s="179"/>
      <c r="Q69" s="180"/>
      <c r="R69" s="70"/>
      <c r="S69" s="70"/>
      <c r="T69" s="70"/>
      <c r="U69" s="70"/>
      <c r="V69" s="70"/>
      <c r="W69" s="70"/>
      <c r="X69" s="70"/>
      <c r="Y69" s="70"/>
    </row>
    <row r="70" spans="1:25" ht="18">
      <c r="A70" s="142"/>
      <c r="B70" s="124"/>
      <c r="C70" s="125">
        <v>4</v>
      </c>
      <c r="D70" s="126"/>
      <c r="E70" s="127"/>
      <c r="F70" s="173"/>
      <c r="G70" s="174"/>
      <c r="H70" s="174">
        <f>$L$66*$D$66</f>
        <v>26.880400000000005</v>
      </c>
      <c r="I70" s="175">
        <f>I69+H70</f>
        <v>107.52160000000002</v>
      </c>
      <c r="J70" s="207"/>
      <c r="K70" s="176"/>
      <c r="L70" s="237"/>
      <c r="M70" s="178"/>
      <c r="N70" s="179"/>
      <c r="O70" s="179"/>
      <c r="P70" s="179">
        <f>H70</f>
        <v>26.880400000000005</v>
      </c>
      <c r="Q70" s="180"/>
      <c r="R70" s="70"/>
      <c r="S70" s="70"/>
      <c r="T70" s="70"/>
      <c r="U70" s="70"/>
      <c r="V70" s="70"/>
      <c r="W70" s="70"/>
      <c r="X70" s="70"/>
      <c r="Y70" s="70"/>
    </row>
    <row r="71" spans="1:25" ht="18.75" thickBot="1">
      <c r="A71" s="143"/>
      <c r="B71" s="132"/>
      <c r="C71" s="133">
        <v>5</v>
      </c>
      <c r="D71" s="134"/>
      <c r="E71" s="135"/>
      <c r="F71" s="181"/>
      <c r="G71" s="182"/>
      <c r="H71" s="182">
        <f>$L$66*$D$66</f>
        <v>26.880400000000005</v>
      </c>
      <c r="I71" s="215">
        <f>I70+H71</f>
        <v>134.40200000000002</v>
      </c>
      <c r="J71" s="209"/>
      <c r="K71" s="183"/>
      <c r="L71" s="238"/>
      <c r="M71" s="185"/>
      <c r="N71" s="186"/>
      <c r="O71" s="186"/>
      <c r="P71" s="186"/>
      <c r="Q71" s="187">
        <f>H71</f>
        <v>26.880400000000005</v>
      </c>
      <c r="R71" s="70"/>
      <c r="S71" s="70"/>
      <c r="T71" s="70"/>
      <c r="U71" s="70"/>
      <c r="V71" s="70"/>
      <c r="W71" s="70"/>
      <c r="X71" s="70"/>
      <c r="Y71" s="70"/>
    </row>
    <row r="72" spans="1:25" ht="18">
      <c r="A72" s="118" t="str">
        <f>'Inversion y gastos'!B16</f>
        <v>Teléfono inalámbrico Panasonic 5.8 GHz - KXTG9331LAT</v>
      </c>
      <c r="B72" s="138">
        <v>5</v>
      </c>
      <c r="C72" s="139">
        <v>0</v>
      </c>
      <c r="D72" s="144">
        <v>0.1</v>
      </c>
      <c r="E72" s="141">
        <f>'Inversion y gastos'!C16</f>
        <v>3</v>
      </c>
      <c r="F72" s="188">
        <f>'Inversion y gastos'!D16</f>
        <v>80.43</v>
      </c>
      <c r="G72" s="189">
        <f>E72*F72</f>
        <v>241.29000000000002</v>
      </c>
      <c r="H72" s="189"/>
      <c r="I72" s="190"/>
      <c r="J72" s="191">
        <f>G72</f>
        <v>241.29000000000002</v>
      </c>
      <c r="K72" s="191">
        <f>J72*0.15</f>
        <v>36.1935</v>
      </c>
      <c r="L72" s="240">
        <f>J72-K72</f>
        <v>205.09650000000002</v>
      </c>
      <c r="M72" s="193"/>
      <c r="N72" s="194"/>
      <c r="O72" s="194"/>
      <c r="P72" s="194"/>
      <c r="Q72" s="195"/>
      <c r="R72" s="70"/>
      <c r="S72" s="70"/>
      <c r="T72" s="70"/>
      <c r="U72" s="70"/>
      <c r="V72" s="70"/>
      <c r="W72" s="70"/>
      <c r="X72" s="70"/>
      <c r="Y72" s="70"/>
    </row>
    <row r="73" spans="1:25" ht="18">
      <c r="A73" s="142"/>
      <c r="B73" s="131"/>
      <c r="C73" s="125">
        <v>1</v>
      </c>
      <c r="D73" s="126"/>
      <c r="E73" s="127"/>
      <c r="F73" s="173"/>
      <c r="G73" s="174"/>
      <c r="H73" s="174">
        <f>$L$72*$D$72</f>
        <v>20.509650000000004</v>
      </c>
      <c r="I73" s="175">
        <f>H73</f>
        <v>20.509650000000004</v>
      </c>
      <c r="J73" s="207"/>
      <c r="K73" s="176"/>
      <c r="L73" s="237"/>
      <c r="M73" s="178">
        <f>H73</f>
        <v>20.509650000000004</v>
      </c>
      <c r="N73" s="179"/>
      <c r="O73" s="179"/>
      <c r="P73" s="179"/>
      <c r="Q73" s="180"/>
      <c r="R73" s="70"/>
      <c r="S73" s="70"/>
      <c r="T73" s="70"/>
      <c r="U73" s="70"/>
      <c r="V73" s="70"/>
      <c r="W73" s="70"/>
      <c r="X73" s="70"/>
      <c r="Y73" s="70"/>
    </row>
    <row r="74" spans="1:25" ht="18">
      <c r="A74" s="142"/>
      <c r="B74" s="124"/>
      <c r="C74" s="125">
        <v>2</v>
      </c>
      <c r="D74" s="126"/>
      <c r="E74" s="127"/>
      <c r="F74" s="173"/>
      <c r="G74" s="174"/>
      <c r="H74" s="174">
        <f>$L$72*$D$72</f>
        <v>20.509650000000004</v>
      </c>
      <c r="I74" s="175">
        <f>I73+H74</f>
        <v>41.01930000000001</v>
      </c>
      <c r="J74" s="207"/>
      <c r="K74" s="176"/>
      <c r="L74" s="237"/>
      <c r="M74" s="178"/>
      <c r="N74" s="179">
        <f>H74</f>
        <v>20.509650000000004</v>
      </c>
      <c r="O74" s="179"/>
      <c r="P74" s="179"/>
      <c r="Q74" s="180"/>
      <c r="R74" s="70"/>
      <c r="S74" s="70"/>
      <c r="T74" s="70"/>
      <c r="U74" s="70"/>
      <c r="V74" s="70"/>
      <c r="W74" s="70"/>
      <c r="X74" s="70"/>
      <c r="Y74" s="70"/>
    </row>
    <row r="75" spans="1:25" ht="18">
      <c r="A75" s="142"/>
      <c r="B75" s="124"/>
      <c r="C75" s="125">
        <v>3</v>
      </c>
      <c r="D75" s="126"/>
      <c r="E75" s="127"/>
      <c r="F75" s="173"/>
      <c r="G75" s="174"/>
      <c r="H75" s="174">
        <f>$L$72*$D$72</f>
        <v>20.509650000000004</v>
      </c>
      <c r="I75" s="175">
        <f>I74+H75</f>
        <v>61.52895000000001</v>
      </c>
      <c r="J75" s="207"/>
      <c r="K75" s="176"/>
      <c r="L75" s="237"/>
      <c r="M75" s="178"/>
      <c r="N75" s="179"/>
      <c r="O75" s="179">
        <f>H75</f>
        <v>20.509650000000004</v>
      </c>
      <c r="P75" s="179"/>
      <c r="Q75" s="180"/>
      <c r="R75" s="70"/>
      <c r="S75" s="70"/>
      <c r="T75" s="70"/>
      <c r="U75" s="70"/>
      <c r="V75" s="70"/>
      <c r="W75" s="70"/>
      <c r="X75" s="70"/>
      <c r="Y75" s="70"/>
    </row>
    <row r="76" spans="1:25" ht="18">
      <c r="A76" s="142"/>
      <c r="B76" s="124"/>
      <c r="C76" s="125">
        <v>4</v>
      </c>
      <c r="D76" s="126"/>
      <c r="E76" s="127"/>
      <c r="F76" s="173"/>
      <c r="G76" s="174"/>
      <c r="H76" s="174">
        <f>$L$72*$D$72</f>
        <v>20.509650000000004</v>
      </c>
      <c r="I76" s="175">
        <f>I75+H76</f>
        <v>82.03860000000002</v>
      </c>
      <c r="J76" s="207"/>
      <c r="K76" s="176"/>
      <c r="L76" s="237"/>
      <c r="M76" s="178"/>
      <c r="N76" s="179"/>
      <c r="O76" s="179"/>
      <c r="P76" s="179">
        <f>H76</f>
        <v>20.509650000000004</v>
      </c>
      <c r="Q76" s="180"/>
      <c r="R76" s="70"/>
      <c r="S76" s="70"/>
      <c r="T76" s="70"/>
      <c r="U76" s="70"/>
      <c r="V76" s="70"/>
      <c r="W76" s="70"/>
      <c r="X76" s="70"/>
      <c r="Y76" s="70"/>
    </row>
    <row r="77" spans="1:25" ht="18.75" thickBot="1">
      <c r="A77" s="143"/>
      <c r="B77" s="132"/>
      <c r="C77" s="133">
        <v>5</v>
      </c>
      <c r="D77" s="134"/>
      <c r="E77" s="135"/>
      <c r="F77" s="181"/>
      <c r="G77" s="182"/>
      <c r="H77" s="182">
        <f>$L$72*$D$72</f>
        <v>20.509650000000004</v>
      </c>
      <c r="I77" s="215">
        <f>I76+H77</f>
        <v>102.54825000000002</v>
      </c>
      <c r="J77" s="209"/>
      <c r="K77" s="183"/>
      <c r="L77" s="238"/>
      <c r="M77" s="185"/>
      <c r="N77" s="186"/>
      <c r="O77" s="186"/>
      <c r="P77" s="186"/>
      <c r="Q77" s="187">
        <f>H77</f>
        <v>20.509650000000004</v>
      </c>
      <c r="R77" s="70"/>
      <c r="S77" s="70"/>
      <c r="T77" s="70"/>
      <c r="U77" s="70"/>
      <c r="V77" s="70"/>
      <c r="W77" s="70"/>
      <c r="X77" s="70"/>
      <c r="Y77" s="70"/>
    </row>
    <row r="78" spans="1:25" ht="18">
      <c r="A78" s="118" t="str">
        <f>'Inversion y gastos'!B17</f>
        <v>Refrigeradora pequeña defrost 4 pies TA04YO7EXB0</v>
      </c>
      <c r="B78" s="119">
        <v>5</v>
      </c>
      <c r="C78" s="120">
        <v>0</v>
      </c>
      <c r="D78" s="233">
        <v>0.1</v>
      </c>
      <c r="E78" s="121">
        <f>'Inversion y gastos'!C17</f>
        <v>1</v>
      </c>
      <c r="F78" s="166">
        <f>'Inversion y gastos'!D17</f>
        <v>281.25</v>
      </c>
      <c r="G78" s="167">
        <f>E78*F78</f>
        <v>281.25</v>
      </c>
      <c r="H78" s="167"/>
      <c r="I78" s="217"/>
      <c r="J78" s="169">
        <f>G78</f>
        <v>281.25</v>
      </c>
      <c r="K78" s="169">
        <f>J78*0.15</f>
        <v>42.1875</v>
      </c>
      <c r="L78" s="239">
        <f>J78-K78</f>
        <v>239.0625</v>
      </c>
      <c r="M78" s="170"/>
      <c r="N78" s="171"/>
      <c r="O78" s="171"/>
      <c r="P78" s="171"/>
      <c r="Q78" s="172"/>
      <c r="R78" s="70"/>
      <c r="S78" s="70"/>
      <c r="T78" s="70"/>
      <c r="U78" s="70"/>
      <c r="V78" s="70"/>
      <c r="W78" s="70"/>
      <c r="X78" s="70"/>
      <c r="Y78" s="70"/>
    </row>
    <row r="79" spans="1:25" ht="18">
      <c r="A79" s="142"/>
      <c r="B79" s="131"/>
      <c r="C79" s="125">
        <v>1</v>
      </c>
      <c r="D79" s="126"/>
      <c r="E79" s="127"/>
      <c r="F79" s="173"/>
      <c r="G79" s="174"/>
      <c r="H79" s="174">
        <f>$L$78*$D$78</f>
        <v>23.90625</v>
      </c>
      <c r="I79" s="175">
        <f>H79</f>
        <v>23.90625</v>
      </c>
      <c r="J79" s="207"/>
      <c r="K79" s="176"/>
      <c r="L79" s="208"/>
      <c r="M79" s="178">
        <f>H79</f>
        <v>23.90625</v>
      </c>
      <c r="N79" s="179"/>
      <c r="O79" s="179"/>
      <c r="P79" s="179"/>
      <c r="Q79" s="180"/>
      <c r="R79" s="70"/>
      <c r="S79" s="70"/>
      <c r="T79" s="70"/>
      <c r="U79" s="70"/>
      <c r="V79" s="70"/>
      <c r="W79" s="70"/>
      <c r="X79" s="70"/>
      <c r="Y79" s="70"/>
    </row>
    <row r="80" spans="1:25" ht="18">
      <c r="A80" s="142"/>
      <c r="B80" s="124"/>
      <c r="C80" s="125">
        <v>2</v>
      </c>
      <c r="D80" s="126"/>
      <c r="E80" s="127"/>
      <c r="F80" s="173"/>
      <c r="G80" s="174"/>
      <c r="H80" s="174">
        <f>$L$78*$D$78</f>
        <v>23.90625</v>
      </c>
      <c r="I80" s="175">
        <f>I79+H80</f>
        <v>47.8125</v>
      </c>
      <c r="J80" s="207"/>
      <c r="K80" s="176"/>
      <c r="L80" s="208"/>
      <c r="M80" s="178"/>
      <c r="N80" s="179">
        <f>H80</f>
        <v>23.90625</v>
      </c>
      <c r="O80" s="179"/>
      <c r="P80" s="179"/>
      <c r="Q80" s="180"/>
      <c r="R80" s="70"/>
      <c r="S80" s="70"/>
      <c r="T80" s="70"/>
      <c r="U80" s="70"/>
      <c r="V80" s="70"/>
      <c r="W80" s="70"/>
      <c r="X80" s="70"/>
      <c r="Y80" s="70"/>
    </row>
    <row r="81" spans="1:25" ht="18">
      <c r="A81" s="142"/>
      <c r="B81" s="124"/>
      <c r="C81" s="125">
        <v>3</v>
      </c>
      <c r="D81" s="126"/>
      <c r="E81" s="127"/>
      <c r="F81" s="173"/>
      <c r="G81" s="174"/>
      <c r="H81" s="174">
        <f>$L$78*$D$78</f>
        <v>23.90625</v>
      </c>
      <c r="I81" s="175">
        <f>I80+H81</f>
        <v>71.71875</v>
      </c>
      <c r="J81" s="207"/>
      <c r="K81" s="176"/>
      <c r="L81" s="208"/>
      <c r="M81" s="178"/>
      <c r="N81" s="179"/>
      <c r="O81" s="179">
        <f>H81</f>
        <v>23.90625</v>
      </c>
      <c r="P81" s="179"/>
      <c r="Q81" s="180"/>
      <c r="R81" s="70"/>
      <c r="S81" s="70"/>
      <c r="T81" s="70"/>
      <c r="U81" s="70"/>
      <c r="V81" s="70"/>
      <c r="W81" s="70"/>
      <c r="X81" s="70"/>
      <c r="Y81" s="70"/>
    </row>
    <row r="82" spans="1:25" ht="18">
      <c r="A82" s="142"/>
      <c r="B82" s="124"/>
      <c r="C82" s="125">
        <v>4</v>
      </c>
      <c r="D82" s="126"/>
      <c r="E82" s="127"/>
      <c r="F82" s="173"/>
      <c r="G82" s="174"/>
      <c r="H82" s="174">
        <f>$L$78*$D$78</f>
        <v>23.90625</v>
      </c>
      <c r="I82" s="175">
        <f>I81+H82</f>
        <v>95.625</v>
      </c>
      <c r="J82" s="207"/>
      <c r="K82" s="176"/>
      <c r="L82" s="208"/>
      <c r="M82" s="178"/>
      <c r="N82" s="179"/>
      <c r="O82" s="179"/>
      <c r="P82" s="179">
        <f>H82</f>
        <v>23.90625</v>
      </c>
      <c r="Q82" s="180"/>
      <c r="R82" s="70"/>
      <c r="S82" s="70"/>
      <c r="T82" s="70"/>
      <c r="U82" s="70"/>
      <c r="V82" s="70"/>
      <c r="W82" s="70"/>
      <c r="X82" s="70"/>
      <c r="Y82" s="70"/>
    </row>
    <row r="83" spans="1:25" ht="18.75" thickBot="1">
      <c r="A83" s="143"/>
      <c r="B83" s="132"/>
      <c r="C83" s="133">
        <v>5</v>
      </c>
      <c r="D83" s="134"/>
      <c r="E83" s="135"/>
      <c r="F83" s="181"/>
      <c r="G83" s="182"/>
      <c r="H83" s="182">
        <f>$L$78*$D$78</f>
        <v>23.90625</v>
      </c>
      <c r="I83" s="215">
        <f>I82+H83</f>
        <v>119.53125</v>
      </c>
      <c r="J83" s="209"/>
      <c r="K83" s="183"/>
      <c r="L83" s="210"/>
      <c r="M83" s="185"/>
      <c r="N83" s="186"/>
      <c r="O83" s="186"/>
      <c r="P83" s="186"/>
      <c r="Q83" s="187">
        <f>H83</f>
        <v>23.90625</v>
      </c>
      <c r="R83" s="70"/>
      <c r="S83" s="70"/>
      <c r="T83" s="70"/>
      <c r="U83" s="70"/>
      <c r="V83" s="70"/>
      <c r="W83" s="70"/>
      <c r="X83" s="70"/>
      <c r="Y83" s="70"/>
    </row>
    <row r="84" spans="1:25" ht="18">
      <c r="A84" s="244" t="s">
        <v>230</v>
      </c>
      <c r="B84" s="119">
        <v>5</v>
      </c>
      <c r="C84" s="120">
        <v>0</v>
      </c>
      <c r="D84" s="233">
        <v>0.2</v>
      </c>
      <c r="E84" s="121">
        <f>+'Inversion y gastos'!D125</f>
        <v>1</v>
      </c>
      <c r="F84" s="331">
        <f>+'Inversion y gastos'!C126</f>
        <v>15890</v>
      </c>
      <c r="G84" s="331">
        <f>E84*F84</f>
        <v>15890</v>
      </c>
      <c r="H84" s="167"/>
      <c r="I84" s="217"/>
      <c r="J84" s="169">
        <f>G84</f>
        <v>15890</v>
      </c>
      <c r="K84" s="169">
        <f>J84*0.15</f>
        <v>2383.5</v>
      </c>
      <c r="L84" s="239">
        <f>J84-K84</f>
        <v>13506.5</v>
      </c>
      <c r="M84" s="170"/>
      <c r="N84" s="171"/>
      <c r="O84" s="171"/>
      <c r="P84" s="171"/>
      <c r="Q84" s="172"/>
      <c r="R84" s="70"/>
      <c r="S84" s="70"/>
      <c r="T84" s="70"/>
      <c r="U84" s="70"/>
      <c r="V84" s="70"/>
      <c r="W84" s="70"/>
      <c r="X84" s="70"/>
      <c r="Y84" s="70"/>
    </row>
    <row r="85" spans="1:25" ht="18">
      <c r="A85" s="245"/>
      <c r="B85" s="131"/>
      <c r="C85" s="125">
        <v>1</v>
      </c>
      <c r="D85" s="126"/>
      <c r="E85" s="127"/>
      <c r="F85" s="173"/>
      <c r="G85" s="174"/>
      <c r="H85" s="174">
        <f>$L$84*$D$84</f>
        <v>2701.3</v>
      </c>
      <c r="I85" s="175">
        <f>H85</f>
        <v>2701.3</v>
      </c>
      <c r="J85" s="207"/>
      <c r="K85" s="176"/>
      <c r="L85" s="208"/>
      <c r="M85" s="178">
        <f>H85</f>
        <v>2701.3</v>
      </c>
      <c r="N85" s="179"/>
      <c r="O85" s="179"/>
      <c r="P85" s="179"/>
      <c r="Q85" s="180"/>
      <c r="R85" s="70"/>
      <c r="S85" s="70"/>
      <c r="T85" s="70"/>
      <c r="U85" s="70"/>
      <c r="V85" s="70"/>
      <c r="W85" s="70"/>
      <c r="X85" s="70"/>
      <c r="Y85" s="70"/>
    </row>
    <row r="86" spans="1:25" ht="18">
      <c r="A86" s="245"/>
      <c r="B86" s="124"/>
      <c r="C86" s="125">
        <v>2</v>
      </c>
      <c r="D86" s="126"/>
      <c r="E86" s="127"/>
      <c r="F86" s="173"/>
      <c r="G86" s="174"/>
      <c r="H86" s="174">
        <f>$L$84*$D$84</f>
        <v>2701.3</v>
      </c>
      <c r="I86" s="175">
        <f>+H86+I85</f>
        <v>5402.6</v>
      </c>
      <c r="J86" s="207"/>
      <c r="K86" s="176"/>
      <c r="L86" s="208"/>
      <c r="M86" s="178"/>
      <c r="N86" s="179">
        <f>H86</f>
        <v>2701.3</v>
      </c>
      <c r="O86" s="179"/>
      <c r="P86" s="179"/>
      <c r="Q86" s="180"/>
      <c r="R86" s="70"/>
      <c r="S86" s="70"/>
      <c r="T86" s="70"/>
      <c r="U86" s="70"/>
      <c r="V86" s="70"/>
      <c r="W86" s="70"/>
      <c r="X86" s="70"/>
      <c r="Y86" s="70"/>
    </row>
    <row r="87" spans="1:25" ht="18">
      <c r="A87" s="245"/>
      <c r="B87" s="124"/>
      <c r="C87" s="125">
        <v>3</v>
      </c>
      <c r="D87" s="126"/>
      <c r="E87" s="127"/>
      <c r="F87" s="173"/>
      <c r="G87" s="174"/>
      <c r="H87" s="174">
        <f>$L$84*$D$84</f>
        <v>2701.3</v>
      </c>
      <c r="I87" s="175">
        <f>+H87+I86</f>
        <v>8103.900000000001</v>
      </c>
      <c r="J87" s="207"/>
      <c r="K87" s="176"/>
      <c r="L87" s="208"/>
      <c r="M87" s="178"/>
      <c r="N87" s="179"/>
      <c r="O87" s="179">
        <f>H87</f>
        <v>2701.3</v>
      </c>
      <c r="P87" s="179"/>
      <c r="Q87" s="180"/>
      <c r="R87" s="70"/>
      <c r="S87" s="70"/>
      <c r="T87" s="70"/>
      <c r="U87" s="70"/>
      <c r="V87" s="70"/>
      <c r="W87" s="70"/>
      <c r="X87" s="70"/>
      <c r="Y87" s="70"/>
    </row>
    <row r="88" spans="1:25" ht="18">
      <c r="A88" s="245"/>
      <c r="B88" s="124"/>
      <c r="C88" s="125">
        <v>4</v>
      </c>
      <c r="D88" s="126"/>
      <c r="E88" s="127"/>
      <c r="F88" s="173"/>
      <c r="G88" s="174"/>
      <c r="H88" s="174">
        <f>$L$84*$D$84</f>
        <v>2701.3</v>
      </c>
      <c r="I88" s="175">
        <f>+H88+I87</f>
        <v>10805.2</v>
      </c>
      <c r="J88" s="207"/>
      <c r="K88" s="176"/>
      <c r="L88" s="208"/>
      <c r="M88" s="178"/>
      <c r="N88" s="179"/>
      <c r="O88" s="179"/>
      <c r="P88" s="179">
        <f>H88</f>
        <v>2701.3</v>
      </c>
      <c r="Q88" s="180"/>
      <c r="R88" s="70"/>
      <c r="S88" s="70"/>
      <c r="T88" s="70"/>
      <c r="U88" s="70"/>
      <c r="V88" s="70"/>
      <c r="W88" s="70"/>
      <c r="X88" s="70"/>
      <c r="Y88" s="70"/>
    </row>
    <row r="89" spans="1:25" ht="18.75" thickBot="1">
      <c r="A89" s="246"/>
      <c r="B89" s="132"/>
      <c r="C89" s="133">
        <v>5</v>
      </c>
      <c r="D89" s="134"/>
      <c r="E89" s="135"/>
      <c r="F89" s="181"/>
      <c r="G89" s="182"/>
      <c r="H89" s="174">
        <f>$L$84*$D$84</f>
        <v>2701.3</v>
      </c>
      <c r="I89" s="175">
        <f>+H89+I88</f>
        <v>13506.5</v>
      </c>
      <c r="J89" s="209"/>
      <c r="K89" s="183"/>
      <c r="L89" s="210"/>
      <c r="M89" s="185"/>
      <c r="N89" s="186"/>
      <c r="O89" s="186"/>
      <c r="P89" s="186"/>
      <c r="Q89" s="187">
        <f>H89</f>
        <v>2701.3</v>
      </c>
      <c r="R89" s="70"/>
      <c r="S89" s="70"/>
      <c r="T89" s="70"/>
      <c r="U89" s="70"/>
      <c r="V89" s="70"/>
      <c r="W89" s="70"/>
      <c r="X89" s="70"/>
      <c r="Y89" s="70"/>
    </row>
    <row r="90" spans="1:25" ht="18.75">
      <c r="A90" s="148"/>
      <c r="B90" s="149"/>
      <c r="C90" s="149"/>
      <c r="D90" s="150"/>
      <c r="E90" s="151"/>
      <c r="F90" s="152"/>
      <c r="G90" s="153"/>
      <c r="H90" s="154"/>
      <c r="I90" s="155"/>
      <c r="J90" s="156">
        <f>SUM(J34:J89)</f>
        <v>23353.15</v>
      </c>
      <c r="K90" s="294">
        <f>SUM(K34:K89)</f>
        <v>3502.9725</v>
      </c>
      <c r="L90" s="157"/>
      <c r="M90" s="62"/>
      <c r="N90" s="72"/>
      <c r="O90" s="72"/>
      <c r="P90" s="72"/>
      <c r="Q90" s="158"/>
      <c r="R90" s="316" t="s">
        <v>213</v>
      </c>
      <c r="S90" s="70"/>
      <c r="T90" s="70"/>
      <c r="U90" s="70"/>
      <c r="V90" s="70"/>
      <c r="W90" s="70"/>
      <c r="X90" s="70"/>
      <c r="Y90" s="70"/>
    </row>
    <row r="91" spans="1:25" ht="18">
      <c r="A91" s="148" t="s">
        <v>208</v>
      </c>
      <c r="B91" s="149"/>
      <c r="C91" s="149"/>
      <c r="D91" s="150"/>
      <c r="E91" s="151"/>
      <c r="F91" s="152"/>
      <c r="G91" s="317">
        <f>SUM(G34:G89)</f>
        <v>23353.15</v>
      </c>
      <c r="H91" s="154"/>
      <c r="I91" s="155"/>
      <c r="J91" s="156"/>
      <c r="K91" s="157"/>
      <c r="L91" s="157"/>
      <c r="M91" s="318">
        <f>SUM(M34:M89)</f>
        <v>3930.842085</v>
      </c>
      <c r="N91" s="318">
        <f>SUM(N34:N89)</f>
        <v>3930.842085</v>
      </c>
      <c r="O91" s="318">
        <f>SUM(O34:O89)</f>
        <v>3930.842085</v>
      </c>
      <c r="P91" s="318">
        <f>SUM(P34:P89)</f>
        <v>3076.8963000000003</v>
      </c>
      <c r="Q91" s="318">
        <f>SUM(Q34:Q89)</f>
        <v>3076.8963000000003</v>
      </c>
      <c r="S91" s="70"/>
      <c r="T91" s="70"/>
      <c r="U91" s="70"/>
      <c r="V91" s="70"/>
      <c r="W91" s="70"/>
      <c r="X91" s="70"/>
      <c r="Y91" s="70"/>
    </row>
    <row r="92" spans="1:25" ht="15.75" thickBot="1">
      <c r="A92" s="70"/>
      <c r="B92" s="70"/>
      <c r="C92" s="70"/>
      <c r="D92" s="70"/>
      <c r="E92" s="70"/>
      <c r="F92" s="70"/>
      <c r="G92" s="145"/>
      <c r="H92" s="70"/>
      <c r="I92" s="70"/>
      <c r="J92" s="70"/>
      <c r="K92" s="70"/>
      <c r="L92" s="145"/>
      <c r="M92" s="70"/>
      <c r="N92" s="70"/>
      <c r="O92" s="70"/>
      <c r="P92" s="70" t="s">
        <v>214</v>
      </c>
      <c r="Q92" s="70"/>
      <c r="R92" s="70"/>
      <c r="S92" s="70"/>
      <c r="T92" s="70"/>
      <c r="U92" s="70"/>
      <c r="V92" s="70"/>
      <c r="W92" s="70"/>
      <c r="X92" s="70"/>
      <c r="Y92" s="70"/>
    </row>
    <row r="93" spans="1:25" ht="15.75" thickBot="1">
      <c r="A93" s="70"/>
      <c r="B93" s="70"/>
      <c r="C93" s="70"/>
      <c r="D93" s="70"/>
      <c r="E93" s="70"/>
      <c r="F93" s="70"/>
      <c r="G93" s="70"/>
      <c r="H93" s="70"/>
      <c r="I93" s="70"/>
      <c r="J93" s="70"/>
      <c r="K93" s="70"/>
      <c r="L93" s="70"/>
      <c r="M93" s="70"/>
      <c r="N93" s="70"/>
      <c r="O93" s="70"/>
      <c r="P93" s="70" t="s">
        <v>185</v>
      </c>
      <c r="Q93" s="319">
        <f>-(+M91+N91+O91+P91+Q91)</f>
        <v>-17946.318855</v>
      </c>
      <c r="R93" s="70"/>
      <c r="S93" s="70"/>
      <c r="T93" s="70"/>
      <c r="U93" s="70"/>
      <c r="V93" s="70"/>
      <c r="W93" s="70"/>
      <c r="X93" s="70"/>
      <c r="Y93" s="70"/>
    </row>
    <row r="94" spans="1:25" ht="15.75" thickBot="1">
      <c r="A94" s="70"/>
      <c r="B94" s="70"/>
      <c r="C94" s="70"/>
      <c r="D94" s="70"/>
      <c r="E94" s="70"/>
      <c r="F94" s="70"/>
      <c r="G94" s="70"/>
      <c r="H94" s="70"/>
      <c r="I94" s="70"/>
      <c r="J94" s="70"/>
      <c r="K94" s="70"/>
      <c r="L94" s="70"/>
      <c r="M94" s="70"/>
      <c r="N94" s="70"/>
      <c r="O94" s="70"/>
      <c r="P94" s="70" t="s">
        <v>215</v>
      </c>
      <c r="Q94" s="145">
        <f>+G91</f>
        <v>23353.15</v>
      </c>
      <c r="R94" s="70"/>
      <c r="S94" s="70"/>
      <c r="T94" s="70"/>
      <c r="U94" s="70"/>
      <c r="V94" s="70"/>
      <c r="W94" s="70"/>
      <c r="X94" s="70"/>
      <c r="Y94" s="70"/>
    </row>
    <row r="95" spans="1:25" ht="36.75" thickBot="1">
      <c r="A95" s="70"/>
      <c r="B95" s="70"/>
      <c r="C95" s="70"/>
      <c r="D95" s="70"/>
      <c r="E95" s="70"/>
      <c r="F95" s="70"/>
      <c r="G95" s="70"/>
      <c r="H95" s="70"/>
      <c r="I95" s="70"/>
      <c r="J95" s="70"/>
      <c r="K95" s="70"/>
      <c r="L95" s="70"/>
      <c r="M95" s="70"/>
      <c r="N95" s="70"/>
      <c r="O95" s="70"/>
      <c r="P95" s="321" t="s">
        <v>216</v>
      </c>
      <c r="Q95" s="320">
        <f>+Q93+Q94</f>
        <v>5406.831145</v>
      </c>
      <c r="R95" s="70"/>
      <c r="S95" s="70"/>
      <c r="T95" s="70"/>
      <c r="U95" s="70"/>
      <c r="V95" s="70"/>
      <c r="W95" s="70"/>
      <c r="X95" s="70"/>
      <c r="Y95" s="70"/>
    </row>
    <row r="96" spans="1:25" ht="15">
      <c r="A96" s="70" t="s">
        <v>128</v>
      </c>
      <c r="B96" s="70"/>
      <c r="C96" s="70"/>
      <c r="D96" s="70"/>
      <c r="E96" s="70"/>
      <c r="F96" s="70"/>
      <c r="G96" s="70"/>
      <c r="H96" s="146"/>
      <c r="I96" s="70"/>
      <c r="J96" s="70"/>
      <c r="K96" s="70"/>
      <c r="L96" s="146"/>
      <c r="M96" s="70"/>
      <c r="N96" s="70"/>
      <c r="O96" s="70"/>
      <c r="P96" s="70"/>
      <c r="Q96" s="70"/>
      <c r="R96" s="70"/>
      <c r="S96" s="70"/>
      <c r="T96" s="70"/>
      <c r="U96" s="70"/>
      <c r="V96" s="70"/>
      <c r="W96" s="70"/>
      <c r="X96" s="70"/>
      <c r="Y96" s="70"/>
    </row>
    <row r="97" spans="1:25" ht="15">
      <c r="A97" s="70"/>
      <c r="B97" s="70"/>
      <c r="C97" s="70"/>
      <c r="D97" s="70"/>
      <c r="E97" s="70"/>
      <c r="F97" s="70"/>
      <c r="G97" s="70"/>
      <c r="H97" s="70"/>
      <c r="I97" s="70"/>
      <c r="J97" s="70"/>
      <c r="K97" s="70"/>
      <c r="L97" s="70"/>
      <c r="M97" s="70"/>
      <c r="N97" s="70"/>
      <c r="O97" s="70"/>
      <c r="P97" s="70"/>
      <c r="Q97" s="70"/>
      <c r="R97" s="70"/>
      <c r="S97" s="70"/>
      <c r="T97" s="70"/>
      <c r="U97" s="70"/>
      <c r="V97" s="70"/>
      <c r="W97" s="70"/>
      <c r="X97" s="70"/>
      <c r="Y97" s="70"/>
    </row>
    <row r="98" spans="1:25" ht="15">
      <c r="A98" s="70"/>
      <c r="B98" s="70"/>
      <c r="C98" s="70"/>
      <c r="D98" s="70"/>
      <c r="E98" s="70"/>
      <c r="F98" s="70"/>
      <c r="G98" s="70"/>
      <c r="H98" s="70"/>
      <c r="I98" s="70"/>
      <c r="J98" s="70"/>
      <c r="K98" s="70"/>
      <c r="L98" s="70"/>
      <c r="M98" s="70"/>
      <c r="N98" s="70"/>
      <c r="O98" s="70"/>
      <c r="P98" s="70"/>
      <c r="Q98" s="70"/>
      <c r="R98" s="70"/>
      <c r="S98" s="70"/>
      <c r="T98" s="70"/>
      <c r="U98" s="70"/>
      <c r="V98" s="70"/>
      <c r="W98" s="70"/>
      <c r="X98" s="70"/>
      <c r="Y98" s="70"/>
    </row>
    <row r="99" spans="1:25" ht="15">
      <c r="A99" s="70"/>
      <c r="B99" s="70"/>
      <c r="C99" s="70"/>
      <c r="D99" s="70"/>
      <c r="E99" s="70"/>
      <c r="F99" s="70"/>
      <c r="G99" s="70"/>
      <c r="H99" s="70"/>
      <c r="I99" s="70"/>
      <c r="J99" s="70"/>
      <c r="K99" s="70"/>
      <c r="L99" s="70"/>
      <c r="M99" s="70"/>
      <c r="N99" s="70"/>
      <c r="O99" s="70"/>
      <c r="P99" s="70"/>
      <c r="Q99" s="70"/>
      <c r="R99" s="70"/>
      <c r="S99" s="70"/>
      <c r="T99" s="70"/>
      <c r="U99" s="70"/>
      <c r="V99" s="70"/>
      <c r="W99" s="70"/>
      <c r="X99" s="70"/>
      <c r="Y99" s="70"/>
    </row>
    <row r="100" spans="1:25" ht="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row>
    <row r="101" spans="1:25" ht="1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row>
    <row r="102" spans="1:25" ht="1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row>
    <row r="103" spans="1:25" ht="15">
      <c r="A103" s="272" t="s">
        <v>78</v>
      </c>
      <c r="B103" s="532" t="s">
        <v>79</v>
      </c>
      <c r="C103" s="532"/>
      <c r="D103" s="532"/>
      <c r="E103" s="532" t="s">
        <v>81</v>
      </c>
      <c r="F103" s="532"/>
      <c r="G103" s="532"/>
      <c r="H103" s="70"/>
      <c r="I103" s="70"/>
      <c r="J103" s="70"/>
      <c r="K103" s="70"/>
      <c r="L103" s="70"/>
      <c r="M103" s="70"/>
      <c r="N103" s="70"/>
      <c r="O103" s="70"/>
      <c r="P103" s="70"/>
      <c r="Q103" s="70"/>
      <c r="R103" s="70"/>
      <c r="S103" s="70"/>
      <c r="T103" s="70"/>
      <c r="U103" s="70"/>
      <c r="V103" s="70"/>
      <c r="W103" s="70"/>
      <c r="X103" s="70"/>
      <c r="Y103" s="70"/>
    </row>
    <row r="104" spans="1:25" ht="15">
      <c r="A104" s="14" t="s">
        <v>1</v>
      </c>
      <c r="B104" s="3"/>
      <c r="C104" s="17"/>
      <c r="D104" s="35" t="s">
        <v>82</v>
      </c>
      <c r="E104" s="6"/>
      <c r="F104" s="6"/>
      <c r="G104" s="36" t="s">
        <v>82</v>
      </c>
      <c r="H104" s="70"/>
      <c r="I104" s="70"/>
      <c r="J104" s="70"/>
      <c r="K104" s="70"/>
      <c r="L104" s="70"/>
      <c r="M104" s="70"/>
      <c r="N104" s="70"/>
      <c r="O104" s="70"/>
      <c r="P104" s="70"/>
      <c r="Q104" s="70"/>
      <c r="R104" s="70"/>
      <c r="S104" s="70"/>
      <c r="T104" s="70"/>
      <c r="U104" s="70"/>
      <c r="V104" s="70"/>
      <c r="W104" s="70"/>
      <c r="X104" s="70"/>
      <c r="Y104" s="70"/>
    </row>
    <row r="105" spans="1:25" ht="15">
      <c r="A105" s="5" t="s">
        <v>60</v>
      </c>
      <c r="B105" s="3"/>
      <c r="C105" s="8"/>
      <c r="D105" s="4">
        <v>400</v>
      </c>
      <c r="E105" s="6"/>
      <c r="F105" s="6"/>
      <c r="G105" s="3"/>
      <c r="H105" s="70"/>
      <c r="I105" s="70"/>
      <c r="J105" s="70"/>
      <c r="K105" s="70"/>
      <c r="L105" s="70"/>
      <c r="M105" s="70"/>
      <c r="N105" s="70"/>
      <c r="O105" s="70"/>
      <c r="P105" s="70"/>
      <c r="Q105" s="70"/>
      <c r="R105" s="70"/>
      <c r="S105" s="70"/>
      <c r="T105" s="70"/>
      <c r="U105" s="70"/>
      <c r="V105" s="70"/>
      <c r="W105" s="70"/>
      <c r="X105" s="70"/>
      <c r="Y105" s="70"/>
    </row>
    <row r="106" spans="1:25" ht="15">
      <c r="A106" s="14" t="s">
        <v>21</v>
      </c>
      <c r="B106" s="3"/>
      <c r="C106" s="8"/>
      <c r="D106" s="10">
        <f>SUM(D105)</f>
        <v>400</v>
      </c>
      <c r="E106" s="6">
        <f>+D106/5</f>
        <v>80</v>
      </c>
      <c r="F106" s="6"/>
      <c r="G106" s="3"/>
      <c r="H106" s="70"/>
      <c r="I106" s="70"/>
      <c r="J106" s="70"/>
      <c r="K106" s="70"/>
      <c r="L106" s="70"/>
      <c r="M106" s="70"/>
      <c r="N106" s="70"/>
      <c r="O106" s="70"/>
      <c r="P106" s="70"/>
      <c r="Q106" s="70"/>
      <c r="R106" s="70"/>
      <c r="S106" s="70"/>
      <c r="T106" s="70"/>
      <c r="U106" s="70"/>
      <c r="V106" s="70"/>
      <c r="W106" s="70"/>
      <c r="X106" s="70"/>
      <c r="Y106" s="70"/>
    </row>
    <row r="107" spans="1:25" ht="15">
      <c r="A107" s="21"/>
      <c r="B107" s="20"/>
      <c r="C107" s="20"/>
      <c r="D107" s="20"/>
      <c r="E107" s="11"/>
      <c r="F107" s="11"/>
      <c r="G107"/>
      <c r="H107" s="70"/>
      <c r="I107" s="70"/>
      <c r="J107" s="70"/>
      <c r="K107" s="70"/>
      <c r="L107" s="70"/>
      <c r="M107" s="70"/>
      <c r="N107" s="70"/>
      <c r="O107" s="70"/>
      <c r="P107" s="70"/>
      <c r="Q107" s="70"/>
      <c r="R107" s="70"/>
      <c r="S107" s="70"/>
      <c r="T107" s="70"/>
      <c r="U107" s="70"/>
      <c r="V107" s="70"/>
      <c r="W107" s="70"/>
      <c r="X107" s="70"/>
      <c r="Y107" s="70"/>
    </row>
    <row r="108" spans="1:25" ht="15">
      <c r="A108" s="272" t="s">
        <v>61</v>
      </c>
      <c r="B108" s="532" t="s">
        <v>79</v>
      </c>
      <c r="C108" s="532"/>
      <c r="D108" s="532"/>
      <c r="E108" s="532" t="s">
        <v>81</v>
      </c>
      <c r="F108" s="532"/>
      <c r="G108" s="532"/>
      <c r="H108" s="70"/>
      <c r="I108" s="70"/>
      <c r="J108" s="70"/>
      <c r="K108" s="70"/>
      <c r="L108" s="70"/>
      <c r="M108" s="70"/>
      <c r="N108" s="70"/>
      <c r="O108" s="70"/>
      <c r="P108" s="70"/>
      <c r="Q108" s="70"/>
      <c r="R108" s="70"/>
      <c r="S108" s="70"/>
      <c r="T108" s="70"/>
      <c r="U108" s="70"/>
      <c r="V108" s="70"/>
      <c r="W108" s="70"/>
      <c r="X108" s="70"/>
      <c r="Y108" s="70"/>
    </row>
    <row r="109" spans="1:25" ht="15">
      <c r="A109" s="14" t="s">
        <v>1</v>
      </c>
      <c r="B109" s="3"/>
      <c r="C109" s="17"/>
      <c r="D109" s="35" t="s">
        <v>82</v>
      </c>
      <c r="E109" s="6"/>
      <c r="F109" s="6"/>
      <c r="G109" s="36" t="s">
        <v>82</v>
      </c>
      <c r="H109" s="70"/>
      <c r="I109" s="70"/>
      <c r="J109" s="70"/>
      <c r="K109" s="70"/>
      <c r="L109" s="70"/>
      <c r="M109" s="70"/>
      <c r="N109" s="70"/>
      <c r="O109" s="70"/>
      <c r="P109" s="70"/>
      <c r="Q109" s="70"/>
      <c r="R109" s="70"/>
      <c r="S109" s="70"/>
      <c r="T109" s="70"/>
      <c r="U109" s="70"/>
      <c r="V109" s="70"/>
      <c r="W109" s="70"/>
      <c r="X109" s="70"/>
      <c r="Y109" s="70"/>
    </row>
    <row r="110" spans="1:25" ht="15">
      <c r="A110" s="5" t="s">
        <v>59</v>
      </c>
      <c r="B110" s="3"/>
      <c r="C110" s="8"/>
      <c r="D110" s="4">
        <v>588</v>
      </c>
      <c r="E110" s="6"/>
      <c r="F110" s="6"/>
      <c r="G110" s="3"/>
      <c r="H110" s="70"/>
      <c r="I110" s="70"/>
      <c r="J110" s="70"/>
      <c r="K110" s="70"/>
      <c r="L110" s="70"/>
      <c r="M110" s="70"/>
      <c r="N110" s="70"/>
      <c r="O110" s="70"/>
      <c r="P110" s="70"/>
      <c r="Q110" s="70"/>
      <c r="R110" s="70"/>
      <c r="S110" s="70"/>
      <c r="T110" s="70"/>
      <c r="U110" s="70"/>
      <c r="V110" s="70"/>
      <c r="W110" s="70"/>
      <c r="X110" s="70"/>
      <c r="Y110" s="70"/>
    </row>
    <row r="111" spans="1:25" ht="15">
      <c r="A111" s="14" t="s">
        <v>21</v>
      </c>
      <c r="B111" s="3"/>
      <c r="C111" s="8"/>
      <c r="D111" s="10">
        <f>SUM(D110)</f>
        <v>588</v>
      </c>
      <c r="E111" s="6">
        <f>+D111/5</f>
        <v>117.6</v>
      </c>
      <c r="F111" s="6"/>
      <c r="G111" s="3"/>
      <c r="H111" s="70"/>
      <c r="I111" s="70"/>
      <c r="J111" s="70"/>
      <c r="K111" s="70"/>
      <c r="L111" s="70"/>
      <c r="M111" s="70"/>
      <c r="N111" s="70"/>
      <c r="O111" s="70"/>
      <c r="P111" s="70"/>
      <c r="Q111" s="70"/>
      <c r="R111" s="70"/>
      <c r="S111" s="70"/>
      <c r="T111" s="70"/>
      <c r="U111" s="70"/>
      <c r="V111" s="70"/>
      <c r="W111" s="70"/>
      <c r="X111" s="70"/>
      <c r="Y111" s="70"/>
    </row>
    <row r="112" spans="1:25" ht="15">
      <c r="A112" s="70"/>
      <c r="C112" s="70" t="s">
        <v>209</v>
      </c>
      <c r="E112" s="70">
        <f>+E106+E111</f>
        <v>197.6</v>
      </c>
      <c r="F112" s="70"/>
      <c r="G112" s="70"/>
      <c r="H112" s="70"/>
      <c r="I112" s="70"/>
      <c r="J112" s="70"/>
      <c r="K112" s="70"/>
      <c r="L112" s="70"/>
      <c r="M112" s="70"/>
      <c r="N112" s="70"/>
      <c r="O112" s="70"/>
      <c r="P112" s="70"/>
      <c r="Q112" s="70"/>
      <c r="R112" s="70"/>
      <c r="S112" s="70"/>
      <c r="T112" s="70"/>
      <c r="U112" s="70"/>
      <c r="V112" s="70"/>
      <c r="W112" s="70"/>
      <c r="X112" s="70"/>
      <c r="Y112" s="70"/>
    </row>
    <row r="113" spans="1:25" ht="1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row>
    <row r="114" spans="1:25" ht="1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row>
    <row r="115" spans="1:25" ht="1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row>
    <row r="116" spans="1:25" ht="1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row>
    <row r="117" spans="1:25" ht="1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row>
    <row r="118" spans="1:25" ht="1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row>
    <row r="119" spans="1:25" ht="1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row>
    <row r="120" spans="1:25" ht="1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row>
    <row r="121" spans="1:25" ht="1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row>
    <row r="122" spans="1:25" ht="1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row>
    <row r="123" spans="1:25" ht="1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row>
    <row r="124" spans="1:25" ht="1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row>
    <row r="125" spans="1:25" ht="1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row>
    <row r="126" spans="1:25" ht="1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row>
    <row r="127" spans="1:25" ht="1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row>
    <row r="128" spans="1:25" ht="1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row>
    <row r="129" spans="1:25" ht="1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row>
    <row r="130" spans="1:25" ht="1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row>
    <row r="131" spans="1:25" ht="1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row>
    <row r="132" spans="1:25" s="147" customFormat="1" ht="1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row>
    <row r="133" spans="1:25" ht="1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row>
    <row r="134" spans="1:25" ht="1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row>
    <row r="135" spans="1:25" ht="1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row>
    <row r="136" spans="1:25" ht="1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25" ht="1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row>
    <row r="138" spans="1:25" ht="1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row>
    <row r="139" spans="1:25" ht="1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row>
    <row r="140" spans="1:25" ht="1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row>
    <row r="141" spans="1:25" ht="1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row>
    <row r="142" spans="1:25" ht="1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row>
    <row r="143" spans="1:25" ht="1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row>
    <row r="144" spans="1:25" ht="1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row>
    <row r="145" spans="1:25" ht="1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row>
    <row r="146" spans="1:25" ht="1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row>
    <row r="147" spans="1:25" ht="1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row>
    <row r="148" spans="1:25" ht="1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row>
    <row r="149" spans="1:25" ht="1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row>
    <row r="150" spans="1:25" ht="1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row>
    <row r="151" spans="1:25" ht="1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row>
    <row r="152" spans="1:25" ht="1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row>
    <row r="153" spans="1:25" ht="1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row>
    <row r="154" spans="1:25" ht="1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row>
    <row r="155" spans="1:25" ht="1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row>
    <row r="156" spans="1:25" ht="1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row>
    <row r="157" spans="1:25" ht="1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row>
    <row r="158" spans="1:25" ht="1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row>
    <row r="159" spans="1:25" ht="1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row>
    <row r="160" spans="1:25" ht="1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row>
    <row r="161" spans="1:25" ht="1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row>
    <row r="162" spans="1:25" ht="1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row>
    <row r="163" spans="1:25" ht="1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row>
    <row r="164" spans="1:25" ht="1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row>
    <row r="165" spans="1:25" ht="1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row>
    <row r="166" spans="1:25" ht="1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row>
    <row r="167" spans="1:25" ht="1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row>
    <row r="168" spans="1:25" ht="1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row>
    <row r="169" spans="1:25" ht="1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row>
    <row r="170" spans="1:25" ht="1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row>
    <row r="171" spans="1:25" ht="1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row>
    <row r="172" spans="1:25" ht="1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row>
    <row r="173" spans="1:25" ht="1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row>
    <row r="174" spans="1:25" ht="1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row>
    <row r="175" spans="1:25" ht="1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row>
    <row r="176" spans="1:25" ht="1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row>
    <row r="177" spans="1:25" ht="1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row>
    <row r="178" spans="1:25" ht="1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row>
    <row r="179" spans="1:25" ht="1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row>
    <row r="180" spans="1:25" ht="1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row>
    <row r="181" spans="1:25" ht="1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row>
    <row r="182" spans="1:25" ht="1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row>
    <row r="183" spans="1:25" ht="1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row>
    <row r="184" spans="1:25" ht="1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row>
    <row r="185" spans="1:25" ht="1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row>
    <row r="186" spans="1:25" ht="1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row>
    <row r="187" spans="1:25" ht="1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row>
    <row r="188" spans="1:25" ht="1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row>
    <row r="189" spans="1:25" ht="1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row>
    <row r="190" spans="1:25" ht="1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row>
    <row r="191" spans="1:25" ht="15">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row>
    <row r="192" spans="1:25" ht="15">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row>
    <row r="193" spans="1:25" ht="15">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row>
    <row r="194" spans="1:25" ht="15">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row>
    <row r="195" spans="1:25" ht="15">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row>
    <row r="196" spans="1:25" ht="15">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row>
    <row r="197" spans="1:25" ht="15">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row>
    <row r="198" spans="1:25" ht="15">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row>
    <row r="199" spans="1:25" ht="15">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row>
    <row r="200" spans="1:25" ht="15">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row>
    <row r="201" spans="1:25" ht="15">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row>
    <row r="202" spans="1:25" ht="15">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row>
    <row r="203" spans="1:25" ht="15">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row>
    <row r="204" spans="1:25" ht="15">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row>
    <row r="205" spans="1:25" ht="15">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row>
    <row r="206" spans="1:25" ht="15">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row>
    <row r="207" spans="1:25" ht="15">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row>
    <row r="208" spans="1:25" ht="1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row>
    <row r="209" spans="1:25" ht="15">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row>
    <row r="210" spans="1:25" ht="15">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row>
    <row r="211" spans="1:25" ht="15">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row>
    <row r="212" spans="1:25" ht="15">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row>
    <row r="213" spans="1:25" ht="15">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row>
    <row r="214" spans="1:25" ht="15">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row>
    <row r="215" spans="1:25" ht="15">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row>
    <row r="216" spans="1:25" ht="15">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row>
    <row r="217" spans="1:25" ht="15">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row>
    <row r="218" spans="1:25" ht="15">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row>
    <row r="219" spans="1:25" ht="15">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row>
    <row r="220" spans="1:25" ht="15">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row>
    <row r="221" spans="1:25" ht="15">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row>
    <row r="222" spans="1:25" ht="15">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row>
    <row r="223" spans="1:25" ht="15">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row>
    <row r="224" spans="1:25" ht="15">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row>
    <row r="225" spans="1:25" ht="15">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row>
    <row r="226" spans="1:25" ht="15">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row>
    <row r="227" spans="1:25" ht="15">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row>
    <row r="228" spans="1:25" ht="15">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row>
    <row r="229" spans="1:25" ht="15">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row>
    <row r="230" spans="1:25" ht="15">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row>
    <row r="231" spans="1:25" ht="15">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row>
    <row r="232" spans="1:25" ht="15">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row>
  </sheetData>
  <sheetProtection/>
  <mergeCells count="8">
    <mergeCell ref="C4:D4"/>
    <mergeCell ref="C14:D14"/>
    <mergeCell ref="C24:D24"/>
    <mergeCell ref="A32:Q32"/>
    <mergeCell ref="B108:D108"/>
    <mergeCell ref="E108:G108"/>
    <mergeCell ref="B103:D103"/>
    <mergeCell ref="E103:G103"/>
  </mergeCells>
  <printOptions/>
  <pageMargins left="0.75" right="0.75" top="1" bottom="1" header="0" footer="0"/>
  <pageSetup orientation="landscape" paperSize="9" scale="39" r:id="rId3"/>
  <colBreaks count="1" manualBreakCount="1">
    <brk id="18" max="65535" man="1"/>
  </colBreaks>
  <legacyDrawing r:id="rId2"/>
</worksheet>
</file>

<file path=xl/worksheets/sheet7.xml><?xml version="1.0" encoding="utf-8"?>
<worksheet xmlns="http://schemas.openxmlformats.org/spreadsheetml/2006/main" xmlns:r="http://schemas.openxmlformats.org/officeDocument/2006/relationships">
  <dimension ref="B1:L49"/>
  <sheetViews>
    <sheetView zoomScalePageLayoutView="0" workbookViewId="0" topLeftCell="C1">
      <selection activeCell="F47" sqref="F47"/>
    </sheetView>
  </sheetViews>
  <sheetFormatPr defaultColWidth="11.421875" defaultRowHeight="15"/>
  <cols>
    <col min="3" max="4" width="11.57421875" style="0" bestFit="1" customWidth="1"/>
    <col min="5" max="5" width="11.8515625" style="0" bestFit="1" customWidth="1"/>
    <col min="6" max="6" width="16.57421875" style="0" bestFit="1" customWidth="1"/>
    <col min="7" max="7" width="11.57421875" style="0" bestFit="1" customWidth="1"/>
    <col min="8" max="8" width="12.00390625" style="0" bestFit="1" customWidth="1"/>
    <col min="9" max="10" width="11.57421875" style="0" bestFit="1" customWidth="1"/>
    <col min="12" max="12" width="12.00390625" style="0" bestFit="1" customWidth="1"/>
  </cols>
  <sheetData>
    <row r="1" ht="15">
      <c r="G1" t="s">
        <v>288</v>
      </c>
    </row>
    <row r="2" spans="4:7" ht="15">
      <c r="D2" t="s">
        <v>178</v>
      </c>
      <c r="F2" s="248">
        <f>+'Flujo de Caja'!C33</f>
        <v>-39860.73</v>
      </c>
      <c r="G2" s="474">
        <f>+F2*0.5</f>
        <v>-19930.365</v>
      </c>
    </row>
    <row r="3" spans="2:8" ht="15">
      <c r="B3" t="s">
        <v>171</v>
      </c>
      <c r="D3" t="s">
        <v>179</v>
      </c>
      <c r="G3" s="273">
        <v>0.1123</v>
      </c>
      <c r="H3" t="s">
        <v>180</v>
      </c>
    </row>
    <row r="4" spans="7:8" ht="15">
      <c r="G4" s="274">
        <f>+G3/12</f>
        <v>0.009358333333333333</v>
      </c>
      <c r="H4" t="s">
        <v>181</v>
      </c>
    </row>
    <row r="5" spans="3:8" ht="15">
      <c r="C5" t="s">
        <v>172</v>
      </c>
      <c r="D5" t="s">
        <v>173</v>
      </c>
      <c r="E5" t="s">
        <v>174</v>
      </c>
      <c r="F5" t="s">
        <v>177</v>
      </c>
      <c r="G5" t="s">
        <v>176</v>
      </c>
      <c r="H5" t="s">
        <v>175</v>
      </c>
    </row>
    <row r="6" spans="3:8" ht="15">
      <c r="C6">
        <v>0</v>
      </c>
      <c r="D6" s="3">
        <f>-G2</f>
        <v>19930.365</v>
      </c>
      <c r="E6" s="3"/>
      <c r="F6" s="3"/>
      <c r="G6" s="3"/>
      <c r="H6" s="3">
        <f>+D6</f>
        <v>19930.365</v>
      </c>
    </row>
    <row r="7" spans="3:8" ht="15">
      <c r="C7">
        <v>1</v>
      </c>
      <c r="D7" s="3"/>
      <c r="E7" s="275">
        <f>PMT($G$4,36,$H$6)</f>
        <v>-654.6675303367515</v>
      </c>
      <c r="F7" s="275">
        <f>-(-E7+G7)</f>
        <v>-468.15253121175147</v>
      </c>
      <c r="G7" s="276">
        <f>-H6*$G$4</f>
        <v>-186.514999125</v>
      </c>
      <c r="H7" s="275">
        <f>+H6+F7</f>
        <v>19462.21246878825</v>
      </c>
    </row>
    <row r="8" spans="3:8" ht="15">
      <c r="C8">
        <v>2</v>
      </c>
      <c r="D8" s="3"/>
      <c r="E8" s="275">
        <f aca="true" t="shared" si="0" ref="E8:E42">PMT($G$4,36,$H$6)</f>
        <v>-654.6675303367515</v>
      </c>
      <c r="F8" s="275">
        <f>-(-E8+G8)</f>
        <v>-472.5336586496748</v>
      </c>
      <c r="G8" s="276">
        <f>-H7*$G$4</f>
        <v>-182.1338716870767</v>
      </c>
      <c r="H8" s="275">
        <f aca="true" t="shared" si="1" ref="H8:H42">+H7+F8</f>
        <v>18989.678810138575</v>
      </c>
    </row>
    <row r="9" spans="3:8" ht="15">
      <c r="C9">
        <v>3</v>
      </c>
      <c r="D9" s="3"/>
      <c r="E9" s="275">
        <f t="shared" si="0"/>
        <v>-654.6675303367515</v>
      </c>
      <c r="F9" s="275">
        <f aca="true" t="shared" si="2" ref="F9:F42">-(-E9+G9)</f>
        <v>-476.955786138538</v>
      </c>
      <c r="G9" s="276">
        <f aca="true" t="shared" si="3" ref="G9:G42">-H8*$G$4</f>
        <v>-177.7117441982135</v>
      </c>
      <c r="H9" s="275">
        <f t="shared" si="1"/>
        <v>18512.72302400004</v>
      </c>
    </row>
    <row r="10" spans="3:8" ht="15">
      <c r="C10">
        <v>4</v>
      </c>
      <c r="D10" s="3"/>
      <c r="E10" s="275">
        <f t="shared" si="0"/>
        <v>-654.6675303367515</v>
      </c>
      <c r="F10" s="275">
        <f t="shared" si="2"/>
        <v>-481.41929737048446</v>
      </c>
      <c r="G10" s="276">
        <f t="shared" si="3"/>
        <v>-173.24823296626704</v>
      </c>
      <c r="H10" s="275">
        <f t="shared" si="1"/>
        <v>18031.303726629554</v>
      </c>
    </row>
    <row r="11" spans="3:8" ht="15">
      <c r="C11">
        <v>5</v>
      </c>
      <c r="D11" s="3"/>
      <c r="E11" s="275">
        <f t="shared" si="0"/>
        <v>-654.6675303367515</v>
      </c>
      <c r="F11" s="275">
        <f t="shared" si="2"/>
        <v>-485.9245796283766</v>
      </c>
      <c r="G11" s="276">
        <f t="shared" si="3"/>
        <v>-168.7429507083749</v>
      </c>
      <c r="H11" s="275">
        <f t="shared" si="1"/>
        <v>17545.37914700118</v>
      </c>
    </row>
    <row r="12" spans="3:8" ht="15">
      <c r="C12">
        <v>6</v>
      </c>
      <c r="D12" s="3"/>
      <c r="E12" s="275">
        <f t="shared" si="0"/>
        <v>-654.6675303367515</v>
      </c>
      <c r="F12" s="275">
        <f t="shared" si="2"/>
        <v>-490.4720238193988</v>
      </c>
      <c r="G12" s="276">
        <f t="shared" si="3"/>
        <v>-164.1955065173527</v>
      </c>
      <c r="H12" s="275">
        <f t="shared" si="1"/>
        <v>17054.90712318178</v>
      </c>
    </row>
    <row r="13" spans="3:8" ht="15">
      <c r="C13">
        <v>7</v>
      </c>
      <c r="D13" s="3"/>
      <c r="E13" s="275">
        <f t="shared" si="0"/>
        <v>-654.6675303367515</v>
      </c>
      <c r="F13" s="275">
        <f t="shared" si="2"/>
        <v>-495.06202450897536</v>
      </c>
      <c r="G13" s="276">
        <f t="shared" si="3"/>
        <v>-159.60550582777614</v>
      </c>
      <c r="H13" s="275">
        <f t="shared" si="1"/>
        <v>16559.845098672806</v>
      </c>
    </row>
    <row r="14" spans="3:8" ht="15">
      <c r="C14">
        <v>8</v>
      </c>
      <c r="D14" s="3"/>
      <c r="E14" s="275">
        <f t="shared" si="0"/>
        <v>-654.6675303367515</v>
      </c>
      <c r="F14" s="275">
        <f t="shared" si="2"/>
        <v>-499.6949799550051</v>
      </c>
      <c r="G14" s="276">
        <f t="shared" si="3"/>
        <v>-154.97255038174634</v>
      </c>
      <c r="H14" s="275">
        <f t="shared" si="1"/>
        <v>16060.1501187178</v>
      </c>
    </row>
    <row r="15" spans="3:8" ht="15">
      <c r="C15">
        <v>9</v>
      </c>
      <c r="D15" s="3"/>
      <c r="E15" s="275">
        <f t="shared" si="0"/>
        <v>-654.6675303367515</v>
      </c>
      <c r="F15" s="275">
        <f t="shared" si="2"/>
        <v>-504.3712921424174</v>
      </c>
      <c r="G15" s="276">
        <f t="shared" si="3"/>
        <v>-150.29623819433408</v>
      </c>
      <c r="H15" s="275">
        <f t="shared" si="1"/>
        <v>15555.778826575382</v>
      </c>
    </row>
    <row r="16" spans="3:8" ht="15">
      <c r="C16">
        <v>10</v>
      </c>
      <c r="D16" s="3"/>
      <c r="E16" s="275">
        <f t="shared" si="0"/>
        <v>-654.6675303367515</v>
      </c>
      <c r="F16" s="275">
        <f t="shared" si="2"/>
        <v>-509.09136681805023</v>
      </c>
      <c r="G16" s="276">
        <f t="shared" si="3"/>
        <v>-145.5761635187013</v>
      </c>
      <c r="H16" s="275">
        <f t="shared" si="1"/>
        <v>15046.687459757331</v>
      </c>
    </row>
    <row r="17" spans="3:10" ht="15">
      <c r="C17">
        <v>11</v>
      </c>
      <c r="D17" s="3"/>
      <c r="E17" s="275">
        <f t="shared" si="0"/>
        <v>-654.6675303367515</v>
      </c>
      <c r="F17" s="275">
        <f t="shared" si="2"/>
        <v>-513.8556135258558</v>
      </c>
      <c r="G17" s="276">
        <f t="shared" si="3"/>
        <v>-140.8119168108957</v>
      </c>
      <c r="H17" s="275">
        <f t="shared" si="1"/>
        <v>14532.831846231476</v>
      </c>
      <c r="I17" t="s">
        <v>177</v>
      </c>
      <c r="J17" t="s">
        <v>176</v>
      </c>
    </row>
    <row r="18" spans="3:12" ht="15">
      <c r="C18" s="277">
        <v>12</v>
      </c>
      <c r="D18" s="3"/>
      <c r="E18" s="275">
        <f t="shared" si="0"/>
        <v>-654.6675303367515</v>
      </c>
      <c r="F18" s="275">
        <f t="shared" si="2"/>
        <v>-518.6644456424352</v>
      </c>
      <c r="G18" s="276">
        <f t="shared" si="3"/>
        <v>-136.00308469431624</v>
      </c>
      <c r="H18" s="275">
        <f t="shared" si="1"/>
        <v>14014.167400589042</v>
      </c>
      <c r="I18" s="279">
        <f>+SUM(F7:F18)</f>
        <v>-5916.197599410964</v>
      </c>
      <c r="J18" s="279">
        <f>+SUM(G7:G18)</f>
        <v>-1939.8127646300547</v>
      </c>
      <c r="K18" t="s">
        <v>145</v>
      </c>
      <c r="L18" s="278">
        <f>+H6+I18</f>
        <v>14014.167400589038</v>
      </c>
    </row>
    <row r="19" spans="3:8" ht="15">
      <c r="C19">
        <v>13</v>
      </c>
      <c r="D19" s="3"/>
      <c r="E19" s="275">
        <f t="shared" si="0"/>
        <v>-654.6675303367515</v>
      </c>
      <c r="F19" s="275">
        <f t="shared" si="2"/>
        <v>-523.5182804129057</v>
      </c>
      <c r="G19" s="276">
        <f t="shared" si="3"/>
        <v>-131.1492499238458</v>
      </c>
      <c r="H19" s="275">
        <f t="shared" si="1"/>
        <v>13490.649120176136</v>
      </c>
    </row>
    <row r="20" spans="3:8" ht="15">
      <c r="C20">
        <v>14</v>
      </c>
      <c r="D20" s="3"/>
      <c r="E20" s="275">
        <f t="shared" si="0"/>
        <v>-654.6675303367515</v>
      </c>
      <c r="F20" s="275">
        <f t="shared" si="2"/>
        <v>-528.4175389871032</v>
      </c>
      <c r="G20" s="276">
        <f t="shared" si="3"/>
        <v>-126.24999134964834</v>
      </c>
      <c r="H20" s="275">
        <f t="shared" si="1"/>
        <v>12962.231581189033</v>
      </c>
    </row>
    <row r="21" spans="3:8" ht="15">
      <c r="C21">
        <v>15</v>
      </c>
      <c r="D21" s="3"/>
      <c r="E21" s="275">
        <f t="shared" si="0"/>
        <v>-654.6675303367515</v>
      </c>
      <c r="F21" s="275">
        <f t="shared" si="2"/>
        <v>-533.3626464561241</v>
      </c>
      <c r="G21" s="276">
        <f t="shared" si="3"/>
        <v>-121.30488388062736</v>
      </c>
      <c r="H21" s="275">
        <f t="shared" si="1"/>
        <v>12428.86893473291</v>
      </c>
    </row>
    <row r="22" spans="3:8" ht="15">
      <c r="C22">
        <v>16</v>
      </c>
      <c r="D22" s="3"/>
      <c r="E22" s="275">
        <f t="shared" si="0"/>
        <v>-654.6675303367515</v>
      </c>
      <c r="F22" s="275">
        <f t="shared" si="2"/>
        <v>-538.3540318892094</v>
      </c>
      <c r="G22" s="276">
        <f t="shared" si="3"/>
        <v>-116.31349844754214</v>
      </c>
      <c r="H22" s="275">
        <f t="shared" si="1"/>
        <v>11890.514902843699</v>
      </c>
    </row>
    <row r="23" spans="3:8" ht="15">
      <c r="C23">
        <v>17</v>
      </c>
      <c r="D23" s="3"/>
      <c r="E23" s="275">
        <f t="shared" si="0"/>
        <v>-654.6675303367515</v>
      </c>
      <c r="F23" s="275">
        <f t="shared" si="2"/>
        <v>-543.3921283709725</v>
      </c>
      <c r="G23" s="276">
        <f t="shared" si="3"/>
        <v>-111.27540196577895</v>
      </c>
      <c r="H23" s="275">
        <f t="shared" si="1"/>
        <v>11347.122774472726</v>
      </c>
    </row>
    <row r="24" spans="3:8" ht="15">
      <c r="C24">
        <v>18</v>
      </c>
      <c r="D24" s="3"/>
      <c r="E24" s="275">
        <f t="shared" si="0"/>
        <v>-654.6675303367515</v>
      </c>
      <c r="F24" s="275">
        <f t="shared" si="2"/>
        <v>-548.4773730389776</v>
      </c>
      <c r="G24" s="276">
        <f t="shared" si="3"/>
        <v>-106.19015729777392</v>
      </c>
      <c r="H24" s="275">
        <f t="shared" si="1"/>
        <v>10798.645401433749</v>
      </c>
    </row>
    <row r="25" spans="3:8" ht="15">
      <c r="C25">
        <v>19</v>
      </c>
      <c r="D25" s="3"/>
      <c r="E25" s="275">
        <f t="shared" si="0"/>
        <v>-654.6675303367515</v>
      </c>
      <c r="F25" s="275">
        <f t="shared" si="2"/>
        <v>-553.6102071216674</v>
      </c>
      <c r="G25" s="276">
        <f t="shared" si="3"/>
        <v>-101.05732321508417</v>
      </c>
      <c r="H25" s="275">
        <f t="shared" si="1"/>
        <v>10245.03519431208</v>
      </c>
    </row>
    <row r="26" spans="3:8" ht="15">
      <c r="C26">
        <v>20</v>
      </c>
      <c r="D26" s="3"/>
      <c r="E26" s="275">
        <f t="shared" si="0"/>
        <v>-654.6675303367515</v>
      </c>
      <c r="F26" s="275">
        <f t="shared" si="2"/>
        <v>-558.7910759766476</v>
      </c>
      <c r="G26" s="276">
        <f t="shared" si="3"/>
        <v>-95.87645436010388</v>
      </c>
      <c r="H26" s="275">
        <f t="shared" si="1"/>
        <v>9686.244118335433</v>
      </c>
    </row>
    <row r="27" spans="3:8" ht="15">
      <c r="C27">
        <v>21</v>
      </c>
      <c r="D27" s="3"/>
      <c r="E27" s="275">
        <f t="shared" si="0"/>
        <v>-654.6675303367515</v>
      </c>
      <c r="F27" s="275">
        <f t="shared" si="2"/>
        <v>-564.020429129329</v>
      </c>
      <c r="G27" s="276">
        <f t="shared" si="3"/>
        <v>-90.64710120742242</v>
      </c>
      <c r="H27" s="275">
        <f t="shared" si="1"/>
        <v>9122.223689206105</v>
      </c>
    </row>
    <row r="28" spans="3:8" ht="15">
      <c r="C28">
        <v>22</v>
      </c>
      <c r="D28" s="3"/>
      <c r="E28" s="275">
        <f t="shared" si="0"/>
        <v>-654.6675303367515</v>
      </c>
      <c r="F28" s="275">
        <f t="shared" si="2"/>
        <v>-569.298720311931</v>
      </c>
      <c r="G28" s="276">
        <f t="shared" si="3"/>
        <v>-85.36881002482046</v>
      </c>
      <c r="H28" s="275">
        <f t="shared" si="1"/>
        <v>8552.924968894175</v>
      </c>
    </row>
    <row r="29" spans="3:10" ht="15">
      <c r="C29">
        <v>23</v>
      </c>
      <c r="D29" s="3"/>
      <c r="E29" s="275">
        <f t="shared" si="0"/>
        <v>-654.6675303367515</v>
      </c>
      <c r="F29" s="275">
        <f t="shared" si="2"/>
        <v>-574.6264075028502</v>
      </c>
      <c r="G29" s="276">
        <f t="shared" si="3"/>
        <v>-80.04112283390131</v>
      </c>
      <c r="H29" s="275">
        <f t="shared" si="1"/>
        <v>7978.298561391324</v>
      </c>
      <c r="I29" t="s">
        <v>177</v>
      </c>
      <c r="J29" t="s">
        <v>176</v>
      </c>
    </row>
    <row r="30" spans="3:12" ht="15">
      <c r="C30" s="277">
        <v>24</v>
      </c>
      <c r="D30" s="3"/>
      <c r="E30" s="275">
        <f t="shared" si="0"/>
        <v>-654.6675303367515</v>
      </c>
      <c r="F30" s="275">
        <f t="shared" si="2"/>
        <v>-580.0039529663977</v>
      </c>
      <c r="G30" s="276">
        <f t="shared" si="3"/>
        <v>-74.6635773703538</v>
      </c>
      <c r="H30" s="275">
        <f>+H29+F30</f>
        <v>7398.294608424927</v>
      </c>
      <c r="I30" s="279">
        <f>SUM(F19:F30)</f>
        <v>-6615.872792164115</v>
      </c>
      <c r="J30" s="279">
        <f>SUM(G19:G30)</f>
        <v>-1240.1375718769023</v>
      </c>
      <c r="K30" t="s">
        <v>146</v>
      </c>
      <c r="L30" s="278">
        <f>+L18+I30</f>
        <v>7398.294608424923</v>
      </c>
    </row>
    <row r="31" spans="3:8" ht="15">
      <c r="C31">
        <v>25</v>
      </c>
      <c r="D31" s="3"/>
      <c r="E31" s="275">
        <f t="shared" si="0"/>
        <v>-654.6675303367515</v>
      </c>
      <c r="F31" s="275">
        <f t="shared" si="2"/>
        <v>-585.4318232929082</v>
      </c>
      <c r="G31" s="276">
        <f t="shared" si="3"/>
        <v>-69.23570704384328</v>
      </c>
      <c r="H31" s="275">
        <f t="shared" si="1"/>
        <v>6812.862785132019</v>
      </c>
    </row>
    <row r="32" spans="3:8" ht="15">
      <c r="C32">
        <v>26</v>
      </c>
      <c r="D32" s="3"/>
      <c r="E32" s="275">
        <f t="shared" si="0"/>
        <v>-654.6675303367515</v>
      </c>
      <c r="F32" s="275">
        <f t="shared" si="2"/>
        <v>-590.9104894392243</v>
      </c>
      <c r="G32" s="276">
        <f t="shared" si="3"/>
        <v>-63.75704089752714</v>
      </c>
      <c r="H32" s="275">
        <f t="shared" si="1"/>
        <v>6221.952295692795</v>
      </c>
    </row>
    <row r="33" spans="3:8" ht="15">
      <c r="C33">
        <v>27</v>
      </c>
      <c r="D33" s="3"/>
      <c r="E33" s="275">
        <f t="shared" si="0"/>
        <v>-654.6675303367515</v>
      </c>
      <c r="F33" s="275">
        <f t="shared" si="2"/>
        <v>-596.4404267695597</v>
      </c>
      <c r="G33" s="276">
        <f t="shared" si="3"/>
        <v>-58.22710356719174</v>
      </c>
      <c r="H33" s="275">
        <f t="shared" si="1"/>
        <v>5625.511868923235</v>
      </c>
    </row>
    <row r="34" spans="3:8" ht="15">
      <c r="C34">
        <v>28</v>
      </c>
      <c r="D34" s="3"/>
      <c r="E34" s="275">
        <f t="shared" si="0"/>
        <v>-654.6675303367515</v>
      </c>
      <c r="F34" s="275">
        <f t="shared" si="2"/>
        <v>-602.0221150967449</v>
      </c>
      <c r="G34" s="276">
        <f t="shared" si="3"/>
        <v>-52.645415240006606</v>
      </c>
      <c r="H34" s="275">
        <f t="shared" si="1"/>
        <v>5023.48975382649</v>
      </c>
    </row>
    <row r="35" spans="3:8" ht="15">
      <c r="C35">
        <v>29</v>
      </c>
      <c r="D35" s="3"/>
      <c r="E35" s="275">
        <f t="shared" si="0"/>
        <v>-654.6675303367515</v>
      </c>
      <c r="F35" s="275">
        <f t="shared" si="2"/>
        <v>-607.6560387238586</v>
      </c>
      <c r="G35" s="276">
        <f t="shared" si="3"/>
        <v>-47.011491612892904</v>
      </c>
      <c r="H35" s="275">
        <f t="shared" si="1"/>
        <v>4415.833715102632</v>
      </c>
    </row>
    <row r="36" spans="3:8" ht="15">
      <c r="C36">
        <v>30</v>
      </c>
      <c r="D36" s="3"/>
      <c r="E36" s="275">
        <f t="shared" si="0"/>
        <v>-654.6675303367515</v>
      </c>
      <c r="F36" s="275">
        <f t="shared" si="2"/>
        <v>-613.3426864862494</v>
      </c>
      <c r="G36" s="276">
        <f t="shared" si="3"/>
        <v>-41.32484385050213</v>
      </c>
      <c r="H36" s="275">
        <f t="shared" si="1"/>
        <v>3802.491028616382</v>
      </c>
    </row>
    <row r="37" spans="3:8" ht="15">
      <c r="C37">
        <v>31</v>
      </c>
      <c r="D37" s="3"/>
      <c r="E37" s="275">
        <f t="shared" si="0"/>
        <v>-654.6675303367515</v>
      </c>
      <c r="F37" s="275">
        <f t="shared" si="2"/>
        <v>-619.0825517939498</v>
      </c>
      <c r="G37" s="276">
        <f t="shared" si="3"/>
        <v>-35.58497854280164</v>
      </c>
      <c r="H37" s="275">
        <f>+H36+F37</f>
        <v>3183.4084768224325</v>
      </c>
    </row>
    <row r="38" spans="3:8" ht="15">
      <c r="C38">
        <v>32</v>
      </c>
      <c r="D38" s="3"/>
      <c r="E38" s="275">
        <f t="shared" si="0"/>
        <v>-654.6675303367515</v>
      </c>
      <c r="F38" s="275">
        <f t="shared" si="2"/>
        <v>-624.8761326744882</v>
      </c>
      <c r="G38" s="276">
        <f t="shared" si="3"/>
        <v>-29.791397662263265</v>
      </c>
      <c r="H38" s="275">
        <f t="shared" si="1"/>
        <v>2558.532344147944</v>
      </c>
    </row>
    <row r="39" spans="3:8" ht="15">
      <c r="C39">
        <v>33</v>
      </c>
      <c r="D39" s="3"/>
      <c r="E39" s="275">
        <f t="shared" si="0"/>
        <v>-654.6675303367515</v>
      </c>
      <c r="F39" s="275">
        <f t="shared" si="2"/>
        <v>-630.7239318161003</v>
      </c>
      <c r="G39" s="276">
        <f t="shared" si="3"/>
        <v>-23.943598520651175</v>
      </c>
      <c r="H39" s="275">
        <f t="shared" si="1"/>
        <v>1927.8084123318438</v>
      </c>
    </row>
    <row r="40" spans="3:8" ht="15">
      <c r="C40">
        <v>34</v>
      </c>
      <c r="D40" s="3"/>
      <c r="E40" s="275">
        <f t="shared" si="0"/>
        <v>-654.6675303367515</v>
      </c>
      <c r="F40" s="275">
        <f t="shared" si="2"/>
        <v>-636.626456611346</v>
      </c>
      <c r="G40" s="276">
        <f t="shared" si="3"/>
        <v>-18.041073725405504</v>
      </c>
      <c r="H40" s="275">
        <f t="shared" si="1"/>
        <v>1291.1819557204976</v>
      </c>
    </row>
    <row r="41" spans="3:10" ht="15">
      <c r="C41">
        <v>35</v>
      </c>
      <c r="D41" s="3"/>
      <c r="E41" s="275">
        <f t="shared" si="0"/>
        <v>-654.6675303367515</v>
      </c>
      <c r="F41" s="275">
        <f t="shared" si="2"/>
        <v>-642.5842192011338</v>
      </c>
      <c r="G41" s="276">
        <f t="shared" si="3"/>
        <v>-12.083311135617656</v>
      </c>
      <c r="H41" s="275">
        <f t="shared" si="1"/>
        <v>648.5977365193638</v>
      </c>
      <c r="I41" t="s">
        <v>177</v>
      </c>
      <c r="J41" t="s">
        <v>176</v>
      </c>
    </row>
    <row r="42" spans="3:12" ht="15">
      <c r="C42" s="277">
        <v>36</v>
      </c>
      <c r="D42" s="3"/>
      <c r="E42" s="275">
        <f t="shared" si="0"/>
        <v>-654.6675303367515</v>
      </c>
      <c r="F42" s="275">
        <f t="shared" si="2"/>
        <v>-648.5977365191578</v>
      </c>
      <c r="G42" s="276">
        <f t="shared" si="3"/>
        <v>-6.0697938175937125</v>
      </c>
      <c r="H42" s="275">
        <f t="shared" si="1"/>
        <v>2.0600054995156825E-10</v>
      </c>
      <c r="I42" s="279">
        <f>SUM(F31:F42)</f>
        <v>-7398.2946084247205</v>
      </c>
      <c r="J42" s="279">
        <f>SUM(G31:G42)</f>
        <v>-457.71575561629675</v>
      </c>
      <c r="K42" t="s">
        <v>147</v>
      </c>
      <c r="L42" s="278">
        <f>+L30+I42</f>
        <v>2.02817318495363E-10</v>
      </c>
    </row>
    <row r="43" ht="15">
      <c r="H43" s="3"/>
    </row>
    <row r="44" ht="15.75" thickBot="1"/>
    <row r="45" spans="4:8" ht="15">
      <c r="D45" s="391" t="s">
        <v>172</v>
      </c>
      <c r="E45" s="399" t="s">
        <v>174</v>
      </c>
      <c r="F45" s="399" t="s">
        <v>156</v>
      </c>
      <c r="G45" s="399" t="s">
        <v>176</v>
      </c>
      <c r="H45" s="392" t="s">
        <v>175</v>
      </c>
    </row>
    <row r="46" spans="4:8" ht="15">
      <c r="D46" s="393">
        <v>0</v>
      </c>
      <c r="E46" s="400"/>
      <c r="F46" s="400"/>
      <c r="G46" s="400"/>
      <c r="H46" s="401">
        <f>-G2</f>
        <v>19930.365</v>
      </c>
    </row>
    <row r="47" spans="4:8" ht="15">
      <c r="D47" s="393">
        <v>1</v>
      </c>
      <c r="E47" s="400">
        <f>SUM(E7:E18)</f>
        <v>-7856.01036404102</v>
      </c>
      <c r="F47" s="400">
        <f>I18</f>
        <v>-5916.197599410964</v>
      </c>
      <c r="G47" s="400">
        <f>J18</f>
        <v>-1939.8127646300547</v>
      </c>
      <c r="H47" s="401">
        <f>H46+F47</f>
        <v>14014.167400589038</v>
      </c>
    </row>
    <row r="48" spans="4:8" ht="15">
      <c r="D48" s="393">
        <v>2</v>
      </c>
      <c r="E48" s="400">
        <f>SUM(E8:E19)</f>
        <v>-7856.01036404102</v>
      </c>
      <c r="F48" s="400">
        <f>I30</f>
        <v>-6615.872792164115</v>
      </c>
      <c r="G48" s="400">
        <f>J30</f>
        <v>-1240.1375718769023</v>
      </c>
      <c r="H48" s="401">
        <f>H47+F48</f>
        <v>7398.294608424923</v>
      </c>
    </row>
    <row r="49" spans="4:8" ht="15.75" thickBot="1">
      <c r="D49" s="394">
        <v>3</v>
      </c>
      <c r="E49" s="402">
        <f>SUM(E9:E20)</f>
        <v>-7856.01036404102</v>
      </c>
      <c r="F49" s="402">
        <f>I42</f>
        <v>-7398.2946084247205</v>
      </c>
      <c r="G49" s="402">
        <f>J42</f>
        <v>-457.71575561629675</v>
      </c>
      <c r="H49" s="403">
        <f>H48+F49</f>
        <v>2.02817318495363E-10</v>
      </c>
    </row>
  </sheetData>
  <sheetProtection/>
  <printOptions/>
  <pageMargins left="0.75" right="0.75" top="1" bottom="1" header="0" footer="0"/>
  <pageSetup orientation="portrait" paperSize="9" scale="62" r:id="rId3"/>
  <legacyDrawing r:id="rId2"/>
</worksheet>
</file>

<file path=xl/worksheets/sheet8.xml><?xml version="1.0" encoding="utf-8"?>
<worksheet xmlns="http://schemas.openxmlformats.org/spreadsheetml/2006/main" xmlns:r="http://schemas.openxmlformats.org/officeDocument/2006/relationships">
  <dimension ref="B2:H23"/>
  <sheetViews>
    <sheetView zoomScalePageLayoutView="0" workbookViewId="0" topLeftCell="A1">
      <selection activeCell="E19" sqref="E19"/>
    </sheetView>
  </sheetViews>
  <sheetFormatPr defaultColWidth="11.421875" defaultRowHeight="15"/>
  <cols>
    <col min="2" max="2" width="24.28125" style="0" customWidth="1"/>
    <col min="3" max="3" width="11.57421875" style="0" bestFit="1" customWidth="1"/>
    <col min="4" max="4" width="12.00390625" style="0" bestFit="1" customWidth="1"/>
  </cols>
  <sheetData>
    <row r="2" ht="15.75">
      <c r="B2" s="395" t="s">
        <v>264</v>
      </c>
    </row>
    <row r="4" spans="2:7" ht="15">
      <c r="B4" t="s">
        <v>265</v>
      </c>
      <c r="C4" s="273">
        <f>Amortizacion!G3</f>
        <v>0.1123</v>
      </c>
      <c r="G4" s="349" t="s">
        <v>266</v>
      </c>
    </row>
    <row r="5" spans="2:7" ht="15">
      <c r="B5" t="s">
        <v>267</v>
      </c>
      <c r="C5" s="338">
        <v>0.25</v>
      </c>
      <c r="G5" s="349" t="s">
        <v>268</v>
      </c>
    </row>
    <row r="6" spans="2:3" ht="15">
      <c r="B6" t="s">
        <v>269</v>
      </c>
      <c r="C6" s="371">
        <f>C4*(1-C5)</f>
        <v>0.084225</v>
      </c>
    </row>
    <row r="7" spans="2:3" ht="15">
      <c r="B7" t="s">
        <v>270</v>
      </c>
      <c r="C7" s="371">
        <v>0.5</v>
      </c>
    </row>
    <row r="8" spans="2:3" ht="15">
      <c r="B8" t="s">
        <v>271</v>
      </c>
      <c r="C8" s="371">
        <v>0.5</v>
      </c>
    </row>
    <row r="9" spans="2:4" ht="15">
      <c r="B9" t="s">
        <v>272</v>
      </c>
      <c r="C9" s="273">
        <v>0.3947</v>
      </c>
      <c r="D9" s="372">
        <v>39841</v>
      </c>
    </row>
    <row r="10" spans="2:3" ht="15">
      <c r="B10" t="s">
        <v>273</v>
      </c>
      <c r="C10" s="373">
        <f>1-C5</f>
        <v>0.75</v>
      </c>
    </row>
    <row r="11" spans="2:3" ht="15">
      <c r="B11" t="s">
        <v>274</v>
      </c>
      <c r="C11" s="371">
        <v>0.0175</v>
      </c>
    </row>
    <row r="12" spans="2:8" ht="15">
      <c r="B12" t="s">
        <v>275</v>
      </c>
      <c r="C12" s="371">
        <v>0.0264</v>
      </c>
      <c r="D12" t="s">
        <v>293</v>
      </c>
      <c r="H12" s="273">
        <v>0.1717</v>
      </c>
    </row>
    <row r="13" ht="15.75" thickBot="1"/>
    <row r="14" spans="2:4" ht="15.75" thickBot="1">
      <c r="B14" t="s">
        <v>276</v>
      </c>
      <c r="C14" s="374">
        <v>1.32</v>
      </c>
      <c r="D14" t="s">
        <v>277</v>
      </c>
    </row>
    <row r="15" spans="2:3" ht="15.75" thickBot="1">
      <c r="B15" t="s">
        <v>278</v>
      </c>
      <c r="C15" s="374">
        <v>0.77</v>
      </c>
    </row>
    <row r="17" ht="15.75" thickBot="1">
      <c r="H17" t="s">
        <v>324</v>
      </c>
    </row>
    <row r="18" spans="2:3" ht="15.75" thickBot="1">
      <c r="B18" s="375" t="s">
        <v>297</v>
      </c>
      <c r="C18" s="404">
        <f>C11+(C14*(C12-C11))+C9</f>
        <v>0.423948</v>
      </c>
    </row>
    <row r="19" spans="2:4" ht="15.75" thickBot="1">
      <c r="B19" s="551" t="s">
        <v>279</v>
      </c>
      <c r="C19" s="552"/>
      <c r="D19" s="376">
        <f>(C4*C10*C7)+(C8*C18)</f>
        <v>0.2540865</v>
      </c>
    </row>
    <row r="21" ht="15">
      <c r="B21" s="377" t="s">
        <v>280</v>
      </c>
    </row>
    <row r="22" ht="15">
      <c r="B22" s="377" t="s">
        <v>281</v>
      </c>
    </row>
    <row r="23" ht="15">
      <c r="B23" s="377" t="s">
        <v>282</v>
      </c>
    </row>
  </sheetData>
  <sheetProtection/>
  <mergeCells count="1">
    <mergeCell ref="B19:C19"/>
  </mergeCells>
  <hyperlinks>
    <hyperlink ref="G4" r:id="rId1" display="www.yahoofinance.com"/>
    <hyperlink ref="G5" r:id="rId2" display="http://www.bankrate.com/brm/ratewatch/leading-rates.asp"/>
  </hyperlinks>
  <printOptions/>
  <pageMargins left="0.75" right="0.75" top="1" bottom="1" header="0" footer="0"/>
  <pageSetup orientation="landscape" paperSize="9" scale="85" r:id="rId5"/>
  <colBreaks count="1" manualBreakCount="1">
    <brk id="12" max="65535" man="1"/>
  </colBreaks>
  <legacyDrawing r:id="rId4"/>
</worksheet>
</file>

<file path=xl/worksheets/sheet9.xml><?xml version="1.0" encoding="utf-8"?>
<worksheet xmlns="http://schemas.openxmlformats.org/spreadsheetml/2006/main" xmlns:r="http://schemas.openxmlformats.org/officeDocument/2006/relationships">
  <dimension ref="B1:J45"/>
  <sheetViews>
    <sheetView tabSelected="1" zoomScalePageLayoutView="0" workbookViewId="0" topLeftCell="A1">
      <pane xSplit="2" ySplit="3" topLeftCell="C28" activePane="bottomRight" state="frozen"/>
      <selection pane="topLeft" activeCell="A1" sqref="A1"/>
      <selection pane="topRight" activeCell="C1" sqref="C1"/>
      <selection pane="bottomLeft" activeCell="A4" sqref="A4"/>
      <selection pane="bottomRight" activeCell="G48" sqref="G48"/>
    </sheetView>
  </sheetViews>
  <sheetFormatPr defaultColWidth="11.421875" defaultRowHeight="15"/>
  <cols>
    <col min="2" max="2" width="31.00390625" style="0" customWidth="1"/>
    <col min="3" max="3" width="10.28125" style="0" bestFit="1" customWidth="1"/>
    <col min="4" max="4" width="11.28125" style="0" customWidth="1"/>
    <col min="5" max="5" width="10.00390625" style="0" customWidth="1"/>
    <col min="6" max="6" width="9.8515625" style="0" customWidth="1"/>
    <col min="7" max="7" width="10.140625" style="0" customWidth="1"/>
    <col min="8" max="8" width="9.8515625" style="0" customWidth="1"/>
  </cols>
  <sheetData>
    <row r="1" spans="2:9" ht="15">
      <c r="B1" s="70"/>
      <c r="C1" s="70"/>
      <c r="D1" s="70"/>
      <c r="E1" s="70"/>
      <c r="F1" s="70"/>
      <c r="G1" s="70"/>
      <c r="H1" s="70"/>
      <c r="I1" s="70"/>
    </row>
    <row r="2" spans="2:9" ht="15.75" thickBot="1">
      <c r="B2" s="70"/>
      <c r="C2" s="70"/>
      <c r="D2" s="70">
        <v>2010</v>
      </c>
      <c r="E2" s="70">
        <v>2011</v>
      </c>
      <c r="F2" s="70">
        <v>2012</v>
      </c>
      <c r="G2" s="70">
        <v>2013</v>
      </c>
      <c r="H2" s="70">
        <v>2014</v>
      </c>
      <c r="I2" s="70"/>
    </row>
    <row r="3" spans="2:8" ht="15">
      <c r="B3" s="69" t="s">
        <v>129</v>
      </c>
      <c r="C3" s="39" t="s">
        <v>79</v>
      </c>
      <c r="D3" s="40" t="s">
        <v>91</v>
      </c>
      <c r="E3" s="40" t="s">
        <v>92</v>
      </c>
      <c r="F3" s="40" t="s">
        <v>80</v>
      </c>
      <c r="G3" s="40" t="s">
        <v>93</v>
      </c>
      <c r="H3" s="41" t="s">
        <v>94</v>
      </c>
    </row>
    <row r="4" spans="2:8" ht="15">
      <c r="B4" s="129" t="s">
        <v>143</v>
      </c>
      <c r="C4" s="248"/>
      <c r="D4" s="295">
        <f>+'Inversion y gastos'!$C$149</f>
        <v>237.62</v>
      </c>
      <c r="E4" s="295">
        <f>+'Inversion y gastos'!$C$149</f>
        <v>237.62</v>
      </c>
      <c r="F4" s="295">
        <f>+'Inversion y gastos'!$C$149</f>
        <v>237.62</v>
      </c>
      <c r="G4" s="295">
        <f>+'Inversion y gastos'!$C$149</f>
        <v>237.62</v>
      </c>
      <c r="H4" s="295">
        <f>+'Inversion y gastos'!$C$149</f>
        <v>237.62</v>
      </c>
    </row>
    <row r="5" spans="2:8" ht="15">
      <c r="B5" s="301" t="s">
        <v>144</v>
      </c>
      <c r="C5" s="299"/>
      <c r="D5" s="451">
        <f>'Demanda esperada'!C30</f>
        <v>837.76</v>
      </c>
      <c r="E5" s="451">
        <f>D5*(1+'Demanda esperada'!E34)</f>
        <v>847.9584273696312</v>
      </c>
      <c r="F5" s="451">
        <f>E5*(1+'Demanda esperada'!E34)</f>
        <v>858.2810047593322</v>
      </c>
      <c r="G5" s="451">
        <f>F5</f>
        <v>858.2810047593322</v>
      </c>
      <c r="H5" s="451">
        <f>G5</f>
        <v>858.2810047593322</v>
      </c>
    </row>
    <row r="6" spans="2:10" ht="15">
      <c r="B6" s="300" t="s">
        <v>130</v>
      </c>
      <c r="C6" s="295">
        <v>0</v>
      </c>
      <c r="D6" s="295">
        <f>D4*D5</f>
        <v>199068.5312</v>
      </c>
      <c r="E6" s="295">
        <f>E4*E5</f>
        <v>201491.88151157176</v>
      </c>
      <c r="F6" s="295">
        <f>F4*F5</f>
        <v>203944.73235091253</v>
      </c>
      <c r="G6" s="295">
        <f>G4*G5</f>
        <v>203944.73235091253</v>
      </c>
      <c r="H6" s="295">
        <f>H4*H5</f>
        <v>203944.73235091253</v>
      </c>
      <c r="J6" s="461"/>
    </row>
    <row r="7" spans="2:10" ht="15">
      <c r="B7" s="478" t="s">
        <v>131</v>
      </c>
      <c r="C7" s="479">
        <f aca="true" t="shared" si="0" ref="C7:H7">C6</f>
        <v>0</v>
      </c>
      <c r="D7" s="479">
        <f t="shared" si="0"/>
        <v>199068.5312</v>
      </c>
      <c r="E7" s="479">
        <f t="shared" si="0"/>
        <v>201491.88151157176</v>
      </c>
      <c r="F7" s="479">
        <f t="shared" si="0"/>
        <v>203944.73235091253</v>
      </c>
      <c r="G7" s="479">
        <f t="shared" si="0"/>
        <v>203944.73235091253</v>
      </c>
      <c r="H7" s="479">
        <f t="shared" si="0"/>
        <v>203944.73235091253</v>
      </c>
      <c r="J7" s="442"/>
    </row>
    <row r="8" spans="2:10" ht="15">
      <c r="B8" s="247" t="s">
        <v>132</v>
      </c>
      <c r="C8" s="248"/>
      <c r="D8" s="248"/>
      <c r="E8" s="248"/>
      <c r="F8" s="248"/>
      <c r="G8" s="248"/>
      <c r="H8" s="248"/>
      <c r="J8" s="71"/>
    </row>
    <row r="9" spans="2:9" ht="15">
      <c r="B9" s="282" t="s">
        <v>135</v>
      </c>
      <c r="C9" s="295"/>
      <c r="D9" s="295">
        <f>-'Inversion y gastos'!F71</f>
        <v>-19364.654848</v>
      </c>
      <c r="E9" s="295">
        <f>-'Inversion y gastos'!G71</f>
        <v>-19600.389456963552</v>
      </c>
      <c r="F9" s="295">
        <f>-'Inversion y gastos'!H71</f>
        <v>-19838.993768811015</v>
      </c>
      <c r="G9" s="295">
        <f>-'Inversion y gastos'!I71</f>
        <v>-19838.993768811015</v>
      </c>
      <c r="H9" s="295">
        <f>-'Inversion y gastos'!J71</f>
        <v>-19838.993768811015</v>
      </c>
      <c r="I9" s="248"/>
    </row>
    <row r="10" spans="2:10" ht="15">
      <c r="B10" s="282" t="s">
        <v>311</v>
      </c>
      <c r="C10" s="295"/>
      <c r="D10" s="295">
        <f>'Estado de Resultados'!C10</f>
        <v>-99534.2656</v>
      </c>
      <c r="E10" s="295">
        <f>'Estado de Resultados'!D10</f>
        <v>-100745.94075578588</v>
      </c>
      <c r="F10" s="295">
        <f>'Estado de Resultados'!E10</f>
        <v>-101972.36617545625</v>
      </c>
      <c r="G10" s="295">
        <f>'Estado de Resultados'!F10</f>
        <v>-101972.36617545625</v>
      </c>
      <c r="H10" s="295">
        <f>'Estado de Resultados'!G10</f>
        <v>-101972.36617545625</v>
      </c>
      <c r="I10" s="248"/>
      <c r="J10" s="248"/>
    </row>
    <row r="11" spans="2:9" ht="15">
      <c r="B11" s="282" t="s">
        <v>168</v>
      </c>
      <c r="C11" s="295"/>
      <c r="D11" s="295">
        <f>+'Estado de Resultados'!C13</f>
        <v>-30240</v>
      </c>
      <c r="E11" s="295">
        <f>+'Estado de Resultados'!D13</f>
        <v>-30240</v>
      </c>
      <c r="F11" s="295">
        <f>+'Estado de Resultados'!E13</f>
        <v>-30240</v>
      </c>
      <c r="G11" s="295">
        <f>+'Estado de Resultados'!F13</f>
        <v>-30240</v>
      </c>
      <c r="H11" s="295">
        <f>+'Estado de Resultados'!G13</f>
        <v>-30240</v>
      </c>
      <c r="I11" s="248"/>
    </row>
    <row r="12" spans="2:9" ht="15">
      <c r="B12" s="282" t="s">
        <v>203</v>
      </c>
      <c r="C12" s="295"/>
      <c r="D12" s="295">
        <f>+'Estado de Resultados'!C14</f>
        <v>-2100</v>
      </c>
      <c r="E12" s="295">
        <f>+'Estado de Resultados'!D14</f>
        <v>-2100</v>
      </c>
      <c r="F12" s="295">
        <f>+'Estado de Resultados'!E14</f>
        <v>-2100</v>
      </c>
      <c r="G12" s="295">
        <f>+'Estado de Resultados'!F14</f>
        <v>-2100</v>
      </c>
      <c r="H12" s="295">
        <f>+'Estado de Resultados'!G14</f>
        <v>-2100</v>
      </c>
      <c r="I12" s="248"/>
    </row>
    <row r="13" spans="2:10" ht="15">
      <c r="B13" s="282" t="s">
        <v>328</v>
      </c>
      <c r="C13" s="295"/>
      <c r="D13" s="295">
        <f>'Estado de Resultados'!C15</f>
        <v>-13800</v>
      </c>
      <c r="E13" s="295">
        <f>'Estado de Resultados'!D15</f>
        <v>-13800</v>
      </c>
      <c r="F13" s="295">
        <f>'Estado de Resultados'!E15</f>
        <v>-13800</v>
      </c>
      <c r="G13" s="295">
        <f>'Estado de Resultados'!F15</f>
        <v>-13800</v>
      </c>
      <c r="H13" s="295">
        <f>'Estado de Resultados'!G15</f>
        <v>-13800</v>
      </c>
      <c r="I13" s="248"/>
      <c r="J13" s="248"/>
    </row>
    <row r="14" spans="2:10" ht="15">
      <c r="B14" s="282" t="s">
        <v>204</v>
      </c>
      <c r="C14" s="295"/>
      <c r="D14" s="295">
        <f>+'Estado de Resultados'!C16</f>
        <v>-5040</v>
      </c>
      <c r="E14" s="295">
        <f>+'Estado de Resultados'!D16</f>
        <v>-5040</v>
      </c>
      <c r="F14" s="295">
        <f>+'Estado de Resultados'!E16</f>
        <v>-5040</v>
      </c>
      <c r="G14" s="295">
        <f>+'Estado de Resultados'!F16</f>
        <v>-5040</v>
      </c>
      <c r="H14" s="295">
        <f>+'Estado de Resultados'!G16</f>
        <v>-5040</v>
      </c>
      <c r="I14" s="248"/>
      <c r="J14" s="248"/>
    </row>
    <row r="15" spans="2:8" ht="15">
      <c r="B15" s="282" t="s">
        <v>182</v>
      </c>
      <c r="C15" s="295"/>
      <c r="D15" s="296">
        <f>+Amortizacion!J18</f>
        <v>-1939.8127646300547</v>
      </c>
      <c r="E15" s="296">
        <f>+Amortizacion!J30</f>
        <v>-1240.1375718769023</v>
      </c>
      <c r="F15" s="296">
        <f>+Amortizacion!J42</f>
        <v>-457.71575561629675</v>
      </c>
      <c r="G15" s="295">
        <v>0</v>
      </c>
      <c r="H15" s="295">
        <v>0</v>
      </c>
    </row>
    <row r="16" spans="2:8" ht="15">
      <c r="B16" s="282" t="s">
        <v>187</v>
      </c>
      <c r="C16" s="3"/>
      <c r="D16" s="295">
        <f>+'Estado de Resultados'!C19</f>
        <v>-3930.842085</v>
      </c>
      <c r="E16" s="295">
        <f>+'Estado de Resultados'!D19</f>
        <v>-3930.842085</v>
      </c>
      <c r="F16" s="295">
        <f>+'Estado de Resultados'!E19</f>
        <v>-3930.842085</v>
      </c>
      <c r="G16" s="295">
        <f>+'Estado de Resultados'!F19</f>
        <v>-3076.8963000000003</v>
      </c>
      <c r="H16" s="295">
        <f>+'Estado de Resultados'!G19</f>
        <v>-3076.8963000000003</v>
      </c>
    </row>
    <row r="17" spans="2:8" ht="15">
      <c r="B17" s="282" t="s">
        <v>316</v>
      </c>
      <c r="C17" s="3"/>
      <c r="D17" s="295"/>
      <c r="E17" s="295"/>
      <c r="F17" s="295"/>
      <c r="G17" s="295"/>
      <c r="H17" s="295">
        <f>'Depreciacion AF'!K90</f>
        <v>3502.9725</v>
      </c>
    </row>
    <row r="18" spans="2:8" ht="15">
      <c r="B18" s="282" t="s">
        <v>317</v>
      </c>
      <c r="C18" s="3"/>
      <c r="D18" s="295"/>
      <c r="E18" s="295"/>
      <c r="F18" s="295"/>
      <c r="G18" s="295"/>
      <c r="H18" s="295">
        <f>-('Depreciacion AF'!J90+SUM('Flujo de Caja'!D16:H16))</f>
        <v>-5406.831145</v>
      </c>
    </row>
    <row r="19" spans="2:10" ht="15">
      <c r="B19" s="282" t="s">
        <v>188</v>
      </c>
      <c r="C19" s="295"/>
      <c r="D19" s="296">
        <f>-+'Estado de Resultados'!C18</f>
        <v>-197.6</v>
      </c>
      <c r="E19" s="296">
        <f>-+'Estado de Resultados'!D18</f>
        <v>-197.6</v>
      </c>
      <c r="F19" s="296">
        <f>-+'Estado de Resultados'!E18</f>
        <v>-197.6</v>
      </c>
      <c r="G19" s="296">
        <f>-+'Estado de Resultados'!F18</f>
        <v>-197.6</v>
      </c>
      <c r="H19" s="296">
        <f>-+'Estado de Resultados'!G18</f>
        <v>-197.6</v>
      </c>
      <c r="J19" s="248"/>
    </row>
    <row r="20" spans="2:10" ht="15">
      <c r="B20" s="293" t="s">
        <v>136</v>
      </c>
      <c r="C20" s="479"/>
      <c r="D20" s="479">
        <f>SUM(D8:D19)</f>
        <v>-176147.17529763005</v>
      </c>
      <c r="E20" s="479">
        <f>SUM(E8:E19)</f>
        <v>-176894.90986962634</v>
      </c>
      <c r="F20" s="479">
        <f>SUM(F8:F19)</f>
        <v>-177577.51778488356</v>
      </c>
      <c r="G20" s="479">
        <f>SUM(G8:G19)</f>
        <v>-176265.85624426726</v>
      </c>
      <c r="H20" s="479">
        <f>SUM(H8:H19)</f>
        <v>-178169.71488926726</v>
      </c>
      <c r="I20" s="443"/>
      <c r="J20" s="442"/>
    </row>
    <row r="21" spans="2:8" ht="15">
      <c r="B21" s="475" t="s">
        <v>189</v>
      </c>
      <c r="C21" s="479">
        <f aca="true" t="shared" si="1" ref="C21:H21">+C7+C20</f>
        <v>0</v>
      </c>
      <c r="D21" s="479">
        <f>+D7+D20</f>
        <v>22921.35590236995</v>
      </c>
      <c r="E21" s="479">
        <f t="shared" si="1"/>
        <v>24596.97164194542</v>
      </c>
      <c r="F21" s="479">
        <f t="shared" si="1"/>
        <v>26367.214566028968</v>
      </c>
      <c r="G21" s="479">
        <f t="shared" si="1"/>
        <v>27678.87610664527</v>
      </c>
      <c r="H21" s="479">
        <f t="shared" si="1"/>
        <v>25775.01746164527</v>
      </c>
    </row>
    <row r="22" spans="2:8" ht="15">
      <c r="B22" s="257" t="s">
        <v>211</v>
      </c>
      <c r="C22" s="295"/>
      <c r="D22" s="295">
        <f>+'Estado de Resultados'!C22</f>
        <v>-3497.4833853554896</v>
      </c>
      <c r="E22" s="295">
        <f>+'Estado de Resultados'!D22</f>
        <v>-3748.8257462918145</v>
      </c>
      <c r="F22" s="295">
        <f>+'Estado de Resultados'!E22</f>
        <v>-4014.3621849043425</v>
      </c>
      <c r="G22" s="295">
        <f>+'Estado de Resultados'!F22</f>
        <v>-4211.111415996788</v>
      </c>
      <c r="H22" s="295">
        <f>+'Estado de Resultados'!G22</f>
        <v>-4211.111415996788</v>
      </c>
    </row>
    <row r="23" spans="2:8" ht="15">
      <c r="B23" s="257" t="s">
        <v>99</v>
      </c>
      <c r="C23" s="295"/>
      <c r="D23" s="295">
        <f>+'Estado de Resultados'!C24</f>
        <v>-4954.768129253611</v>
      </c>
      <c r="E23" s="295">
        <f>+'Estado de Resultados'!D24</f>
        <v>-5310.836473913404</v>
      </c>
      <c r="F23" s="295">
        <f>+'Estado de Resultados'!E24</f>
        <v>-5687.013095281152</v>
      </c>
      <c r="G23" s="295">
        <f>+'Estado de Resultados'!F24</f>
        <v>-5965.741172662117</v>
      </c>
      <c r="H23" s="295">
        <f>+'Estado de Resultados'!G24</f>
        <v>-5965.741172662117</v>
      </c>
    </row>
    <row r="24" spans="2:8" ht="15">
      <c r="B24" s="476" t="s">
        <v>190</v>
      </c>
      <c r="C24" s="479"/>
      <c r="D24" s="479">
        <f>+SUM(D21:D23)</f>
        <v>14469.10438776085</v>
      </c>
      <c r="E24" s="479">
        <f>+SUM(E21:E23)</f>
        <v>15537.3094217402</v>
      </c>
      <c r="F24" s="479">
        <f>+SUM(F21:F23)</f>
        <v>16665.839285843474</v>
      </c>
      <c r="G24" s="479">
        <f>+SUM(G21:G23)</f>
        <v>17502.023517986367</v>
      </c>
      <c r="H24" s="479">
        <f>+SUM(H21:H23)</f>
        <v>15598.164872986366</v>
      </c>
    </row>
    <row r="25" spans="2:8" ht="15">
      <c r="B25" s="282" t="s">
        <v>187</v>
      </c>
      <c r="C25" s="295"/>
      <c r="D25" s="295">
        <f>-D16</f>
        <v>3930.842085</v>
      </c>
      <c r="E25" s="295">
        <f>-E16</f>
        <v>3930.842085</v>
      </c>
      <c r="F25" s="295">
        <f>-F16</f>
        <v>3930.842085</v>
      </c>
      <c r="G25" s="295">
        <f>-G16</f>
        <v>3076.8963000000003</v>
      </c>
      <c r="H25" s="295">
        <f>-H16</f>
        <v>3076.8963000000003</v>
      </c>
    </row>
    <row r="26" spans="2:8" ht="15">
      <c r="B26" s="282" t="s">
        <v>213</v>
      </c>
      <c r="C26" s="295"/>
      <c r="D26" s="295"/>
      <c r="E26" s="295"/>
      <c r="F26" s="295"/>
      <c r="G26" s="295"/>
      <c r="H26" s="295">
        <f>-H18</f>
        <v>5406.831145</v>
      </c>
    </row>
    <row r="27" spans="2:8" ht="15">
      <c r="B27" s="282" t="s">
        <v>188</v>
      </c>
      <c r="C27" s="295"/>
      <c r="D27" s="295">
        <f>-D19</f>
        <v>197.6</v>
      </c>
      <c r="E27" s="295">
        <f>-E19</f>
        <v>197.6</v>
      </c>
      <c r="F27" s="295">
        <f>-F19</f>
        <v>197.6</v>
      </c>
      <c r="G27" s="295">
        <f>-G19</f>
        <v>197.6</v>
      </c>
      <c r="H27" s="295">
        <f>-H19</f>
        <v>197.6</v>
      </c>
    </row>
    <row r="28" spans="2:8" ht="15">
      <c r="B28" s="247" t="s">
        <v>210</v>
      </c>
      <c r="C28" s="248"/>
      <c r="D28" s="248"/>
      <c r="E28" s="248"/>
      <c r="F28" s="248"/>
      <c r="G28" s="248"/>
      <c r="H28" s="248"/>
    </row>
    <row r="29" spans="2:8" ht="15">
      <c r="B29" s="282" t="s">
        <v>169</v>
      </c>
      <c r="C29" s="295">
        <f>-'Inversion y gastos'!C139</f>
        <v>-25072.730000000003</v>
      </c>
      <c r="D29" s="295">
        <v>0</v>
      </c>
      <c r="E29" s="295">
        <v>0</v>
      </c>
      <c r="F29" s="295">
        <v>0</v>
      </c>
      <c r="G29" s="295">
        <v>0</v>
      </c>
      <c r="H29" s="295">
        <v>0</v>
      </c>
    </row>
    <row r="30" spans="2:8" ht="15">
      <c r="B30" s="282" t="s">
        <v>167</v>
      </c>
      <c r="C30" s="295">
        <f>-'Inversion y gastos'!C142</f>
        <v>-588</v>
      </c>
      <c r="D30" s="295">
        <v>0</v>
      </c>
      <c r="E30" s="295">
        <v>0</v>
      </c>
      <c r="F30" s="295">
        <v>0</v>
      </c>
      <c r="G30" s="295">
        <v>0</v>
      </c>
      <c r="H30" s="295">
        <v>0</v>
      </c>
    </row>
    <row r="31" spans="2:8" ht="15">
      <c r="B31" s="282" t="s">
        <v>133</v>
      </c>
      <c r="C31" s="295">
        <f>-'Inversion y gastos'!C141</f>
        <v>-400</v>
      </c>
      <c r="D31" s="295">
        <v>0</v>
      </c>
      <c r="E31" s="295">
        <v>0</v>
      </c>
      <c r="F31" s="295">
        <v>0</v>
      </c>
      <c r="G31" s="295">
        <v>0</v>
      </c>
      <c r="H31" s="295">
        <v>0</v>
      </c>
    </row>
    <row r="32" spans="2:8" ht="15">
      <c r="B32" s="282" t="s">
        <v>134</v>
      </c>
      <c r="C32" s="295">
        <f>-'Inversion y gastos'!E88</f>
        <v>-13800</v>
      </c>
      <c r="D32" s="295">
        <v>0</v>
      </c>
      <c r="E32" s="295">
        <v>0</v>
      </c>
      <c r="F32" s="295">
        <v>0</v>
      </c>
      <c r="G32" s="295">
        <v>0</v>
      </c>
      <c r="H32" s="295">
        <v>0</v>
      </c>
    </row>
    <row r="33" spans="2:8" ht="15">
      <c r="B33" s="477" t="s">
        <v>137</v>
      </c>
      <c r="C33" s="479">
        <f>SUM(C4:C32)</f>
        <v>-39860.73</v>
      </c>
      <c r="D33" s="479">
        <f>+SUM(D24:D32)</f>
        <v>18597.54647276085</v>
      </c>
      <c r="E33" s="479">
        <f>+SUM(E24:E32)</f>
        <v>19665.7515067402</v>
      </c>
      <c r="F33" s="479">
        <f>+SUM(F24:F32)</f>
        <v>20794.281370843473</v>
      </c>
      <c r="G33" s="479">
        <f>+SUM(G24:G32)</f>
        <v>20776.519817986366</v>
      </c>
      <c r="H33" s="479">
        <f>+SUM(H24:H32)</f>
        <v>24279.492317986365</v>
      </c>
    </row>
    <row r="34" spans="2:8" ht="15">
      <c r="B34" s="297" t="s">
        <v>138</v>
      </c>
      <c r="C34" s="295">
        <f>-Amortizacion!G2</f>
        <v>19930.365</v>
      </c>
      <c r="D34" s="3"/>
      <c r="E34" s="3"/>
      <c r="F34" s="3"/>
      <c r="G34" s="3"/>
      <c r="H34" s="3"/>
    </row>
    <row r="35" spans="2:8" ht="15">
      <c r="B35" s="297" t="s">
        <v>183</v>
      </c>
      <c r="C35" s="3"/>
      <c r="D35" s="332">
        <f>+Amortizacion!I18</f>
        <v>-5916.197599410964</v>
      </c>
      <c r="E35" s="332">
        <f>+Amortizacion!I30</f>
        <v>-6615.872792164115</v>
      </c>
      <c r="F35" s="332">
        <f>+Amortizacion!I42</f>
        <v>-7398.2946084247205</v>
      </c>
      <c r="G35" s="3"/>
      <c r="H35" s="3"/>
    </row>
    <row r="36" spans="2:8" ht="15">
      <c r="B36" s="297" t="s">
        <v>231</v>
      </c>
      <c r="C36" s="295">
        <f>'capital de trabajo'!E47</f>
        <v>-13355.512703010258</v>
      </c>
      <c r="D36" s="276"/>
      <c r="E36" s="276"/>
      <c r="F36" s="276"/>
      <c r="G36" s="276"/>
      <c r="H36" s="3"/>
    </row>
    <row r="37" spans="2:8" ht="15.75" thickBot="1">
      <c r="B37" s="297" t="s">
        <v>319</v>
      </c>
      <c r="C37" s="3"/>
      <c r="D37" s="276"/>
      <c r="E37" s="276"/>
      <c r="F37" s="276"/>
      <c r="G37" s="276"/>
      <c r="H37" s="295">
        <f>-SUM(C36:G36)</f>
        <v>13355.512703010258</v>
      </c>
    </row>
    <row r="38" spans="2:8" ht="15.75" thickBot="1">
      <c r="B38" s="298" t="s">
        <v>212</v>
      </c>
      <c r="C38" s="479">
        <f aca="true" t="shared" si="2" ref="C38:H38">+SUM(C33:C37)</f>
        <v>-33285.87770301026</v>
      </c>
      <c r="D38" s="479">
        <f t="shared" si="2"/>
        <v>12681.348873349885</v>
      </c>
      <c r="E38" s="479">
        <f t="shared" si="2"/>
        <v>13049.878714576083</v>
      </c>
      <c r="F38" s="479">
        <f t="shared" si="2"/>
        <v>13395.986762418754</v>
      </c>
      <c r="G38" s="479">
        <f t="shared" si="2"/>
        <v>20776.519817986366</v>
      </c>
      <c r="H38" s="479">
        <f t="shared" si="2"/>
        <v>37635.00502099662</v>
      </c>
    </row>
    <row r="39" ht="15">
      <c r="B39" s="70"/>
    </row>
    <row r="40" ht="15">
      <c r="B40" s="70"/>
    </row>
    <row r="41" ht="15.75" thickBot="1">
      <c r="B41" s="70"/>
    </row>
    <row r="42" spans="2:3" ht="15">
      <c r="B42" s="405" t="s">
        <v>139</v>
      </c>
      <c r="C42" s="406">
        <f>IRR(C38:H38)</f>
        <v>0.3958159810392626</v>
      </c>
    </row>
    <row r="43" spans="2:3" ht="15">
      <c r="B43" s="131" t="s">
        <v>140</v>
      </c>
      <c r="C43" s="460">
        <f>NPV($C$44,D38:H38)+C38</f>
        <v>-1822.1331208406555</v>
      </c>
    </row>
    <row r="44" spans="2:3" ht="15">
      <c r="B44" s="131" t="s">
        <v>141</v>
      </c>
      <c r="C44" s="407">
        <f>'Tasa de descuento'!C18</f>
        <v>0.423948</v>
      </c>
    </row>
    <row r="45" spans="2:3" ht="15.75" thickBot="1">
      <c r="B45" s="136" t="s">
        <v>142</v>
      </c>
      <c r="C45" s="348">
        <v>5</v>
      </c>
    </row>
  </sheetData>
  <sheetProtection/>
  <printOptions/>
  <pageMargins left="0.75" right="0.75" top="1" bottom="1" header="0" footer="0"/>
  <pageSetup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Ing. Lucas Mieles</cp:lastModifiedBy>
  <cp:lastPrinted>2009-01-31T03:03:31Z</cp:lastPrinted>
  <dcterms:created xsi:type="dcterms:W3CDTF">2009-01-08T02:18:25Z</dcterms:created>
  <dcterms:modified xsi:type="dcterms:W3CDTF">2009-03-08T16:12:20Z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