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tabRatio="599" firstSheet="1" activeTab="2"/>
  </bookViews>
  <sheets>
    <sheet name="CB_DATA_" sheetId="1" state="veryHidden" r:id="rId1"/>
    <sheet name="DATOS" sheetId="2" r:id="rId2"/>
    <sheet name="ESCENARIOS" sheetId="3" r:id="rId3"/>
    <sheet name="FRECUENCIA DEL PRECIO" sheetId="4" r:id="rId4"/>
    <sheet name="FRECUENCIA DE LA CANTIDAD" sheetId="5" r:id="rId5"/>
    <sheet name="DEMANDA" sheetId="6" r:id="rId6"/>
    <sheet name="INVERSIONES" sheetId="7" r:id="rId7"/>
    <sheet name="CAPITAL DE TRABAJO" sheetId="8" r:id="rId8"/>
    <sheet name="COSTOS VARIABLES" sheetId="9" r:id="rId9"/>
    <sheet name="COSTOS FIJOS" sheetId="10" r:id="rId10"/>
    <sheet name="PUNTO DE EQUILIBRIO" sheetId="11" r:id="rId11"/>
    <sheet name="FLUJO DE CAJA" sheetId="12" r:id="rId12"/>
    <sheet name="PAYBACK" sheetId="13" r:id="rId13"/>
  </sheets>
  <definedNames>
    <definedName name="CB_7ccbd218551c4c6997985bffb8466ff4" localSheetId="1" hidden="1">'DATOS'!$C$21</definedName>
    <definedName name="CB_b8ff7bd263f849eeb5a1cdb3bbf927d2" localSheetId="0" hidden="1">#N/A</definedName>
    <definedName name="CB_Block_00000000000000000000000000000000" localSheetId="8" hidden="1">"'7.0.0.0"</definedName>
    <definedName name="CB_Block_00000000000000000000000000000001" localSheetId="8" hidden="1">"'633718805730392000"</definedName>
    <definedName name="CB_Block_00000000000000000000000000000003" localSheetId="8" hidden="1">"'7.3.960.0"</definedName>
    <definedName name="CB_BlockExt_00000000000000000000000000000003" localSheetId="8" hidden="1">"'7.3.1"</definedName>
    <definedName name="CB_c1d84ecb8d28413499a87d1a7f450bbb" localSheetId="1" hidden="1">'DATOS'!$C$28</definedName>
    <definedName name="CB_c43f581332fb47bb8ea716e64e6cac3f" localSheetId="1" hidden="1">'DATOS'!$C$23</definedName>
    <definedName name="CB_f1d2dabf0a3948419d625d395711de7b" localSheetId="11" hidden="1">'FLUJO DE CAJA'!$C$22</definedName>
    <definedName name="CBWorkbookPriority" hidden="1">-137091316</definedName>
    <definedName name="CBx_007c56e66cef44328a17862c8340aa43" localSheetId="0" hidden="1">"'DATOS'!$A$1"</definedName>
    <definedName name="CBx_229c38f44f2343c88b1b8aa0d4697c81" localSheetId="0" hidden="1">"'FLUJO DE CAJA'!$A$1"</definedName>
    <definedName name="CBx_312e2e7728ac4e15afb0b16b43cb4947" localSheetId="0" hidden="1">"'COSTOS VARIABLES'!$A$1"</definedName>
    <definedName name="CBx_bb9614fbd1c24c84aa16f9a03ce9cc40" localSheetId="0" hidden="1">"'CB_DATA_'!$A$1"</definedName>
    <definedName name="CBx_Sheet_Guid" localSheetId="0" hidden="1">"'bb9614fb-d1c2-4c84-aa16-f9a03ce9cc40"</definedName>
    <definedName name="CBx_Sheet_Guid" localSheetId="8" hidden="1">"'312e2e77-28ac-4e15-afb0-b16b43cb4947"</definedName>
    <definedName name="CBx_Sheet_Guid" localSheetId="1" hidden="1">"'007c56e6-6cef-4432-8a17-862c8340aa43"</definedName>
    <definedName name="CBx_Sheet_Guid" localSheetId="11" hidden="1">"'229c38f4-4f23-43c8-8b1b-8aa0d4697c81"</definedName>
    <definedName name="CBx_SheetRef" localSheetId="8" hidden="1">'CB_DATA_'!$D$14</definedName>
    <definedName name="CBx_StorageType" localSheetId="0" hidden="1">1</definedName>
    <definedName name="CBx_StorageType" localSheetId="8" hidden="1">2</definedName>
    <definedName name="CBx_StorageType" localSheetId="1" hidden="1">1</definedName>
    <definedName name="CBx_StorageType" localSheetId="11" hidden="1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<sst xmlns="http://schemas.openxmlformats.org/spreadsheetml/2006/main" count="471" uniqueCount="277">
  <si>
    <t>SUELDOS Y SALARIOS</t>
  </si>
  <si>
    <t>Numero de Empleados</t>
  </si>
  <si>
    <t>PRESUPUESTO DE MANO DE OBRA DIRECTA</t>
  </si>
  <si>
    <t>MENSUAL</t>
  </si>
  <si>
    <t>Aporte al IESS 9.35%</t>
  </si>
  <si>
    <t>Decimo Tercero</t>
  </si>
  <si>
    <t>Decimo Cuarto</t>
  </si>
  <si>
    <t>Vacaciones</t>
  </si>
  <si>
    <t>Aporte patronal 11.35%</t>
  </si>
  <si>
    <t>Iess 0.5</t>
  </si>
  <si>
    <t>Secap 0.5</t>
  </si>
  <si>
    <t>Fondos de reserva ($18,17)</t>
  </si>
  <si>
    <t>-</t>
  </si>
  <si>
    <t>BENEFICIOS SOCIALES</t>
  </si>
  <si>
    <t>AÑO</t>
  </si>
  <si>
    <t>Total Beneficios Sociales Mensuales</t>
  </si>
  <si>
    <t>año 2 mas fondo de reserva ($18,17)</t>
  </si>
  <si>
    <t>PRESUPUESTO DE MATERIA PRIMA DIRECTA</t>
  </si>
  <si>
    <t>DENOMINACION</t>
  </si>
  <si>
    <t>UNID./MED</t>
  </si>
  <si>
    <t>CANTIDAD</t>
  </si>
  <si>
    <t>VAL. UNITARIO</t>
  </si>
  <si>
    <t>VAL. TOTAL</t>
  </si>
  <si>
    <t>Fruta fresca de mango</t>
  </si>
  <si>
    <t>Kg de Pulpa de Mango</t>
  </si>
  <si>
    <t>Azucar</t>
  </si>
  <si>
    <t>Kg de Azucar</t>
  </si>
  <si>
    <t>Piña</t>
  </si>
  <si>
    <t>Kg de Piña</t>
  </si>
  <si>
    <t>VAL. UNITARIO C/16 M3</t>
  </si>
  <si>
    <t>Agua</t>
  </si>
  <si>
    <t>LIBRAS</t>
  </si>
  <si>
    <t>VALOR MES</t>
  </si>
  <si>
    <t>VALOR ANUAL</t>
  </si>
  <si>
    <t>COLORANTES</t>
  </si>
  <si>
    <t>Fruta Fresca de Mango</t>
  </si>
  <si>
    <t>Colorantes</t>
  </si>
  <si>
    <t>TOTAL</t>
  </si>
  <si>
    <t>ENVASES DE PLASTICO</t>
  </si>
  <si>
    <t>ETIQUETAS</t>
  </si>
  <si>
    <t>PRESUPUESTO DE INSUMOS</t>
  </si>
  <si>
    <t>Envases de Plasticos</t>
  </si>
  <si>
    <t>Etiquetas</t>
  </si>
  <si>
    <t>Salario Básico Unificado</t>
  </si>
  <si>
    <t>Total a pagar por empleado</t>
  </si>
  <si>
    <t>UTENCILIOS DE ASEOS</t>
  </si>
  <si>
    <t>UTENCILIO</t>
  </si>
  <si>
    <t>VAL. ANUAL</t>
  </si>
  <si>
    <t>VAL. MENSUAL</t>
  </si>
  <si>
    <t>Cloro (Litro)</t>
  </si>
  <si>
    <t>Desinfectantes (Litro)</t>
  </si>
  <si>
    <t>Limpiadores (Unidades)</t>
  </si>
  <si>
    <t>Jabón (Jabones)</t>
  </si>
  <si>
    <t>Escobas (Unidades)</t>
  </si>
  <si>
    <t>Trapeador (Unidades)</t>
  </si>
  <si>
    <t>Esponjas</t>
  </si>
  <si>
    <t>PRESUPUESTO PARA USO DE ENERGIA ELECTRICA</t>
  </si>
  <si>
    <t>CANTIDAD (Kw./h)</t>
  </si>
  <si>
    <t>Consumo de Energia Electrica</t>
  </si>
  <si>
    <t>PRESUPUESTO PARA USO DE AGUA POTABLE</t>
  </si>
  <si>
    <t>VAL. UNITARIO (16 m3)</t>
  </si>
  <si>
    <t>Consumo de Agua Potable</t>
  </si>
  <si>
    <t>PRESUPUESTO PARA USO DE TELEFONICO</t>
  </si>
  <si>
    <t>CANTIDAD (minutos)</t>
  </si>
  <si>
    <t xml:space="preserve">VAL. UNITARIO </t>
  </si>
  <si>
    <t>Consumo Telefonico</t>
  </si>
  <si>
    <t>Energia Electrica</t>
  </si>
  <si>
    <t>Agua Potable</t>
  </si>
  <si>
    <t>Telefono</t>
  </si>
  <si>
    <t>DEPRECIACION DE MAQUINARIA Y EQUIPO</t>
  </si>
  <si>
    <t>DEP. ANUAL</t>
  </si>
  <si>
    <t>DEP. ACUMULADA</t>
  </si>
  <si>
    <t>VALOR EN LIBROS</t>
  </si>
  <si>
    <t>DEPRECIACION DE MUEBLES Y ENSERES</t>
  </si>
  <si>
    <t>DEPRECIACION DE EQUIPOS DE OFICINA</t>
  </si>
  <si>
    <t>DEPRECIACION DE EQUIPOS DE COMPUTACION</t>
  </si>
  <si>
    <t>COSTOS VARIABLES</t>
  </si>
  <si>
    <t>Mano de Obra Directa</t>
  </si>
  <si>
    <t>Materia Prima Directa</t>
  </si>
  <si>
    <t>Insumos</t>
  </si>
  <si>
    <t>TOTAL MANO DE OBRA DIRECTA</t>
  </si>
  <si>
    <t>COSTOS FIJOS</t>
  </si>
  <si>
    <t>Servicios Basicos</t>
  </si>
  <si>
    <t>Depreciación</t>
  </si>
  <si>
    <t>TOTAL COSTOS FIJOS</t>
  </si>
  <si>
    <t>Maquinaria y Equipo</t>
  </si>
  <si>
    <t>Suministros de Operaciones</t>
  </si>
  <si>
    <t>Muebles y Enseres</t>
  </si>
  <si>
    <t>Equipos de Oficina</t>
  </si>
  <si>
    <t>Equipos de Computacion</t>
  </si>
  <si>
    <t>PRESUPUESTO DE LA MAQUINARIA Y EQUIPO</t>
  </si>
  <si>
    <t>Bandeja de Recepción del mango</t>
  </si>
  <si>
    <t>Mesa de Lavado</t>
  </si>
  <si>
    <t>Licuadora</t>
  </si>
  <si>
    <t>Cilindro de Gas</t>
  </si>
  <si>
    <t>Recipiente de Plastico</t>
  </si>
  <si>
    <t>Paila</t>
  </si>
  <si>
    <t>Espatula de Madera</t>
  </si>
  <si>
    <t>Cernidores</t>
  </si>
  <si>
    <t>Cuchillos</t>
  </si>
  <si>
    <t>Cocina Industrial</t>
  </si>
  <si>
    <t>Cucharetas</t>
  </si>
  <si>
    <t>PRESUPUESTO PARA SUMINISTROS DE OPERACIONES (SEGURIDAD INDUSTRIAL)</t>
  </si>
  <si>
    <t>Guantes (Cajas)</t>
  </si>
  <si>
    <t>Mascarillas (Cajas)</t>
  </si>
  <si>
    <t>Extintores</t>
  </si>
  <si>
    <t>Botiquin</t>
  </si>
  <si>
    <t>Gorros (Cajas)</t>
  </si>
  <si>
    <t>PRESUPUESTO PARA MUEBLES Y ENSERES</t>
  </si>
  <si>
    <t>Archivadores</t>
  </si>
  <si>
    <t>Escritorios</t>
  </si>
  <si>
    <t>Sillas Plasticas</t>
  </si>
  <si>
    <t>Papeleras</t>
  </si>
  <si>
    <t>Basureros</t>
  </si>
  <si>
    <t>PRESUPUESTO PARA EQUIPOS DE OFICINA</t>
  </si>
  <si>
    <t>Sumadoras</t>
  </si>
  <si>
    <t>Telefax</t>
  </si>
  <si>
    <t>Sueldo Mensual</t>
  </si>
  <si>
    <t>PRESUPUESTO PARA EQUIPOS DE COMPUTACION</t>
  </si>
  <si>
    <t>Impresoras</t>
  </si>
  <si>
    <t>U.P.S</t>
  </si>
  <si>
    <t>INVERSIÓN</t>
  </si>
  <si>
    <t>Activos Fijos</t>
  </si>
  <si>
    <t>Activos Circulantes</t>
  </si>
  <si>
    <t>Activos Diferidos</t>
  </si>
  <si>
    <t>Materiales Indirectos</t>
  </si>
  <si>
    <t>Utencilios de Aseo</t>
  </si>
  <si>
    <t>Suministros de Oficina</t>
  </si>
  <si>
    <t>Publicidad</t>
  </si>
  <si>
    <t>PRESUPUESTO PARA PUBLICIDAD Y PROPAGANDA</t>
  </si>
  <si>
    <t>VAL. ANNUAL</t>
  </si>
  <si>
    <t>Radio</t>
  </si>
  <si>
    <t>Television</t>
  </si>
  <si>
    <t>Volantes</t>
  </si>
  <si>
    <t>Maquinarias y Equipos</t>
  </si>
  <si>
    <t>Gastos de Constitucion</t>
  </si>
  <si>
    <t>Registro Sanitario y Patente</t>
  </si>
  <si>
    <t>Permiso de Funcionamiento</t>
  </si>
  <si>
    <t>Organización y Puesta en Marcha</t>
  </si>
  <si>
    <t>PRESUPUESTO PARA SUMINISTROS DE OFICINA</t>
  </si>
  <si>
    <t>Lapiz</t>
  </si>
  <si>
    <t>Borradores</t>
  </si>
  <si>
    <t>Resmas</t>
  </si>
  <si>
    <t>Reglas</t>
  </si>
  <si>
    <t>Sacapunta</t>
  </si>
  <si>
    <t>Carpeta</t>
  </si>
  <si>
    <t>Vinchas</t>
  </si>
  <si>
    <t>Cinta Scott</t>
  </si>
  <si>
    <t>Grapas</t>
  </si>
  <si>
    <t>Sello</t>
  </si>
  <si>
    <t>Clip</t>
  </si>
  <si>
    <t>Perforadora</t>
  </si>
  <si>
    <t>Grapadora</t>
  </si>
  <si>
    <t>Almohadilla</t>
  </si>
  <si>
    <t>Sacagrapa</t>
  </si>
  <si>
    <t>Sobres</t>
  </si>
  <si>
    <t>Tinta</t>
  </si>
  <si>
    <t>Ventiladores</t>
  </si>
  <si>
    <t>TOTALES</t>
  </si>
  <si>
    <t>Mano de obra Directa</t>
  </si>
  <si>
    <t>VAL. SALVAMENTO</t>
  </si>
  <si>
    <t>Impuestos Prediales</t>
  </si>
  <si>
    <t>Utencilios De Aseo</t>
  </si>
  <si>
    <t>ACTIVOS DIFERIDOS</t>
  </si>
  <si>
    <t>VALOR A INVERTIR</t>
  </si>
  <si>
    <t>GENERALES</t>
  </si>
  <si>
    <t>% De Compradores</t>
  </si>
  <si>
    <t>% Porter</t>
  </si>
  <si>
    <t>% de Poblacion Segmentada</t>
  </si>
  <si>
    <t>Frecuencia Esperada</t>
  </si>
  <si>
    <t>Consume mermeradas en su hogar</t>
  </si>
  <si>
    <t>PERSONAL</t>
  </si>
  <si>
    <t>TASAS</t>
  </si>
  <si>
    <t>Tasa de Crecimiento</t>
  </si>
  <si>
    <t>Impuestos</t>
  </si>
  <si>
    <t>DETERMINACION DE LA DEMANDA POTENCIAL</t>
  </si>
  <si>
    <t>CANTIDAD ESPERADA DE VENTAS</t>
  </si>
  <si>
    <t>CANTIDAD ESP. DE VENTA</t>
  </si>
  <si>
    <t>ENCUESTA</t>
  </si>
  <si>
    <t>ANUAL</t>
  </si>
  <si>
    <t>TOTAL COSTOS VARIABLES</t>
  </si>
  <si>
    <t>FLUJO DE CAJA</t>
  </si>
  <si>
    <t>AÑOS</t>
  </si>
  <si>
    <t>Ingresos</t>
  </si>
  <si>
    <t>Valor de Salvamento</t>
  </si>
  <si>
    <t>Egresos</t>
  </si>
  <si>
    <t>Costos Operacionales</t>
  </si>
  <si>
    <t>Costos Fijos</t>
  </si>
  <si>
    <t>Ut. Antes de Impuestos</t>
  </si>
  <si>
    <t>Ut. Despues de Aportaciones</t>
  </si>
  <si>
    <t>Utilidad Neta</t>
  </si>
  <si>
    <t>Depreciacion</t>
  </si>
  <si>
    <t>Inversiones</t>
  </si>
  <si>
    <t>Capital de Trabajo</t>
  </si>
  <si>
    <t>Flujo de Caja</t>
  </si>
  <si>
    <t>PRECIO</t>
  </si>
  <si>
    <t>Aportacion de los Trabajadores (15%)</t>
  </si>
  <si>
    <t>Tabulacion Cruzada</t>
  </si>
  <si>
    <t>COSTO FIJO UNITARIO</t>
  </si>
  <si>
    <t>COSTO VARIABLE UNITARIO</t>
  </si>
  <si>
    <t>UTILIDAD</t>
  </si>
  <si>
    <t xml:space="preserve">VAN </t>
  </si>
  <si>
    <t>TMAR</t>
  </si>
  <si>
    <t>TIR</t>
  </si>
  <si>
    <t>PRODUCCION ANUAL</t>
  </si>
  <si>
    <t>COSTO VARIABLE TOTAL</t>
  </si>
  <si>
    <t>COSTO FIJO TOTAL</t>
  </si>
  <si>
    <t>VALOR MINIMO DEL PRODUCTO</t>
  </si>
  <si>
    <t>VENTAS TOTALES</t>
  </si>
  <si>
    <t>EN FUNCION DE LA CAPACIDAD INSTALADA</t>
  </si>
  <si>
    <t>PUNTO DE EQUILIBRIO</t>
  </si>
  <si>
    <t>EN FUNCION DE LAS VENTAS</t>
  </si>
  <si>
    <t>DATOS</t>
  </si>
  <si>
    <t>COSTOS TOTALES</t>
  </si>
  <si>
    <t>COSTOS UNITARIOS</t>
  </si>
  <si>
    <t>PRECIO DEL DULCE</t>
  </si>
  <si>
    <t>Crystal Ball Data</t>
  </si>
  <si>
    <t>Workbook Variables</t>
  </si>
  <si>
    <t>Last Var Column</t>
  </si>
  <si>
    <t xml:space="preserve">    Name:</t>
  </si>
  <si>
    <t xml:space="preserve">    Value:</t>
  </si>
  <si>
    <t>Worksheet Data</t>
  </si>
  <si>
    <t>Last Data Column Used</t>
  </si>
  <si>
    <t>Sheet Ref</t>
  </si>
  <si>
    <t>Sheet Guid</t>
  </si>
  <si>
    <t>Deleted sheet count</t>
  </si>
  <si>
    <t>Last row used</t>
  </si>
  <si>
    <t>Data blocks</t>
  </si>
  <si>
    <t>Sueldo 4 empleado</t>
  </si>
  <si>
    <t>Porcentaje de la Encuesta</t>
  </si>
  <si>
    <t>Frecuencia</t>
  </si>
  <si>
    <t>si</t>
  </si>
  <si>
    <t>Este precio puede variar según nuestro flujo de caja ya que puede ser que no satisfaga nuestros costos</t>
  </si>
  <si>
    <t>Precio Estimado</t>
  </si>
  <si>
    <t>Promedio</t>
  </si>
  <si>
    <t>Frecuencia del Precio</t>
  </si>
  <si>
    <t>Mensual</t>
  </si>
  <si>
    <t>Congelador (15 pies)</t>
  </si>
  <si>
    <t>Sillas de Oficina</t>
  </si>
  <si>
    <t>CANTIDAD (CAJAS)</t>
  </si>
  <si>
    <t>Cuaderno (Unidades)</t>
  </si>
  <si>
    <t>Computadora</t>
  </si>
  <si>
    <t>Gastos de Publicidad</t>
  </si>
  <si>
    <t>Salario</t>
  </si>
  <si>
    <t>Aportaciones de los Trabajadores</t>
  </si>
  <si>
    <t>VAN</t>
  </si>
  <si>
    <t>Mesa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</si>
  <si>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</si>
  <si>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r>
      <t>CANTIDAD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</si>
  <si>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312e2e77-28ac-4e15-afb0-b16b43cb4947</t>
  </si>
  <si>
    <t>Recuperamos el capital en el tercer año</t>
  </si>
  <si>
    <t>Total Ingresos</t>
  </si>
  <si>
    <t>Meses</t>
  </si>
  <si>
    <t>Ventas</t>
  </si>
  <si>
    <t>Ing. Ventas</t>
  </si>
  <si>
    <t>costos variables</t>
  </si>
  <si>
    <t>Egreso Mensual</t>
  </si>
  <si>
    <t>Ingreso Mensual</t>
  </si>
  <si>
    <t>Saldo Mensual</t>
  </si>
  <si>
    <t>Acumulada</t>
  </si>
  <si>
    <t>Capital de trabajo  por medio del déficit acumulado máximo</t>
  </si>
  <si>
    <t>al mes</t>
  </si>
  <si>
    <t>AÑO 1</t>
  </si>
  <si>
    <t>PERIODOS</t>
  </si>
  <si>
    <t>FLUJO NETO</t>
  </si>
  <si>
    <t>FLUJO NETO ACULUMADO</t>
  </si>
  <si>
    <t>INVERSION</t>
  </si>
  <si>
    <t>RECUPERACION</t>
  </si>
  <si>
    <t>RECUPERACION DECAPITAL</t>
  </si>
  <si>
    <t>V.A.N.</t>
  </si>
  <si>
    <t>PORCENTAJE</t>
  </si>
  <si>
    <t>Impuesto (25%)</t>
  </si>
  <si>
    <t>POBLACION OBJETIVO</t>
  </si>
  <si>
    <t>Demanda</t>
  </si>
  <si>
    <t>Poblacion</t>
  </si>
  <si>
    <t>Población</t>
  </si>
  <si>
    <t>Población Objetivo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</si>
</sst>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[$$-300A]\ #,##0.00"/>
    <numFmt numFmtId="175" formatCode="0.0%"/>
    <numFmt numFmtId="176" formatCode="0.00000"/>
    <numFmt numFmtId="177" formatCode="0.0000"/>
    <numFmt numFmtId="178" formatCode="0.0000000"/>
    <numFmt numFmtId="179" formatCode="0.000000"/>
    <numFmt numFmtId="180" formatCode="_([$$-300A]\ * #,##0.00_);_([$$-300A]\ * \(#,##0.00\);_([$$-300A]\ 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0.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.8"/>
      <color indexed="8"/>
      <name val="Arial"/>
      <family val="0"/>
    </font>
    <font>
      <sz val="8.2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52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44" fontId="0" fillId="0" borderId="21" xfId="5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/>
    </xf>
    <xf numFmtId="1" fontId="0" fillId="34" borderId="0" xfId="50" applyNumberFormat="1" applyFont="1" applyFill="1" applyAlignment="1">
      <alignment/>
    </xf>
    <xf numFmtId="44" fontId="0" fillId="35" borderId="13" xfId="50" applyFont="1" applyFill="1" applyBorder="1" applyAlignment="1">
      <alignment horizontal="center"/>
    </xf>
    <xf numFmtId="44" fontId="0" fillId="0" borderId="22" xfId="50" applyFont="1" applyBorder="1" applyAlignment="1">
      <alignment/>
    </xf>
    <xf numFmtId="44" fontId="0" fillId="0" borderId="10" xfId="50" applyFont="1" applyBorder="1" applyAlignment="1">
      <alignment/>
    </xf>
    <xf numFmtId="44" fontId="0" fillId="0" borderId="0" xfId="50" applyFont="1" applyAlignment="1">
      <alignment/>
    </xf>
    <xf numFmtId="44" fontId="0" fillId="0" borderId="10" xfId="50" applyFont="1" applyBorder="1" applyAlignment="1">
      <alignment horizontal="center" vertical="center"/>
    </xf>
    <xf numFmtId="9" fontId="0" fillId="0" borderId="23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1" fontId="0" fillId="0" borderId="0" xfId="0" applyNumberFormat="1" applyAlignment="1">
      <alignment/>
    </xf>
    <xf numFmtId="44" fontId="0" fillId="34" borderId="14" xfId="50" applyNumberFormat="1" applyFont="1" applyFill="1" applyBorder="1" applyAlignment="1">
      <alignment horizontal="center"/>
    </xf>
    <xf numFmtId="2" fontId="0" fillId="34" borderId="0" xfId="50" applyNumberFormat="1" applyFont="1" applyFill="1" applyAlignment="1">
      <alignment/>
    </xf>
    <xf numFmtId="44" fontId="4" fillId="0" borderId="13" xfId="5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44" fontId="7" fillId="0" borderId="26" xfId="50" applyFont="1" applyBorder="1" applyAlignment="1">
      <alignment/>
    </xf>
    <xf numFmtId="0" fontId="7" fillId="0" borderId="0" xfId="0" applyFont="1" applyAlignment="1">
      <alignment/>
    </xf>
    <xf numFmtId="44" fontId="7" fillId="0" borderId="13" xfId="50" applyFont="1" applyBorder="1" applyAlignment="1">
      <alignment/>
    </xf>
    <xf numFmtId="44" fontId="8" fillId="0" borderId="26" xfId="50" applyFont="1" applyBorder="1" applyAlignment="1">
      <alignment horizontal="center" vertical="center"/>
    </xf>
    <xf numFmtId="44" fontId="8" fillId="0" borderId="13" xfId="50" applyFont="1" applyBorder="1" applyAlignment="1">
      <alignment horizontal="center" vertical="center"/>
    </xf>
    <xf numFmtId="44" fontId="7" fillId="0" borderId="15" xfId="50" applyFont="1" applyBorder="1" applyAlignment="1">
      <alignment/>
    </xf>
    <xf numFmtId="44" fontId="7" fillId="0" borderId="0" xfId="50" applyFont="1" applyBorder="1" applyAlignment="1">
      <alignment/>
    </xf>
    <xf numFmtId="44" fontId="7" fillId="0" borderId="23" xfId="50" applyFont="1" applyBorder="1" applyAlignment="1">
      <alignment/>
    </xf>
    <xf numFmtId="0" fontId="8" fillId="0" borderId="13" xfId="0" applyFont="1" applyBorder="1" applyAlignment="1">
      <alignment/>
    </xf>
    <xf numFmtId="44" fontId="7" fillId="0" borderId="16" xfId="50" applyFont="1" applyBorder="1" applyAlignment="1">
      <alignment/>
    </xf>
    <xf numFmtId="44" fontId="8" fillId="0" borderId="13" xfId="50" applyFont="1" applyBorder="1" applyAlignment="1">
      <alignment/>
    </xf>
    <xf numFmtId="44" fontId="7" fillId="0" borderId="27" xfId="50" applyFont="1" applyBorder="1" applyAlignment="1">
      <alignment/>
    </xf>
    <xf numFmtId="2" fontId="0" fillId="0" borderId="23" xfId="0" applyNumberForma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44" fontId="6" fillId="36" borderId="19" xfId="50" applyFont="1" applyFill="1" applyBorder="1" applyAlignment="1">
      <alignment/>
    </xf>
    <xf numFmtId="44" fontId="6" fillId="36" borderId="10" xfId="5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Font="1" applyBorder="1" applyAlignment="1">
      <alignment horizontal="center"/>
    </xf>
    <xf numFmtId="44" fontId="7" fillId="0" borderId="18" xfId="5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23" xfId="0" applyFont="1" applyBorder="1" applyAlignment="1">
      <alignment horizontal="center"/>
    </xf>
    <xf numFmtId="44" fontId="7" fillId="0" borderId="32" xfId="50" applyFont="1" applyBorder="1" applyAlignment="1">
      <alignment/>
    </xf>
    <xf numFmtId="0" fontId="6" fillId="33" borderId="3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44" fontId="7" fillId="0" borderId="36" xfId="50" applyFont="1" applyBorder="1" applyAlignment="1">
      <alignment/>
    </xf>
    <xf numFmtId="44" fontId="7" fillId="0" borderId="37" xfId="5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"/>
    </xf>
    <xf numFmtId="44" fontId="7" fillId="0" borderId="39" xfId="50" applyFont="1" applyBorder="1" applyAlignment="1">
      <alignment/>
    </xf>
    <xf numFmtId="44" fontId="7" fillId="0" borderId="40" xfId="5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center"/>
    </xf>
    <xf numFmtId="44" fontId="7" fillId="0" borderId="42" xfId="50" applyFont="1" applyBorder="1" applyAlignment="1">
      <alignment/>
    </xf>
    <xf numFmtId="44" fontId="7" fillId="0" borderId="43" xfId="50" applyFont="1" applyBorder="1" applyAlignment="1">
      <alignment/>
    </xf>
    <xf numFmtId="0" fontId="7" fillId="0" borderId="12" xfId="0" applyFont="1" applyBorder="1" applyAlignment="1">
      <alignment horizontal="left"/>
    </xf>
    <xf numFmtId="44" fontId="7" fillId="0" borderId="11" xfId="5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44" fontId="7" fillId="0" borderId="13" xfId="5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44" fontId="7" fillId="0" borderId="44" xfId="50" applyFont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4" fontId="8" fillId="0" borderId="16" xfId="5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2" fontId="7" fillId="0" borderId="46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4" fontId="7" fillId="0" borderId="26" xfId="50" applyFont="1" applyBorder="1" applyAlignment="1">
      <alignment vertical="center"/>
    </xf>
    <xf numFmtId="0" fontId="7" fillId="0" borderId="0" xfId="0" applyFont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4" fontId="7" fillId="0" borderId="26" xfId="50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vertical="center"/>
    </xf>
    <xf numFmtId="44" fontId="7" fillId="0" borderId="26" xfId="50" applyFont="1" applyBorder="1" applyAlignment="1">
      <alignment horizontal="center" vertical="center"/>
    </xf>
    <xf numFmtId="44" fontId="7" fillId="0" borderId="15" xfId="50" applyFont="1" applyBorder="1" applyAlignment="1">
      <alignment horizontal="center" vertical="center"/>
    </xf>
    <xf numFmtId="44" fontId="7" fillId="0" borderId="13" xfId="50" applyFont="1" applyBorder="1" applyAlignment="1">
      <alignment vertical="center"/>
    </xf>
    <xf numFmtId="44" fontId="7" fillId="0" borderId="15" xfId="5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4" fontId="7" fillId="0" borderId="47" xfId="50" applyFont="1" applyBorder="1" applyAlignment="1">
      <alignment vertical="center"/>
    </xf>
    <xf numFmtId="44" fontId="7" fillId="0" borderId="0" xfId="50" applyFont="1" applyBorder="1" applyAlignment="1">
      <alignment vertical="center"/>
    </xf>
    <xf numFmtId="44" fontId="7" fillId="0" borderId="23" xfId="5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10" fillId="0" borderId="21" xfId="0" applyFont="1" applyBorder="1" applyAlignment="1">
      <alignment vertical="center"/>
    </xf>
    <xf numFmtId="44" fontId="7" fillId="0" borderId="16" xfId="50" applyFont="1" applyBorder="1" applyAlignment="1">
      <alignment vertical="center"/>
    </xf>
    <xf numFmtId="2" fontId="7" fillId="0" borderId="26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4" fontId="8" fillId="0" borderId="13" xfId="5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4" fontId="7" fillId="0" borderId="27" xfId="5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2" fontId="7" fillId="0" borderId="44" xfId="0" applyNumberFormat="1" applyFont="1" applyBorder="1" applyAlignment="1">
      <alignment vertical="center"/>
    </xf>
    <xf numFmtId="44" fontId="6" fillId="36" borderId="10" xfId="5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7" fillId="0" borderId="48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44" fontId="7" fillId="0" borderId="11" xfId="50" applyFont="1" applyBorder="1" applyAlignment="1">
      <alignment/>
    </xf>
    <xf numFmtId="44" fontId="7" fillId="0" borderId="48" xfId="50" applyFont="1" applyBorder="1" applyAlignment="1">
      <alignment horizontal="right" vertical="center"/>
    </xf>
    <xf numFmtId="0" fontId="7" fillId="0" borderId="22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8" fillId="0" borderId="23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44" fontId="8" fillId="0" borderId="10" xfId="50" applyFont="1" applyBorder="1" applyAlignment="1">
      <alignment horizontal="center"/>
    </xf>
    <xf numFmtId="44" fontId="8" fillId="0" borderId="10" xfId="5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44" fontId="7" fillId="0" borderId="25" xfId="50" applyFont="1" applyBorder="1" applyAlignment="1">
      <alignment/>
    </xf>
    <xf numFmtId="44" fontId="7" fillId="0" borderId="48" xfId="50" applyFont="1" applyBorder="1" applyAlignment="1">
      <alignment/>
    </xf>
    <xf numFmtId="44" fontId="7" fillId="0" borderId="49" xfId="50" applyFont="1" applyBorder="1" applyAlignment="1">
      <alignment/>
    </xf>
    <xf numFmtId="44" fontId="7" fillId="0" borderId="44" xfId="5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4" fontId="8" fillId="0" borderId="11" xfId="50" applyFont="1" applyBorder="1" applyAlignment="1">
      <alignment horizontal="center" vertical="center"/>
    </xf>
    <xf numFmtId="44" fontId="4" fillId="36" borderId="13" xfId="50" applyFont="1" applyFill="1" applyBorder="1" applyAlignment="1">
      <alignment/>
    </xf>
    <xf numFmtId="44" fontId="4" fillId="36" borderId="26" xfId="5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44" fontId="6" fillId="36" borderId="50" xfId="50" applyFont="1" applyFill="1" applyBorder="1" applyAlignment="1">
      <alignment/>
    </xf>
    <xf numFmtId="44" fontId="4" fillId="0" borderId="44" xfId="50" applyFont="1" applyBorder="1" applyAlignment="1">
      <alignment/>
    </xf>
    <xf numFmtId="44" fontId="4" fillId="0" borderId="27" xfId="50" applyFont="1" applyBorder="1" applyAlignment="1">
      <alignment horizontal="right" vertical="center"/>
    </xf>
    <xf numFmtId="0" fontId="6" fillId="37" borderId="19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51" xfId="0" applyFont="1" applyBorder="1" applyAlignment="1">
      <alignment/>
    </xf>
    <xf numFmtId="0" fontId="7" fillId="0" borderId="23" xfId="0" applyFont="1" applyBorder="1" applyAlignment="1">
      <alignment/>
    </xf>
    <xf numFmtId="0" fontId="6" fillId="38" borderId="19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44" fontId="5" fillId="0" borderId="13" xfId="5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44" fontId="5" fillId="0" borderId="44" xfId="50" applyFont="1" applyBorder="1" applyAlignment="1">
      <alignment vertical="center"/>
    </xf>
    <xf numFmtId="44" fontId="7" fillId="0" borderId="1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37" borderId="19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4" fontId="7" fillId="0" borderId="11" xfId="50" applyFont="1" applyBorder="1" applyAlignment="1">
      <alignment vertical="center"/>
    </xf>
    <xf numFmtId="44" fontId="4" fillId="36" borderId="13" xfId="5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44" fontId="4" fillId="0" borderId="44" xfId="5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4" fontId="6" fillId="36" borderId="10" xfId="50" applyFont="1" applyFill="1" applyBorder="1" applyAlignment="1">
      <alignment vertical="center"/>
    </xf>
    <xf numFmtId="44" fontId="6" fillId="36" borderId="50" xfId="5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44" fontId="7" fillId="0" borderId="16" xfId="0" applyNumberFormat="1" applyFont="1" applyBorder="1" applyAlignment="1">
      <alignment vertical="center"/>
    </xf>
    <xf numFmtId="44" fontId="7" fillId="0" borderId="13" xfId="0" applyNumberFormat="1" applyFont="1" applyBorder="1" applyAlignment="1">
      <alignment horizontal="right" vertical="center"/>
    </xf>
    <xf numFmtId="44" fontId="7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44" fontId="7" fillId="0" borderId="16" xfId="0" applyNumberFormat="1" applyFont="1" applyBorder="1" applyAlignment="1">
      <alignment horizontal="right" vertical="center"/>
    </xf>
    <xf numFmtId="44" fontId="7" fillId="0" borderId="14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44" fontId="7" fillId="0" borderId="45" xfId="0" applyNumberFormat="1" applyFont="1" applyBorder="1" applyAlignment="1">
      <alignment vertical="center"/>
    </xf>
    <xf numFmtId="44" fontId="7" fillId="0" borderId="26" xfId="0" applyNumberFormat="1" applyFont="1" applyBorder="1" applyAlignment="1">
      <alignment horizontal="right" vertical="center"/>
    </xf>
    <xf numFmtId="44" fontId="7" fillId="0" borderId="54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4" fontId="7" fillId="0" borderId="36" xfId="50" applyFont="1" applyBorder="1" applyAlignment="1">
      <alignment vertical="center"/>
    </xf>
    <xf numFmtId="44" fontId="7" fillId="0" borderId="37" xfId="5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4" fontId="7" fillId="0" borderId="39" xfId="50" applyFont="1" applyBorder="1" applyAlignment="1">
      <alignment vertical="center"/>
    </xf>
    <xf numFmtId="44" fontId="7" fillId="0" borderId="40" xfId="5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4" fontId="7" fillId="0" borderId="42" xfId="50" applyFont="1" applyBorder="1" applyAlignment="1">
      <alignment vertical="center"/>
    </xf>
    <xf numFmtId="44" fontId="7" fillId="0" borderId="43" xfId="5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44" fontId="8" fillId="0" borderId="28" xfId="50" applyFont="1" applyBorder="1" applyAlignment="1">
      <alignment/>
    </xf>
    <xf numFmtId="44" fontId="8" fillId="0" borderId="16" xfId="50" applyFont="1" applyBorder="1" applyAlignment="1">
      <alignment/>
    </xf>
    <xf numFmtId="44" fontId="8" fillId="0" borderId="53" xfId="50" applyFont="1" applyBorder="1" applyAlignment="1">
      <alignment/>
    </xf>
    <xf numFmtId="44" fontId="7" fillId="0" borderId="21" xfId="50" applyFont="1" applyBorder="1" applyAlignment="1">
      <alignment/>
    </xf>
    <xf numFmtId="44" fontId="8" fillId="0" borderId="21" xfId="50" applyFont="1" applyBorder="1" applyAlignment="1">
      <alignment/>
    </xf>
    <xf numFmtId="44" fontId="8" fillId="0" borderId="15" xfId="50" applyFont="1" applyBorder="1" applyAlignment="1">
      <alignment/>
    </xf>
    <xf numFmtId="44" fontId="7" fillId="0" borderId="17" xfId="50" applyFont="1" applyBorder="1" applyAlignment="1">
      <alignment/>
    </xf>
    <xf numFmtId="44" fontId="7" fillId="0" borderId="14" xfId="50" applyFont="1" applyBorder="1" applyAlignment="1">
      <alignment/>
    </xf>
    <xf numFmtId="44" fontId="7" fillId="0" borderId="24" xfId="50" applyFont="1" applyBorder="1" applyAlignment="1">
      <alignment/>
    </xf>
    <xf numFmtId="44" fontId="8" fillId="0" borderId="10" xfId="50" applyFont="1" applyBorder="1" applyAlignment="1">
      <alignment/>
    </xf>
    <xf numFmtId="44" fontId="7" fillId="0" borderId="10" xfId="0" applyNumberFormat="1" applyFont="1" applyBorder="1" applyAlignment="1">
      <alignment/>
    </xf>
    <xf numFmtId="44" fontId="8" fillId="0" borderId="47" xfId="5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44" fontId="8" fillId="0" borderId="10" xfId="5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8" fillId="0" borderId="19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2" fillId="0" borderId="30" xfId="0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49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0" fillId="0" borderId="17" xfId="0" applyNumberForma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4" fontId="16" fillId="0" borderId="25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4" fontId="16" fillId="0" borderId="15" xfId="0" applyNumberFormat="1" applyFont="1" applyBorder="1" applyAlignment="1">
      <alignment horizontal="center"/>
    </xf>
    <xf numFmtId="44" fontId="16" fillId="0" borderId="13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4" fontId="16" fillId="0" borderId="24" xfId="0" applyNumberFormat="1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10" fontId="1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5" fillId="39" borderId="31" xfId="53" applyFont="1" applyFill="1" applyBorder="1" applyAlignment="1">
      <alignment horizontal="left"/>
      <protection/>
    </xf>
    <xf numFmtId="174" fontId="12" fillId="39" borderId="32" xfId="53" applyNumberFormat="1" applyFont="1" applyFill="1" applyBorder="1" applyAlignment="1">
      <alignment/>
      <protection/>
    </xf>
    <xf numFmtId="0" fontId="12" fillId="39" borderId="32" xfId="53" applyFont="1" applyFill="1" applyBorder="1" applyAlignment="1">
      <alignment/>
      <protection/>
    </xf>
    <xf numFmtId="0" fontId="15" fillId="39" borderId="32" xfId="53" applyFont="1" applyFill="1" applyBorder="1" applyAlignment="1">
      <alignment/>
      <protection/>
    </xf>
    <xf numFmtId="0" fontId="0" fillId="39" borderId="32" xfId="0" applyFill="1" applyBorder="1" applyAlignment="1">
      <alignment/>
    </xf>
    <xf numFmtId="0" fontId="0" fillId="39" borderId="47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9" fontId="9" fillId="0" borderId="5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0" fillId="34" borderId="10" xfId="0" applyNumberFormat="1" applyFill="1" applyBorder="1" applyAlignment="1">
      <alignment/>
    </xf>
    <xf numFmtId="44" fontId="1" fillId="0" borderId="13" xfId="50" applyFont="1" applyBorder="1" applyAlignment="1">
      <alignment/>
    </xf>
    <xf numFmtId="9" fontId="0" fillId="0" borderId="28" xfId="0" applyNumberFormat="1" applyBorder="1" applyAlignment="1">
      <alignment horizontal="center" vertical="center"/>
    </xf>
    <xf numFmtId="44" fontId="1" fillId="0" borderId="16" xfId="50" applyFont="1" applyBorder="1" applyAlignment="1">
      <alignment/>
    </xf>
    <xf numFmtId="9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0" fontId="61" fillId="0" borderId="0" xfId="0" applyFont="1" applyAlignment="1">
      <alignment/>
    </xf>
    <xf numFmtId="10" fontId="0" fillId="0" borderId="0" xfId="0" applyNumberFormat="1" applyBorder="1" applyAlignment="1">
      <alignment/>
    </xf>
    <xf numFmtId="8" fontId="9" fillId="40" borderId="5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2" fontId="0" fillId="41" borderId="0" xfId="0" applyNumberFormat="1" applyFill="1" applyBorder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center" vertical="center"/>
    </xf>
    <xf numFmtId="44" fontId="0" fillId="41" borderId="10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/>
    </xf>
    <xf numFmtId="0" fontId="62" fillId="0" borderId="60" xfId="0" applyFont="1" applyBorder="1" applyAlignment="1">
      <alignment/>
    </xf>
    <xf numFmtId="0" fontId="62" fillId="0" borderId="61" xfId="0" applyFont="1" applyBorder="1" applyAlignment="1">
      <alignment/>
    </xf>
    <xf numFmtId="0" fontId="62" fillId="0" borderId="62" xfId="0" applyFont="1" applyFill="1" applyBorder="1" applyAlignment="1">
      <alignment/>
    </xf>
    <xf numFmtId="1" fontId="63" fillId="2" borderId="51" xfId="0" applyNumberFormat="1" applyFont="1" applyFill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0" fontId="9" fillId="42" borderId="5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44" fontId="6" fillId="42" borderId="10" xfId="50" applyFont="1" applyFill="1" applyBorder="1" applyAlignment="1">
      <alignment horizontal="center"/>
    </xf>
    <xf numFmtId="44" fontId="6" fillId="42" borderId="23" xfId="5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4" fontId="9" fillId="42" borderId="29" xfId="50" applyFont="1" applyFill="1" applyBorder="1" applyAlignment="1">
      <alignment/>
    </xf>
    <xf numFmtId="44" fontId="9" fillId="42" borderId="10" xfId="5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6" fillId="2" borderId="29" xfId="0" applyFont="1" applyFill="1" applyBorder="1" applyAlignment="1">
      <alignment horizontal="center"/>
    </xf>
    <xf numFmtId="44" fontId="6" fillId="2" borderId="29" xfId="0" applyNumberFormat="1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22" xfId="0" applyNumberFormat="1" applyBorder="1" applyAlignment="1">
      <alignment horizontal="center" vertical="center"/>
    </xf>
    <xf numFmtId="44" fontId="1" fillId="0" borderId="44" xfId="50" applyFont="1" applyBorder="1" applyAlignment="1">
      <alignment/>
    </xf>
    <xf numFmtId="9" fontId="0" fillId="0" borderId="31" xfId="0" applyNumberFormat="1" applyBorder="1" applyAlignment="1">
      <alignment horizontal="center" vertical="center"/>
    </xf>
    <xf numFmtId="44" fontId="1" fillId="0" borderId="23" xfId="50" applyFont="1" applyBorder="1" applyAlignment="1">
      <alignment/>
    </xf>
    <xf numFmtId="9" fontId="0" fillId="0" borderId="19" xfId="0" applyNumberFormat="1" applyBorder="1" applyAlignment="1">
      <alignment horizontal="center" vertical="center"/>
    </xf>
    <xf numFmtId="44" fontId="1" fillId="0" borderId="10" xfId="50" applyFont="1" applyBorder="1" applyAlignment="1">
      <alignment/>
    </xf>
    <xf numFmtId="0" fontId="6" fillId="42" borderId="19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44" fontId="6" fillId="14" borderId="10" xfId="50" applyFont="1" applyFill="1" applyBorder="1" applyAlignment="1">
      <alignment horizontal="center" vertical="center"/>
    </xf>
    <xf numFmtId="0" fontId="6" fillId="42" borderId="19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44" borderId="63" xfId="0" applyFont="1" applyFill="1" applyBorder="1" applyAlignment="1">
      <alignment horizontal="center"/>
    </xf>
    <xf numFmtId="0" fontId="2" fillId="44" borderId="64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45" borderId="16" xfId="0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/>
    </xf>
    <xf numFmtId="10" fontId="2" fillId="0" borderId="50" xfId="0" applyNumberFormat="1" applyFont="1" applyBorder="1" applyAlignment="1">
      <alignment horizontal="center" vertical="center"/>
    </xf>
    <xf numFmtId="0" fontId="2" fillId="45" borderId="35" xfId="0" applyFont="1" applyFill="1" applyBorder="1" applyAlignment="1">
      <alignment horizontal="center" vertical="center"/>
    </xf>
    <xf numFmtId="0" fontId="2" fillId="45" borderId="65" xfId="0" applyFont="1" applyFill="1" applyBorder="1" applyAlignment="1">
      <alignment horizontal="center" vertical="center"/>
    </xf>
    <xf numFmtId="0" fontId="2" fillId="45" borderId="41" xfId="0" applyFont="1" applyFill="1" applyBorder="1" applyAlignment="1">
      <alignment horizontal="center" vertical="center"/>
    </xf>
    <xf numFmtId="0" fontId="2" fillId="45" borderId="66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53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62" fillId="44" borderId="19" xfId="0" applyFont="1" applyFill="1" applyBorder="1" applyAlignment="1">
      <alignment horizontal="center"/>
    </xf>
    <xf numFmtId="0" fontId="62" fillId="44" borderId="29" xfId="0" applyFont="1" applyFill="1" applyBorder="1" applyAlignment="1">
      <alignment horizontal="center"/>
    </xf>
    <xf numFmtId="0" fontId="62" fillId="44" borderId="50" xfId="0" applyFont="1" applyFill="1" applyBorder="1" applyAlignment="1">
      <alignment horizontal="center"/>
    </xf>
    <xf numFmtId="0" fontId="62" fillId="0" borderId="60" xfId="0" applyFont="1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62" fillId="0" borderId="62" xfId="0" applyFont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62" fillId="0" borderId="61" xfId="0" applyFont="1" applyFill="1" applyBorder="1" applyAlignment="1">
      <alignment horizontal="center"/>
    </xf>
    <xf numFmtId="0" fontId="62" fillId="0" borderId="62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9" fillId="43" borderId="60" xfId="0" applyFont="1" applyFill="1" applyBorder="1" applyAlignment="1">
      <alignment horizontal="center" vertical="center"/>
    </xf>
    <xf numFmtId="0" fontId="9" fillId="43" borderId="67" xfId="0" applyFont="1" applyFill="1" applyBorder="1" applyAlignment="1">
      <alignment horizontal="center" vertical="center"/>
    </xf>
    <xf numFmtId="0" fontId="9" fillId="43" borderId="61" xfId="0" applyFont="1" applyFill="1" applyBorder="1" applyAlignment="1">
      <alignment horizontal="center" vertical="center"/>
    </xf>
    <xf numFmtId="0" fontId="9" fillId="43" borderId="68" xfId="0" applyFont="1" applyFill="1" applyBorder="1" applyAlignment="1">
      <alignment horizontal="center" vertical="center"/>
    </xf>
    <xf numFmtId="0" fontId="9" fillId="43" borderId="62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/>
    </xf>
    <xf numFmtId="0" fontId="6" fillId="45" borderId="29" xfId="0" applyFont="1" applyFill="1" applyBorder="1" applyAlignment="1">
      <alignment horizontal="center"/>
    </xf>
    <xf numFmtId="0" fontId="6" fillId="45" borderId="5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80" fontId="6" fillId="43" borderId="19" xfId="50" applyNumberFormat="1" applyFont="1" applyFill="1" applyBorder="1" applyAlignment="1">
      <alignment/>
    </xf>
    <xf numFmtId="180" fontId="6" fillId="43" borderId="50" xfId="50" applyNumberFormat="1" applyFont="1" applyFill="1" applyBorder="1" applyAlignment="1">
      <alignment/>
    </xf>
    <xf numFmtId="0" fontId="6" fillId="45" borderId="60" xfId="0" applyFont="1" applyFill="1" applyBorder="1" applyAlignment="1">
      <alignment horizontal="center"/>
    </xf>
    <xf numFmtId="0" fontId="6" fillId="45" borderId="6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7" fillId="39" borderId="19" xfId="53" applyFont="1" applyFill="1" applyBorder="1" applyAlignment="1">
      <alignment horizontal="center"/>
      <protection/>
    </xf>
    <xf numFmtId="0" fontId="17" fillId="39" borderId="29" xfId="53" applyFont="1" applyFill="1" applyBorder="1" applyAlignment="1">
      <alignment horizontal="center"/>
      <protection/>
    </xf>
    <xf numFmtId="0" fontId="17" fillId="39" borderId="50" xfId="53" applyFont="1" applyFill="1" applyBorder="1" applyAlignment="1">
      <alignment horizontal="center"/>
      <protection/>
    </xf>
    <xf numFmtId="2" fontId="7" fillId="0" borderId="0" xfId="0" applyNumberFormat="1" applyFont="1" applyBorder="1" applyAlignment="1">
      <alignment horizontal="center" vertical="center"/>
    </xf>
    <xf numFmtId="0" fontId="6" fillId="38" borderId="3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43" borderId="19" xfId="0" applyFont="1" applyFill="1" applyBorder="1" applyAlignment="1">
      <alignment horizontal="center"/>
    </xf>
    <xf numFmtId="0" fontId="6" fillId="43" borderId="29" xfId="0" applyFont="1" applyFill="1" applyBorder="1" applyAlignment="1">
      <alignment horizontal="center"/>
    </xf>
    <xf numFmtId="0" fontId="6" fillId="43" borderId="5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45" borderId="19" xfId="0" applyFont="1" applyFill="1" applyBorder="1" applyAlignment="1">
      <alignment horizontal="center"/>
    </xf>
    <xf numFmtId="0" fontId="12" fillId="45" borderId="29" xfId="0" applyFont="1" applyFill="1" applyBorder="1" applyAlignment="1">
      <alignment horizontal="center"/>
    </xf>
    <xf numFmtId="0" fontId="12" fillId="45" borderId="5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2" fillId="45" borderId="19" xfId="0" applyFont="1" applyFill="1" applyBorder="1" applyAlignment="1">
      <alignment horizontal="center" vertical="center"/>
    </xf>
    <xf numFmtId="0" fontId="12" fillId="45" borderId="29" xfId="0" applyFont="1" applyFill="1" applyBorder="1" applyAlignment="1">
      <alignment horizontal="center" vertical="center"/>
    </xf>
    <xf numFmtId="0" fontId="12" fillId="45" borderId="50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6" fillId="43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/>
    </xf>
    <xf numFmtId="44" fontId="0" fillId="0" borderId="20" xfId="50" applyFont="1" applyBorder="1" applyAlignment="1">
      <alignment horizontal="center" vertical="center"/>
    </xf>
    <xf numFmtId="44" fontId="0" fillId="0" borderId="18" xfId="50" applyFont="1" applyBorder="1" applyAlignment="1">
      <alignment horizontal="center" vertical="center"/>
    </xf>
    <xf numFmtId="44" fontId="0" fillId="0" borderId="23" xfId="50" applyFont="1" applyBorder="1" applyAlignment="1">
      <alignment horizontal="center" vertical="center"/>
    </xf>
    <xf numFmtId="44" fontId="0" fillId="33" borderId="20" xfId="50" applyFont="1" applyFill="1" applyBorder="1" applyAlignment="1">
      <alignment horizontal="center" vertical="center"/>
    </xf>
    <xf numFmtId="44" fontId="0" fillId="33" borderId="23" xfId="5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44" fontId="1" fillId="0" borderId="0" xfId="5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775"/>
          <c:y val="0.14625"/>
          <c:w val="0.684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ESCENARIOS!$C$5</c:f>
              <c:strCache>
                <c:ptCount val="1"/>
                <c:pt idx="0">
                  <c:v>PRECIO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ESCENARIOS!$B$7:$B$11</c:f>
              <c:numCache/>
            </c:numRef>
          </c:cat>
          <c:val>
            <c:numRef>
              <c:f>ESCENARIOS!$C$7:$C$11</c:f>
              <c:numCache/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PORCENTAJES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5175"/>
          <c:w val="0.199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5"/>
          <c:y val="0.14675"/>
          <c:w val="0.6582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ESCENARIOS!$D$5</c:f>
              <c:strCache>
                <c:ptCount val="1"/>
                <c:pt idx="0">
                  <c:v>CANTIDAD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ESCENARIOS!$B$7:$B$11</c:f>
              <c:numCache/>
            </c:numRef>
          </c:cat>
          <c:val>
            <c:numRef>
              <c:f>ESCENARIOS!$D$7:$D$11</c:f>
              <c:numCache/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45325"/>
          <c:w val="0.229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"/>
          <c:y val="0.13075"/>
          <c:w val="0.74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ESCENARIOS!$E$5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$ 64.785,20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$ 61.583,08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ESCENARIOS!$B$7:$B$11</c:f>
              <c:numCache/>
            </c:numRef>
          </c:cat>
          <c:val>
            <c:numRef>
              <c:f>ESCENARIOS!$E$7:$E$11</c:f>
              <c:numCache/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0682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89"/>
          <c:w val="0.205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57150</xdr:rowOff>
    </xdr:from>
    <xdr:to>
      <xdr:col>4</xdr:col>
      <xdr:colOff>285750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14300" y="2781300"/>
        <a:ext cx="4476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14</xdr:row>
      <xdr:rowOff>114300</xdr:rowOff>
    </xdr:from>
    <xdr:to>
      <xdr:col>9</xdr:col>
      <xdr:colOff>695325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695950" y="2838450"/>
        <a:ext cx="49530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962025</xdr:colOff>
      <xdr:row>34</xdr:row>
      <xdr:rowOff>28575</xdr:rowOff>
    </xdr:from>
    <xdr:to>
      <xdr:col>6</xdr:col>
      <xdr:colOff>1000125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1724025" y="6562725"/>
        <a:ext cx="56388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76200</xdr:rowOff>
    </xdr:from>
    <xdr:to>
      <xdr:col>4</xdr:col>
      <xdr:colOff>657225</xdr:colOff>
      <xdr:row>11</xdr:row>
      <xdr:rowOff>95250</xdr:rowOff>
    </xdr:to>
    <xdr:pic>
      <xdr:nvPicPr>
        <xdr:cNvPr id="1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6700"/>
          <a:ext cx="4886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4" width="36.7109375" style="0" customWidth="1"/>
  </cols>
  <sheetData>
    <row r="1" ht="15">
      <c r="A1" s="20" t="s">
        <v>216</v>
      </c>
    </row>
    <row r="3" spans="1:3" ht="15">
      <c r="A3" t="s">
        <v>217</v>
      </c>
      <c r="B3" t="s">
        <v>218</v>
      </c>
      <c r="C3">
        <v>0</v>
      </c>
    </row>
    <row r="4" ht="15">
      <c r="A4" t="s">
        <v>219</v>
      </c>
    </row>
    <row r="5" ht="15">
      <c r="A5" t="s">
        <v>220</v>
      </c>
    </row>
    <row r="7" spans="1:2" ht="15">
      <c r="A7" s="20" t="s">
        <v>221</v>
      </c>
      <c r="B7" t="s">
        <v>222</v>
      </c>
    </row>
    <row r="8" ht="15">
      <c r="B8">
        <v>4</v>
      </c>
    </row>
    <row r="10" ht="15">
      <c r="A10" t="s">
        <v>223</v>
      </c>
    </row>
    <row r="11" ht="15">
      <c r="D11" t="e">
        <f>'COSTOS VARIABLES'!#REF!</f>
        <v>#REF!</v>
      </c>
    </row>
    <row r="13" ht="15">
      <c r="A13" t="s">
        <v>224</v>
      </c>
    </row>
    <row r="14" ht="15">
      <c r="D14" t="s">
        <v>249</v>
      </c>
    </row>
    <row r="16" ht="15">
      <c r="A16" t="s">
        <v>225</v>
      </c>
    </row>
    <row r="19" ht="15">
      <c r="A19" t="s">
        <v>226</v>
      </c>
    </row>
    <row r="20" ht="15">
      <c r="D20">
        <v>26</v>
      </c>
    </row>
    <row r="25" ht="15">
      <c r="A25" s="354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115"/>
  <sheetViews>
    <sheetView zoomScalePageLayoutView="0" workbookViewId="0" topLeftCell="A89">
      <selection activeCell="B86" sqref="B86:F115"/>
    </sheetView>
  </sheetViews>
  <sheetFormatPr defaultColWidth="11.421875" defaultRowHeight="15"/>
  <cols>
    <col min="1" max="1" width="11.421875" style="118" customWidth="1"/>
    <col min="2" max="2" width="39.57421875" style="118" bestFit="1" customWidth="1"/>
    <col min="3" max="3" width="24.8515625" style="118" bestFit="1" customWidth="1"/>
    <col min="4" max="4" width="26.8515625" style="118" bestFit="1" customWidth="1"/>
    <col min="5" max="5" width="24.8515625" style="118" customWidth="1"/>
    <col min="6" max="6" width="23.8515625" style="118" customWidth="1"/>
    <col min="7" max="7" width="11.421875" style="118" customWidth="1"/>
    <col min="8" max="8" width="31.28125" style="118" bestFit="1" customWidth="1"/>
    <col min="9" max="9" width="11.00390625" style="118" customWidth="1"/>
    <col min="10" max="11" width="11.421875" style="118" hidden="1" customWidth="1"/>
    <col min="12" max="13" width="24.8515625" style="118" customWidth="1"/>
    <col min="14" max="14" width="20.421875" style="118" bestFit="1" customWidth="1"/>
    <col min="15" max="15" width="24.421875" style="118" bestFit="1" customWidth="1"/>
    <col min="16" max="16" width="16.8515625" style="118" bestFit="1" customWidth="1"/>
    <col min="17" max="16384" width="11.421875" style="118" customWidth="1"/>
  </cols>
  <sheetData>
    <row r="2" ht="13.5" thickBot="1"/>
    <row r="3" spans="2:4" ht="16.5" thickBot="1">
      <c r="B3" s="477" t="s">
        <v>0</v>
      </c>
      <c r="C3" s="478"/>
      <c r="D3" s="479"/>
    </row>
    <row r="4" spans="2:4" ht="16.5" thickBot="1">
      <c r="B4" s="480" t="s">
        <v>1</v>
      </c>
      <c r="C4" s="481"/>
      <c r="D4" s="184">
        <v>1</v>
      </c>
    </row>
    <row r="5" spans="2:4" ht="16.5" thickBot="1">
      <c r="B5" s="218" t="s">
        <v>2</v>
      </c>
      <c r="C5" s="219" t="s">
        <v>3</v>
      </c>
      <c r="D5" s="202" t="s">
        <v>179</v>
      </c>
    </row>
    <row r="6" spans="2:4" ht="12.75">
      <c r="B6" s="220" t="s">
        <v>243</v>
      </c>
      <c r="C6" s="221">
        <v>222</v>
      </c>
      <c r="D6" s="161">
        <f>C6*$D$4*12</f>
        <v>2664</v>
      </c>
    </row>
    <row r="7" spans="2:4" ht="12.75">
      <c r="B7" s="142" t="s">
        <v>4</v>
      </c>
      <c r="C7" s="126">
        <f>+C6*9.35%</f>
        <v>20.757</v>
      </c>
      <c r="D7" s="121">
        <f>C7*$D$4*12</f>
        <v>249.084</v>
      </c>
    </row>
    <row r="8" spans="2:4" ht="15">
      <c r="B8" s="147" t="s">
        <v>44</v>
      </c>
      <c r="C8" s="222">
        <f>+C6-C7</f>
        <v>201.243</v>
      </c>
      <c r="D8" s="195">
        <f>C8*$D$4*12</f>
        <v>2414.916</v>
      </c>
    </row>
    <row r="9" spans="2:4" ht="13.5" thickBot="1">
      <c r="B9" s="223"/>
      <c r="C9" s="224"/>
      <c r="D9" s="164"/>
    </row>
    <row r="10" spans="2:4" ht="16.5" thickBot="1">
      <c r="B10" s="482" t="s">
        <v>13</v>
      </c>
      <c r="C10" s="483"/>
      <c r="D10" s="484"/>
    </row>
    <row r="11" spans="2:4" ht="12.75">
      <c r="B11" s="220" t="s">
        <v>5</v>
      </c>
      <c r="C11" s="140">
        <f>+C6/12</f>
        <v>18.5</v>
      </c>
      <c r="D11" s="161">
        <f>C11*D4*12</f>
        <v>222</v>
      </c>
    </row>
    <row r="12" spans="2:4" ht="12.75">
      <c r="B12" s="142" t="s">
        <v>6</v>
      </c>
      <c r="C12" s="126">
        <f>+C6/12</f>
        <v>18.5</v>
      </c>
      <c r="D12" s="121">
        <f>C12*D4*12</f>
        <v>222</v>
      </c>
    </row>
    <row r="13" spans="2:4" ht="12.75">
      <c r="B13" s="142" t="s">
        <v>7</v>
      </c>
      <c r="C13" s="126">
        <f>+C6/24</f>
        <v>9.25</v>
      </c>
      <c r="D13" s="121">
        <f>C13*D4*12</f>
        <v>111</v>
      </c>
    </row>
    <row r="14" spans="2:4" ht="12.75">
      <c r="B14" s="142" t="s">
        <v>8</v>
      </c>
      <c r="C14" s="126">
        <f>+C6*11.35%</f>
        <v>25.197</v>
      </c>
      <c r="D14" s="121">
        <f>C14*D4*12</f>
        <v>302.364</v>
      </c>
    </row>
    <row r="15" spans="2:4" ht="12.75">
      <c r="B15" s="142" t="s">
        <v>9</v>
      </c>
      <c r="C15" s="126">
        <f>+(C6*0.5%)</f>
        <v>1.11</v>
      </c>
      <c r="D15" s="121">
        <f>C15*D4*12</f>
        <v>13.32</v>
      </c>
    </row>
    <row r="16" spans="2:4" ht="12.75">
      <c r="B16" s="142" t="s">
        <v>10</v>
      </c>
      <c r="C16" s="126">
        <f>+C6*0.5%</f>
        <v>1.11</v>
      </c>
      <c r="D16" s="121">
        <f>C16*D4*12</f>
        <v>13.32</v>
      </c>
    </row>
    <row r="17" spans="2:4" ht="12.75">
      <c r="B17" s="142" t="s">
        <v>11</v>
      </c>
      <c r="C17" s="137" t="s">
        <v>12</v>
      </c>
      <c r="D17" s="165" t="s">
        <v>12</v>
      </c>
    </row>
    <row r="18" spans="2:4" ht="15.75" thickBot="1">
      <c r="B18" s="150" t="s">
        <v>15</v>
      </c>
      <c r="C18" s="225">
        <f>SUM(C11:C16)</f>
        <v>73.667</v>
      </c>
      <c r="D18" s="199">
        <f>SUM(D11:D17)</f>
        <v>884.0040000000001</v>
      </c>
    </row>
    <row r="19" spans="2:4" ht="16.5" thickBot="1">
      <c r="B19" s="226" t="s">
        <v>80</v>
      </c>
      <c r="C19" s="227">
        <f>(C8+C18)*D4</f>
        <v>274.90999999999997</v>
      </c>
      <c r="D19" s="228">
        <f>C19*12</f>
        <v>3298.9199999999996</v>
      </c>
    </row>
    <row r="21" ht="13.5" thickBot="1"/>
    <row r="22" spans="2:6" ht="16.5" thickBot="1">
      <c r="B22" s="485" t="s">
        <v>56</v>
      </c>
      <c r="C22" s="486"/>
      <c r="D22" s="486"/>
      <c r="E22" s="486"/>
      <c r="F22" s="487"/>
    </row>
    <row r="23" spans="2:6" ht="16.5" thickBot="1">
      <c r="B23" s="211" t="s">
        <v>18</v>
      </c>
      <c r="C23" s="212" t="s">
        <v>57</v>
      </c>
      <c r="D23" s="205" t="s">
        <v>21</v>
      </c>
      <c r="E23" s="212" t="s">
        <v>48</v>
      </c>
      <c r="F23" s="212" t="s">
        <v>47</v>
      </c>
    </row>
    <row r="24" spans="2:6" ht="16.5" thickBot="1">
      <c r="B24" s="229" t="s">
        <v>58</v>
      </c>
      <c r="C24" s="230">
        <v>200</v>
      </c>
      <c r="D24" s="281">
        <v>0.04</v>
      </c>
      <c r="E24" s="183">
        <f>D24*C24</f>
        <v>8</v>
      </c>
      <c r="F24" s="154">
        <f>E24*12</f>
        <v>96</v>
      </c>
    </row>
    <row r="25" spans="2:6" ht="12.75">
      <c r="B25" s="206"/>
      <c r="C25" s="207"/>
      <c r="D25" s="207"/>
      <c r="E25" s="207"/>
      <c r="F25" s="207"/>
    </row>
    <row r="26" ht="13.5" thickBot="1"/>
    <row r="27" spans="2:6" ht="16.5" thickBot="1">
      <c r="B27" s="485" t="s">
        <v>59</v>
      </c>
      <c r="C27" s="486"/>
      <c r="D27" s="486"/>
      <c r="E27" s="486"/>
      <c r="F27" s="487"/>
    </row>
    <row r="28" spans="2:6" ht="16.5" thickBot="1">
      <c r="B28" s="211" t="s">
        <v>18</v>
      </c>
      <c r="C28" s="212" t="s">
        <v>248</v>
      </c>
      <c r="D28" s="205" t="s">
        <v>60</v>
      </c>
      <c r="E28" s="212" t="s">
        <v>48</v>
      </c>
      <c r="F28" s="212" t="s">
        <v>47</v>
      </c>
    </row>
    <row r="29" spans="2:6" ht="16.5" thickBot="1">
      <c r="B29" s="229" t="s">
        <v>61</v>
      </c>
      <c r="C29" s="230">
        <v>100</v>
      </c>
      <c r="D29" s="281">
        <v>0.27</v>
      </c>
      <c r="E29" s="183">
        <f>(C29/16)*D29</f>
        <v>1.6875</v>
      </c>
      <c r="F29" s="154">
        <f>E29*12</f>
        <v>20.25</v>
      </c>
    </row>
    <row r="30" spans="2:6" ht="12.75">
      <c r="B30" s="206"/>
      <c r="C30" s="208"/>
      <c r="D30" s="207"/>
      <c r="E30" s="207"/>
      <c r="F30" s="207"/>
    </row>
    <row r="31" ht="13.5" thickBot="1"/>
    <row r="32" spans="2:6" ht="16.5" thickBot="1">
      <c r="B32" s="485" t="s">
        <v>62</v>
      </c>
      <c r="C32" s="486"/>
      <c r="D32" s="486"/>
      <c r="E32" s="486"/>
      <c r="F32" s="487"/>
    </row>
    <row r="33" spans="2:6" ht="16.5" thickBot="1">
      <c r="B33" s="211" t="s">
        <v>18</v>
      </c>
      <c r="C33" s="212" t="s">
        <v>63</v>
      </c>
      <c r="D33" s="205" t="s">
        <v>64</v>
      </c>
      <c r="E33" s="212" t="s">
        <v>48</v>
      </c>
      <c r="F33" s="212" t="s">
        <v>47</v>
      </c>
    </row>
    <row r="34" spans="2:6" ht="16.5" thickBot="1">
      <c r="B34" s="229" t="s">
        <v>65</v>
      </c>
      <c r="C34" s="230">
        <v>1000</v>
      </c>
      <c r="D34" s="281">
        <v>0.08</v>
      </c>
      <c r="E34" s="183">
        <f>(C34/16)*D34</f>
        <v>5</v>
      </c>
      <c r="F34" s="154">
        <f>E34*12</f>
        <v>60</v>
      </c>
    </row>
    <row r="35" spans="2:7" ht="12.75">
      <c r="B35" s="206"/>
      <c r="C35" s="208"/>
      <c r="D35" s="207"/>
      <c r="E35" s="207"/>
      <c r="F35" s="207"/>
      <c r="G35" s="206"/>
    </row>
    <row r="36" spans="2:7" ht="12.75">
      <c r="B36" s="206"/>
      <c r="C36" s="206"/>
      <c r="D36" s="206"/>
      <c r="E36" s="206"/>
      <c r="F36" s="206"/>
      <c r="G36" s="206"/>
    </row>
    <row r="37" ht="13.5" thickBot="1"/>
    <row r="38" spans="2:5" ht="16.5" thickBot="1">
      <c r="B38" s="485" t="s">
        <v>69</v>
      </c>
      <c r="C38" s="486"/>
      <c r="D38" s="486"/>
      <c r="E38" s="487"/>
    </row>
    <row r="39" spans="2:5" ht="18.75" customHeight="1" thickBot="1">
      <c r="B39" s="211" t="s">
        <v>14</v>
      </c>
      <c r="C39" s="211" t="s">
        <v>70</v>
      </c>
      <c r="D39" s="211" t="s">
        <v>71</v>
      </c>
      <c r="E39" s="212" t="s">
        <v>72</v>
      </c>
    </row>
    <row r="40" spans="2:5" ht="12.75">
      <c r="B40" s="64">
        <v>0</v>
      </c>
      <c r="C40" s="231"/>
      <c r="D40" s="232"/>
      <c r="E40" s="233">
        <f>INVERSIONES!E16</f>
        <v>2758.6800000000003</v>
      </c>
    </row>
    <row r="41" spans="2:5" ht="12.75">
      <c r="B41" s="66">
        <v>1</v>
      </c>
      <c r="C41" s="234">
        <f>+E40/10</f>
        <v>275.86800000000005</v>
      </c>
      <c r="D41" s="234">
        <f>C41</f>
        <v>275.86800000000005</v>
      </c>
      <c r="E41" s="234">
        <f>E40-C41</f>
        <v>2482.8120000000004</v>
      </c>
    </row>
    <row r="42" spans="2:5" ht="12.75">
      <c r="B42" s="66">
        <v>2</v>
      </c>
      <c r="C42" s="234">
        <f aca="true" t="shared" si="0" ref="C42:C50">C41</f>
        <v>275.86800000000005</v>
      </c>
      <c r="D42" s="234">
        <f aca="true" t="shared" si="1" ref="D42:D50">D41+C42</f>
        <v>551.7360000000001</v>
      </c>
      <c r="E42" s="234">
        <f>E41-C42</f>
        <v>2206.9440000000004</v>
      </c>
    </row>
    <row r="43" spans="2:5" ht="12.75">
      <c r="B43" s="66">
        <v>3</v>
      </c>
      <c r="C43" s="234">
        <f t="shared" si="0"/>
        <v>275.86800000000005</v>
      </c>
      <c r="D43" s="234">
        <f t="shared" si="1"/>
        <v>827.6040000000002</v>
      </c>
      <c r="E43" s="234">
        <f aca="true" t="shared" si="2" ref="E43:E50">E42-C43</f>
        <v>1931.0760000000005</v>
      </c>
    </row>
    <row r="44" spans="2:5" ht="12.75">
      <c r="B44" s="66">
        <v>4</v>
      </c>
      <c r="C44" s="234">
        <f t="shared" si="0"/>
        <v>275.86800000000005</v>
      </c>
      <c r="D44" s="234">
        <f t="shared" si="1"/>
        <v>1103.4720000000002</v>
      </c>
      <c r="E44" s="234">
        <f t="shared" si="2"/>
        <v>1655.2080000000005</v>
      </c>
    </row>
    <row r="45" spans="2:5" ht="12.75">
      <c r="B45" s="66">
        <v>5</v>
      </c>
      <c r="C45" s="234">
        <f t="shared" si="0"/>
        <v>275.86800000000005</v>
      </c>
      <c r="D45" s="234">
        <f t="shared" si="1"/>
        <v>1379.3400000000001</v>
      </c>
      <c r="E45" s="234">
        <f t="shared" si="2"/>
        <v>1379.3400000000006</v>
      </c>
    </row>
    <row r="46" spans="2:5" ht="12.75">
      <c r="B46" s="66">
        <v>6</v>
      </c>
      <c r="C46" s="234">
        <f t="shared" si="0"/>
        <v>275.86800000000005</v>
      </c>
      <c r="D46" s="234">
        <f t="shared" si="1"/>
        <v>1655.208</v>
      </c>
      <c r="E46" s="234">
        <f t="shared" si="2"/>
        <v>1103.4720000000007</v>
      </c>
    </row>
    <row r="47" spans="2:5" ht="12.75">
      <c r="B47" s="66">
        <v>7</v>
      </c>
      <c r="C47" s="234">
        <f t="shared" si="0"/>
        <v>275.86800000000005</v>
      </c>
      <c r="D47" s="234">
        <f t="shared" si="1"/>
        <v>1931.076</v>
      </c>
      <c r="E47" s="234">
        <f t="shared" si="2"/>
        <v>827.6040000000006</v>
      </c>
    </row>
    <row r="48" spans="2:5" ht="12.75">
      <c r="B48" s="66">
        <v>8</v>
      </c>
      <c r="C48" s="234">
        <f t="shared" si="0"/>
        <v>275.86800000000005</v>
      </c>
      <c r="D48" s="234">
        <f t="shared" si="1"/>
        <v>2206.944</v>
      </c>
      <c r="E48" s="234">
        <f t="shared" si="2"/>
        <v>551.7360000000006</v>
      </c>
    </row>
    <row r="49" spans="2:5" ht="12.75">
      <c r="B49" s="66">
        <v>9</v>
      </c>
      <c r="C49" s="234">
        <f t="shared" si="0"/>
        <v>275.86800000000005</v>
      </c>
      <c r="D49" s="234">
        <f t="shared" si="1"/>
        <v>2482.812</v>
      </c>
      <c r="E49" s="234">
        <f t="shared" si="2"/>
        <v>275.8680000000005</v>
      </c>
    </row>
    <row r="50" spans="2:5" ht="13.5" thickBot="1">
      <c r="B50" s="69">
        <v>10</v>
      </c>
      <c r="C50" s="235">
        <f t="shared" si="0"/>
        <v>275.86800000000005</v>
      </c>
      <c r="D50" s="235">
        <f t="shared" si="1"/>
        <v>2758.68</v>
      </c>
      <c r="E50" s="235">
        <f t="shared" si="2"/>
        <v>4.547473508864641E-13</v>
      </c>
    </row>
    <row r="51" ht="13.5" thickBot="1"/>
    <row r="52" spans="2:5" ht="16.5" thickBot="1">
      <c r="B52" s="485" t="s">
        <v>73</v>
      </c>
      <c r="C52" s="486"/>
      <c r="D52" s="486"/>
      <c r="E52" s="487"/>
    </row>
    <row r="53" spans="2:5" ht="16.5" thickBot="1">
      <c r="B53" s="211" t="s">
        <v>14</v>
      </c>
      <c r="C53" s="211" t="s">
        <v>70</v>
      </c>
      <c r="D53" s="211" t="s">
        <v>71</v>
      </c>
      <c r="E53" s="212" t="s">
        <v>72</v>
      </c>
    </row>
    <row r="54" spans="2:5" ht="12.75">
      <c r="B54" s="64">
        <v>0</v>
      </c>
      <c r="C54" s="236"/>
      <c r="D54" s="237"/>
      <c r="E54" s="238">
        <f>INVERSIONES!E36</f>
        <v>398</v>
      </c>
    </row>
    <row r="55" spans="2:5" ht="12.75">
      <c r="B55" s="66">
        <v>1</v>
      </c>
      <c r="C55" s="234">
        <f>+E54/5</f>
        <v>79.6</v>
      </c>
      <c r="D55" s="234">
        <f>C55</f>
        <v>79.6</v>
      </c>
      <c r="E55" s="234">
        <f>E54-C55</f>
        <v>318.4</v>
      </c>
    </row>
    <row r="56" spans="2:5" ht="12.75">
      <c r="B56" s="66">
        <v>2</v>
      </c>
      <c r="C56" s="234">
        <f>+E54/5</f>
        <v>79.6</v>
      </c>
      <c r="D56" s="234">
        <f>D55+C56</f>
        <v>159.2</v>
      </c>
      <c r="E56" s="234">
        <f>E55-C56</f>
        <v>238.79999999999998</v>
      </c>
    </row>
    <row r="57" spans="2:5" ht="12.75">
      <c r="B57" s="66">
        <v>3</v>
      </c>
      <c r="C57" s="234">
        <f>+E54/5</f>
        <v>79.6</v>
      </c>
      <c r="D57" s="234">
        <f>D56+C57</f>
        <v>238.79999999999998</v>
      </c>
      <c r="E57" s="234">
        <f>E56-C57</f>
        <v>159.2</v>
      </c>
    </row>
    <row r="58" spans="2:5" ht="12.75">
      <c r="B58" s="66">
        <v>4</v>
      </c>
      <c r="C58" s="234">
        <f>+E54/5</f>
        <v>79.6</v>
      </c>
      <c r="D58" s="234">
        <f>D57+C58</f>
        <v>318.4</v>
      </c>
      <c r="E58" s="234">
        <f>E57-C58</f>
        <v>79.6</v>
      </c>
    </row>
    <row r="59" spans="2:5" ht="13.5" thickBot="1">
      <c r="B59" s="69">
        <v>5</v>
      </c>
      <c r="C59" s="235">
        <f>+E54/5</f>
        <v>79.6</v>
      </c>
      <c r="D59" s="235">
        <f>D58+C59</f>
        <v>398</v>
      </c>
      <c r="E59" s="239">
        <f>E58-C59</f>
        <v>0</v>
      </c>
    </row>
    <row r="60" ht="13.5" thickBot="1"/>
    <row r="61" spans="2:5" ht="16.5" thickBot="1">
      <c r="B61" s="485" t="s">
        <v>74</v>
      </c>
      <c r="C61" s="486"/>
      <c r="D61" s="486"/>
      <c r="E61" s="487"/>
    </row>
    <row r="62" spans="2:5" ht="16.5" thickBot="1">
      <c r="B62" s="211" t="s">
        <v>14</v>
      </c>
      <c r="C62" s="211" t="s">
        <v>70</v>
      </c>
      <c r="D62" s="211" t="s">
        <v>71</v>
      </c>
      <c r="E62" s="212" t="s">
        <v>72</v>
      </c>
    </row>
    <row r="63" spans="2:5" ht="12.75">
      <c r="B63" s="65">
        <v>0</v>
      </c>
      <c r="C63" s="240"/>
      <c r="D63" s="192"/>
      <c r="E63" s="241">
        <f>INVERSIONES!E44</f>
        <v>275</v>
      </c>
    </row>
    <row r="64" spans="2:5" ht="12.75">
      <c r="B64" s="67">
        <v>1</v>
      </c>
      <c r="C64" s="242">
        <f>+E63/5</f>
        <v>55</v>
      </c>
      <c r="D64" s="234">
        <f>C64</f>
        <v>55</v>
      </c>
      <c r="E64" s="234">
        <f>E63-C64</f>
        <v>220</v>
      </c>
    </row>
    <row r="65" spans="2:5" ht="12.75">
      <c r="B65" s="67">
        <v>2</v>
      </c>
      <c r="C65" s="242">
        <f>+E63/5</f>
        <v>55</v>
      </c>
      <c r="D65" s="234">
        <f>D64+C65</f>
        <v>110</v>
      </c>
      <c r="E65" s="234">
        <f>E64-C65</f>
        <v>165</v>
      </c>
    </row>
    <row r="66" spans="2:5" ht="12.75">
      <c r="B66" s="67">
        <v>3</v>
      </c>
      <c r="C66" s="242">
        <f>+E63/5</f>
        <v>55</v>
      </c>
      <c r="D66" s="234">
        <f>D65+C66</f>
        <v>165</v>
      </c>
      <c r="E66" s="234">
        <f>E65-C66</f>
        <v>110</v>
      </c>
    </row>
    <row r="67" spans="2:5" ht="12.75">
      <c r="B67" s="67">
        <v>4</v>
      </c>
      <c r="C67" s="242">
        <f>+E63/5</f>
        <v>55</v>
      </c>
      <c r="D67" s="234">
        <f>D66+C67</f>
        <v>220</v>
      </c>
      <c r="E67" s="234">
        <f>E66-C67</f>
        <v>55</v>
      </c>
    </row>
    <row r="68" spans="2:5" ht="13.5" thickBot="1">
      <c r="B68" s="70">
        <v>5</v>
      </c>
      <c r="C68" s="243">
        <f>+E63/5</f>
        <v>55</v>
      </c>
      <c r="D68" s="235">
        <f>D67+C68</f>
        <v>275</v>
      </c>
      <c r="E68" s="235">
        <f>E67-C68</f>
        <v>0</v>
      </c>
    </row>
    <row r="69" ht="13.5" thickBot="1"/>
    <row r="70" spans="2:5" ht="16.5" thickBot="1">
      <c r="B70" s="485" t="s">
        <v>75</v>
      </c>
      <c r="C70" s="486"/>
      <c r="D70" s="486"/>
      <c r="E70" s="487"/>
    </row>
    <row r="71" spans="2:5" ht="16.5" thickBot="1">
      <c r="B71" s="211" t="s">
        <v>14</v>
      </c>
      <c r="C71" s="211" t="s">
        <v>70</v>
      </c>
      <c r="D71" s="211" t="s">
        <v>71</v>
      </c>
      <c r="E71" s="212" t="s">
        <v>72</v>
      </c>
    </row>
    <row r="72" spans="2:5" ht="12.75">
      <c r="B72" s="64">
        <v>0</v>
      </c>
      <c r="C72" s="231"/>
      <c r="D72" s="232"/>
      <c r="E72" s="233">
        <f>INVERSIONES!E82</f>
        <v>790</v>
      </c>
    </row>
    <row r="73" spans="2:5" ht="12.75">
      <c r="B73" s="66">
        <v>1</v>
      </c>
      <c r="C73" s="123">
        <f>+E72/3</f>
        <v>263.3333333333333</v>
      </c>
      <c r="D73" s="119">
        <f>C73</f>
        <v>263.3333333333333</v>
      </c>
      <c r="E73" s="216">
        <f>E72-C73</f>
        <v>526.6666666666667</v>
      </c>
    </row>
    <row r="74" spans="2:5" ht="12.75">
      <c r="B74" s="66">
        <v>2</v>
      </c>
      <c r="C74" s="123">
        <f>+E72/3</f>
        <v>263.3333333333333</v>
      </c>
      <c r="D74" s="119">
        <f>D73+C74</f>
        <v>526.6666666666666</v>
      </c>
      <c r="E74" s="216">
        <f>E73-C74</f>
        <v>263.3333333333334</v>
      </c>
    </row>
    <row r="75" spans="2:5" ht="13.5" thickBot="1">
      <c r="B75" s="69">
        <v>3</v>
      </c>
      <c r="C75" s="224">
        <f>+E72/3</f>
        <v>263.3333333333333</v>
      </c>
      <c r="D75" s="244">
        <f>D74+C75</f>
        <v>790</v>
      </c>
      <c r="E75" s="239">
        <f>E74-C75</f>
        <v>0</v>
      </c>
    </row>
    <row r="77" ht="13.5" thickBot="1"/>
    <row r="78" spans="2:4" ht="16.5" thickBot="1">
      <c r="B78" s="485" t="s">
        <v>129</v>
      </c>
      <c r="C78" s="486"/>
      <c r="D78" s="487"/>
    </row>
    <row r="79" spans="2:4" ht="16.5" thickBot="1">
      <c r="B79" s="211" t="s">
        <v>18</v>
      </c>
      <c r="C79" s="211" t="s">
        <v>48</v>
      </c>
      <c r="D79" s="212" t="s">
        <v>130</v>
      </c>
    </row>
    <row r="80" spans="2:4" ht="12.75">
      <c r="B80" s="245" t="s">
        <v>131</v>
      </c>
      <c r="C80" s="246">
        <f>INVERSIONES!C87</f>
        <v>10</v>
      </c>
      <c r="D80" s="247">
        <f>C80*12</f>
        <v>120</v>
      </c>
    </row>
    <row r="81" spans="2:4" ht="12.75">
      <c r="B81" s="248" t="s">
        <v>132</v>
      </c>
      <c r="C81" s="249">
        <f>INVERSIONES!C88</f>
        <v>15</v>
      </c>
      <c r="D81" s="250">
        <f>C81*12</f>
        <v>180</v>
      </c>
    </row>
    <row r="82" spans="2:4" ht="13.5" thickBot="1">
      <c r="B82" s="251" t="s">
        <v>133</v>
      </c>
      <c r="C82" s="252">
        <f>INVERSIONES!C89</f>
        <v>10</v>
      </c>
      <c r="D82" s="253">
        <f>C82*12</f>
        <v>120</v>
      </c>
    </row>
    <row r="83" spans="2:4" ht="16.5" thickBot="1">
      <c r="B83" s="254" t="s">
        <v>37</v>
      </c>
      <c r="C83" s="227">
        <f>SUM(C80:C82)</f>
        <v>35</v>
      </c>
      <c r="D83" s="227">
        <f>SUM(D80:D82)</f>
        <v>420</v>
      </c>
    </row>
    <row r="85" spans="2:15" ht="13.5" thickBot="1">
      <c r="B85" s="493"/>
      <c r="C85" s="493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06"/>
      <c r="O85" s="206"/>
    </row>
    <row r="86" spans="2:15" ht="16.5" thickBot="1">
      <c r="B86" s="488" t="s">
        <v>81</v>
      </c>
      <c r="C86" s="489"/>
      <c r="D86" s="489"/>
      <c r="E86" s="489"/>
      <c r="F86" s="489"/>
      <c r="G86" s="169"/>
      <c r="H86" s="169"/>
      <c r="I86" s="169"/>
      <c r="J86" s="169"/>
      <c r="K86" s="169"/>
      <c r="L86" s="169"/>
      <c r="M86" s="169"/>
      <c r="N86" s="206"/>
      <c r="O86" s="206"/>
    </row>
    <row r="87" spans="2:15" ht="16.5" thickBot="1">
      <c r="B87" s="191"/>
      <c r="C87" s="192"/>
      <c r="D87" s="408" t="s">
        <v>48</v>
      </c>
      <c r="E87" s="408" t="s">
        <v>47</v>
      </c>
      <c r="F87" s="409" t="s">
        <v>22</v>
      </c>
      <c r="G87" s="207"/>
      <c r="H87" s="207"/>
      <c r="I87" s="207"/>
      <c r="J87" s="207"/>
      <c r="K87" s="207"/>
      <c r="L87" s="207"/>
      <c r="M87" s="207"/>
      <c r="N87" s="206"/>
      <c r="O87" s="206"/>
    </row>
    <row r="88" spans="2:15" ht="15">
      <c r="B88" s="139" t="s">
        <v>159</v>
      </c>
      <c r="C88" s="114"/>
      <c r="D88" s="140">
        <f>SUM(D91:D97)</f>
        <v>274.91</v>
      </c>
      <c r="E88" s="141"/>
      <c r="F88" s="49">
        <f>D19</f>
        <v>3298.9199999999996</v>
      </c>
      <c r="G88" s="207"/>
      <c r="H88" s="207"/>
      <c r="I88" s="207"/>
      <c r="J88" s="207"/>
      <c r="K88" s="207"/>
      <c r="L88" s="207"/>
      <c r="M88" s="207"/>
      <c r="N88" s="206"/>
      <c r="O88" s="206"/>
    </row>
    <row r="89" spans="2:15" ht="14.25">
      <c r="B89" s="142"/>
      <c r="C89" s="116" t="s">
        <v>43</v>
      </c>
      <c r="D89" s="126">
        <f>C6</f>
        <v>222</v>
      </c>
      <c r="E89" s="141"/>
      <c r="F89" s="155"/>
      <c r="G89" s="207"/>
      <c r="H89" s="207"/>
      <c r="I89" s="207"/>
      <c r="J89" s="207"/>
      <c r="K89" s="207"/>
      <c r="L89" s="207"/>
      <c r="M89" s="207"/>
      <c r="N89" s="206"/>
      <c r="O89" s="206"/>
    </row>
    <row r="90" spans="2:15" ht="14.25">
      <c r="B90" s="142"/>
      <c r="C90" s="116" t="s">
        <v>4</v>
      </c>
      <c r="D90" s="126">
        <f>C7</f>
        <v>20.757</v>
      </c>
      <c r="E90" s="141"/>
      <c r="F90" s="155"/>
      <c r="G90" s="207"/>
      <c r="H90" s="207"/>
      <c r="I90" s="207"/>
      <c r="J90" s="207"/>
      <c r="K90" s="207"/>
      <c r="L90" s="207"/>
      <c r="M90" s="207"/>
      <c r="N90" s="206"/>
      <c r="O90" s="206"/>
    </row>
    <row r="91" spans="2:15" ht="14.25">
      <c r="B91" s="142"/>
      <c r="C91" s="113" t="s">
        <v>117</v>
      </c>
      <c r="D91" s="143">
        <f>D89-D90</f>
        <v>201.243</v>
      </c>
      <c r="E91" s="141"/>
      <c r="F91" s="155"/>
      <c r="G91" s="207"/>
      <c r="H91" s="207"/>
      <c r="I91" s="207"/>
      <c r="J91" s="207"/>
      <c r="K91" s="207"/>
      <c r="L91" s="207"/>
      <c r="M91" s="207"/>
      <c r="N91" s="206"/>
      <c r="O91" s="206"/>
    </row>
    <row r="92" spans="2:15" ht="14.25">
      <c r="B92" s="142"/>
      <c r="C92" s="116" t="s">
        <v>5</v>
      </c>
      <c r="D92" s="126">
        <f aca="true" t="shared" si="3" ref="D92:D97">C11</f>
        <v>18.5</v>
      </c>
      <c r="E92" s="141"/>
      <c r="F92" s="155"/>
      <c r="G92" s="207"/>
      <c r="H92" s="207"/>
      <c r="I92" s="207"/>
      <c r="J92" s="207"/>
      <c r="K92" s="207"/>
      <c r="L92" s="207"/>
      <c r="M92" s="207"/>
      <c r="N92" s="206"/>
      <c r="O92" s="206"/>
    </row>
    <row r="93" spans="2:15" ht="14.25">
      <c r="B93" s="142"/>
      <c r="C93" s="116" t="s">
        <v>6</v>
      </c>
      <c r="D93" s="126">
        <f t="shared" si="3"/>
        <v>18.5</v>
      </c>
      <c r="E93" s="141"/>
      <c r="F93" s="155"/>
      <c r="G93" s="207"/>
      <c r="H93" s="207"/>
      <c r="I93" s="207"/>
      <c r="J93" s="207"/>
      <c r="K93" s="207"/>
      <c r="L93" s="207"/>
      <c r="M93" s="207"/>
      <c r="N93" s="206"/>
      <c r="O93" s="206"/>
    </row>
    <row r="94" spans="2:15" ht="14.25">
      <c r="B94" s="142"/>
      <c r="C94" s="116" t="s">
        <v>7</v>
      </c>
      <c r="D94" s="126">
        <f t="shared" si="3"/>
        <v>9.25</v>
      </c>
      <c r="E94" s="141"/>
      <c r="F94" s="155"/>
      <c r="G94" s="207"/>
      <c r="H94" s="207"/>
      <c r="I94" s="207"/>
      <c r="J94" s="207"/>
      <c r="K94" s="207"/>
      <c r="L94" s="207"/>
      <c r="M94" s="207"/>
      <c r="N94" s="206"/>
      <c r="O94" s="206"/>
    </row>
    <row r="95" spans="2:15" ht="14.25">
      <c r="B95" s="142"/>
      <c r="C95" s="116" t="s">
        <v>8</v>
      </c>
      <c r="D95" s="126">
        <f t="shared" si="3"/>
        <v>25.197</v>
      </c>
      <c r="E95" s="141"/>
      <c r="F95" s="155"/>
      <c r="G95" s="207"/>
      <c r="H95" s="207"/>
      <c r="I95" s="207"/>
      <c r="J95" s="207"/>
      <c r="K95" s="207"/>
      <c r="L95" s="207"/>
      <c r="M95" s="207"/>
      <c r="N95" s="206"/>
      <c r="O95" s="206"/>
    </row>
    <row r="96" spans="2:15" ht="14.25">
      <c r="B96" s="142"/>
      <c r="C96" s="116" t="s">
        <v>9</v>
      </c>
      <c r="D96" s="126">
        <f t="shared" si="3"/>
        <v>1.11</v>
      </c>
      <c r="E96" s="144"/>
      <c r="F96" s="155"/>
      <c r="G96" s="207"/>
      <c r="H96" s="207"/>
      <c r="I96" s="207"/>
      <c r="J96" s="207"/>
      <c r="K96" s="207"/>
      <c r="L96" s="207"/>
      <c r="M96" s="207"/>
      <c r="N96" s="206"/>
      <c r="O96" s="206"/>
    </row>
    <row r="97" spans="2:15" ht="14.25">
      <c r="B97" s="142"/>
      <c r="C97" s="116" t="s">
        <v>10</v>
      </c>
      <c r="D97" s="126">
        <f t="shared" si="3"/>
        <v>1.11</v>
      </c>
      <c r="E97" s="144"/>
      <c r="F97" s="155"/>
      <c r="G97" s="207"/>
      <c r="H97" s="207"/>
      <c r="I97" s="207"/>
      <c r="J97" s="207"/>
      <c r="K97" s="207"/>
      <c r="L97" s="207"/>
      <c r="M97" s="207"/>
      <c r="N97" s="206"/>
      <c r="O97" s="206"/>
    </row>
    <row r="98" spans="2:15" ht="14.25">
      <c r="B98" s="142"/>
      <c r="C98" s="116" t="s">
        <v>11</v>
      </c>
      <c r="D98" s="68" t="s">
        <v>12</v>
      </c>
      <c r="E98" s="145"/>
      <c r="F98" s="156"/>
      <c r="G98" s="207"/>
      <c r="H98" s="207"/>
      <c r="I98" s="207"/>
      <c r="J98" s="207"/>
      <c r="K98" s="207"/>
      <c r="L98" s="207"/>
      <c r="M98" s="207"/>
      <c r="N98" s="206"/>
      <c r="O98" s="206"/>
    </row>
    <row r="99" spans="2:6" ht="15">
      <c r="B99" s="139" t="s">
        <v>82</v>
      </c>
      <c r="C99" s="116"/>
      <c r="D99" s="123"/>
      <c r="E99" s="123"/>
      <c r="F99" s="49">
        <f>SUM(E100:E102)</f>
        <v>176.25</v>
      </c>
    </row>
    <row r="100" spans="2:6" ht="14.25">
      <c r="B100" s="147"/>
      <c r="C100" s="116" t="s">
        <v>66</v>
      </c>
      <c r="D100" s="116"/>
      <c r="E100" s="126">
        <f>F24</f>
        <v>96</v>
      </c>
      <c r="F100" s="213"/>
    </row>
    <row r="101" spans="2:6" ht="14.25">
      <c r="B101" s="147"/>
      <c r="C101" s="116" t="s">
        <v>67</v>
      </c>
      <c r="D101" s="116"/>
      <c r="E101" s="126">
        <f>F29</f>
        <v>20.25</v>
      </c>
      <c r="F101" s="213"/>
    </row>
    <row r="102" spans="2:6" ht="14.25">
      <c r="B102" s="147"/>
      <c r="C102" s="116" t="s">
        <v>68</v>
      </c>
      <c r="D102" s="116"/>
      <c r="E102" s="126">
        <f>F34</f>
        <v>60</v>
      </c>
      <c r="F102" s="213"/>
    </row>
    <row r="103" spans="2:6" ht="14.25">
      <c r="B103" s="147"/>
      <c r="C103" s="116"/>
      <c r="D103" s="123"/>
      <c r="E103" s="126"/>
      <c r="F103" s="213"/>
    </row>
    <row r="104" spans="2:6" ht="15">
      <c r="B104" s="139" t="s">
        <v>83</v>
      </c>
      <c r="C104" s="116"/>
      <c r="D104" s="123"/>
      <c r="E104" s="126"/>
      <c r="F104" s="49">
        <f>SUM(E105:E108)</f>
        <v>673.8013333333333</v>
      </c>
    </row>
    <row r="105" spans="2:6" ht="14.25">
      <c r="B105" s="147"/>
      <c r="C105" s="116" t="s">
        <v>85</v>
      </c>
      <c r="D105" s="116"/>
      <c r="E105" s="126">
        <f>C41</f>
        <v>275.86800000000005</v>
      </c>
      <c r="F105" s="213"/>
    </row>
    <row r="106" spans="2:6" ht="14.25">
      <c r="B106" s="147"/>
      <c r="C106" s="116" t="s">
        <v>87</v>
      </c>
      <c r="D106" s="116"/>
      <c r="E106" s="126">
        <f>C55</f>
        <v>79.6</v>
      </c>
      <c r="F106" s="213"/>
    </row>
    <row r="107" spans="2:6" ht="14.25">
      <c r="B107" s="147"/>
      <c r="C107" s="116" t="s">
        <v>88</v>
      </c>
      <c r="D107" s="116"/>
      <c r="E107" s="126">
        <f>C64</f>
        <v>55</v>
      </c>
      <c r="F107" s="213"/>
    </row>
    <row r="108" spans="2:6" ht="14.25">
      <c r="B108" s="214"/>
      <c r="C108" s="116" t="s">
        <v>89</v>
      </c>
      <c r="D108" s="116"/>
      <c r="E108" s="126">
        <f>C73</f>
        <v>263.3333333333333</v>
      </c>
      <c r="F108" s="213"/>
    </row>
    <row r="109" spans="2:6" ht="14.25">
      <c r="B109" s="214"/>
      <c r="C109" s="116"/>
      <c r="D109" s="116"/>
      <c r="E109" s="126"/>
      <c r="F109" s="215"/>
    </row>
    <row r="110" spans="2:6" ht="15">
      <c r="B110" s="139" t="s">
        <v>242</v>
      </c>
      <c r="C110" s="116"/>
      <c r="D110" s="116"/>
      <c r="E110" s="126"/>
      <c r="F110" s="49">
        <f>SUM(E111:E113)</f>
        <v>420</v>
      </c>
    </row>
    <row r="111" spans="2:6" ht="14.25">
      <c r="B111" s="214"/>
      <c r="C111" s="116" t="s">
        <v>131</v>
      </c>
      <c r="D111" s="216">
        <f aca="true" t="shared" si="4" ref="D111:E113">C80</f>
        <v>10</v>
      </c>
      <c r="E111" s="126">
        <f t="shared" si="4"/>
        <v>120</v>
      </c>
      <c r="F111" s="215"/>
    </row>
    <row r="112" spans="2:6" ht="14.25">
      <c r="B112" s="214"/>
      <c r="C112" s="116" t="s">
        <v>132</v>
      </c>
      <c r="D112" s="216">
        <f t="shared" si="4"/>
        <v>15</v>
      </c>
      <c r="E112" s="126">
        <f t="shared" si="4"/>
        <v>180</v>
      </c>
      <c r="F112" s="215"/>
    </row>
    <row r="113" spans="2:6" ht="14.25">
      <c r="B113" s="214"/>
      <c r="C113" s="116" t="s">
        <v>133</v>
      </c>
      <c r="D113" s="216">
        <f t="shared" si="4"/>
        <v>10</v>
      </c>
      <c r="E113" s="126">
        <f t="shared" si="4"/>
        <v>120</v>
      </c>
      <c r="F113" s="215"/>
    </row>
    <row r="114" spans="2:6" ht="15" thickBot="1">
      <c r="B114" s="214"/>
      <c r="C114" s="217"/>
      <c r="D114" s="151"/>
      <c r="E114" s="123"/>
      <c r="F114" s="215"/>
    </row>
    <row r="115" spans="2:6" ht="16.5" thickBot="1">
      <c r="B115" s="490" t="s">
        <v>84</v>
      </c>
      <c r="C115" s="491"/>
      <c r="D115" s="491"/>
      <c r="E115" s="492"/>
      <c r="F115" s="410">
        <f>F110+F104+F99+F88</f>
        <v>4568.971333333333</v>
      </c>
    </row>
  </sheetData>
  <sheetProtection/>
  <mergeCells count="14">
    <mergeCell ref="B86:F86"/>
    <mergeCell ref="B115:E115"/>
    <mergeCell ref="B38:E38"/>
    <mergeCell ref="B52:E52"/>
    <mergeCell ref="B61:E61"/>
    <mergeCell ref="B70:E70"/>
    <mergeCell ref="B85:C85"/>
    <mergeCell ref="B3:D3"/>
    <mergeCell ref="B4:C4"/>
    <mergeCell ref="B10:D10"/>
    <mergeCell ref="B78:D78"/>
    <mergeCell ref="B32:F32"/>
    <mergeCell ref="B27:F27"/>
    <mergeCell ref="B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15"/>
  <sheetViews>
    <sheetView zoomScalePageLayoutView="0" workbookViewId="0" topLeftCell="A1">
      <selection activeCell="B27" sqref="B27"/>
    </sheetView>
  </sheetViews>
  <sheetFormatPr defaultColWidth="11.421875" defaultRowHeight="15"/>
  <cols>
    <col min="4" max="4" width="16.140625" style="0" bestFit="1" customWidth="1"/>
    <col min="5" max="5" width="18.28125" style="0" bestFit="1" customWidth="1"/>
    <col min="8" max="8" width="0" style="0" hidden="1" customWidth="1"/>
    <col min="10" max="10" width="13.140625" style="0" customWidth="1"/>
    <col min="14" max="14" width="13.7109375" style="0" customWidth="1"/>
    <col min="15" max="15" width="12.57421875" style="0" customWidth="1"/>
  </cols>
  <sheetData>
    <row r="2" spans="3:4" ht="15.75" thickBot="1">
      <c r="C2" s="25"/>
      <c r="D2" s="25"/>
    </row>
    <row r="3" spans="2:15" ht="15.75" thickBot="1">
      <c r="B3" s="516" t="s">
        <v>212</v>
      </c>
      <c r="C3" s="517"/>
      <c r="D3" s="27" t="s">
        <v>213</v>
      </c>
      <c r="E3" s="28" t="s">
        <v>214</v>
      </c>
      <c r="G3" s="518" t="s">
        <v>215</v>
      </c>
      <c r="H3" s="519"/>
      <c r="I3" s="520"/>
      <c r="J3" s="32">
        <f>DATOS!C23</f>
        <v>1.85</v>
      </c>
      <c r="L3" s="511">
        <f>DATOS!C23</f>
        <v>1.85</v>
      </c>
      <c r="M3" s="514">
        <f>L3-M5-M6</f>
        <v>0.9686576363109813</v>
      </c>
      <c r="N3" s="503" t="s">
        <v>200</v>
      </c>
      <c r="O3" s="504"/>
    </row>
    <row r="4" spans="2:15" ht="15.75" thickBot="1">
      <c r="B4" s="497" t="s">
        <v>204</v>
      </c>
      <c r="C4" s="498"/>
      <c r="D4" s="26">
        <f>DATOS!C21</f>
        <v>25322</v>
      </c>
      <c r="E4" s="11"/>
      <c r="G4" s="496" t="s">
        <v>208</v>
      </c>
      <c r="H4" s="496"/>
      <c r="I4" s="496"/>
      <c r="J4" s="32">
        <f>D4*J3</f>
        <v>46845.700000000004</v>
      </c>
      <c r="L4" s="512"/>
      <c r="M4" s="515"/>
      <c r="N4" s="505"/>
      <c r="O4" s="506"/>
    </row>
    <row r="5" spans="2:15" ht="15.75" thickBot="1">
      <c r="B5" s="499" t="s">
        <v>205</v>
      </c>
      <c r="C5" s="500"/>
      <c r="D5" s="23">
        <f>'COSTOS VARIABLES'!F103</f>
        <v>17748.38</v>
      </c>
      <c r="E5" s="30">
        <f>+D5/D4</f>
        <v>0.7009075112550351</v>
      </c>
      <c r="L5" s="512"/>
      <c r="M5" s="34">
        <f>'PUNTO DE EQUILIBRIO'!E6</f>
        <v>0.1804348524339836</v>
      </c>
      <c r="N5" s="507" t="s">
        <v>198</v>
      </c>
      <c r="O5" s="508"/>
    </row>
    <row r="6" spans="2:15" ht="15.75" thickBot="1">
      <c r="B6" s="501" t="s">
        <v>206</v>
      </c>
      <c r="C6" s="502"/>
      <c r="D6" s="31">
        <f>'COSTOS FIJOS'!F115</f>
        <v>4568.971333333333</v>
      </c>
      <c r="E6" s="47">
        <f>D6/D4</f>
        <v>0.1804348524339836</v>
      </c>
      <c r="L6" s="513"/>
      <c r="M6" s="34">
        <f>'PUNTO DE EQUILIBRIO'!E5</f>
        <v>0.7009075112550351</v>
      </c>
      <c r="N6" s="509" t="s">
        <v>199</v>
      </c>
      <c r="O6" s="510"/>
    </row>
    <row r="7" spans="4:6" ht="15.75" thickBot="1">
      <c r="D7" s="24">
        <f>D6+D5</f>
        <v>22317.351333333332</v>
      </c>
      <c r="E7" s="24">
        <f>SUM(E5:E6)</f>
        <v>0.8813423636890187</v>
      </c>
      <c r="F7" t="s">
        <v>207</v>
      </c>
    </row>
    <row r="9" spans="2:4" ht="15">
      <c r="B9" s="494" t="s">
        <v>209</v>
      </c>
      <c r="C9" s="494"/>
      <c r="D9" s="494"/>
    </row>
    <row r="10" ht="15">
      <c r="D10" s="12"/>
    </row>
    <row r="11" spans="2:6" ht="15">
      <c r="B11" s="495" t="s">
        <v>210</v>
      </c>
      <c r="C11" s="495"/>
      <c r="D11" s="29">
        <f>D6/(J3-E5)</f>
        <v>3976.1562955855265</v>
      </c>
      <c r="E11" s="42"/>
      <c r="F11" s="46"/>
    </row>
    <row r="12" spans="4:6" ht="15">
      <c r="D12" s="12"/>
      <c r="F12" s="12"/>
    </row>
    <row r="13" spans="2:9" ht="15">
      <c r="B13" s="494" t="s">
        <v>211</v>
      </c>
      <c r="C13" s="494"/>
      <c r="D13" s="494"/>
      <c r="F13" s="33">
        <f>D15/D11</f>
        <v>1.8500000000000003</v>
      </c>
      <c r="I13" s="12"/>
    </row>
    <row r="14" ht="15">
      <c r="D14" s="12"/>
    </row>
    <row r="15" spans="2:9" ht="15">
      <c r="B15" s="495" t="s">
        <v>210</v>
      </c>
      <c r="C15" s="495"/>
      <c r="D15" s="48">
        <f>D6/(1-(D5/J4))</f>
        <v>7355.889146833225</v>
      </c>
      <c r="I15" s="12"/>
    </row>
  </sheetData>
  <sheetProtection/>
  <mergeCells count="15">
    <mergeCell ref="N3:O4"/>
    <mergeCell ref="N5:O5"/>
    <mergeCell ref="N6:O6"/>
    <mergeCell ref="L3:L6"/>
    <mergeCell ref="M3:M4"/>
    <mergeCell ref="B3:C3"/>
    <mergeCell ref="G3:I3"/>
    <mergeCell ref="B9:D9"/>
    <mergeCell ref="B11:C11"/>
    <mergeCell ref="B13:D13"/>
    <mergeCell ref="B15:C15"/>
    <mergeCell ref="G4:I4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B3:M24"/>
  <sheetViews>
    <sheetView zoomScalePageLayoutView="0" workbookViewId="0" topLeftCell="A1">
      <selection activeCell="E23" sqref="E23"/>
    </sheetView>
  </sheetViews>
  <sheetFormatPr defaultColWidth="11.421875" defaultRowHeight="15"/>
  <cols>
    <col min="2" max="2" width="36.140625" style="0" customWidth="1"/>
    <col min="3" max="3" width="18.7109375" style="0" bestFit="1" customWidth="1"/>
    <col min="4" max="4" width="20.57421875" style="0" customWidth="1"/>
    <col min="5" max="13" width="17.8515625" style="0" bestFit="1" customWidth="1"/>
  </cols>
  <sheetData>
    <row r="2" ht="15.75" thickBot="1"/>
    <row r="3" spans="2:13" ht="16.5" thickBot="1">
      <c r="B3" s="467" t="s">
        <v>181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2:13" ht="16.5" thickBot="1">
      <c r="B4" s="388" t="s">
        <v>182</v>
      </c>
      <c r="C4" s="388">
        <v>0</v>
      </c>
      <c r="D4" s="389">
        <v>1</v>
      </c>
      <c r="E4" s="390">
        <v>2</v>
      </c>
      <c r="F4" s="389">
        <v>3</v>
      </c>
      <c r="G4" s="390">
        <v>4</v>
      </c>
      <c r="H4" s="389">
        <v>5</v>
      </c>
      <c r="I4" s="390">
        <v>6</v>
      </c>
      <c r="J4" s="389">
        <v>7</v>
      </c>
      <c r="K4" s="390">
        <v>8</v>
      </c>
      <c r="L4" s="389">
        <v>9</v>
      </c>
      <c r="M4" s="390">
        <v>10</v>
      </c>
    </row>
    <row r="5" spans="2:13" s="20" customFormat="1" ht="15">
      <c r="B5" s="269" t="s">
        <v>183</v>
      </c>
      <c r="C5" s="256"/>
      <c r="D5" s="257">
        <f>DATOS!C23*DATOS!C21</f>
        <v>46845.700000000004</v>
      </c>
      <c r="E5" s="258">
        <f>(DATOS!C21*DATOS!C23)*(1+DATOS!$C$17)</f>
        <v>47595.2312</v>
      </c>
      <c r="F5" s="259">
        <f>+E5*(1+DATOS!$C$17)</f>
        <v>48356.7548992</v>
      </c>
      <c r="G5" s="258">
        <f>+F5*(1+DATOS!$C$17)</f>
        <v>49130.4629775872</v>
      </c>
      <c r="H5" s="259">
        <f>+G5*(1+DATOS!$C$17)</f>
        <v>49916.5503852286</v>
      </c>
      <c r="I5" s="258">
        <f>+H5*(1+DATOS!$C$17)</f>
        <v>50715.21519139226</v>
      </c>
      <c r="J5" s="259">
        <f>+I5*(1+DATOS!$C$17)</f>
        <v>51526.658634454536</v>
      </c>
      <c r="K5" s="258">
        <f>+J5*(1+DATOS!$C$17)</f>
        <v>52351.08517260581</v>
      </c>
      <c r="L5" s="259">
        <f>+K5*(1+DATOS!$C$17)</f>
        <v>53188.702535367505</v>
      </c>
      <c r="M5" s="258">
        <f>+L5*(1+DATOS!$C$17)</f>
        <v>54039.72177593339</v>
      </c>
    </row>
    <row r="6" spans="2:13" ht="15">
      <c r="B6" s="50" t="s">
        <v>184</v>
      </c>
      <c r="C6" s="134"/>
      <c r="D6" s="260"/>
      <c r="E6" s="53"/>
      <c r="F6" s="56"/>
      <c r="G6" s="53"/>
      <c r="H6" s="56"/>
      <c r="I6" s="53"/>
      <c r="J6" s="56"/>
      <c r="K6" s="53"/>
      <c r="L6" s="56"/>
      <c r="M6" s="53">
        <f>INVERSIONES!F121</f>
        <v>2351.911</v>
      </c>
    </row>
    <row r="7" spans="2:13" s="20" customFormat="1" ht="15">
      <c r="B7" s="59" t="s">
        <v>185</v>
      </c>
      <c r="C7" s="256"/>
      <c r="D7" s="261">
        <f>D8+D9+D10</f>
        <v>22991.152666666665</v>
      </c>
      <c r="E7" s="261">
        <f aca="true" t="shared" si="0" ref="E7:M7">E8+E9+E10</f>
        <v>23275.126746666665</v>
      </c>
      <c r="F7" s="261">
        <f t="shared" si="0"/>
        <v>23563.644411946665</v>
      </c>
      <c r="G7" s="261">
        <f t="shared" si="0"/>
        <v>23856.77835987115</v>
      </c>
      <c r="H7" s="261">
        <f t="shared" si="0"/>
        <v>24154.602450962422</v>
      </c>
      <c r="I7" s="261">
        <f t="shared" si="0"/>
        <v>24457.191727511152</v>
      </c>
      <c r="J7" s="261">
        <f t="shared" si="0"/>
        <v>24764.622432484666</v>
      </c>
      <c r="K7" s="261">
        <f t="shared" si="0"/>
        <v>25076.972028737753</v>
      </c>
      <c r="L7" s="261">
        <f t="shared" si="0"/>
        <v>25394.31921853089</v>
      </c>
      <c r="M7" s="261">
        <f t="shared" si="0"/>
        <v>25716.743963360717</v>
      </c>
    </row>
    <row r="8" spans="2:13" ht="15">
      <c r="B8" s="50" t="s">
        <v>186</v>
      </c>
      <c r="C8" s="134"/>
      <c r="D8" s="260">
        <f>DATOS!C28</f>
        <v>17748.38</v>
      </c>
      <c r="E8" s="53">
        <f>+(DATOS!C28)*(1+DATOS!C17)</f>
        <v>18032.35408</v>
      </c>
      <c r="F8" s="56">
        <f>+E8*(1+DATOS!C17)</f>
        <v>18320.87174528</v>
      </c>
      <c r="G8" s="53">
        <f>+F8*(1+DATOS!C17)</f>
        <v>18614.005693204483</v>
      </c>
      <c r="H8" s="56">
        <f>+G8*(1+DATOS!C17)</f>
        <v>18911.829784295755</v>
      </c>
      <c r="I8" s="53">
        <f>+H8*(1+DATOS!C17)</f>
        <v>19214.419060844488</v>
      </c>
      <c r="J8" s="56">
        <f>+I8*(1+DATOS!C17)</f>
        <v>19521.849765818</v>
      </c>
      <c r="K8" s="53">
        <f>+J8*(1+DATOS!C17)</f>
        <v>19834.199362071085</v>
      </c>
      <c r="L8" s="56">
        <f>+K8*(1+DATOS!C17)</f>
        <v>20151.546551864223</v>
      </c>
      <c r="M8" s="53">
        <f>+L8*(1+DATOS!C17)</f>
        <v>20473.97129669405</v>
      </c>
    </row>
    <row r="9" spans="2:13" ht="15">
      <c r="B9" s="50" t="s">
        <v>187</v>
      </c>
      <c r="C9" s="134"/>
      <c r="D9" s="260">
        <f>'COSTOS FIJOS'!$F$115</f>
        <v>4568.971333333333</v>
      </c>
      <c r="E9" s="53">
        <f>'COSTOS FIJOS'!$F$115</f>
        <v>4568.971333333333</v>
      </c>
      <c r="F9" s="56">
        <f>'COSTOS FIJOS'!$F$115</f>
        <v>4568.971333333333</v>
      </c>
      <c r="G9" s="53">
        <f>'COSTOS FIJOS'!$F$115</f>
        <v>4568.971333333333</v>
      </c>
      <c r="H9" s="56">
        <f>'COSTOS FIJOS'!$F$115</f>
        <v>4568.971333333333</v>
      </c>
      <c r="I9" s="53">
        <f>'COSTOS FIJOS'!$F$115</f>
        <v>4568.971333333333</v>
      </c>
      <c r="J9" s="56">
        <f>'COSTOS FIJOS'!$F$115</f>
        <v>4568.971333333333</v>
      </c>
      <c r="K9" s="53">
        <f>'COSTOS FIJOS'!$F$115</f>
        <v>4568.971333333333</v>
      </c>
      <c r="L9" s="56">
        <f>'COSTOS FIJOS'!$F$115</f>
        <v>4568.971333333333</v>
      </c>
      <c r="M9" s="53">
        <f>'COSTOS FIJOS'!$F$115</f>
        <v>4568.971333333333</v>
      </c>
    </row>
    <row r="10" spans="2:13" s="20" customFormat="1" ht="15">
      <c r="B10" s="50" t="s">
        <v>191</v>
      </c>
      <c r="C10" s="134"/>
      <c r="D10" s="260">
        <f>'COSTOS FIJOS'!$F$104</f>
        <v>673.8013333333333</v>
      </c>
      <c r="E10" s="260">
        <f>'COSTOS FIJOS'!$F$104</f>
        <v>673.8013333333333</v>
      </c>
      <c r="F10" s="260">
        <f>'COSTOS FIJOS'!$F$104</f>
        <v>673.8013333333333</v>
      </c>
      <c r="G10" s="260">
        <f>'COSTOS FIJOS'!$F$104</f>
        <v>673.8013333333333</v>
      </c>
      <c r="H10" s="260">
        <f>'COSTOS FIJOS'!$F$104</f>
        <v>673.8013333333333</v>
      </c>
      <c r="I10" s="260">
        <f>'COSTOS FIJOS'!$F$104</f>
        <v>673.8013333333333</v>
      </c>
      <c r="J10" s="260">
        <f>'COSTOS FIJOS'!$F$104</f>
        <v>673.8013333333333</v>
      </c>
      <c r="K10" s="260">
        <f>'COSTOS FIJOS'!$F$104</f>
        <v>673.8013333333333</v>
      </c>
      <c r="L10" s="260">
        <f>'COSTOS FIJOS'!$F$104</f>
        <v>673.8013333333333</v>
      </c>
      <c r="M10" s="260">
        <f>'COSTOS FIJOS'!$F$104</f>
        <v>673.8013333333333</v>
      </c>
    </row>
    <row r="11" spans="2:13" ht="15">
      <c r="B11" s="59" t="s">
        <v>188</v>
      </c>
      <c r="C11" s="256"/>
      <c r="D11" s="261">
        <f aca="true" t="shared" si="1" ref="D11:L11">+D5-D7</f>
        <v>23854.54733333334</v>
      </c>
      <c r="E11" s="61">
        <f t="shared" si="1"/>
        <v>24320.104453333337</v>
      </c>
      <c r="F11" s="262">
        <f t="shared" si="1"/>
        <v>24793.110487253336</v>
      </c>
      <c r="G11" s="61">
        <f t="shared" si="1"/>
        <v>25273.68461771605</v>
      </c>
      <c r="H11" s="262">
        <f t="shared" si="1"/>
        <v>25761.947934266176</v>
      </c>
      <c r="I11" s="61">
        <f t="shared" si="1"/>
        <v>26258.023463881105</v>
      </c>
      <c r="J11" s="262">
        <f t="shared" si="1"/>
        <v>26762.03620196987</v>
      </c>
      <c r="K11" s="61">
        <f t="shared" si="1"/>
        <v>27274.113143868057</v>
      </c>
      <c r="L11" s="262">
        <f t="shared" si="1"/>
        <v>27794.383316836615</v>
      </c>
      <c r="M11" s="61">
        <f>+M5-M7+INVERSIONES!F121</f>
        <v>30674.88881257267</v>
      </c>
    </row>
    <row r="12" spans="2:13" s="20" customFormat="1" ht="15">
      <c r="B12" s="50" t="s">
        <v>196</v>
      </c>
      <c r="C12" s="134"/>
      <c r="D12" s="260">
        <f>+D11*DATOS!$C$19</f>
        <v>3578.182100000001</v>
      </c>
      <c r="E12" s="53">
        <f>+E11*DATOS!$C$19</f>
        <v>3648.0156680000005</v>
      </c>
      <c r="F12" s="56">
        <f>+F11*DATOS!$C$19</f>
        <v>3718.966573088</v>
      </c>
      <c r="G12" s="53">
        <f>+G11*DATOS!$C$19</f>
        <v>3791.0526926574075</v>
      </c>
      <c r="H12" s="56">
        <f>+H11*DATOS!$C$19</f>
        <v>3864.2921901399263</v>
      </c>
      <c r="I12" s="53">
        <f>+I11*DATOS!$C$19</f>
        <v>3938.7035195821654</v>
      </c>
      <c r="J12" s="56">
        <f>+J11*DATOS!$C$19</f>
        <v>4014.30543029548</v>
      </c>
      <c r="K12" s="53">
        <f>+K11*DATOS!$C$19</f>
        <v>4091.1169715802084</v>
      </c>
      <c r="L12" s="56">
        <f>+L11*DATOS!$C$19</f>
        <v>4169.157497525492</v>
      </c>
      <c r="M12" s="53">
        <f>+M11*DATOS!$C$19</f>
        <v>4601.2333218859</v>
      </c>
    </row>
    <row r="13" spans="2:13" ht="15">
      <c r="B13" s="59" t="s">
        <v>189</v>
      </c>
      <c r="C13" s="256"/>
      <c r="D13" s="261">
        <f>D11-D12</f>
        <v>20276.365233333338</v>
      </c>
      <c r="E13" s="61">
        <f aca="true" t="shared" si="2" ref="E13:M13">E11-E12</f>
        <v>20672.088785333337</v>
      </c>
      <c r="F13" s="262">
        <f t="shared" si="2"/>
        <v>21074.143914165335</v>
      </c>
      <c r="G13" s="61">
        <f t="shared" si="2"/>
        <v>21482.631925058646</v>
      </c>
      <c r="H13" s="262">
        <f t="shared" si="2"/>
        <v>21897.65574412625</v>
      </c>
      <c r="I13" s="61">
        <f t="shared" si="2"/>
        <v>22319.31994429894</v>
      </c>
      <c r="J13" s="262">
        <f t="shared" si="2"/>
        <v>22747.73077167439</v>
      </c>
      <c r="K13" s="61">
        <f t="shared" si="2"/>
        <v>23182.996172287847</v>
      </c>
      <c r="L13" s="262">
        <f t="shared" si="2"/>
        <v>23625.225819311123</v>
      </c>
      <c r="M13" s="61">
        <f t="shared" si="2"/>
        <v>26073.655490686768</v>
      </c>
    </row>
    <row r="14" spans="2:13" s="21" customFormat="1" ht="15.75">
      <c r="B14" s="50" t="s">
        <v>271</v>
      </c>
      <c r="C14" s="134"/>
      <c r="D14" s="260">
        <f>D13*DATOS!$C$18</f>
        <v>5069.091308333334</v>
      </c>
      <c r="E14" s="53">
        <f>E13*DATOS!$C$18</f>
        <v>5168.022196333334</v>
      </c>
      <c r="F14" s="56">
        <f>F13*DATOS!$C$18</f>
        <v>5268.535978541334</v>
      </c>
      <c r="G14" s="53">
        <f>G13*DATOS!$C$18</f>
        <v>5370.657981264661</v>
      </c>
      <c r="H14" s="56">
        <f>H13*DATOS!$C$18</f>
        <v>5474.413936031562</v>
      </c>
      <c r="I14" s="53">
        <f>I13*DATOS!$C$18</f>
        <v>5579.829986074735</v>
      </c>
      <c r="J14" s="56">
        <f>J13*DATOS!$C$18</f>
        <v>5686.932692918597</v>
      </c>
      <c r="K14" s="53">
        <f>K13*DATOS!$C$18</f>
        <v>5795.749043071962</v>
      </c>
      <c r="L14" s="56">
        <f>L13*DATOS!$C$18</f>
        <v>5906.306454827781</v>
      </c>
      <c r="M14" s="53">
        <f>M13*DATOS!$C$18</f>
        <v>6518.413872671692</v>
      </c>
    </row>
    <row r="15" spans="2:13" ht="15">
      <c r="B15" s="59" t="s">
        <v>190</v>
      </c>
      <c r="C15" s="256"/>
      <c r="D15" s="261">
        <f aca="true" t="shared" si="3" ref="D15:M15">+D13-D14</f>
        <v>15207.273925000003</v>
      </c>
      <c r="E15" s="61">
        <f t="shared" si="3"/>
        <v>15504.066589000002</v>
      </c>
      <c r="F15" s="262">
        <f t="shared" si="3"/>
        <v>15805.607935624</v>
      </c>
      <c r="G15" s="61">
        <f t="shared" si="3"/>
        <v>16111.973943793984</v>
      </c>
      <c r="H15" s="262">
        <f t="shared" si="3"/>
        <v>16423.241808094688</v>
      </c>
      <c r="I15" s="61">
        <f t="shared" si="3"/>
        <v>16739.489958224203</v>
      </c>
      <c r="J15" s="262">
        <f t="shared" si="3"/>
        <v>17060.79807875579</v>
      </c>
      <c r="K15" s="61">
        <f t="shared" si="3"/>
        <v>17387.247129215884</v>
      </c>
      <c r="L15" s="262">
        <f t="shared" si="3"/>
        <v>17718.919364483343</v>
      </c>
      <c r="M15" s="61">
        <f t="shared" si="3"/>
        <v>19555.241618015076</v>
      </c>
    </row>
    <row r="16" spans="2:13" ht="15.75" thickBot="1">
      <c r="B16" s="50" t="s">
        <v>191</v>
      </c>
      <c r="C16" s="134"/>
      <c r="D16" s="263">
        <f>'COSTOS FIJOS'!$F$104</f>
        <v>673.8013333333333</v>
      </c>
      <c r="E16" s="264">
        <f>'COSTOS FIJOS'!$F$104</f>
        <v>673.8013333333333</v>
      </c>
      <c r="F16" s="265">
        <f>'COSTOS FIJOS'!$F$104</f>
        <v>673.8013333333333</v>
      </c>
      <c r="G16" s="264">
        <f>'COSTOS FIJOS'!$F$104</f>
        <v>673.8013333333333</v>
      </c>
      <c r="H16" s="265">
        <f>'COSTOS FIJOS'!$F$104</f>
        <v>673.8013333333333</v>
      </c>
      <c r="I16" s="264">
        <f>'COSTOS FIJOS'!$F$104</f>
        <v>673.8013333333333</v>
      </c>
      <c r="J16" s="265">
        <f>'COSTOS FIJOS'!$F$104</f>
        <v>673.8013333333333</v>
      </c>
      <c r="K16" s="264">
        <f>'COSTOS FIJOS'!$F$104</f>
        <v>673.8013333333333</v>
      </c>
      <c r="L16" s="265">
        <f>'COSTOS FIJOS'!$F$104</f>
        <v>673.8013333333333</v>
      </c>
      <c r="M16" s="264">
        <f>'COSTOS FIJOS'!$F$104</f>
        <v>673.8013333333333</v>
      </c>
    </row>
    <row r="17" spans="2:13" ht="15.75" thickBot="1">
      <c r="B17" s="50" t="s">
        <v>192</v>
      </c>
      <c r="C17" s="266">
        <f>INVERSIONES!E122</f>
        <v>25871.021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209"/>
    </row>
    <row r="18" spans="2:13" s="271" customFormat="1" ht="18.75" thickBot="1">
      <c r="B18" s="210" t="s">
        <v>193</v>
      </c>
      <c r="C18" s="268">
        <f>+'CAPITAL DE TRABAJO'!B24</f>
        <v>1584.2875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267">
        <f>C18</f>
        <v>1584.2875</v>
      </c>
    </row>
    <row r="19" spans="2:13" ht="18.75" thickBot="1">
      <c r="B19" s="270" t="s">
        <v>194</v>
      </c>
      <c r="C19" s="391">
        <f>-C17+-C18</f>
        <v>-27455.3085</v>
      </c>
      <c r="D19" s="392">
        <f>+D15+D16</f>
        <v>15881.075258333336</v>
      </c>
      <c r="E19" s="392">
        <f aca="true" t="shared" si="4" ref="E19:L19">+E15+E16</f>
        <v>16177.867922333335</v>
      </c>
      <c r="F19" s="391">
        <f t="shared" si="4"/>
        <v>16479.409268957334</v>
      </c>
      <c r="G19" s="392">
        <f t="shared" si="4"/>
        <v>16785.77527712732</v>
      </c>
      <c r="H19" s="391">
        <f t="shared" si="4"/>
        <v>17097.04314142802</v>
      </c>
      <c r="I19" s="392">
        <f t="shared" si="4"/>
        <v>17413.291291557536</v>
      </c>
      <c r="J19" s="391">
        <f t="shared" si="4"/>
        <v>17734.599412089123</v>
      </c>
      <c r="K19" s="392">
        <f t="shared" si="4"/>
        <v>18061.048462549217</v>
      </c>
      <c r="L19" s="391">
        <f t="shared" si="4"/>
        <v>18392.720697816676</v>
      </c>
      <c r="M19" s="392">
        <f>+M15+M16+C18</f>
        <v>21813.330451348407</v>
      </c>
    </row>
    <row r="20" spans="4:13" ht="15"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4:13" ht="15.75" thickBot="1"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6" ht="18.75" thickBot="1">
      <c r="B22" s="393" t="s">
        <v>201</v>
      </c>
      <c r="C22" s="356">
        <f>NPV(DATOS!C25,D19:M19,C19)</f>
        <v>57740.536544399685</v>
      </c>
      <c r="E22" s="279"/>
      <c r="F22" s="279"/>
    </row>
    <row r="23" spans="2:8" ht="18.75" thickBot="1">
      <c r="B23" s="393" t="s">
        <v>203</v>
      </c>
      <c r="C23" s="346">
        <f>IRR(C19:M19)</f>
        <v>0.5909757335522638</v>
      </c>
      <c r="E23" s="279"/>
      <c r="G23" s="280"/>
      <c r="H23" s="282"/>
    </row>
    <row r="24" ht="15">
      <c r="E24" s="279"/>
    </row>
    <row r="26" ht="14.25" customHeight="1"/>
  </sheetData>
  <sheetProtection/>
  <mergeCells count="1">
    <mergeCell ref="B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F13"/>
  <sheetViews>
    <sheetView zoomScalePageLayoutView="0" workbookViewId="0" topLeftCell="A1">
      <selection activeCell="B5" sqref="B5:F11"/>
    </sheetView>
  </sheetViews>
  <sheetFormatPr defaultColWidth="11.421875" defaultRowHeight="15"/>
  <cols>
    <col min="2" max="2" width="30.8515625" style="0" customWidth="1"/>
    <col min="3" max="3" width="15.8515625" style="0" bestFit="1" customWidth="1"/>
    <col min="4" max="4" width="32.00390625" style="0" bestFit="1" customWidth="1"/>
    <col min="5" max="5" width="15.421875" style="0" bestFit="1" customWidth="1"/>
    <col min="6" max="6" width="20.28125" style="0" bestFit="1" customWidth="1"/>
  </cols>
  <sheetData>
    <row r="4" ht="15.75" thickBot="1"/>
    <row r="5" spans="2:6" ht="16.5" thickBot="1">
      <c r="B5" s="467" t="s">
        <v>268</v>
      </c>
      <c r="C5" s="468"/>
      <c r="D5" s="468"/>
      <c r="E5" s="468"/>
      <c r="F5" s="469"/>
    </row>
    <row r="6" spans="2:6" ht="16.5" thickBot="1">
      <c r="B6" s="388" t="s">
        <v>263</v>
      </c>
      <c r="C6" s="394" t="s">
        <v>264</v>
      </c>
      <c r="D6" s="388" t="s">
        <v>265</v>
      </c>
      <c r="E6" s="395" t="s">
        <v>266</v>
      </c>
      <c r="F6" s="388" t="s">
        <v>267</v>
      </c>
    </row>
    <row r="7" spans="2:6" ht="15.75">
      <c r="B7" s="313">
        <v>0</v>
      </c>
      <c r="C7" s="314" t="s">
        <v>12</v>
      </c>
      <c r="D7" s="313" t="s">
        <v>12</v>
      </c>
      <c r="E7" s="315">
        <f>+'FLUJO DE CAJA'!C19</f>
        <v>-27455.3085</v>
      </c>
      <c r="F7" s="313" t="s">
        <v>12</v>
      </c>
    </row>
    <row r="8" spans="2:6" ht="15.75">
      <c r="B8" s="316">
        <v>1</v>
      </c>
      <c r="C8" s="317">
        <f>+'FLUJO DE CAJA'!D19</f>
        <v>15881.075258333336</v>
      </c>
      <c r="D8" s="318">
        <f>C8</f>
        <v>15881.075258333336</v>
      </c>
      <c r="E8" s="317">
        <f>+$E$7+D8</f>
        <v>-11574.233241666663</v>
      </c>
      <c r="F8" s="319">
        <f>((-$E$7+E8)/-$E$7)</f>
        <v>0.5784336846309098</v>
      </c>
    </row>
    <row r="9" spans="2:6" ht="15.75">
      <c r="B9" s="316">
        <v>2</v>
      </c>
      <c r="C9" s="317">
        <f>+'FLUJO DE CAJA'!E19</f>
        <v>16177.867922333335</v>
      </c>
      <c r="D9" s="318">
        <f>+C9+D8</f>
        <v>32058.94318066667</v>
      </c>
      <c r="E9" s="317">
        <f>+$E$7+D9</f>
        <v>4603.63468066667</v>
      </c>
      <c r="F9" s="319">
        <f>((-$E$7+E9)/-$E$7)</f>
        <v>1.1676773976393917</v>
      </c>
    </row>
    <row r="10" spans="2:6" ht="15.75">
      <c r="B10" s="316">
        <v>3</v>
      </c>
      <c r="C10" s="317">
        <f>+'FLUJO DE CAJA'!F19</f>
        <v>16479.409268957334</v>
      </c>
      <c r="D10" s="318">
        <f>+C10+D9</f>
        <v>48538.352449624</v>
      </c>
      <c r="E10" s="317">
        <f>+$E$7+D10</f>
        <v>21083.043949624</v>
      </c>
      <c r="F10" s="319">
        <f>((-$E$7+E10)/-$E$7)</f>
        <v>1.7679040994794868</v>
      </c>
    </row>
    <row r="11" spans="2:6" ht="16.5" thickBot="1">
      <c r="B11" s="320">
        <v>4</v>
      </c>
      <c r="C11" s="321">
        <f>+'FLUJO DE CAJA'!G19</f>
        <v>16785.77527712732</v>
      </c>
      <c r="D11" s="322">
        <f>+C11+D10</f>
        <v>65324.12772675132</v>
      </c>
      <c r="E11" s="321">
        <f>+$E$7+D11</f>
        <v>37868.81922675132</v>
      </c>
      <c r="F11" s="323">
        <f>((-$E$7+E11)/-$E$7)</f>
        <v>2.3792895179725013</v>
      </c>
    </row>
    <row r="12" spans="2:6" ht="15">
      <c r="B12" s="278"/>
      <c r="C12" s="278"/>
      <c r="D12" s="278"/>
      <c r="E12" s="278"/>
      <c r="F12" s="278"/>
    </row>
    <row r="13" ht="15.75">
      <c r="B13" s="324" t="s">
        <v>250</v>
      </c>
    </row>
  </sheetData>
  <sheetProtection/>
  <mergeCells count="1"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8">
      <selection activeCell="E25" sqref="E25:E28"/>
    </sheetView>
  </sheetViews>
  <sheetFormatPr defaultColWidth="11.421875" defaultRowHeight="15"/>
  <cols>
    <col min="2" max="2" width="30.140625" style="0" bestFit="1" customWidth="1"/>
    <col min="3" max="5" width="12.00390625" style="0" bestFit="1" customWidth="1"/>
    <col min="11" max="11" width="14.421875" style="0" customWidth="1"/>
  </cols>
  <sheetData>
    <row r="1" ht="15.75" thickBot="1"/>
    <row r="2" spans="2:3" ht="15.75" thickBot="1">
      <c r="B2" s="415" t="s">
        <v>165</v>
      </c>
      <c r="C2" s="416"/>
    </row>
    <row r="3" spans="2:3" ht="15">
      <c r="B3" s="372" t="s">
        <v>276</v>
      </c>
      <c r="C3" s="366">
        <v>19823</v>
      </c>
    </row>
    <row r="4" spans="2:4" ht="15">
      <c r="B4" s="373" t="s">
        <v>166</v>
      </c>
      <c r="C4" s="367">
        <v>0.585</v>
      </c>
      <c r="D4" t="s">
        <v>197</v>
      </c>
    </row>
    <row r="5" spans="2:3" ht="15">
      <c r="B5" s="373" t="s">
        <v>167</v>
      </c>
      <c r="C5" s="367">
        <v>0.05</v>
      </c>
    </row>
    <row r="6" spans="2:4" ht="15">
      <c r="B6" s="373" t="s">
        <v>168</v>
      </c>
      <c r="C6" s="367">
        <v>0.647</v>
      </c>
      <c r="D6" t="s">
        <v>170</v>
      </c>
    </row>
    <row r="7" spans="2:7" ht="15">
      <c r="B7" s="373" t="s">
        <v>275</v>
      </c>
      <c r="C7" s="374">
        <f>C3*C4*C5*C6</f>
        <v>375.14531925000006</v>
      </c>
      <c r="G7" s="46"/>
    </row>
    <row r="8" spans="2:4" ht="15.75" thickBot="1">
      <c r="B8" s="13" t="s">
        <v>169</v>
      </c>
      <c r="C8" s="365">
        <v>67.5</v>
      </c>
      <c r="D8" t="s">
        <v>178</v>
      </c>
    </row>
    <row r="10" ht="15.75" thickBot="1"/>
    <row r="11" spans="2:3" ht="15.75" thickBot="1">
      <c r="B11" s="417" t="s">
        <v>171</v>
      </c>
      <c r="C11" s="418"/>
    </row>
    <row r="12" spans="2:5" ht="15.75" thickBot="1">
      <c r="B12" s="5" t="s">
        <v>77</v>
      </c>
      <c r="C12" s="3">
        <v>4</v>
      </c>
      <c r="D12" s="10"/>
      <c r="E12" s="17"/>
    </row>
    <row r="13" spans="2:4" ht="15.75" thickBot="1">
      <c r="B13" s="13" t="s">
        <v>228</v>
      </c>
      <c r="C13" s="63">
        <v>8702.4</v>
      </c>
      <c r="D13" s="36" t="s">
        <v>179</v>
      </c>
    </row>
    <row r="15" ht="15.75" thickBot="1"/>
    <row r="16" spans="2:3" ht="15.75" thickBot="1">
      <c r="B16" s="413" t="s">
        <v>172</v>
      </c>
      <c r="C16" s="414"/>
    </row>
    <row r="17" spans="2:3" ht="15">
      <c r="B17" s="273" t="s">
        <v>173</v>
      </c>
      <c r="C17" s="19">
        <v>0.016</v>
      </c>
    </row>
    <row r="18" spans="2:3" ht="15">
      <c r="B18" s="274" t="s">
        <v>174</v>
      </c>
      <c r="C18" s="14">
        <v>0.25</v>
      </c>
    </row>
    <row r="19" spans="2:3" ht="15.75" thickBot="1">
      <c r="B19" s="275" t="s">
        <v>244</v>
      </c>
      <c r="C19" s="35">
        <v>0.15</v>
      </c>
    </row>
    <row r="20" ht="15.75" thickBot="1"/>
    <row r="21" spans="2:5" ht="15.75" thickBot="1">
      <c r="B21" s="16" t="s">
        <v>177</v>
      </c>
      <c r="C21" s="348">
        <v>25322</v>
      </c>
      <c r="E21" s="283"/>
    </row>
    <row r="22" ht="15.75" thickBot="1"/>
    <row r="23" spans="2:3" ht="15.75" thickBot="1">
      <c r="B23" s="22" t="s">
        <v>195</v>
      </c>
      <c r="C23" s="368">
        <v>1.85</v>
      </c>
    </row>
    <row r="24" ht="15.75" thickBot="1"/>
    <row r="25" spans="2:3" ht="15.75" thickBot="1">
      <c r="B25" s="15" t="s">
        <v>202</v>
      </c>
      <c r="C25" s="400">
        <v>0.25</v>
      </c>
    </row>
    <row r="26" spans="2:3" ht="15">
      <c r="B26" s="2"/>
      <c r="C26" s="355"/>
    </row>
    <row r="27" ht="15.75" thickBot="1"/>
    <row r="28" spans="2:5" ht="15.75" thickBot="1">
      <c r="B28" s="15" t="s">
        <v>76</v>
      </c>
      <c r="C28" s="371">
        <v>17748.38</v>
      </c>
      <c r="D28" s="279"/>
      <c r="E28" s="279"/>
    </row>
    <row r="29" ht="15.75" thickBot="1"/>
    <row r="30" spans="2:3" ht="15.75" thickBot="1">
      <c r="B30" s="22" t="s">
        <v>245</v>
      </c>
      <c r="C30" s="15">
        <v>75442.42</v>
      </c>
    </row>
  </sheetData>
  <sheetProtection/>
  <mergeCells count="3">
    <mergeCell ref="B16:C16"/>
    <mergeCell ref="B2:C2"/>
    <mergeCell ref="B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2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2" max="2" width="18.8515625" style="0" customWidth="1"/>
    <col min="3" max="3" width="17.00390625" style="0" customWidth="1"/>
    <col min="4" max="4" width="17.28125" style="0" customWidth="1"/>
    <col min="5" max="5" width="19.421875" style="0" customWidth="1"/>
    <col min="7" max="7" width="20.28125" style="0" customWidth="1"/>
    <col min="8" max="8" width="15.57421875" style="0" customWidth="1"/>
    <col min="9" max="9" width="18.00390625" style="0" customWidth="1"/>
  </cols>
  <sheetData>
    <row r="3" spans="8:9" ht="15">
      <c r="H3" s="401" t="s">
        <v>269</v>
      </c>
      <c r="I3" s="282">
        <f>'FLUJO DE CAJA'!C22</f>
        <v>57740.536544399685</v>
      </c>
    </row>
    <row r="4" ht="15.75" thickBot="1"/>
    <row r="5" spans="2:9" ht="15.75" thickBot="1">
      <c r="B5" s="353"/>
      <c r="C5" s="398" t="s">
        <v>195</v>
      </c>
      <c r="D5" s="399" t="s">
        <v>20</v>
      </c>
      <c r="E5" s="399" t="s">
        <v>76</v>
      </c>
      <c r="F5" s="347"/>
      <c r="G5" s="46"/>
      <c r="H5" s="331"/>
      <c r="I5" s="521"/>
    </row>
    <row r="6" spans="2:9" ht="15.75" thickBot="1">
      <c r="B6" s="396" t="s">
        <v>270</v>
      </c>
      <c r="C6" s="397" t="s">
        <v>269</v>
      </c>
      <c r="D6" s="397" t="s">
        <v>269</v>
      </c>
      <c r="E6" s="397" t="s">
        <v>269</v>
      </c>
      <c r="H6" s="522"/>
      <c r="I6" s="522"/>
    </row>
    <row r="7" spans="2:9" ht="15">
      <c r="B7" s="350">
        <v>-0.2</v>
      </c>
      <c r="C7" s="351">
        <v>39146.60967806126</v>
      </c>
      <c r="D7" s="351">
        <v>39146.60967806126</v>
      </c>
      <c r="E7" s="351">
        <v>64785.19762782857</v>
      </c>
      <c r="G7" s="279"/>
      <c r="H7" s="523"/>
      <c r="I7" s="524"/>
    </row>
    <row r="8" spans="2:9" ht="15">
      <c r="B8" s="352">
        <v>-0.1</v>
      </c>
      <c r="C8" s="349">
        <v>47598.39461730598</v>
      </c>
      <c r="D8" s="349">
        <v>47598.39461730598</v>
      </c>
      <c r="E8" s="349">
        <v>61583.07895354271</v>
      </c>
      <c r="H8" s="523"/>
      <c r="I8" s="524"/>
    </row>
    <row r="9" spans="2:9" ht="15.75" thickBot="1">
      <c r="B9" s="402">
        <v>-0.05</v>
      </c>
      <c r="C9" s="403">
        <v>52427.98601116011</v>
      </c>
      <c r="D9" s="403">
        <v>52427.98601116011</v>
      </c>
      <c r="E9" s="403">
        <v>59753.29685395079</v>
      </c>
      <c r="H9" s="523"/>
      <c r="I9" s="524"/>
    </row>
    <row r="10" spans="2:9" ht="15.75" thickBot="1">
      <c r="B10" s="406">
        <v>0</v>
      </c>
      <c r="C10" s="407">
        <v>57740.536544399685</v>
      </c>
      <c r="D10" s="407">
        <v>57740.536544399685</v>
      </c>
      <c r="E10" s="407">
        <v>57740.54</v>
      </c>
      <c r="H10" s="523"/>
      <c r="I10" s="524"/>
    </row>
    <row r="11" spans="2:9" ht="15.75" thickBot="1">
      <c r="B11" s="404">
        <v>0.05</v>
      </c>
      <c r="C11" s="405">
        <v>63318.714604301225</v>
      </c>
      <c r="D11" s="405">
        <v>63318.714604301225</v>
      </c>
      <c r="E11" s="405">
        <v>55627.13821937103</v>
      </c>
      <c r="H11" s="523"/>
      <c r="I11" s="524"/>
    </row>
    <row r="12" spans="4:9" ht="15">
      <c r="D12" s="282"/>
      <c r="H12" s="331"/>
      <c r="I12" s="331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2"/>
  <sheetViews>
    <sheetView zoomScalePageLayoutView="0" workbookViewId="0" topLeftCell="A1">
      <selection activeCell="E5" sqref="E5"/>
    </sheetView>
  </sheetViews>
  <sheetFormatPr defaultColWidth="11.421875" defaultRowHeight="15"/>
  <cols>
    <col min="2" max="2" width="18.57421875" style="0" customWidth="1"/>
    <col min="3" max="3" width="17.8515625" style="0" customWidth="1"/>
    <col min="4" max="4" width="12.8515625" style="0" customWidth="1"/>
    <col min="5" max="6" width="16.421875" style="0" customWidth="1"/>
  </cols>
  <sheetData>
    <row r="2" ht="15.75" thickBot="1"/>
    <row r="3" spans="2:6" ht="15">
      <c r="B3" s="424" t="s">
        <v>235</v>
      </c>
      <c r="C3" s="425"/>
      <c r="D3" s="428" t="s">
        <v>234</v>
      </c>
      <c r="E3" s="430" t="s">
        <v>229</v>
      </c>
      <c r="F3" s="419" t="s">
        <v>169</v>
      </c>
    </row>
    <row r="4" spans="2:6" ht="15.75" thickBot="1">
      <c r="B4" s="426"/>
      <c r="C4" s="427"/>
      <c r="D4" s="429"/>
      <c r="E4" s="431"/>
      <c r="F4" s="420"/>
    </row>
    <row r="5" spans="2:6" ht="15">
      <c r="B5" s="4">
        <v>1</v>
      </c>
      <c r="C5" s="45">
        <v>2</v>
      </c>
      <c r="D5" s="4">
        <f>(B5+C5)/2</f>
        <v>1.5</v>
      </c>
      <c r="E5" s="44">
        <v>0.488</v>
      </c>
      <c r="F5" s="43">
        <f>D5*E5</f>
        <v>0.732</v>
      </c>
    </row>
    <row r="6" spans="2:6" ht="15">
      <c r="B6" s="6">
        <v>2</v>
      </c>
      <c r="C6" s="41">
        <v>3</v>
      </c>
      <c r="D6" s="6">
        <f>(B6+C6)/2</f>
        <v>2.5</v>
      </c>
      <c r="E6" s="9">
        <v>0.143</v>
      </c>
      <c r="F6" s="40">
        <f>D6*E6</f>
        <v>0.3575</v>
      </c>
    </row>
    <row r="7" spans="2:6" ht="15.75" thickBot="1">
      <c r="B7" s="7">
        <v>3</v>
      </c>
      <c r="C7" s="39">
        <v>4</v>
      </c>
      <c r="D7" s="7">
        <f>(B7+C7)/2</f>
        <v>3.5</v>
      </c>
      <c r="E7" s="38">
        <v>0.085</v>
      </c>
      <c r="F7" s="37">
        <f>D7*E7</f>
        <v>0.29750000000000004</v>
      </c>
    </row>
    <row r="8" spans="2:6" ht="15.75" thickBot="1">
      <c r="B8" s="421" t="s">
        <v>233</v>
      </c>
      <c r="C8" s="422"/>
      <c r="D8" s="422"/>
      <c r="E8" s="423"/>
      <c r="F8" s="71">
        <f>SUM(F5:F7)</f>
        <v>1.387</v>
      </c>
    </row>
    <row r="10" ht="15">
      <c r="C10" t="s">
        <v>232</v>
      </c>
    </row>
    <row r="12" spans="3:6" ht="15">
      <c r="C12" t="s">
        <v>231</v>
      </c>
      <c r="D12">
        <f>235/2</f>
        <v>117.5</v>
      </c>
      <c r="E12" s="42">
        <v>0.623</v>
      </c>
      <c r="F12">
        <f>D12*E12</f>
        <v>73.2025</v>
      </c>
    </row>
  </sheetData>
  <sheetProtection/>
  <mergeCells count="5">
    <mergeCell ref="F3:F4"/>
    <mergeCell ref="B8:E8"/>
    <mergeCell ref="B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C25" sqref="C25"/>
    </sheetView>
  </sheetViews>
  <sheetFormatPr defaultColWidth="11.421875" defaultRowHeight="15"/>
  <cols>
    <col min="2" max="2" width="22.57421875" style="0" bestFit="1" customWidth="1"/>
    <col min="3" max="3" width="18.140625" style="0" customWidth="1"/>
    <col min="4" max="4" width="15.421875" style="0" customWidth="1"/>
    <col min="5" max="5" width="13.57421875" style="0" customWidth="1"/>
    <col min="6" max="6" width="13.421875" style="0" bestFit="1" customWidth="1"/>
    <col min="7" max="7" width="15.8515625" style="0" customWidth="1"/>
    <col min="8" max="8" width="19.00390625" style="0" customWidth="1"/>
  </cols>
  <sheetData>
    <row r="3" spans="2:6" ht="15">
      <c r="B3" s="375"/>
      <c r="C3" s="375"/>
      <c r="D3" s="331"/>
      <c r="E3" s="331"/>
      <c r="F3" s="331"/>
    </row>
    <row r="4" spans="2:6" ht="15" customHeight="1" thickBot="1">
      <c r="B4" s="255"/>
      <c r="C4" s="255"/>
      <c r="D4" s="255"/>
      <c r="E4" s="376"/>
      <c r="F4" s="376"/>
    </row>
    <row r="5" spans="2:10" ht="15.75" thickBot="1">
      <c r="B5" s="255"/>
      <c r="C5" s="255"/>
      <c r="D5" s="255"/>
      <c r="E5" s="343"/>
      <c r="F5" s="343"/>
      <c r="G5" s="360" t="s">
        <v>230</v>
      </c>
      <c r="H5" s="358"/>
      <c r="I5" s="341"/>
      <c r="J5" s="342"/>
    </row>
    <row r="6" spans="2:10" ht="15">
      <c r="B6" s="171"/>
      <c r="C6" s="171"/>
      <c r="D6" s="171"/>
      <c r="E6" s="344"/>
      <c r="F6" s="344"/>
      <c r="G6" s="361">
        <v>93</v>
      </c>
      <c r="H6" s="359"/>
      <c r="I6" s="331"/>
      <c r="J6" s="331"/>
    </row>
    <row r="7" spans="2:9" ht="15">
      <c r="B7" s="171"/>
      <c r="C7" s="171"/>
      <c r="D7" s="171"/>
      <c r="E7" s="344"/>
      <c r="F7" s="344"/>
      <c r="G7" s="362">
        <v>98</v>
      </c>
      <c r="H7" s="359"/>
      <c r="I7" s="331"/>
    </row>
    <row r="8" spans="2:9" ht="15.75" thickBot="1">
      <c r="B8" s="171"/>
      <c r="C8" s="171"/>
      <c r="D8" s="171"/>
      <c r="E8" s="344"/>
      <c r="F8" s="344"/>
      <c r="G8" s="362">
        <v>65</v>
      </c>
      <c r="H8" s="359"/>
      <c r="I8" s="331"/>
    </row>
    <row r="9" spans="2:8" ht="15.75" thickBot="1">
      <c r="B9" s="171"/>
      <c r="C9" s="171"/>
      <c r="D9" s="171"/>
      <c r="E9" s="344"/>
      <c r="F9" s="344"/>
      <c r="G9" s="363">
        <v>14</v>
      </c>
      <c r="H9" s="3" t="s">
        <v>234</v>
      </c>
    </row>
    <row r="10" spans="2:8" ht="16.5" thickBot="1">
      <c r="B10" s="377"/>
      <c r="C10" s="377"/>
      <c r="D10" s="377"/>
      <c r="E10" s="377"/>
      <c r="F10" s="377"/>
      <c r="G10" s="3">
        <f>SUM(G6:G9)</f>
        <v>270</v>
      </c>
      <c r="H10" s="364">
        <f>AVERAGE(G6:G9)</f>
        <v>67.5</v>
      </c>
    </row>
    <row r="11" spans="2:8" ht="15">
      <c r="B11" s="331"/>
      <c r="C11" s="331"/>
      <c r="D11" s="331"/>
      <c r="E11" s="331"/>
      <c r="F11" s="331"/>
      <c r="G11" s="331"/>
      <c r="H11" s="331"/>
    </row>
    <row r="12" spans="2:8" ht="15">
      <c r="B12" s="331"/>
      <c r="C12" s="331"/>
      <c r="D12" s="331"/>
      <c r="E12" s="331"/>
      <c r="F12" s="331"/>
      <c r="G12" s="331"/>
      <c r="H12" s="331"/>
    </row>
    <row r="13" ht="15.75" thickBot="1"/>
    <row r="14" spans="4:7" ht="15.75" thickBot="1">
      <c r="D14" s="432" t="s">
        <v>230</v>
      </c>
      <c r="E14" s="433"/>
      <c r="F14" s="433"/>
      <c r="G14" s="434"/>
    </row>
    <row r="15" spans="2:8" ht="15.75" thickBot="1">
      <c r="B15" s="357"/>
      <c r="D15" s="378">
        <v>93</v>
      </c>
      <c r="E15" s="379">
        <v>98</v>
      </c>
      <c r="F15" s="379">
        <v>65</v>
      </c>
      <c r="G15" s="380">
        <v>14</v>
      </c>
      <c r="H15" s="331"/>
    </row>
    <row r="16" spans="2:8" ht="15.75" thickBot="1">
      <c r="B16" s="357"/>
      <c r="D16" s="435" t="s">
        <v>234</v>
      </c>
      <c r="E16" s="436"/>
      <c r="F16" s="437"/>
      <c r="G16" s="381">
        <f>AVERAGE(D15:G15)</f>
        <v>67.5</v>
      </c>
      <c r="H16" s="331"/>
    </row>
    <row r="17" spans="2:8" ht="15.75" thickBot="1">
      <c r="B17" s="10"/>
      <c r="D17" s="438" t="s">
        <v>274</v>
      </c>
      <c r="E17" s="439"/>
      <c r="F17" s="440"/>
      <c r="G17" s="382">
        <f>DATOS!C7</f>
        <v>375.14531925000006</v>
      </c>
      <c r="H17" s="331"/>
    </row>
    <row r="18" spans="2:8" ht="15.75" thickBot="1">
      <c r="B18" s="10"/>
      <c r="D18" s="435" t="s">
        <v>273</v>
      </c>
      <c r="E18" s="436"/>
      <c r="F18" s="437"/>
      <c r="G18" s="383">
        <f>H10*G17</f>
        <v>25322.309049375002</v>
      </c>
      <c r="H18" s="331"/>
    </row>
    <row r="19" spans="2:8" ht="15">
      <c r="B19" s="10"/>
      <c r="G19" s="331"/>
      <c r="H19" s="331"/>
    </row>
    <row r="20" spans="2:8" ht="15">
      <c r="B20" s="10"/>
      <c r="C20" s="10"/>
      <c r="D20" s="171"/>
      <c r="E20" s="340"/>
      <c r="F20" s="344"/>
      <c r="G20" s="331"/>
      <c r="H20" s="331"/>
    </row>
    <row r="21" spans="2:8" ht="15">
      <c r="B21" s="331"/>
      <c r="G21" s="345"/>
      <c r="H21" s="339"/>
    </row>
    <row r="22" spans="2:8" ht="15">
      <c r="B22" s="331"/>
      <c r="G22" s="331"/>
      <c r="H22" s="331"/>
    </row>
    <row r="25" ht="15">
      <c r="B25" s="46"/>
    </row>
  </sheetData>
  <sheetProtection/>
  <mergeCells count="4">
    <mergeCell ref="D14:G14"/>
    <mergeCell ref="D16:F16"/>
    <mergeCell ref="D17:F17"/>
    <mergeCell ref="D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9"/>
  <sheetViews>
    <sheetView zoomScalePageLayoutView="0" workbookViewId="0" topLeftCell="A1">
      <selection activeCell="F5" sqref="F5"/>
    </sheetView>
  </sheetViews>
  <sheetFormatPr defaultColWidth="11.421875" defaultRowHeight="15"/>
  <cols>
    <col min="6" max="6" width="13.57421875" style="0" bestFit="1" customWidth="1"/>
  </cols>
  <sheetData>
    <row r="3" ht="15.75" thickBot="1"/>
    <row r="4" spans="2:8" ht="15.75" thickBot="1">
      <c r="B4" s="441" t="s">
        <v>175</v>
      </c>
      <c r="C4" s="442"/>
      <c r="D4" s="442"/>
      <c r="E4" s="443"/>
      <c r="F4" s="18">
        <f>DATOS!C3*DATOS!C4*DATOS!C5*DATOS!C6</f>
        <v>375.14531925000006</v>
      </c>
      <c r="H4" t="s">
        <v>236</v>
      </c>
    </row>
    <row r="5" spans="2:8" ht="15.75" thickBot="1">
      <c r="B5" s="441" t="s">
        <v>176</v>
      </c>
      <c r="C5" s="442"/>
      <c r="D5" s="442"/>
      <c r="E5" s="443"/>
      <c r="F5" s="18">
        <f>DEMANDA!F4*DATOS!C8</f>
        <v>25322.309049375002</v>
      </c>
      <c r="H5" s="46">
        <f>F5/12</f>
        <v>2110.1924207812503</v>
      </c>
    </row>
    <row r="9" ht="15">
      <c r="B9" t="s">
        <v>272</v>
      </c>
    </row>
  </sheetData>
  <sheetProtection/>
  <mergeCells count="2"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2"/>
  <sheetViews>
    <sheetView zoomScalePageLayoutView="0" workbookViewId="0" topLeftCell="A102">
      <selection activeCell="B136" sqref="B136"/>
    </sheetView>
  </sheetViews>
  <sheetFormatPr defaultColWidth="11.421875" defaultRowHeight="15"/>
  <cols>
    <col min="2" max="2" width="42.57421875" style="0" customWidth="1"/>
    <col min="3" max="3" width="30.28125" style="0" bestFit="1" customWidth="1"/>
    <col min="4" max="4" width="20.421875" style="0" bestFit="1" customWidth="1"/>
    <col min="5" max="5" width="24.421875" style="0" bestFit="1" customWidth="1"/>
    <col min="6" max="6" width="27.8515625" style="0" bestFit="1" customWidth="1"/>
  </cols>
  <sheetData>
    <row r="1" ht="15.75" thickBot="1"/>
    <row r="2" spans="2:5" ht="16.5" thickBot="1">
      <c r="B2" s="452" t="s">
        <v>90</v>
      </c>
      <c r="C2" s="453"/>
      <c r="D2" s="453"/>
      <c r="E2" s="454"/>
    </row>
    <row r="3" spans="2:5" ht="16.5" thickBot="1">
      <c r="B3" s="72" t="s">
        <v>18</v>
      </c>
      <c r="C3" s="73" t="s">
        <v>20</v>
      </c>
      <c r="D3" s="74" t="s">
        <v>21</v>
      </c>
      <c r="E3" s="73" t="s">
        <v>22</v>
      </c>
    </row>
    <row r="4" spans="2:5" ht="15">
      <c r="B4" s="77" t="s">
        <v>91</v>
      </c>
      <c r="C4" s="78">
        <v>1</v>
      </c>
      <c r="D4" s="57">
        <v>80</v>
      </c>
      <c r="E4" s="79">
        <f aca="true" t="shared" si="0" ref="E4:E15">D4*C4</f>
        <v>80</v>
      </c>
    </row>
    <row r="5" spans="2:5" ht="15">
      <c r="B5" s="77" t="s">
        <v>92</v>
      </c>
      <c r="C5" s="78">
        <v>1</v>
      </c>
      <c r="D5" s="57">
        <v>120</v>
      </c>
      <c r="E5" s="79">
        <f t="shared" si="0"/>
        <v>120</v>
      </c>
    </row>
    <row r="6" spans="2:5" ht="15">
      <c r="B6" s="77" t="s">
        <v>93</v>
      </c>
      <c r="C6" s="78">
        <v>3</v>
      </c>
      <c r="D6" s="57">
        <v>80</v>
      </c>
      <c r="E6" s="79">
        <f t="shared" si="0"/>
        <v>240</v>
      </c>
    </row>
    <row r="7" spans="2:5" ht="15">
      <c r="B7" s="77" t="s">
        <v>94</v>
      </c>
      <c r="C7" s="78">
        <v>2</v>
      </c>
      <c r="D7" s="57">
        <v>30</v>
      </c>
      <c r="E7" s="79">
        <f t="shared" si="0"/>
        <v>60</v>
      </c>
    </row>
    <row r="8" spans="2:5" ht="15">
      <c r="B8" s="77" t="s">
        <v>95</v>
      </c>
      <c r="C8" s="78">
        <v>3</v>
      </c>
      <c r="D8" s="57">
        <v>10</v>
      </c>
      <c r="E8" s="79">
        <f t="shared" si="0"/>
        <v>30</v>
      </c>
    </row>
    <row r="9" spans="2:5" ht="15">
      <c r="B9" s="77" t="s">
        <v>96</v>
      </c>
      <c r="C9" s="78">
        <v>3</v>
      </c>
      <c r="D9" s="57">
        <v>40</v>
      </c>
      <c r="E9" s="79">
        <f t="shared" si="0"/>
        <v>120</v>
      </c>
    </row>
    <row r="10" spans="2:5" ht="15">
      <c r="B10" s="77" t="s">
        <v>97</v>
      </c>
      <c r="C10" s="78">
        <v>3</v>
      </c>
      <c r="D10" s="57">
        <v>4</v>
      </c>
      <c r="E10" s="79">
        <f t="shared" si="0"/>
        <v>12</v>
      </c>
    </row>
    <row r="11" spans="2:5" ht="15">
      <c r="B11" s="77" t="s">
        <v>98</v>
      </c>
      <c r="C11" s="78">
        <v>3</v>
      </c>
      <c r="D11" s="57">
        <v>5</v>
      </c>
      <c r="E11" s="79">
        <f t="shared" si="0"/>
        <v>15</v>
      </c>
    </row>
    <row r="12" spans="2:5" ht="15">
      <c r="B12" s="77" t="s">
        <v>99</v>
      </c>
      <c r="C12" s="78">
        <v>4</v>
      </c>
      <c r="D12" s="57">
        <v>2</v>
      </c>
      <c r="E12" s="79">
        <f t="shared" si="0"/>
        <v>8</v>
      </c>
    </row>
    <row r="13" spans="2:5" ht="15">
      <c r="B13" s="77" t="s">
        <v>100</v>
      </c>
      <c r="C13" s="78">
        <v>1</v>
      </c>
      <c r="D13" s="57">
        <v>500</v>
      </c>
      <c r="E13" s="79">
        <f t="shared" si="0"/>
        <v>500</v>
      </c>
    </row>
    <row r="14" spans="2:5" ht="15">
      <c r="B14" s="77" t="s">
        <v>237</v>
      </c>
      <c r="C14" s="78">
        <v>2</v>
      </c>
      <c r="D14" s="57">
        <v>781.84</v>
      </c>
      <c r="E14" s="79">
        <f t="shared" si="0"/>
        <v>1563.68</v>
      </c>
    </row>
    <row r="15" spans="2:5" ht="15.75" thickBot="1">
      <c r="B15" s="77" t="s">
        <v>101</v>
      </c>
      <c r="C15" s="78">
        <v>5</v>
      </c>
      <c r="D15" s="57">
        <v>2</v>
      </c>
      <c r="E15" s="79">
        <f t="shared" si="0"/>
        <v>10</v>
      </c>
    </row>
    <row r="16" spans="2:5" ht="16.5" thickBot="1">
      <c r="B16" s="445" t="s">
        <v>37</v>
      </c>
      <c r="C16" s="446"/>
      <c r="D16" s="75">
        <f>SUM(D4:D15)</f>
        <v>1654.8400000000001</v>
      </c>
      <c r="E16" s="76">
        <f>SUM(E4:E15)</f>
        <v>2758.6800000000003</v>
      </c>
    </row>
    <row r="17" ht="15.75" thickBot="1"/>
    <row r="18" spans="2:5" ht="16.5" thickBot="1">
      <c r="B18" s="452" t="s">
        <v>102</v>
      </c>
      <c r="C18" s="453"/>
      <c r="D18" s="453"/>
      <c r="E18" s="454"/>
    </row>
    <row r="19" spans="2:5" ht="16.5" thickBot="1">
      <c r="B19" s="72" t="s">
        <v>18</v>
      </c>
      <c r="C19" s="80" t="s">
        <v>20</v>
      </c>
      <c r="D19" s="81" t="s">
        <v>21</v>
      </c>
      <c r="E19" s="73" t="s">
        <v>22</v>
      </c>
    </row>
    <row r="20" spans="2:5" ht="15">
      <c r="B20" s="77" t="s">
        <v>103</v>
      </c>
      <c r="C20" s="78">
        <v>1</v>
      </c>
      <c r="D20" s="57">
        <v>3</v>
      </c>
      <c r="E20" s="79">
        <f>D20*C20</f>
        <v>3</v>
      </c>
    </row>
    <row r="21" spans="2:5" ht="15">
      <c r="B21" s="77" t="s">
        <v>104</v>
      </c>
      <c r="C21" s="78">
        <v>1</v>
      </c>
      <c r="D21" s="57">
        <v>5</v>
      </c>
      <c r="E21" s="79">
        <f>D21*C21</f>
        <v>5</v>
      </c>
    </row>
    <row r="22" spans="2:5" ht="15">
      <c r="B22" s="77" t="s">
        <v>105</v>
      </c>
      <c r="C22" s="78">
        <v>1</v>
      </c>
      <c r="D22" s="57">
        <v>30</v>
      </c>
      <c r="E22" s="79">
        <f>D22*C22</f>
        <v>30</v>
      </c>
    </row>
    <row r="23" spans="2:5" ht="15">
      <c r="B23" s="77" t="s">
        <v>107</v>
      </c>
      <c r="C23" s="78">
        <v>1</v>
      </c>
      <c r="D23" s="57">
        <v>5</v>
      </c>
      <c r="E23" s="79">
        <f>D23*C23</f>
        <v>5</v>
      </c>
    </row>
    <row r="24" spans="2:5" ht="15.75" thickBot="1">
      <c r="B24" s="82" t="s">
        <v>106</v>
      </c>
      <c r="C24" s="83">
        <v>1</v>
      </c>
      <c r="D24" s="84">
        <v>20</v>
      </c>
      <c r="E24" s="58">
        <f>D24*C24</f>
        <v>20</v>
      </c>
    </row>
    <row r="25" spans="2:5" ht="16.5" thickBot="1">
      <c r="B25" s="445" t="s">
        <v>37</v>
      </c>
      <c r="C25" s="446"/>
      <c r="D25" s="75">
        <f>SUM(D20:D24)</f>
        <v>63</v>
      </c>
      <c r="E25" s="76">
        <f>SUM(E20:E24)</f>
        <v>63</v>
      </c>
    </row>
    <row r="26" ht="15.75" thickBot="1"/>
    <row r="27" spans="2:5" ht="16.5" thickBot="1">
      <c r="B27" s="452" t="s">
        <v>108</v>
      </c>
      <c r="C27" s="453"/>
      <c r="D27" s="453"/>
      <c r="E27" s="454"/>
    </row>
    <row r="28" spans="2:5" ht="16.5" thickBot="1">
      <c r="B28" s="72" t="s">
        <v>18</v>
      </c>
      <c r="C28" s="80" t="s">
        <v>20</v>
      </c>
      <c r="D28" s="81" t="s">
        <v>21</v>
      </c>
      <c r="E28" s="73" t="s">
        <v>22</v>
      </c>
    </row>
    <row r="29" spans="2:5" ht="15">
      <c r="B29" s="77" t="s">
        <v>109</v>
      </c>
      <c r="C29" s="78">
        <v>1</v>
      </c>
      <c r="D29" s="57">
        <v>100</v>
      </c>
      <c r="E29" s="79">
        <f aca="true" t="shared" si="1" ref="E29:E35">D29*C29</f>
        <v>100</v>
      </c>
    </row>
    <row r="30" spans="2:5" ht="15">
      <c r="B30" s="77" t="s">
        <v>110</v>
      </c>
      <c r="C30" s="78">
        <v>1</v>
      </c>
      <c r="D30" s="57">
        <v>120</v>
      </c>
      <c r="E30" s="79">
        <f t="shared" si="1"/>
        <v>120</v>
      </c>
    </row>
    <row r="31" spans="2:5" ht="15">
      <c r="B31" s="77" t="s">
        <v>111</v>
      </c>
      <c r="C31" s="78">
        <v>4</v>
      </c>
      <c r="D31" s="57">
        <v>8</v>
      </c>
      <c r="E31" s="79">
        <f t="shared" si="1"/>
        <v>32</v>
      </c>
    </row>
    <row r="32" spans="2:5" ht="15">
      <c r="B32" s="77" t="s">
        <v>238</v>
      </c>
      <c r="C32" s="78">
        <v>2</v>
      </c>
      <c r="D32" s="57">
        <v>40</v>
      </c>
      <c r="E32" s="79">
        <f t="shared" si="1"/>
        <v>80</v>
      </c>
    </row>
    <row r="33" spans="2:5" ht="15">
      <c r="B33" s="77" t="s">
        <v>112</v>
      </c>
      <c r="C33" s="78">
        <v>2</v>
      </c>
      <c r="D33" s="57">
        <v>10</v>
      </c>
      <c r="E33" s="79">
        <f t="shared" si="1"/>
        <v>20</v>
      </c>
    </row>
    <row r="34" spans="2:5" ht="15">
      <c r="B34" s="77" t="s">
        <v>246</v>
      </c>
      <c r="C34" s="78">
        <v>1</v>
      </c>
      <c r="D34" s="57">
        <v>30</v>
      </c>
      <c r="E34" s="79">
        <f t="shared" si="1"/>
        <v>30</v>
      </c>
    </row>
    <row r="35" spans="2:5" ht="15.75" thickBot="1">
      <c r="B35" s="77" t="s">
        <v>113</v>
      </c>
      <c r="C35" s="78">
        <v>4</v>
      </c>
      <c r="D35" s="57">
        <v>4</v>
      </c>
      <c r="E35" s="79">
        <f t="shared" si="1"/>
        <v>16</v>
      </c>
    </row>
    <row r="36" spans="2:5" ht="16.5" thickBot="1">
      <c r="B36" s="445" t="s">
        <v>37</v>
      </c>
      <c r="C36" s="446"/>
      <c r="D36" s="75">
        <f>SUM(D29:D35)</f>
        <v>312</v>
      </c>
      <c r="E36" s="76">
        <f>SUM(E29:E35)</f>
        <v>398</v>
      </c>
    </row>
    <row r="38" ht="15.75" thickBot="1"/>
    <row r="39" spans="2:5" ht="16.5" thickBot="1">
      <c r="B39" s="452" t="s">
        <v>114</v>
      </c>
      <c r="C39" s="453"/>
      <c r="D39" s="453"/>
      <c r="E39" s="454"/>
    </row>
    <row r="40" spans="2:5" ht="16.5" thickBot="1">
      <c r="B40" s="72" t="s">
        <v>18</v>
      </c>
      <c r="C40" s="80" t="s">
        <v>20</v>
      </c>
      <c r="D40" s="81" t="s">
        <v>21</v>
      </c>
      <c r="E40" s="73" t="s">
        <v>22</v>
      </c>
    </row>
    <row r="41" spans="2:5" ht="15">
      <c r="B41" s="77" t="s">
        <v>115</v>
      </c>
      <c r="C41" s="78">
        <v>1</v>
      </c>
      <c r="D41" s="57">
        <v>15</v>
      </c>
      <c r="E41" s="79">
        <f>D41*C41</f>
        <v>15</v>
      </c>
    </row>
    <row r="42" spans="2:5" ht="15">
      <c r="B42" s="77" t="s">
        <v>116</v>
      </c>
      <c r="C42" s="78">
        <v>1</v>
      </c>
      <c r="D42" s="57">
        <v>200</v>
      </c>
      <c r="E42" s="79">
        <f>D42*C42</f>
        <v>200</v>
      </c>
    </row>
    <row r="43" spans="2:5" ht="15.75" thickBot="1">
      <c r="B43" s="77" t="s">
        <v>157</v>
      </c>
      <c r="C43" s="83">
        <v>3</v>
      </c>
      <c r="D43" s="57">
        <v>20</v>
      </c>
      <c r="E43" s="79">
        <f>C43*D43</f>
        <v>60</v>
      </c>
    </row>
    <row r="44" spans="2:5" ht="16.5" thickBot="1">
      <c r="B44" s="445" t="s">
        <v>37</v>
      </c>
      <c r="C44" s="446"/>
      <c r="D44" s="75">
        <f>SUM(D41:D43)</f>
        <v>235</v>
      </c>
      <c r="E44" s="76">
        <f>SUM(E41:E43)</f>
        <v>275</v>
      </c>
    </row>
    <row r="45" spans="2:5" ht="15">
      <c r="B45" s="2"/>
      <c r="C45" s="2"/>
      <c r="D45" s="2"/>
      <c r="E45" s="2"/>
    </row>
    <row r="46" spans="2:5" ht="15.75" thickBot="1">
      <c r="B46" s="2"/>
      <c r="C46" s="2"/>
      <c r="D46" s="2"/>
      <c r="E46" s="2"/>
    </row>
    <row r="47" spans="2:5" ht="16.5" thickBot="1">
      <c r="B47" s="452" t="s">
        <v>139</v>
      </c>
      <c r="C47" s="453"/>
      <c r="D47" s="453"/>
      <c r="E47" s="454"/>
    </row>
    <row r="48" spans="2:5" ht="16.5" thickBot="1">
      <c r="B48" s="85" t="s">
        <v>18</v>
      </c>
      <c r="C48" s="86" t="s">
        <v>239</v>
      </c>
      <c r="D48" s="87" t="s">
        <v>21</v>
      </c>
      <c r="E48" s="88" t="s">
        <v>22</v>
      </c>
    </row>
    <row r="49" spans="2:5" ht="15">
      <c r="B49" s="89" t="s">
        <v>140</v>
      </c>
      <c r="C49" s="90">
        <v>1</v>
      </c>
      <c r="D49" s="91">
        <v>3</v>
      </c>
      <c r="E49" s="92">
        <f aca="true" t="shared" si="2" ref="E49:E66">D49*C49</f>
        <v>3</v>
      </c>
    </row>
    <row r="50" spans="2:5" ht="15.75" customHeight="1">
      <c r="B50" s="93" t="s">
        <v>141</v>
      </c>
      <c r="C50" s="94">
        <v>1</v>
      </c>
      <c r="D50" s="95">
        <v>2.5</v>
      </c>
      <c r="E50" s="96">
        <f t="shared" si="2"/>
        <v>2.5</v>
      </c>
    </row>
    <row r="51" spans="2:5" ht="15.75" customHeight="1">
      <c r="B51" s="93" t="s">
        <v>142</v>
      </c>
      <c r="C51" s="94">
        <v>1</v>
      </c>
      <c r="D51" s="95">
        <v>2.5</v>
      </c>
      <c r="E51" s="96">
        <f t="shared" si="2"/>
        <v>2.5</v>
      </c>
    </row>
    <row r="52" spans="2:5" ht="15.75" customHeight="1">
      <c r="B52" s="93" t="s">
        <v>143</v>
      </c>
      <c r="C52" s="94">
        <v>1</v>
      </c>
      <c r="D52" s="95">
        <v>1.5</v>
      </c>
      <c r="E52" s="96">
        <f t="shared" si="2"/>
        <v>1.5</v>
      </c>
    </row>
    <row r="53" spans="2:5" ht="15.75" customHeight="1">
      <c r="B53" s="93" t="s">
        <v>144</v>
      </c>
      <c r="C53" s="94">
        <v>1</v>
      </c>
      <c r="D53" s="95">
        <v>0.2</v>
      </c>
      <c r="E53" s="96">
        <f t="shared" si="2"/>
        <v>0.2</v>
      </c>
    </row>
    <row r="54" spans="2:5" ht="15.75" customHeight="1">
      <c r="B54" s="93" t="s">
        <v>240</v>
      </c>
      <c r="C54" s="94">
        <v>4</v>
      </c>
      <c r="D54" s="95">
        <v>1</v>
      </c>
      <c r="E54" s="96">
        <f t="shared" si="2"/>
        <v>4</v>
      </c>
    </row>
    <row r="55" spans="2:5" ht="15.75" customHeight="1">
      <c r="B55" s="93" t="s">
        <v>145</v>
      </c>
      <c r="C55" s="94">
        <v>1</v>
      </c>
      <c r="D55" s="95">
        <v>2</v>
      </c>
      <c r="E55" s="96">
        <f t="shared" si="2"/>
        <v>2</v>
      </c>
    </row>
    <row r="56" spans="2:5" ht="15.75" customHeight="1">
      <c r="B56" s="93" t="s">
        <v>146</v>
      </c>
      <c r="C56" s="94">
        <v>1</v>
      </c>
      <c r="D56" s="95">
        <v>0.7</v>
      </c>
      <c r="E56" s="96">
        <f t="shared" si="2"/>
        <v>0.7</v>
      </c>
    </row>
    <row r="57" spans="2:5" ht="15.75" customHeight="1">
      <c r="B57" s="93" t="s">
        <v>147</v>
      </c>
      <c r="C57" s="94">
        <v>1</v>
      </c>
      <c r="D57" s="95">
        <v>1</v>
      </c>
      <c r="E57" s="96">
        <f t="shared" si="2"/>
        <v>1</v>
      </c>
    </row>
    <row r="58" spans="2:5" ht="15.75" customHeight="1">
      <c r="B58" s="93" t="s">
        <v>148</v>
      </c>
      <c r="C58" s="94">
        <v>1</v>
      </c>
      <c r="D58" s="95">
        <v>0.8</v>
      </c>
      <c r="E58" s="96">
        <f t="shared" si="2"/>
        <v>0.8</v>
      </c>
    </row>
    <row r="59" spans="2:5" ht="15.75" customHeight="1">
      <c r="B59" s="93" t="s">
        <v>149</v>
      </c>
      <c r="C59" s="94">
        <v>1</v>
      </c>
      <c r="D59" s="95">
        <v>5</v>
      </c>
      <c r="E59" s="96">
        <f t="shared" si="2"/>
        <v>5</v>
      </c>
    </row>
    <row r="60" spans="2:5" ht="15.75" customHeight="1">
      <c r="B60" s="93" t="s">
        <v>150</v>
      </c>
      <c r="C60" s="94">
        <v>1</v>
      </c>
      <c r="D60" s="95">
        <v>1.5</v>
      </c>
      <c r="E60" s="96">
        <f t="shared" si="2"/>
        <v>1.5</v>
      </c>
    </row>
    <row r="61" spans="2:5" ht="15.75" customHeight="1">
      <c r="B61" s="93" t="s">
        <v>151</v>
      </c>
      <c r="C61" s="94">
        <v>1</v>
      </c>
      <c r="D61" s="95">
        <v>3</v>
      </c>
      <c r="E61" s="96">
        <f t="shared" si="2"/>
        <v>3</v>
      </c>
    </row>
    <row r="62" spans="2:5" ht="15.75" customHeight="1">
      <c r="B62" s="93" t="s">
        <v>152</v>
      </c>
      <c r="C62" s="94">
        <v>1</v>
      </c>
      <c r="D62" s="95">
        <v>3.5</v>
      </c>
      <c r="E62" s="96">
        <f t="shared" si="2"/>
        <v>3.5</v>
      </c>
    </row>
    <row r="63" spans="2:5" ht="15.75" customHeight="1">
      <c r="B63" s="93" t="s">
        <v>153</v>
      </c>
      <c r="C63" s="94">
        <v>1</v>
      </c>
      <c r="D63" s="95">
        <v>3</v>
      </c>
      <c r="E63" s="96">
        <f t="shared" si="2"/>
        <v>3</v>
      </c>
    </row>
    <row r="64" spans="2:5" ht="15.75" customHeight="1">
      <c r="B64" s="93" t="s">
        <v>154</v>
      </c>
      <c r="C64" s="94">
        <v>1</v>
      </c>
      <c r="D64" s="95">
        <v>1</v>
      </c>
      <c r="E64" s="96">
        <f t="shared" si="2"/>
        <v>1</v>
      </c>
    </row>
    <row r="65" spans="2:5" ht="15.75" customHeight="1">
      <c r="B65" s="93" t="s">
        <v>155</v>
      </c>
      <c r="C65" s="94">
        <v>1</v>
      </c>
      <c r="D65" s="95">
        <v>1.8</v>
      </c>
      <c r="E65" s="96">
        <f t="shared" si="2"/>
        <v>1.8</v>
      </c>
    </row>
    <row r="66" spans="2:5" ht="15.75" customHeight="1" thickBot="1">
      <c r="B66" s="97" t="s">
        <v>156</v>
      </c>
      <c r="C66" s="98">
        <v>1</v>
      </c>
      <c r="D66" s="99">
        <v>2.8</v>
      </c>
      <c r="E66" s="100">
        <f t="shared" si="2"/>
        <v>2.8</v>
      </c>
    </row>
    <row r="67" spans="2:5" ht="16.5" thickBot="1">
      <c r="B67" s="445" t="s">
        <v>37</v>
      </c>
      <c r="C67" s="455"/>
      <c r="D67" s="446"/>
      <c r="E67" s="76">
        <f>SUM(E49:E66)</f>
        <v>39.8</v>
      </c>
    </row>
    <row r="68" spans="2:5" ht="15.75" thickBot="1">
      <c r="B68" s="1"/>
      <c r="C68" s="1"/>
      <c r="D68" s="8"/>
      <c r="E68" s="8"/>
    </row>
    <row r="69" spans="2:5" ht="16.5" thickBot="1">
      <c r="B69" s="458" t="s">
        <v>163</v>
      </c>
      <c r="C69" s="459"/>
      <c r="D69" s="8"/>
      <c r="E69" s="8"/>
    </row>
    <row r="70" spans="2:5" ht="15">
      <c r="B70" s="101" t="s">
        <v>135</v>
      </c>
      <c r="C70" s="102">
        <v>200</v>
      </c>
      <c r="D70" s="8"/>
      <c r="E70" s="8"/>
    </row>
    <row r="71" spans="2:5" ht="15">
      <c r="B71" s="103" t="s">
        <v>136</v>
      </c>
      <c r="C71" s="104">
        <v>250</v>
      </c>
      <c r="D71" s="8"/>
      <c r="E71" s="8"/>
    </row>
    <row r="72" spans="2:5" ht="15">
      <c r="B72" s="103" t="s">
        <v>137</v>
      </c>
      <c r="C72" s="104">
        <v>100</v>
      </c>
      <c r="D72" s="8"/>
      <c r="E72" s="8"/>
    </row>
    <row r="73" spans="2:5" ht="15">
      <c r="B73" s="103" t="s">
        <v>161</v>
      </c>
      <c r="C73" s="104">
        <v>7.08</v>
      </c>
      <c r="D73" s="8"/>
      <c r="E73" s="8"/>
    </row>
    <row r="74" spans="2:5" ht="15.75" thickBot="1">
      <c r="B74" s="105" t="s">
        <v>138</v>
      </c>
      <c r="C74" s="106">
        <v>300</v>
      </c>
      <c r="D74" s="8"/>
      <c r="E74" s="8"/>
    </row>
    <row r="75" spans="2:5" ht="16.5" thickBot="1">
      <c r="B75" s="107" t="s">
        <v>37</v>
      </c>
      <c r="C75" s="76">
        <f>SUM(C70:C74)</f>
        <v>857.08</v>
      </c>
      <c r="D75" s="8"/>
      <c r="E75" s="8"/>
    </row>
    <row r="76" spans="2:5" ht="15.75" thickBot="1">
      <c r="B76" s="1"/>
      <c r="C76" s="1"/>
      <c r="D76" s="8"/>
      <c r="E76" s="8"/>
    </row>
    <row r="77" spans="2:5" ht="16.5" thickBot="1">
      <c r="B77" s="452" t="s">
        <v>118</v>
      </c>
      <c r="C77" s="453"/>
      <c r="D77" s="453"/>
      <c r="E77" s="454"/>
    </row>
    <row r="78" spans="2:5" ht="16.5" thickBot="1">
      <c r="B78" s="72" t="s">
        <v>18</v>
      </c>
      <c r="C78" s="80" t="s">
        <v>20</v>
      </c>
      <c r="D78" s="81" t="s">
        <v>21</v>
      </c>
      <c r="E78" s="73" t="s">
        <v>22</v>
      </c>
    </row>
    <row r="79" spans="2:5" ht="15">
      <c r="B79" s="77" t="s">
        <v>241</v>
      </c>
      <c r="C79" s="78">
        <v>1</v>
      </c>
      <c r="D79" s="57">
        <v>600</v>
      </c>
      <c r="E79" s="79">
        <f>D79*C79</f>
        <v>600</v>
      </c>
    </row>
    <row r="80" spans="2:5" ht="15">
      <c r="B80" s="77" t="s">
        <v>119</v>
      </c>
      <c r="C80" s="78">
        <v>1</v>
      </c>
      <c r="D80" s="57">
        <v>120</v>
      </c>
      <c r="E80" s="79">
        <f>D80*C80</f>
        <v>120</v>
      </c>
    </row>
    <row r="81" spans="2:5" ht="15.75" thickBot="1">
      <c r="B81" s="77" t="s">
        <v>120</v>
      </c>
      <c r="C81" s="78">
        <v>1</v>
      </c>
      <c r="D81" s="57">
        <v>70</v>
      </c>
      <c r="E81" s="79">
        <f>D81*C81</f>
        <v>70</v>
      </c>
    </row>
    <row r="82" spans="2:5" ht="16.5" thickBot="1">
      <c r="B82" s="445" t="s">
        <v>37</v>
      </c>
      <c r="C82" s="446"/>
      <c r="D82" s="76">
        <f>SUM(D79:D81)</f>
        <v>790</v>
      </c>
      <c r="E82" s="76">
        <f>SUM(E79:E81)</f>
        <v>790</v>
      </c>
    </row>
    <row r="83" spans="2:5" ht="15">
      <c r="B83" s="1"/>
      <c r="C83" s="1"/>
      <c r="D83" s="8"/>
      <c r="E83" s="8"/>
    </row>
    <row r="84" spans="2:5" ht="15.75" thickBot="1">
      <c r="B84" s="1"/>
      <c r="C84" s="1"/>
      <c r="D84" s="8"/>
      <c r="E84" s="8"/>
    </row>
    <row r="85" spans="2:5" ht="16.5" thickBot="1">
      <c r="B85" s="452" t="s">
        <v>129</v>
      </c>
      <c r="C85" s="453"/>
      <c r="D85" s="454"/>
      <c r="E85" s="8"/>
    </row>
    <row r="86" spans="2:5" ht="16.5" thickBot="1">
      <c r="B86" s="85" t="s">
        <v>18</v>
      </c>
      <c r="C86" s="86" t="s">
        <v>48</v>
      </c>
      <c r="D86" s="108" t="s">
        <v>130</v>
      </c>
      <c r="E86" s="8"/>
    </row>
    <row r="87" spans="2:5" ht="15">
      <c r="B87" s="89" t="s">
        <v>131</v>
      </c>
      <c r="C87" s="91">
        <v>10</v>
      </c>
      <c r="D87" s="92">
        <f>C87*12</f>
        <v>120</v>
      </c>
      <c r="E87" s="8"/>
    </row>
    <row r="88" spans="2:5" ht="15">
      <c r="B88" s="93" t="s">
        <v>132</v>
      </c>
      <c r="C88" s="95">
        <v>15</v>
      </c>
      <c r="D88" s="96">
        <f>C88*12</f>
        <v>180</v>
      </c>
      <c r="E88" s="8"/>
    </row>
    <row r="89" spans="2:5" ht="15.75" thickBot="1">
      <c r="B89" s="97" t="s">
        <v>133</v>
      </c>
      <c r="C89" s="99">
        <v>10</v>
      </c>
      <c r="D89" s="100">
        <f>C89*12</f>
        <v>120</v>
      </c>
      <c r="E89" s="8"/>
    </row>
    <row r="90" spans="2:5" ht="16.5" thickBot="1">
      <c r="B90" s="109" t="s">
        <v>37</v>
      </c>
      <c r="C90" s="76">
        <f>SUM(C87:C89)</f>
        <v>35</v>
      </c>
      <c r="D90" s="76">
        <f>SUM(D87:D89)</f>
        <v>420</v>
      </c>
      <c r="E90" s="8"/>
    </row>
    <row r="91" spans="2:5" ht="15">
      <c r="B91" s="1"/>
      <c r="C91" s="8"/>
      <c r="D91" s="8"/>
      <c r="E91" s="8"/>
    </row>
    <row r="93" ht="15.75" thickBot="1"/>
    <row r="94" spans="2:6" ht="23.25" customHeight="1" thickBot="1">
      <c r="B94" s="447" t="s">
        <v>121</v>
      </c>
      <c r="C94" s="448"/>
      <c r="D94" s="449"/>
      <c r="E94" s="450"/>
      <c r="F94" s="451"/>
    </row>
    <row r="95" spans="2:6" ht="22.5" customHeight="1" thickBot="1">
      <c r="B95" s="112"/>
      <c r="C95" s="112"/>
      <c r="D95" s="384" t="s">
        <v>47</v>
      </c>
      <c r="E95" s="385" t="s">
        <v>158</v>
      </c>
      <c r="F95" s="384" t="s">
        <v>160</v>
      </c>
    </row>
    <row r="96" spans="2:6" ht="15">
      <c r="B96" s="113" t="s">
        <v>123</v>
      </c>
      <c r="C96" s="114"/>
      <c r="D96" s="115"/>
      <c r="E96" s="54">
        <f>SUM(D97:D105)</f>
        <v>18377.35</v>
      </c>
      <c r="F96" s="111">
        <f>E96*10%</f>
        <v>1837.735</v>
      </c>
    </row>
    <row r="97" spans="2:6" ht="15">
      <c r="B97" s="116"/>
      <c r="C97" s="116" t="s">
        <v>78</v>
      </c>
      <c r="D97" s="117">
        <f>'COSTOS VARIABLES'!F23+'COSTOS VARIABLES'!F27+'COSTOS VARIABLES'!F31+'COSTOS VARIABLES'!F35+'COSTOS VARIABLES'!F39</f>
        <v>2632.1000000000004</v>
      </c>
      <c r="E97" s="118"/>
      <c r="F97" s="116"/>
    </row>
    <row r="98" spans="2:6" ht="15">
      <c r="B98" s="116"/>
      <c r="C98" s="116" t="s">
        <v>125</v>
      </c>
      <c r="D98" s="117">
        <f>'COSTOS VARIABLES'!F44+'COSTOS VARIABLES'!F48</f>
        <v>1579.2</v>
      </c>
      <c r="E98" s="119"/>
      <c r="F98" s="116"/>
    </row>
    <row r="99" spans="2:6" ht="15">
      <c r="B99" s="116"/>
      <c r="C99" s="116" t="s">
        <v>77</v>
      </c>
      <c r="D99" s="117">
        <f>'COSTOS VARIABLES'!D18</f>
        <v>13374</v>
      </c>
      <c r="E99" s="119"/>
      <c r="F99" s="116"/>
    </row>
    <row r="100" spans="2:6" ht="15">
      <c r="B100" s="116"/>
      <c r="C100" s="116" t="s">
        <v>66</v>
      </c>
      <c r="D100" s="117">
        <f>'COSTOS FIJOS'!F24</f>
        <v>96</v>
      </c>
      <c r="E100" s="119"/>
      <c r="F100" s="116"/>
    </row>
    <row r="101" spans="2:6" ht="15">
      <c r="B101" s="116"/>
      <c r="C101" s="116" t="s">
        <v>67</v>
      </c>
      <c r="D101" s="117">
        <f>'COSTOS FIJOS'!F29</f>
        <v>20.25</v>
      </c>
      <c r="E101" s="119"/>
      <c r="F101" s="116"/>
    </row>
    <row r="102" spans="2:6" ht="15">
      <c r="B102" s="116"/>
      <c r="C102" s="116" t="s">
        <v>126</v>
      </c>
      <c r="D102" s="117">
        <f>'COSTOS VARIABLES'!F64</f>
        <v>156</v>
      </c>
      <c r="E102" s="120"/>
      <c r="F102" s="116"/>
    </row>
    <row r="103" spans="2:6" ht="15">
      <c r="B103" s="116"/>
      <c r="C103" s="116" t="s">
        <v>127</v>
      </c>
      <c r="D103" s="117">
        <f>E67</f>
        <v>39.8</v>
      </c>
      <c r="E103" s="120"/>
      <c r="F103" s="116"/>
    </row>
    <row r="104" spans="2:6" ht="15">
      <c r="B104" s="116"/>
      <c r="C104" s="116" t="s">
        <v>128</v>
      </c>
      <c r="D104" s="121">
        <f>D90</f>
        <v>420</v>
      </c>
      <c r="E104" s="122"/>
      <c r="F104" s="123"/>
    </row>
    <row r="105" spans="2:6" ht="15">
      <c r="B105" s="116"/>
      <c r="C105" s="116" t="s">
        <v>68</v>
      </c>
      <c r="D105" s="121">
        <f>'COSTOS FIJOS'!F34</f>
        <v>60</v>
      </c>
      <c r="E105" s="122"/>
      <c r="F105" s="123"/>
    </row>
    <row r="106" spans="2:6" ht="15">
      <c r="B106" s="116"/>
      <c r="C106" s="116"/>
      <c r="D106" s="124"/>
      <c r="E106" s="125"/>
      <c r="F106" s="126"/>
    </row>
    <row r="107" spans="2:6" ht="15">
      <c r="B107" s="113" t="s">
        <v>122</v>
      </c>
      <c r="C107" s="116"/>
      <c r="D107" s="117"/>
      <c r="E107" s="54">
        <f>SUM(D108:D112)</f>
        <v>4284.68</v>
      </c>
      <c r="F107" s="55">
        <f>E107*10%</f>
        <v>428.4680000000001</v>
      </c>
    </row>
    <row r="108" spans="2:6" ht="15">
      <c r="B108" s="114"/>
      <c r="C108" s="116" t="s">
        <v>134</v>
      </c>
      <c r="D108" s="117">
        <f>E16</f>
        <v>2758.6800000000003</v>
      </c>
      <c r="E108" s="127"/>
      <c r="F108" s="126"/>
    </row>
    <row r="109" spans="2:6" ht="15">
      <c r="B109" s="114"/>
      <c r="C109" s="116" t="s">
        <v>86</v>
      </c>
      <c r="D109" s="117">
        <f>E25</f>
        <v>63</v>
      </c>
      <c r="E109" s="127"/>
      <c r="F109" s="126"/>
    </row>
    <row r="110" spans="2:6" ht="15">
      <c r="B110" s="114"/>
      <c r="C110" s="116" t="s">
        <v>87</v>
      </c>
      <c r="D110" s="117">
        <f>E36</f>
        <v>398</v>
      </c>
      <c r="E110" s="127"/>
      <c r="F110" s="126"/>
    </row>
    <row r="111" spans="2:6" ht="15">
      <c r="B111" s="114"/>
      <c r="C111" s="116" t="s">
        <v>88</v>
      </c>
      <c r="D111" s="117">
        <f>E44</f>
        <v>275</v>
      </c>
      <c r="E111" s="127"/>
      <c r="F111" s="126"/>
    </row>
    <row r="112" spans="2:6" ht="15">
      <c r="B112" s="114"/>
      <c r="C112" s="116" t="s">
        <v>89</v>
      </c>
      <c r="D112" s="117">
        <f>E82</f>
        <v>790</v>
      </c>
      <c r="E112" s="127"/>
      <c r="F112" s="126"/>
    </row>
    <row r="113" spans="2:6" ht="15">
      <c r="B113" s="114"/>
      <c r="C113" s="116"/>
      <c r="D113" s="117"/>
      <c r="E113" s="127"/>
      <c r="F113" s="126"/>
    </row>
    <row r="114" spans="2:6" ht="15">
      <c r="B114" s="113" t="s">
        <v>124</v>
      </c>
      <c r="C114" s="116"/>
      <c r="D114" s="117"/>
      <c r="E114" s="54">
        <f>SUM(D115:D119)</f>
        <v>857.08</v>
      </c>
      <c r="F114" s="55">
        <f>E114*10%</f>
        <v>85.70800000000001</v>
      </c>
    </row>
    <row r="115" spans="2:6" ht="15">
      <c r="B115" s="114"/>
      <c r="C115" s="128" t="s">
        <v>135</v>
      </c>
      <c r="D115" s="117">
        <f>C70</f>
        <v>200</v>
      </c>
      <c r="E115" s="127"/>
      <c r="F115" s="126"/>
    </row>
    <row r="116" spans="2:6" ht="15">
      <c r="B116" s="114"/>
      <c r="C116" s="128" t="s">
        <v>136</v>
      </c>
      <c r="D116" s="117">
        <f>C71</f>
        <v>250</v>
      </c>
      <c r="E116" s="127"/>
      <c r="F116" s="126"/>
    </row>
    <row r="117" spans="2:6" ht="15">
      <c r="B117" s="114"/>
      <c r="C117" s="128" t="s">
        <v>137</v>
      </c>
      <c r="D117" s="117">
        <f>C72</f>
        <v>100</v>
      </c>
      <c r="E117" s="127"/>
      <c r="F117" s="126"/>
    </row>
    <row r="118" spans="2:6" ht="15">
      <c r="B118" s="114"/>
      <c r="C118" s="128" t="s">
        <v>161</v>
      </c>
      <c r="D118" s="117">
        <f>C73</f>
        <v>7.08</v>
      </c>
      <c r="E118" s="127"/>
      <c r="F118" s="126"/>
    </row>
    <row r="119" spans="2:6" ht="15">
      <c r="B119" s="114"/>
      <c r="C119" s="128" t="s">
        <v>138</v>
      </c>
      <c r="D119" s="117">
        <f>C74</f>
        <v>300</v>
      </c>
      <c r="E119" s="127"/>
      <c r="F119" s="126"/>
    </row>
    <row r="120" spans="2:6" ht="15.75" thickBot="1">
      <c r="B120" s="129"/>
      <c r="C120" s="130"/>
      <c r="D120" s="131"/>
      <c r="E120" s="132"/>
      <c r="F120" s="133"/>
    </row>
    <row r="121" spans="2:6" ht="21" customHeight="1" thickBot="1">
      <c r="B121" s="445" t="s">
        <v>37</v>
      </c>
      <c r="C121" s="455"/>
      <c r="D121" s="455"/>
      <c r="E121" s="386">
        <f>E114+E107+E96</f>
        <v>23519.11</v>
      </c>
      <c r="F121" s="387">
        <f>F114+F107+F96</f>
        <v>2351.911</v>
      </c>
    </row>
    <row r="122" spans="2:6" ht="21" customHeight="1" thickBot="1">
      <c r="B122" s="445" t="s">
        <v>164</v>
      </c>
      <c r="C122" s="455"/>
      <c r="D122" s="446"/>
      <c r="E122" s="456">
        <f>E121+F121</f>
        <v>25871.021</v>
      </c>
      <c r="F122" s="457"/>
    </row>
    <row r="125" spans="1:6" ht="15">
      <c r="A125" s="331"/>
      <c r="B125" s="331"/>
      <c r="C125" s="331"/>
      <c r="D125" s="331"/>
      <c r="E125" s="331"/>
      <c r="F125" s="331"/>
    </row>
    <row r="126" spans="1:6" ht="15.75">
      <c r="A126" s="331"/>
      <c r="B126" s="444"/>
      <c r="C126" s="444"/>
      <c r="D126" s="444"/>
      <c r="E126" s="444"/>
      <c r="F126" s="331"/>
    </row>
    <row r="127" spans="1:6" ht="15.75">
      <c r="A127" s="331"/>
      <c r="B127" s="332"/>
      <c r="C127" s="333"/>
      <c r="D127" s="334"/>
      <c r="E127" s="334"/>
      <c r="F127" s="331"/>
    </row>
    <row r="128" spans="1:6" ht="15">
      <c r="A128" s="331"/>
      <c r="B128" s="166"/>
      <c r="C128" s="335"/>
      <c r="D128" s="166"/>
      <c r="E128" s="166"/>
      <c r="F128" s="331"/>
    </row>
    <row r="129" spans="1:6" ht="15">
      <c r="A129" s="331"/>
      <c r="B129" s="166"/>
      <c r="C129" s="336"/>
      <c r="D129" s="336"/>
      <c r="E129" s="336"/>
      <c r="F129" s="331"/>
    </row>
    <row r="130" spans="1:6" ht="15">
      <c r="A130" s="331"/>
      <c r="B130" s="166"/>
      <c r="C130" s="336"/>
      <c r="D130" s="336"/>
      <c r="E130" s="336"/>
      <c r="F130" s="331"/>
    </row>
    <row r="131" spans="1:6" ht="15">
      <c r="A131" s="331"/>
      <c r="B131" s="166"/>
      <c r="C131" s="336"/>
      <c r="D131" s="336"/>
      <c r="E131" s="336"/>
      <c r="F131" s="331"/>
    </row>
    <row r="132" spans="1:6" ht="15.75">
      <c r="A132" s="331"/>
      <c r="B132" s="332"/>
      <c r="C132" s="337"/>
      <c r="D132" s="338"/>
      <c r="E132" s="166"/>
      <c r="F132" s="331"/>
    </row>
    <row r="133" spans="1:6" ht="15">
      <c r="A133" s="331"/>
      <c r="B133" s="331"/>
      <c r="C133" s="339"/>
      <c r="D133" s="331"/>
      <c r="E133" s="331"/>
      <c r="F133" s="331"/>
    </row>
    <row r="134" spans="1:6" ht="15">
      <c r="A134" s="331"/>
      <c r="B134" s="331"/>
      <c r="C134" s="331"/>
      <c r="D134" s="331"/>
      <c r="E134" s="331"/>
      <c r="F134" s="331"/>
    </row>
    <row r="135" spans="1:6" ht="15.75">
      <c r="A135" s="331"/>
      <c r="B135" s="444"/>
      <c r="C135" s="444"/>
      <c r="D135" s="444"/>
      <c r="E135" s="444"/>
      <c r="F135" s="331"/>
    </row>
    <row r="136" spans="1:6" ht="15.75">
      <c r="A136" s="331"/>
      <c r="B136" s="332"/>
      <c r="C136" s="333"/>
      <c r="D136" s="334"/>
      <c r="E136" s="334"/>
      <c r="F136" s="331"/>
    </row>
    <row r="137" spans="1:6" ht="15">
      <c r="A137" s="331"/>
      <c r="B137" s="166"/>
      <c r="C137" s="335"/>
      <c r="D137" s="166"/>
      <c r="E137" s="166"/>
      <c r="F137" s="331"/>
    </row>
    <row r="138" spans="1:6" ht="15">
      <c r="A138" s="331"/>
      <c r="B138" s="166"/>
      <c r="C138" s="336"/>
      <c r="D138" s="336"/>
      <c r="E138" s="336"/>
      <c r="F138" s="331"/>
    </row>
    <row r="139" spans="1:6" ht="15">
      <c r="A139" s="331"/>
      <c r="B139" s="166"/>
      <c r="C139" s="336"/>
      <c r="D139" s="336"/>
      <c r="E139" s="336"/>
      <c r="F139" s="331"/>
    </row>
    <row r="140" spans="1:6" ht="15">
      <c r="A140" s="331"/>
      <c r="B140" s="166"/>
      <c r="C140" s="336"/>
      <c r="D140" s="336"/>
      <c r="E140" s="336"/>
      <c r="F140" s="331"/>
    </row>
    <row r="141" spans="1:6" ht="15.75">
      <c r="A141" s="331"/>
      <c r="B141" s="332"/>
      <c r="C141" s="337"/>
      <c r="D141" s="338"/>
      <c r="E141" s="166"/>
      <c r="F141" s="331"/>
    </row>
    <row r="142" spans="1:6" ht="15">
      <c r="A142" s="331"/>
      <c r="B142" s="331"/>
      <c r="C142" s="331"/>
      <c r="D142" s="331"/>
      <c r="E142" s="331"/>
      <c r="F142" s="331"/>
    </row>
  </sheetData>
  <sheetProtection/>
  <mergeCells count="20">
    <mergeCell ref="B2:E2"/>
    <mergeCell ref="B18:E18"/>
    <mergeCell ref="B69:C69"/>
    <mergeCell ref="B121:D121"/>
    <mergeCell ref="B67:D67"/>
    <mergeCell ref="B25:C25"/>
    <mergeCell ref="B27:E27"/>
    <mergeCell ref="B36:C36"/>
    <mergeCell ref="B39:E39"/>
    <mergeCell ref="B44:C44"/>
    <mergeCell ref="B135:E135"/>
    <mergeCell ref="B82:C82"/>
    <mergeCell ref="B94:F94"/>
    <mergeCell ref="B85:D85"/>
    <mergeCell ref="B16:C16"/>
    <mergeCell ref="B126:E126"/>
    <mergeCell ref="B122:D122"/>
    <mergeCell ref="E122:F122"/>
    <mergeCell ref="B47:E47"/>
    <mergeCell ref="B77:E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3">
      <selection activeCell="C2" sqref="C2"/>
    </sheetView>
  </sheetViews>
  <sheetFormatPr defaultColWidth="11.421875" defaultRowHeight="15"/>
  <cols>
    <col min="1" max="1" width="15.7109375" style="0" bestFit="1" customWidth="1"/>
    <col min="2" max="2" width="13.57421875" style="0" bestFit="1" customWidth="1"/>
    <col min="3" max="3" width="10.57421875" style="0" bestFit="1" customWidth="1"/>
    <col min="4" max="11" width="11.7109375" style="0" bestFit="1" customWidth="1"/>
  </cols>
  <sheetData>
    <row r="1" ht="15.75" thickBot="1"/>
    <row r="2" spans="2:3" ht="15.75" thickBot="1">
      <c r="B2" s="301" t="s">
        <v>251</v>
      </c>
      <c r="C2" s="15">
        <f>+DATOS!C21*DATOS!C23</f>
        <v>46845.700000000004</v>
      </c>
    </row>
    <row r="3" ht="15.75" thickBot="1"/>
    <row r="4" spans="1:14" ht="15.75" thickBot="1">
      <c r="A4" s="413" t="s">
        <v>262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14"/>
    </row>
    <row r="5" spans="1:14" s="278" customFormat="1" ht="15.75" thickBot="1">
      <c r="A5" s="287" t="s">
        <v>252</v>
      </c>
      <c r="B5" s="309">
        <v>0</v>
      </c>
      <c r="C5" s="287">
        <v>1</v>
      </c>
      <c r="D5" s="309">
        <v>2</v>
      </c>
      <c r="E5" s="287">
        <v>3</v>
      </c>
      <c r="F5" s="309">
        <v>4</v>
      </c>
      <c r="G5" s="287">
        <v>5</v>
      </c>
      <c r="H5" s="309">
        <v>6</v>
      </c>
      <c r="I5" s="287">
        <v>7</v>
      </c>
      <c r="J5" s="309">
        <v>8</v>
      </c>
      <c r="K5" s="287">
        <v>9</v>
      </c>
      <c r="L5" s="309">
        <v>10</v>
      </c>
      <c r="M5" s="287">
        <v>11</v>
      </c>
      <c r="N5" s="277">
        <v>12</v>
      </c>
    </row>
    <row r="6" spans="1:14" ht="15.75" thickBot="1">
      <c r="A6" s="288" t="s">
        <v>253</v>
      </c>
      <c r="B6" s="2"/>
      <c r="C6" s="302">
        <f>+$C$2/12</f>
        <v>3903.808333333334</v>
      </c>
      <c r="D6" s="283">
        <f aca="true" t="shared" si="0" ref="D6:N6">+$C$2/12</f>
        <v>3903.808333333334</v>
      </c>
      <c r="E6" s="302">
        <f t="shared" si="0"/>
        <v>3903.808333333334</v>
      </c>
      <c r="F6" s="283">
        <f t="shared" si="0"/>
        <v>3903.808333333334</v>
      </c>
      <c r="G6" s="302">
        <f t="shared" si="0"/>
        <v>3903.808333333334</v>
      </c>
      <c r="H6" s="283">
        <f t="shared" si="0"/>
        <v>3903.808333333334</v>
      </c>
      <c r="I6" s="302">
        <f t="shared" si="0"/>
        <v>3903.808333333334</v>
      </c>
      <c r="J6" s="283">
        <f t="shared" si="0"/>
        <v>3903.808333333334</v>
      </c>
      <c r="K6" s="302">
        <f t="shared" si="0"/>
        <v>3903.808333333334</v>
      </c>
      <c r="L6" s="283">
        <f t="shared" si="0"/>
        <v>3903.808333333334</v>
      </c>
      <c r="M6" s="302">
        <f t="shared" si="0"/>
        <v>3903.808333333334</v>
      </c>
      <c r="N6" s="284">
        <f t="shared" si="0"/>
        <v>3903.808333333334</v>
      </c>
    </row>
    <row r="7" spans="1:14" ht="15.75" thickBot="1">
      <c r="A7" s="287" t="s">
        <v>254</v>
      </c>
      <c r="B7" s="286"/>
      <c r="C7" s="24">
        <f>+C6</f>
        <v>3903.808333333334</v>
      </c>
      <c r="D7" s="289">
        <f aca="true" t="shared" si="1" ref="D7:N7">+D6</f>
        <v>3903.808333333334</v>
      </c>
      <c r="E7" s="24">
        <f t="shared" si="1"/>
        <v>3903.808333333334</v>
      </c>
      <c r="F7" s="289">
        <f t="shared" si="1"/>
        <v>3903.808333333334</v>
      </c>
      <c r="G7" s="24">
        <f t="shared" si="1"/>
        <v>3903.808333333334</v>
      </c>
      <c r="H7" s="289">
        <f t="shared" si="1"/>
        <v>3903.808333333334</v>
      </c>
      <c r="I7" s="24">
        <f t="shared" si="1"/>
        <v>3903.808333333334</v>
      </c>
      <c r="J7" s="289">
        <f t="shared" si="1"/>
        <v>3903.808333333334</v>
      </c>
      <c r="K7" s="24">
        <f t="shared" si="1"/>
        <v>3903.808333333334</v>
      </c>
      <c r="L7" s="289">
        <f t="shared" si="1"/>
        <v>3903.808333333334</v>
      </c>
      <c r="M7" s="24">
        <f t="shared" si="1"/>
        <v>3903.808333333334</v>
      </c>
      <c r="N7" s="290">
        <f t="shared" si="1"/>
        <v>3903.808333333334</v>
      </c>
    </row>
    <row r="9" ht="15.75" thickBot="1"/>
    <row r="10" spans="1:14" s="278" customFormat="1" ht="15.75" thickBot="1">
      <c r="A10" s="287" t="s">
        <v>252</v>
      </c>
      <c r="B10" s="310">
        <v>0</v>
      </c>
      <c r="C10" s="311">
        <v>1</v>
      </c>
      <c r="D10" s="310">
        <v>2</v>
      </c>
      <c r="E10" s="311">
        <v>3</v>
      </c>
      <c r="F10" s="310">
        <v>4</v>
      </c>
      <c r="G10" s="311">
        <v>5</v>
      </c>
      <c r="H10" s="310">
        <v>6</v>
      </c>
      <c r="I10" s="310">
        <v>7</v>
      </c>
      <c r="J10" s="311">
        <v>8</v>
      </c>
      <c r="K10" s="310">
        <v>9</v>
      </c>
      <c r="L10" s="311">
        <v>10</v>
      </c>
      <c r="M10" s="310">
        <v>11</v>
      </c>
      <c r="N10" s="311">
        <v>12</v>
      </c>
    </row>
    <row r="11" spans="1:14" ht="15">
      <c r="A11" s="291" t="s">
        <v>255</v>
      </c>
      <c r="B11" s="292">
        <f>('COSTOS VARIABLES'!F103-'COSTOS VARIABLES'!F81)/12</f>
        <v>1259.69</v>
      </c>
      <c r="C11" s="293">
        <f>+'COSTOS VARIABLES'!$F$103/12</f>
        <v>1479.0316666666668</v>
      </c>
      <c r="D11" s="293">
        <f>+'COSTOS VARIABLES'!$F$103/12</f>
        <v>1479.0316666666668</v>
      </c>
      <c r="E11" s="293">
        <f>+'COSTOS VARIABLES'!$F$103/12</f>
        <v>1479.0316666666668</v>
      </c>
      <c r="F11" s="293">
        <f>+'COSTOS VARIABLES'!$F$103/12</f>
        <v>1479.0316666666668</v>
      </c>
      <c r="G11" s="293">
        <f>+'COSTOS VARIABLES'!$F$103/12</f>
        <v>1479.0316666666668</v>
      </c>
      <c r="H11" s="293">
        <f>+'COSTOS VARIABLES'!$F$103/12</f>
        <v>1479.0316666666668</v>
      </c>
      <c r="I11" s="293">
        <f>+'COSTOS VARIABLES'!$F$103/12</f>
        <v>1479.0316666666668</v>
      </c>
      <c r="J11" s="293">
        <f>+'COSTOS VARIABLES'!$F$103/12</f>
        <v>1479.0316666666668</v>
      </c>
      <c r="K11" s="293">
        <f>+'COSTOS VARIABLES'!$F$103/12</f>
        <v>1479.0316666666668</v>
      </c>
      <c r="L11" s="293">
        <f>+'COSTOS VARIABLES'!$F$103/12</f>
        <v>1479.0316666666668</v>
      </c>
      <c r="M11" s="293">
        <f>+'COSTOS VARIABLES'!$F$103/12</f>
        <v>1479.0316666666668</v>
      </c>
      <c r="N11" s="293">
        <f>+'COSTOS VARIABLES'!$F$103/12</f>
        <v>1479.0316666666668</v>
      </c>
    </row>
    <row r="12" spans="1:14" ht="15.75" thickBot="1">
      <c r="A12" s="291" t="s">
        <v>187</v>
      </c>
      <c r="B12" s="312">
        <f>('COSTOS FIJOS'!$F$115-'COSTOS FIJOS'!$F$104)/12</f>
        <v>324.59749999999997</v>
      </c>
      <c r="C12" s="312">
        <f>('COSTOS FIJOS'!$F$115-'COSTOS FIJOS'!$F$104)/12</f>
        <v>324.59749999999997</v>
      </c>
      <c r="D12" s="312">
        <f>('COSTOS FIJOS'!$F$115-'COSTOS FIJOS'!$F$104)/12</f>
        <v>324.59749999999997</v>
      </c>
      <c r="E12" s="312">
        <f>('COSTOS FIJOS'!$F$115-'COSTOS FIJOS'!$F$104)/12</f>
        <v>324.59749999999997</v>
      </c>
      <c r="F12" s="312">
        <f>('COSTOS FIJOS'!$F$115-'COSTOS FIJOS'!$F$104)/12</f>
        <v>324.59749999999997</v>
      </c>
      <c r="G12" s="312">
        <f>('COSTOS FIJOS'!$F$115-'COSTOS FIJOS'!$F$104)/12</f>
        <v>324.59749999999997</v>
      </c>
      <c r="H12" s="312">
        <f>('COSTOS FIJOS'!$F$115-'COSTOS FIJOS'!$F$104)/12</f>
        <v>324.59749999999997</v>
      </c>
      <c r="I12" s="312">
        <f>('COSTOS FIJOS'!$F$115-'COSTOS FIJOS'!$F$104)/12</f>
        <v>324.59749999999997</v>
      </c>
      <c r="J12" s="312">
        <f>('COSTOS FIJOS'!$F$115-'COSTOS FIJOS'!$F$104)/12</f>
        <v>324.59749999999997</v>
      </c>
      <c r="K12" s="312">
        <f>('COSTOS FIJOS'!$F$115-'COSTOS FIJOS'!$F$104)/12</f>
        <v>324.59749999999997</v>
      </c>
      <c r="L12" s="312">
        <f>('COSTOS FIJOS'!$F$115-'COSTOS FIJOS'!$F$104)/12</f>
        <v>324.59749999999997</v>
      </c>
      <c r="M12" s="312">
        <f>('COSTOS FIJOS'!$F$115-'COSTOS FIJOS'!$F$104)/12</f>
        <v>324.59749999999997</v>
      </c>
      <c r="N12" s="312">
        <f>('COSTOS FIJOS'!$F$115-'COSTOS FIJOS'!$F$104)/12</f>
        <v>324.59749999999997</v>
      </c>
    </row>
    <row r="13" spans="1:14" ht="15.75" thickBot="1">
      <c r="A13" s="287" t="s">
        <v>256</v>
      </c>
      <c r="B13" s="285">
        <f>+B11+B12</f>
        <v>1584.2875</v>
      </c>
      <c r="C13" s="294">
        <f aca="true" t="shared" si="2" ref="C13:N13">+C11+C12</f>
        <v>1803.6291666666666</v>
      </c>
      <c r="D13" s="285">
        <f t="shared" si="2"/>
        <v>1803.6291666666666</v>
      </c>
      <c r="E13" s="294">
        <f t="shared" si="2"/>
        <v>1803.6291666666666</v>
      </c>
      <c r="F13" s="285">
        <f t="shared" si="2"/>
        <v>1803.6291666666666</v>
      </c>
      <c r="G13" s="294">
        <f t="shared" si="2"/>
        <v>1803.6291666666666</v>
      </c>
      <c r="H13" s="285">
        <f t="shared" si="2"/>
        <v>1803.6291666666666</v>
      </c>
      <c r="I13" s="285">
        <f t="shared" si="2"/>
        <v>1803.6291666666666</v>
      </c>
      <c r="J13" s="294">
        <f t="shared" si="2"/>
        <v>1803.6291666666666</v>
      </c>
      <c r="K13" s="285">
        <f t="shared" si="2"/>
        <v>1803.6291666666666</v>
      </c>
      <c r="L13" s="294">
        <f t="shared" si="2"/>
        <v>1803.6291666666666</v>
      </c>
      <c r="M13" s="285">
        <f t="shared" si="2"/>
        <v>1803.6291666666666</v>
      </c>
      <c r="N13" s="294">
        <f t="shared" si="2"/>
        <v>1803.6291666666666</v>
      </c>
    </row>
    <row r="14" ht="15">
      <c r="A14" s="278"/>
    </row>
    <row r="15" ht="15.75" thickBot="1"/>
    <row r="16" spans="1:14" s="278" customFormat="1" ht="15.75" thickBot="1">
      <c r="A16" s="287" t="s">
        <v>252</v>
      </c>
      <c r="B16" s="276">
        <v>0</v>
      </c>
      <c r="C16" s="287">
        <v>1</v>
      </c>
      <c r="D16" s="309">
        <v>2</v>
      </c>
      <c r="E16" s="287">
        <v>3</v>
      </c>
      <c r="F16" s="309">
        <v>4</v>
      </c>
      <c r="G16" s="287">
        <v>5</v>
      </c>
      <c r="H16" s="309">
        <v>6</v>
      </c>
      <c r="I16" s="287">
        <v>7</v>
      </c>
      <c r="J16" s="309">
        <v>8</v>
      </c>
      <c r="K16" s="287">
        <v>9</v>
      </c>
      <c r="L16" s="309">
        <v>10</v>
      </c>
      <c r="M16" s="287">
        <v>11</v>
      </c>
      <c r="N16" s="277">
        <v>12</v>
      </c>
    </row>
    <row r="17" spans="1:14" ht="15">
      <c r="A17" s="291" t="s">
        <v>257</v>
      </c>
      <c r="B17" s="298">
        <f>+B7</f>
        <v>0</v>
      </c>
      <c r="C17" s="299">
        <f aca="true" t="shared" si="3" ref="C17:N17">+C7</f>
        <v>3903.808333333334</v>
      </c>
      <c r="D17" s="306">
        <f t="shared" si="3"/>
        <v>3903.808333333334</v>
      </c>
      <c r="E17" s="299">
        <f t="shared" si="3"/>
        <v>3903.808333333334</v>
      </c>
      <c r="F17" s="306">
        <f t="shared" si="3"/>
        <v>3903.808333333334</v>
      </c>
      <c r="G17" s="299">
        <f t="shared" si="3"/>
        <v>3903.808333333334</v>
      </c>
      <c r="H17" s="306">
        <f t="shared" si="3"/>
        <v>3903.808333333334</v>
      </c>
      <c r="I17" s="299">
        <f t="shared" si="3"/>
        <v>3903.808333333334</v>
      </c>
      <c r="J17" s="306">
        <f t="shared" si="3"/>
        <v>3903.808333333334</v>
      </c>
      <c r="K17" s="299">
        <f t="shared" si="3"/>
        <v>3903.808333333334</v>
      </c>
      <c r="L17" s="306">
        <f t="shared" si="3"/>
        <v>3903.808333333334</v>
      </c>
      <c r="M17" s="299">
        <f t="shared" si="3"/>
        <v>3903.808333333334</v>
      </c>
      <c r="N17" s="300">
        <f t="shared" si="3"/>
        <v>3903.808333333334</v>
      </c>
    </row>
    <row r="18" spans="1:14" ht="15">
      <c r="A18" s="291" t="s">
        <v>256</v>
      </c>
      <c r="B18" s="295">
        <f>+B13</f>
        <v>1584.2875</v>
      </c>
      <c r="C18" s="297">
        <f aca="true" t="shared" si="4" ref="C18:N18">+C13</f>
        <v>1803.6291666666666</v>
      </c>
      <c r="D18" s="307">
        <f t="shared" si="4"/>
        <v>1803.6291666666666</v>
      </c>
      <c r="E18" s="297">
        <f t="shared" si="4"/>
        <v>1803.6291666666666</v>
      </c>
      <c r="F18" s="307">
        <f t="shared" si="4"/>
        <v>1803.6291666666666</v>
      </c>
      <c r="G18" s="297">
        <f t="shared" si="4"/>
        <v>1803.6291666666666</v>
      </c>
      <c r="H18" s="307">
        <f t="shared" si="4"/>
        <v>1803.6291666666666</v>
      </c>
      <c r="I18" s="297">
        <f t="shared" si="4"/>
        <v>1803.6291666666666</v>
      </c>
      <c r="J18" s="307">
        <f t="shared" si="4"/>
        <v>1803.6291666666666</v>
      </c>
      <c r="K18" s="297">
        <f t="shared" si="4"/>
        <v>1803.6291666666666</v>
      </c>
      <c r="L18" s="307">
        <f t="shared" si="4"/>
        <v>1803.6291666666666</v>
      </c>
      <c r="M18" s="297">
        <f t="shared" si="4"/>
        <v>1803.6291666666666</v>
      </c>
      <c r="N18" s="296">
        <f t="shared" si="4"/>
        <v>1803.6291666666666</v>
      </c>
    </row>
    <row r="19" spans="1:14" ht="15.75" thickBot="1">
      <c r="A19" s="291" t="s">
        <v>258</v>
      </c>
      <c r="B19" s="303">
        <f>+B17-B18</f>
        <v>-1584.2875</v>
      </c>
      <c r="C19" s="304">
        <f aca="true" t="shared" si="5" ref="C19:N19">+C17-C18</f>
        <v>2100.1791666666672</v>
      </c>
      <c r="D19" s="308">
        <f t="shared" si="5"/>
        <v>2100.1791666666672</v>
      </c>
      <c r="E19" s="304">
        <f t="shared" si="5"/>
        <v>2100.1791666666672</v>
      </c>
      <c r="F19" s="308">
        <f t="shared" si="5"/>
        <v>2100.1791666666672</v>
      </c>
      <c r="G19" s="304">
        <f t="shared" si="5"/>
        <v>2100.1791666666672</v>
      </c>
      <c r="H19" s="308">
        <f t="shared" si="5"/>
        <v>2100.1791666666672</v>
      </c>
      <c r="I19" s="304">
        <f t="shared" si="5"/>
        <v>2100.1791666666672</v>
      </c>
      <c r="J19" s="308">
        <f t="shared" si="5"/>
        <v>2100.1791666666672</v>
      </c>
      <c r="K19" s="304">
        <f t="shared" si="5"/>
        <v>2100.1791666666672</v>
      </c>
      <c r="L19" s="308">
        <f t="shared" si="5"/>
        <v>2100.1791666666672</v>
      </c>
      <c r="M19" s="304">
        <f t="shared" si="5"/>
        <v>2100.1791666666672</v>
      </c>
      <c r="N19" s="305">
        <f t="shared" si="5"/>
        <v>2100.1791666666672</v>
      </c>
    </row>
    <row r="20" spans="1:14" ht="15.75" thickBot="1">
      <c r="A20" s="287" t="s">
        <v>259</v>
      </c>
      <c r="B20" s="289">
        <f>B19</f>
        <v>-1584.2875</v>
      </c>
      <c r="C20" s="24">
        <f>+B20+C19</f>
        <v>515.8916666666673</v>
      </c>
      <c r="D20" s="289">
        <f aca="true" t="shared" si="6" ref="D20:N20">+C20+D19</f>
        <v>2616.0708333333346</v>
      </c>
      <c r="E20" s="24">
        <f t="shared" si="6"/>
        <v>4716.250000000002</v>
      </c>
      <c r="F20" s="289">
        <f t="shared" si="6"/>
        <v>6816.429166666669</v>
      </c>
      <c r="G20" s="24">
        <f t="shared" si="6"/>
        <v>8916.608333333335</v>
      </c>
      <c r="H20" s="289">
        <f t="shared" si="6"/>
        <v>11016.787500000002</v>
      </c>
      <c r="I20" s="24">
        <f t="shared" si="6"/>
        <v>13116.966666666669</v>
      </c>
      <c r="J20" s="289">
        <f t="shared" si="6"/>
        <v>15217.145833333336</v>
      </c>
      <c r="K20" s="24">
        <f t="shared" si="6"/>
        <v>17317.325000000004</v>
      </c>
      <c r="L20" s="289">
        <f t="shared" si="6"/>
        <v>19417.504166666673</v>
      </c>
      <c r="M20" s="24">
        <f t="shared" si="6"/>
        <v>21517.68333333334</v>
      </c>
      <c r="N20" s="290">
        <f t="shared" si="6"/>
        <v>23617.86250000001</v>
      </c>
    </row>
    <row r="21" ht="15">
      <c r="N21" s="12"/>
    </row>
    <row r="22" ht="15.75" thickBot="1"/>
    <row r="23" spans="1:6" ht="16.5" thickBot="1">
      <c r="A23" s="461" t="s">
        <v>260</v>
      </c>
      <c r="B23" s="462"/>
      <c r="C23" s="462"/>
      <c r="D23" s="462"/>
      <c r="E23" s="462"/>
      <c r="F23" s="463"/>
    </row>
    <row r="24" spans="1:6" ht="16.5" thickBot="1">
      <c r="A24" s="325"/>
      <c r="B24" s="326">
        <f>-B20</f>
        <v>1584.2875</v>
      </c>
      <c r="C24" s="327" t="s">
        <v>261</v>
      </c>
      <c r="D24" s="328"/>
      <c r="E24" s="329"/>
      <c r="F24" s="330"/>
    </row>
  </sheetData>
  <sheetProtection/>
  <mergeCells count="2">
    <mergeCell ref="A4:N4"/>
    <mergeCell ref="A23:F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03"/>
  <sheetViews>
    <sheetView zoomScalePageLayoutView="0" workbookViewId="0" topLeftCell="A55">
      <selection activeCell="B67" sqref="B67:F103"/>
    </sheetView>
  </sheetViews>
  <sheetFormatPr defaultColWidth="11.421875" defaultRowHeight="15"/>
  <cols>
    <col min="1" max="1" width="5.140625" style="52" customWidth="1"/>
    <col min="2" max="2" width="53.421875" style="52" bestFit="1" customWidth="1"/>
    <col min="3" max="3" width="24.8515625" style="52" bestFit="1" customWidth="1"/>
    <col min="4" max="4" width="23.57421875" style="52" bestFit="1" customWidth="1"/>
    <col min="5" max="5" width="19.140625" style="52" bestFit="1" customWidth="1"/>
    <col min="6" max="6" width="31.28125" style="52" bestFit="1" customWidth="1"/>
    <col min="7" max="7" width="12.28125" style="52" customWidth="1"/>
    <col min="8" max="8" width="21.8515625" style="52" bestFit="1" customWidth="1"/>
    <col min="9" max="9" width="24.8515625" style="52" bestFit="1" customWidth="1"/>
    <col min="10" max="10" width="20.421875" style="52" bestFit="1" customWidth="1"/>
    <col min="11" max="11" width="24.421875" style="52" bestFit="1" customWidth="1"/>
    <col min="12" max="12" width="16.8515625" style="52" bestFit="1" customWidth="1"/>
    <col min="13" max="16384" width="11.421875" style="52" customWidth="1"/>
  </cols>
  <sheetData>
    <row r="1" spans="6:7" ht="13.5" thickBot="1">
      <c r="F1" s="166"/>
      <c r="G1" s="166"/>
    </row>
    <row r="2" spans="2:13" ht="16.5" thickBot="1">
      <c r="B2" s="471" t="s">
        <v>0</v>
      </c>
      <c r="C2" s="472"/>
      <c r="D2" s="473"/>
      <c r="E2" s="167"/>
      <c r="F2" s="470"/>
      <c r="G2" s="470"/>
      <c r="H2" s="167"/>
      <c r="I2" s="167"/>
      <c r="J2" s="167"/>
      <c r="K2" s="167"/>
      <c r="L2" s="167"/>
      <c r="M2" s="167"/>
    </row>
    <row r="3" spans="2:13" ht="16.5" thickBot="1">
      <c r="B3" s="465" t="s">
        <v>1</v>
      </c>
      <c r="C3" s="466"/>
      <c r="D3" s="158">
        <v>3</v>
      </c>
      <c r="E3" s="168"/>
      <c r="F3" s="169"/>
      <c r="G3" s="169"/>
      <c r="H3" s="168"/>
      <c r="I3" s="168"/>
      <c r="J3" s="168"/>
      <c r="K3" s="168"/>
      <c r="L3" s="168"/>
      <c r="M3" s="168"/>
    </row>
    <row r="4" spans="2:13" ht="16.5" thickBot="1">
      <c r="B4" s="200" t="s">
        <v>2</v>
      </c>
      <c r="C4" s="201" t="s">
        <v>3</v>
      </c>
      <c r="D4" s="202" t="s">
        <v>179</v>
      </c>
      <c r="E4" s="170"/>
      <c r="F4" s="166"/>
      <c r="G4" s="171"/>
      <c r="H4" s="170"/>
      <c r="I4" s="170"/>
      <c r="J4" s="170"/>
      <c r="K4" s="170"/>
      <c r="L4" s="170"/>
      <c r="M4" s="170"/>
    </row>
    <row r="5" spans="2:13" ht="12.75">
      <c r="B5" s="159" t="s">
        <v>243</v>
      </c>
      <c r="C5" s="160">
        <v>300</v>
      </c>
      <c r="D5" s="161">
        <f>C5*$D$3*12</f>
        <v>10800</v>
      </c>
      <c r="E5" s="172"/>
      <c r="F5" s="166"/>
      <c r="G5" s="173"/>
      <c r="H5" s="172"/>
      <c r="I5" s="172"/>
      <c r="J5" s="172"/>
      <c r="K5" s="172"/>
      <c r="L5" s="172"/>
      <c r="M5" s="172"/>
    </row>
    <row r="6" spans="2:13" ht="12.75">
      <c r="B6" s="135" t="s">
        <v>4</v>
      </c>
      <c r="C6" s="53">
        <f>+C5*9.35%</f>
        <v>28.05</v>
      </c>
      <c r="D6" s="121">
        <f>C6*$D$3*12</f>
        <v>1009.8000000000001</v>
      </c>
      <c r="E6" s="172"/>
      <c r="F6" s="166"/>
      <c r="G6" s="173"/>
      <c r="I6" s="464" t="s">
        <v>16</v>
      </c>
      <c r="J6" s="464"/>
      <c r="K6" s="464"/>
      <c r="L6" s="172"/>
      <c r="M6" s="172"/>
    </row>
    <row r="7" spans="2:13" ht="15">
      <c r="B7" s="136" t="s">
        <v>44</v>
      </c>
      <c r="C7" s="194">
        <f>+C5-C6</f>
        <v>271.95</v>
      </c>
      <c r="D7" s="195">
        <f>C7*$D$3*12</f>
        <v>9790.199999999999</v>
      </c>
      <c r="E7" s="174"/>
      <c r="F7" s="175"/>
      <c r="G7" s="169"/>
      <c r="H7" s="174"/>
      <c r="I7" s="174"/>
      <c r="J7" s="174"/>
      <c r="K7" s="174"/>
      <c r="L7" s="174"/>
      <c r="M7" s="174"/>
    </row>
    <row r="8" spans="2:13" ht="13.5" thickBot="1">
      <c r="B8" s="162"/>
      <c r="C8" s="163"/>
      <c r="D8" s="164"/>
      <c r="E8" s="176"/>
      <c r="F8" s="177"/>
      <c r="G8" s="177"/>
      <c r="H8" s="176"/>
      <c r="I8" s="176"/>
      <c r="J8" s="176"/>
      <c r="K8" s="176"/>
      <c r="L8" s="176"/>
      <c r="M8" s="176"/>
    </row>
    <row r="9" spans="2:13" ht="16.5" thickBot="1">
      <c r="B9" s="474" t="s">
        <v>13</v>
      </c>
      <c r="C9" s="475"/>
      <c r="D9" s="476"/>
      <c r="E9" s="167"/>
      <c r="F9" s="178"/>
      <c r="G9" s="178"/>
      <c r="H9" s="167"/>
      <c r="I9" s="167"/>
      <c r="J9" s="167"/>
      <c r="K9" s="167"/>
      <c r="L9" s="167"/>
      <c r="M9" s="167"/>
    </row>
    <row r="10" spans="2:13" ht="12.75">
      <c r="B10" s="159" t="s">
        <v>5</v>
      </c>
      <c r="C10" s="60">
        <f>+C5/12</f>
        <v>25</v>
      </c>
      <c r="D10" s="161">
        <f>C10*D3*12</f>
        <v>900</v>
      </c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3" ht="12.75">
      <c r="B11" s="135" t="s">
        <v>6</v>
      </c>
      <c r="C11" s="53">
        <f>+C5/12</f>
        <v>25</v>
      </c>
      <c r="D11" s="121">
        <f>C11*D3*12</f>
        <v>900</v>
      </c>
      <c r="E11" s="172"/>
      <c r="F11" s="172"/>
      <c r="G11" s="172"/>
      <c r="H11" s="172"/>
      <c r="I11" s="172"/>
      <c r="J11" s="172"/>
      <c r="K11" s="172"/>
      <c r="L11" s="172"/>
      <c r="M11" s="172"/>
    </row>
    <row r="12" spans="2:13" ht="12.75">
      <c r="B12" s="135" t="s">
        <v>7</v>
      </c>
      <c r="C12" s="53">
        <f>+C5/24</f>
        <v>12.5</v>
      </c>
      <c r="D12" s="121">
        <f>C12*D3*12</f>
        <v>450</v>
      </c>
      <c r="E12" s="172"/>
      <c r="F12" s="172"/>
      <c r="G12" s="172"/>
      <c r="H12" s="172"/>
      <c r="I12" s="172"/>
      <c r="J12" s="172"/>
      <c r="K12" s="172"/>
      <c r="L12" s="172"/>
      <c r="M12" s="172"/>
    </row>
    <row r="13" spans="2:13" ht="12.75">
      <c r="B13" s="135" t="s">
        <v>8</v>
      </c>
      <c r="C13" s="53">
        <f>+C5*11.35%</f>
        <v>34.05</v>
      </c>
      <c r="D13" s="121">
        <f>C13*D3*12</f>
        <v>1225.8</v>
      </c>
      <c r="E13" s="172"/>
      <c r="F13" s="172"/>
      <c r="G13" s="172"/>
      <c r="H13" s="172"/>
      <c r="I13" s="172"/>
      <c r="J13" s="172"/>
      <c r="K13" s="172"/>
      <c r="L13" s="172"/>
      <c r="M13" s="172"/>
    </row>
    <row r="14" spans="2:13" ht="12.75">
      <c r="B14" s="135" t="s">
        <v>9</v>
      </c>
      <c r="C14" s="53">
        <f>+(C5*0.5%)</f>
        <v>1.5</v>
      </c>
      <c r="D14" s="121">
        <f>C14*D3*12</f>
        <v>54</v>
      </c>
      <c r="E14" s="172"/>
      <c r="F14" s="172"/>
      <c r="G14" s="172"/>
      <c r="H14" s="172"/>
      <c r="I14" s="172"/>
      <c r="J14" s="172"/>
      <c r="K14" s="172"/>
      <c r="L14" s="172"/>
      <c r="M14" s="172"/>
    </row>
    <row r="15" spans="2:13" ht="12.75">
      <c r="B15" s="135" t="s">
        <v>10</v>
      </c>
      <c r="C15" s="53">
        <f>+C5*0.5%</f>
        <v>1.5</v>
      </c>
      <c r="D15" s="121">
        <f>C15*D3*12</f>
        <v>54</v>
      </c>
      <c r="E15" s="172"/>
      <c r="F15" s="172"/>
      <c r="G15" s="172"/>
      <c r="H15" s="172"/>
      <c r="I15" s="172"/>
      <c r="J15" s="172"/>
      <c r="K15" s="172"/>
      <c r="L15" s="172"/>
      <c r="M15" s="172"/>
    </row>
    <row r="16" spans="2:13" ht="12.75">
      <c r="B16" s="135" t="s">
        <v>11</v>
      </c>
      <c r="C16" s="137" t="s">
        <v>12</v>
      </c>
      <c r="D16" s="165" t="s">
        <v>12</v>
      </c>
      <c r="E16" s="172"/>
      <c r="F16" s="172"/>
      <c r="G16" s="172"/>
      <c r="H16" s="172"/>
      <c r="I16" s="172"/>
      <c r="J16" s="172"/>
      <c r="K16" s="172"/>
      <c r="L16" s="172"/>
      <c r="M16" s="172"/>
    </row>
    <row r="17" spans="2:13" ht="15.75" thickBot="1">
      <c r="B17" s="138" t="s">
        <v>15</v>
      </c>
      <c r="C17" s="198">
        <f>SUM(C10:C15)</f>
        <v>99.55</v>
      </c>
      <c r="D17" s="199">
        <f>SUM(D10:D16)</f>
        <v>3583.8</v>
      </c>
      <c r="E17" s="174"/>
      <c r="F17" s="174"/>
      <c r="G17" s="174"/>
      <c r="H17" s="174"/>
      <c r="I17" s="174"/>
      <c r="J17" s="174"/>
      <c r="K17" s="174"/>
      <c r="L17" s="174"/>
      <c r="M17" s="174"/>
    </row>
    <row r="18" spans="2:5" ht="16.5" thickBot="1">
      <c r="B18" s="196" t="s">
        <v>80</v>
      </c>
      <c r="C18" s="76">
        <f>(C7+C17)*D3</f>
        <v>1114.5</v>
      </c>
      <c r="D18" s="197">
        <f>C18*12</f>
        <v>13374</v>
      </c>
      <c r="E18" s="179"/>
    </row>
    <row r="20" ht="13.5" thickBot="1"/>
    <row r="21" spans="2:6" ht="16.5" thickBot="1">
      <c r="B21" s="452" t="s">
        <v>17</v>
      </c>
      <c r="C21" s="453"/>
      <c r="D21" s="453"/>
      <c r="E21" s="453"/>
      <c r="F21" s="454"/>
    </row>
    <row r="22" spans="2:6" ht="16.5" thickBot="1">
      <c r="B22" s="203" t="s">
        <v>18</v>
      </c>
      <c r="C22" s="204" t="s">
        <v>19</v>
      </c>
      <c r="D22" s="205" t="s">
        <v>20</v>
      </c>
      <c r="E22" s="204" t="s">
        <v>21</v>
      </c>
      <c r="F22" s="204" t="s">
        <v>22</v>
      </c>
    </row>
    <row r="23" spans="2:8" ht="16.5" thickBot="1">
      <c r="B23" s="110" t="s">
        <v>23</v>
      </c>
      <c r="C23" s="180" t="s">
        <v>24</v>
      </c>
      <c r="D23" s="181">
        <v>6358</v>
      </c>
      <c r="E23" s="272">
        <v>0.2</v>
      </c>
      <c r="F23" s="154">
        <f>D23*E23</f>
        <v>1271.6000000000001</v>
      </c>
      <c r="H23" s="52">
        <v>3179</v>
      </c>
    </row>
    <row r="24" ht="13.5" thickBot="1"/>
    <row r="25" spans="2:6" ht="16.5" thickBot="1">
      <c r="B25" s="452" t="s">
        <v>17</v>
      </c>
      <c r="C25" s="453"/>
      <c r="D25" s="453"/>
      <c r="E25" s="453"/>
      <c r="F25" s="454"/>
    </row>
    <row r="26" spans="2:6" ht="16.5" thickBot="1">
      <c r="B26" s="203" t="s">
        <v>18</v>
      </c>
      <c r="C26" s="204" t="s">
        <v>19</v>
      </c>
      <c r="D26" s="205" t="s">
        <v>20</v>
      </c>
      <c r="E26" s="204" t="s">
        <v>21</v>
      </c>
      <c r="F26" s="204" t="s">
        <v>22</v>
      </c>
    </row>
    <row r="27" spans="2:8" ht="16.5" thickBot="1">
      <c r="B27" s="110" t="s">
        <v>25</v>
      </c>
      <c r="C27" s="180" t="s">
        <v>26</v>
      </c>
      <c r="D27" s="181">
        <v>1400</v>
      </c>
      <c r="E27" s="272">
        <v>0.6</v>
      </c>
      <c r="F27" s="154">
        <f>D27*E27</f>
        <v>840</v>
      </c>
      <c r="H27" s="52">
        <v>700</v>
      </c>
    </row>
    <row r="28" ht="13.5" thickBot="1"/>
    <row r="29" spans="2:6" ht="16.5" thickBot="1">
      <c r="B29" s="452" t="s">
        <v>17</v>
      </c>
      <c r="C29" s="453"/>
      <c r="D29" s="453"/>
      <c r="E29" s="453"/>
      <c r="F29" s="454"/>
    </row>
    <row r="30" spans="2:6" ht="16.5" thickBot="1">
      <c r="B30" s="203" t="s">
        <v>18</v>
      </c>
      <c r="C30" s="204" t="s">
        <v>19</v>
      </c>
      <c r="D30" s="205" t="s">
        <v>20</v>
      </c>
      <c r="E30" s="204" t="s">
        <v>21</v>
      </c>
      <c r="F30" s="204" t="s">
        <v>22</v>
      </c>
    </row>
    <row r="31" spans="2:8" ht="16.5" thickBot="1">
      <c r="B31" s="110" t="s">
        <v>27</v>
      </c>
      <c r="C31" s="180" t="s">
        <v>28</v>
      </c>
      <c r="D31" s="181">
        <v>750</v>
      </c>
      <c r="E31" s="272">
        <v>0.25</v>
      </c>
      <c r="F31" s="154">
        <f>D31*E31</f>
        <v>187.5</v>
      </c>
      <c r="H31" s="52">
        <v>400</v>
      </c>
    </row>
    <row r="32" ht="13.5" thickBot="1"/>
    <row r="33" spans="2:6" ht="16.5" thickBot="1">
      <c r="B33" s="452" t="s">
        <v>17</v>
      </c>
      <c r="C33" s="453"/>
      <c r="D33" s="453"/>
      <c r="E33" s="453"/>
      <c r="F33" s="454"/>
    </row>
    <row r="34" spans="2:6" ht="16.5" thickBot="1">
      <c r="B34" s="203" t="s">
        <v>18</v>
      </c>
      <c r="C34" s="204" t="s">
        <v>19</v>
      </c>
      <c r="D34" s="205" t="s">
        <v>20</v>
      </c>
      <c r="E34" s="204" t="s">
        <v>29</v>
      </c>
      <c r="F34" s="204" t="s">
        <v>22</v>
      </c>
    </row>
    <row r="35" spans="2:6" ht="16.5" thickBot="1">
      <c r="B35" s="110" t="s">
        <v>30</v>
      </c>
      <c r="C35" s="180" t="s">
        <v>247</v>
      </c>
      <c r="D35" s="181">
        <v>1000</v>
      </c>
      <c r="E35" s="272">
        <v>0.27</v>
      </c>
      <c r="F35" s="154">
        <f>D35*E35</f>
        <v>270</v>
      </c>
    </row>
    <row r="36" ht="13.5" thickBot="1"/>
    <row r="37" spans="2:6" ht="16.5" thickBot="1">
      <c r="B37" s="452" t="s">
        <v>17</v>
      </c>
      <c r="C37" s="453"/>
      <c r="D37" s="453"/>
      <c r="E37" s="453"/>
      <c r="F37" s="454"/>
    </row>
    <row r="38" spans="2:6" ht="16.5" thickBot="1">
      <c r="B38" s="203" t="s">
        <v>18</v>
      </c>
      <c r="C38" s="204" t="s">
        <v>31</v>
      </c>
      <c r="D38" s="205" t="s">
        <v>21</v>
      </c>
      <c r="E38" s="204" t="s">
        <v>32</v>
      </c>
      <c r="F38" s="204" t="s">
        <v>33</v>
      </c>
    </row>
    <row r="39" spans="2:8" ht="16.5" thickBot="1">
      <c r="B39" s="110" t="s">
        <v>34</v>
      </c>
      <c r="C39" s="180">
        <v>1.5</v>
      </c>
      <c r="D39" s="370">
        <v>3.5</v>
      </c>
      <c r="E39" s="182">
        <f>D39*C39</f>
        <v>5.25</v>
      </c>
      <c r="F39" s="154">
        <f>E39*12</f>
        <v>63</v>
      </c>
      <c r="H39" s="52">
        <v>1</v>
      </c>
    </row>
    <row r="41" ht="13.5" thickBot="1"/>
    <row r="42" spans="2:6" ht="16.5" thickBot="1">
      <c r="B42" s="452" t="s">
        <v>40</v>
      </c>
      <c r="C42" s="453"/>
      <c r="D42" s="453"/>
      <c r="E42" s="453"/>
      <c r="F42" s="454"/>
    </row>
    <row r="43" spans="2:6" ht="16.5" thickBot="1">
      <c r="B43" s="203" t="s">
        <v>18</v>
      </c>
      <c r="C43" s="204" t="s">
        <v>20</v>
      </c>
      <c r="D43" s="205" t="s">
        <v>21</v>
      </c>
      <c r="E43" s="204" t="s">
        <v>32</v>
      </c>
      <c r="F43" s="204" t="s">
        <v>33</v>
      </c>
    </row>
    <row r="44" spans="2:8" ht="16.5" thickBot="1">
      <c r="B44" s="110" t="s">
        <v>38</v>
      </c>
      <c r="C44" s="180">
        <v>1880</v>
      </c>
      <c r="D44" s="369">
        <v>0.04</v>
      </c>
      <c r="E44" s="182">
        <f>+C44*D44</f>
        <v>75.2</v>
      </c>
      <c r="F44" s="154">
        <f>E44*12</f>
        <v>902.4000000000001</v>
      </c>
      <c r="H44" s="52">
        <v>900</v>
      </c>
    </row>
    <row r="45" spans="2:6" ht="13.5" thickBot="1">
      <c r="B45" s="185"/>
      <c r="C45" s="185"/>
      <c r="D45" s="185"/>
      <c r="E45" s="185"/>
      <c r="F45" s="185"/>
    </row>
    <row r="46" spans="2:6" ht="16.5" thickBot="1">
      <c r="B46" s="452" t="s">
        <v>40</v>
      </c>
      <c r="C46" s="453"/>
      <c r="D46" s="453"/>
      <c r="E46" s="453"/>
      <c r="F46" s="454"/>
    </row>
    <row r="47" spans="2:6" ht="16.5" thickBot="1">
      <c r="B47" s="203" t="s">
        <v>18</v>
      </c>
      <c r="C47" s="204" t="s">
        <v>20</v>
      </c>
      <c r="D47" s="205" t="s">
        <v>21</v>
      </c>
      <c r="E47" s="204" t="s">
        <v>32</v>
      </c>
      <c r="F47" s="204" t="s">
        <v>33</v>
      </c>
    </row>
    <row r="48" spans="2:8" ht="16.5" thickBot="1">
      <c r="B48" s="110" t="s">
        <v>39</v>
      </c>
      <c r="C48" s="180">
        <v>1880</v>
      </c>
      <c r="D48" s="369">
        <v>0.03</v>
      </c>
      <c r="E48" s="182">
        <f>+C48*D48</f>
        <v>56.4</v>
      </c>
      <c r="F48" s="154">
        <f>+E48*12</f>
        <v>676.8</v>
      </c>
      <c r="H48" s="52">
        <v>900</v>
      </c>
    </row>
    <row r="54" ht="13.5" thickBot="1"/>
    <row r="55" spans="2:6" ht="16.5" thickBot="1">
      <c r="B55" s="452" t="s">
        <v>45</v>
      </c>
      <c r="C55" s="453"/>
      <c r="D55" s="453"/>
      <c r="E55" s="453"/>
      <c r="F55" s="454"/>
    </row>
    <row r="56" spans="2:6" ht="16.5" thickBot="1">
      <c r="B56" s="203" t="s">
        <v>46</v>
      </c>
      <c r="C56" s="203" t="s">
        <v>20</v>
      </c>
      <c r="D56" s="203" t="s">
        <v>21</v>
      </c>
      <c r="E56" s="203" t="s">
        <v>48</v>
      </c>
      <c r="F56" s="203" t="s">
        <v>47</v>
      </c>
    </row>
    <row r="57" spans="2:6" ht="12.75">
      <c r="B57" s="159" t="s">
        <v>52</v>
      </c>
      <c r="C57" s="186">
        <v>2</v>
      </c>
      <c r="D57" s="187">
        <v>0.3</v>
      </c>
      <c r="E57" s="160">
        <f>C57*D57</f>
        <v>0.6</v>
      </c>
      <c r="F57" s="188">
        <f>E57*12</f>
        <v>7.199999999999999</v>
      </c>
    </row>
    <row r="58" spans="2:6" ht="12.75">
      <c r="B58" s="135" t="s">
        <v>50</v>
      </c>
      <c r="C58" s="67">
        <v>4</v>
      </c>
      <c r="D58" s="56">
        <v>1</v>
      </c>
      <c r="E58" s="53">
        <f aca="true" t="shared" si="0" ref="E58:E63">C58*D58</f>
        <v>4</v>
      </c>
      <c r="F58" s="51">
        <f aca="true" t="shared" si="1" ref="F58:F63">E58*12</f>
        <v>48</v>
      </c>
    </row>
    <row r="59" spans="2:6" ht="12.75">
      <c r="B59" s="135" t="s">
        <v>49</v>
      </c>
      <c r="C59" s="67">
        <v>2</v>
      </c>
      <c r="D59" s="56">
        <v>0.8</v>
      </c>
      <c r="E59" s="53">
        <f t="shared" si="0"/>
        <v>1.6</v>
      </c>
      <c r="F59" s="51">
        <f t="shared" si="1"/>
        <v>19.200000000000003</v>
      </c>
    </row>
    <row r="60" spans="2:6" ht="12.75">
      <c r="B60" s="135" t="s">
        <v>51</v>
      </c>
      <c r="C60" s="67">
        <v>1</v>
      </c>
      <c r="D60" s="56">
        <v>1.2</v>
      </c>
      <c r="E60" s="53">
        <f t="shared" si="0"/>
        <v>1.2</v>
      </c>
      <c r="F60" s="51">
        <f t="shared" si="1"/>
        <v>14.399999999999999</v>
      </c>
    </row>
    <row r="61" spans="2:6" ht="12.75">
      <c r="B61" s="135" t="s">
        <v>53</v>
      </c>
      <c r="C61" s="67">
        <v>1</v>
      </c>
      <c r="D61" s="56">
        <v>2</v>
      </c>
      <c r="E61" s="53">
        <f t="shared" si="0"/>
        <v>2</v>
      </c>
      <c r="F61" s="51">
        <f t="shared" si="1"/>
        <v>24</v>
      </c>
    </row>
    <row r="62" spans="2:6" ht="12.75">
      <c r="B62" s="135" t="s">
        <v>54</v>
      </c>
      <c r="C62" s="67">
        <v>1</v>
      </c>
      <c r="D62" s="56">
        <v>2</v>
      </c>
      <c r="E62" s="53">
        <f t="shared" si="0"/>
        <v>2</v>
      </c>
      <c r="F62" s="51">
        <f t="shared" si="1"/>
        <v>24</v>
      </c>
    </row>
    <row r="63" spans="2:6" ht="13.5" thickBot="1">
      <c r="B63" s="162" t="s">
        <v>55</v>
      </c>
      <c r="C63" s="70">
        <v>2</v>
      </c>
      <c r="D63" s="189">
        <v>0.8</v>
      </c>
      <c r="E63" s="190">
        <f t="shared" si="0"/>
        <v>1.6</v>
      </c>
      <c r="F63" s="62">
        <f t="shared" si="1"/>
        <v>19.200000000000003</v>
      </c>
    </row>
    <row r="64" spans="2:6" ht="16.5" thickBot="1">
      <c r="B64" s="445" t="s">
        <v>37</v>
      </c>
      <c r="C64" s="455"/>
      <c r="D64" s="446"/>
      <c r="E64" s="154">
        <f>SUM(E57:E63)</f>
        <v>12.999999999999998</v>
      </c>
      <c r="F64" s="154">
        <f>SUM(F57:F63)</f>
        <v>156</v>
      </c>
    </row>
    <row r="66" ht="13.5" thickBot="1"/>
    <row r="67" spans="2:6" ht="22.5" customHeight="1" thickBot="1">
      <c r="B67" s="467" t="s">
        <v>76</v>
      </c>
      <c r="C67" s="468"/>
      <c r="D67" s="468"/>
      <c r="E67" s="468"/>
      <c r="F67" s="469"/>
    </row>
    <row r="68" spans="2:6" ht="19.5" customHeight="1" thickBot="1">
      <c r="B68" s="191"/>
      <c r="C68" s="192"/>
      <c r="D68" s="411" t="s">
        <v>48</v>
      </c>
      <c r="E68" s="411" t="s">
        <v>47</v>
      </c>
      <c r="F68" s="412" t="s">
        <v>22</v>
      </c>
    </row>
    <row r="69" spans="2:6" ht="12.75">
      <c r="B69" s="139" t="s">
        <v>159</v>
      </c>
      <c r="C69" s="114"/>
      <c r="D69" s="140">
        <f>SUM(D72:D78)</f>
        <v>371.5</v>
      </c>
      <c r="E69" s="157"/>
      <c r="F69" s="193">
        <f>D18</f>
        <v>13374</v>
      </c>
    </row>
    <row r="70" spans="2:6" ht="12.75">
      <c r="B70" s="142"/>
      <c r="C70" s="116" t="s">
        <v>43</v>
      </c>
      <c r="D70" s="126">
        <f>C5</f>
        <v>300</v>
      </c>
      <c r="E70" s="141"/>
      <c r="F70" s="116"/>
    </row>
    <row r="71" spans="2:6" ht="12.75">
      <c r="B71" s="142"/>
      <c r="C71" s="116" t="s">
        <v>4</v>
      </c>
      <c r="D71" s="126">
        <f>C6</f>
        <v>28.05</v>
      </c>
      <c r="E71" s="141"/>
      <c r="F71" s="116"/>
    </row>
    <row r="72" spans="2:6" ht="12.75">
      <c r="B72" s="142"/>
      <c r="C72" s="113" t="s">
        <v>117</v>
      </c>
      <c r="D72" s="143">
        <f>D70-D71</f>
        <v>271.95</v>
      </c>
      <c r="E72" s="141"/>
      <c r="F72" s="116"/>
    </row>
    <row r="73" spans="2:6" ht="12.75">
      <c r="B73" s="142"/>
      <c r="C73" s="116" t="s">
        <v>5</v>
      </c>
      <c r="D73" s="126">
        <f aca="true" t="shared" si="2" ref="D73:D78">C10</f>
        <v>25</v>
      </c>
      <c r="E73" s="141"/>
      <c r="F73" s="116"/>
    </row>
    <row r="74" spans="2:6" ht="12.75">
      <c r="B74" s="142"/>
      <c r="C74" s="116" t="s">
        <v>6</v>
      </c>
      <c r="D74" s="126">
        <f t="shared" si="2"/>
        <v>25</v>
      </c>
      <c r="E74" s="141"/>
      <c r="F74" s="116"/>
    </row>
    <row r="75" spans="2:6" ht="12.75">
      <c r="B75" s="142"/>
      <c r="C75" s="116" t="s">
        <v>7</v>
      </c>
      <c r="D75" s="126">
        <f t="shared" si="2"/>
        <v>12.5</v>
      </c>
      <c r="E75" s="141"/>
      <c r="F75" s="116"/>
    </row>
    <row r="76" spans="2:6" ht="12.75">
      <c r="B76" s="142"/>
      <c r="C76" s="116" t="s">
        <v>8</v>
      </c>
      <c r="D76" s="126">
        <f t="shared" si="2"/>
        <v>34.05</v>
      </c>
      <c r="E76" s="141"/>
      <c r="F76" s="116"/>
    </row>
    <row r="77" spans="2:6" ht="12.75">
      <c r="B77" s="142"/>
      <c r="C77" s="116" t="s">
        <v>9</v>
      </c>
      <c r="D77" s="126">
        <f t="shared" si="2"/>
        <v>1.5</v>
      </c>
      <c r="E77" s="144"/>
      <c r="F77" s="116"/>
    </row>
    <row r="78" spans="2:6" ht="12.75">
      <c r="B78" s="142"/>
      <c r="C78" s="116" t="s">
        <v>10</v>
      </c>
      <c r="D78" s="126">
        <f t="shared" si="2"/>
        <v>1.5</v>
      </c>
      <c r="E78" s="144"/>
      <c r="F78" s="116"/>
    </row>
    <row r="79" spans="2:6" ht="12.75">
      <c r="B79" s="142"/>
      <c r="C79" s="116" t="s">
        <v>11</v>
      </c>
      <c r="D79" s="68" t="s">
        <v>12</v>
      </c>
      <c r="E79" s="145"/>
      <c r="F79" s="123"/>
    </row>
    <row r="80" spans="2:6" ht="12.75">
      <c r="B80" s="142"/>
      <c r="C80" s="116"/>
      <c r="D80" s="68"/>
      <c r="E80" s="145"/>
      <c r="F80" s="123"/>
    </row>
    <row r="81" spans="2:6" ht="12.75">
      <c r="B81" s="139" t="s">
        <v>78</v>
      </c>
      <c r="C81" s="146"/>
      <c r="D81" s="123"/>
      <c r="E81" s="141"/>
      <c r="F81" s="55">
        <f>SUM(E82:E86)</f>
        <v>2632.1000000000004</v>
      </c>
    </row>
    <row r="82" spans="2:6" ht="12.75">
      <c r="B82" s="147"/>
      <c r="C82" s="116" t="s">
        <v>35</v>
      </c>
      <c r="D82" s="116"/>
      <c r="E82" s="127">
        <f>F23</f>
        <v>1271.6000000000001</v>
      </c>
      <c r="F82" s="116"/>
    </row>
    <row r="83" spans="2:6" ht="12.75">
      <c r="B83" s="147"/>
      <c r="C83" s="116" t="s">
        <v>25</v>
      </c>
      <c r="D83" s="116"/>
      <c r="E83" s="127">
        <f>F27</f>
        <v>840</v>
      </c>
      <c r="F83" s="116"/>
    </row>
    <row r="84" spans="2:6" ht="12.75">
      <c r="B84" s="147"/>
      <c r="C84" s="116" t="s">
        <v>27</v>
      </c>
      <c r="D84" s="116"/>
      <c r="E84" s="127">
        <f>F31</f>
        <v>187.5</v>
      </c>
      <c r="F84" s="116"/>
    </row>
    <row r="85" spans="2:6" ht="12.75">
      <c r="B85" s="147"/>
      <c r="C85" s="116" t="s">
        <v>30</v>
      </c>
      <c r="D85" s="116"/>
      <c r="E85" s="127">
        <f>F35</f>
        <v>270</v>
      </c>
      <c r="F85" s="116"/>
    </row>
    <row r="86" spans="2:6" ht="12.75">
      <c r="B86" s="147"/>
      <c r="C86" s="116" t="s">
        <v>36</v>
      </c>
      <c r="D86" s="116"/>
      <c r="E86" s="127">
        <f>F39</f>
        <v>63</v>
      </c>
      <c r="F86" s="123"/>
    </row>
    <row r="87" spans="2:6" ht="12.75">
      <c r="B87" s="139" t="s">
        <v>161</v>
      </c>
      <c r="C87" s="116"/>
      <c r="D87" s="123"/>
      <c r="E87" s="141"/>
      <c r="F87" s="55">
        <f>+INVERSIONES!C73</f>
        <v>7.08</v>
      </c>
    </row>
    <row r="88" spans="2:6" ht="12.75">
      <c r="B88" s="139"/>
      <c r="C88" s="116"/>
      <c r="D88" s="123"/>
      <c r="E88" s="141"/>
      <c r="F88" s="137"/>
    </row>
    <row r="89" spans="2:6" ht="12.75">
      <c r="B89" s="139"/>
      <c r="C89" s="116"/>
      <c r="D89" s="123"/>
      <c r="E89" s="141"/>
      <c r="F89" s="137"/>
    </row>
    <row r="90" spans="2:6" ht="12.75">
      <c r="B90" s="139" t="s">
        <v>79</v>
      </c>
      <c r="C90" s="116"/>
      <c r="D90" s="123"/>
      <c r="E90" s="141"/>
      <c r="F90" s="55">
        <f>SUM(D91:D92)</f>
        <v>1579.2</v>
      </c>
    </row>
    <row r="91" spans="2:6" ht="12.75">
      <c r="B91" s="139"/>
      <c r="C91" s="116" t="s">
        <v>41</v>
      </c>
      <c r="D91" s="126">
        <f>F44</f>
        <v>902.4000000000001</v>
      </c>
      <c r="E91" s="141"/>
      <c r="F91" s="137"/>
    </row>
    <row r="92" spans="2:6" ht="12.75">
      <c r="B92" s="147"/>
      <c r="C92" s="116" t="s">
        <v>42</v>
      </c>
      <c r="D92" s="126">
        <f>F48</f>
        <v>676.8</v>
      </c>
      <c r="E92" s="141"/>
      <c r="F92" s="123"/>
    </row>
    <row r="93" spans="2:6" ht="12.75">
      <c r="B93" s="147"/>
      <c r="C93" s="116"/>
      <c r="D93" s="116"/>
      <c r="E93" s="141"/>
      <c r="F93" s="123"/>
    </row>
    <row r="94" spans="2:6" ht="12.75">
      <c r="B94" s="139" t="s">
        <v>162</v>
      </c>
      <c r="C94" s="116"/>
      <c r="D94" s="116"/>
      <c r="E94" s="141"/>
      <c r="F94" s="55">
        <f>SUM(E95:E101)</f>
        <v>156</v>
      </c>
    </row>
    <row r="95" spans="2:6" ht="12.75">
      <c r="B95" s="148"/>
      <c r="C95" s="116" t="s">
        <v>52</v>
      </c>
      <c r="D95" s="116"/>
      <c r="E95" s="149">
        <f aca="true" t="shared" si="3" ref="E95:E101">F57</f>
        <v>7.199999999999999</v>
      </c>
      <c r="F95" s="123"/>
    </row>
    <row r="96" spans="2:6" ht="12.75">
      <c r="B96" s="148"/>
      <c r="C96" s="116" t="s">
        <v>50</v>
      </c>
      <c r="D96" s="116"/>
      <c r="E96" s="149">
        <f t="shared" si="3"/>
        <v>48</v>
      </c>
      <c r="F96" s="123"/>
    </row>
    <row r="97" spans="2:6" ht="12.75">
      <c r="B97" s="148"/>
      <c r="C97" s="116" t="s">
        <v>49</v>
      </c>
      <c r="D97" s="116"/>
      <c r="E97" s="149">
        <f t="shared" si="3"/>
        <v>19.200000000000003</v>
      </c>
      <c r="F97" s="123"/>
    </row>
    <row r="98" spans="2:6" ht="12.75">
      <c r="B98" s="148"/>
      <c r="C98" s="116" t="s">
        <v>51</v>
      </c>
      <c r="D98" s="116"/>
      <c r="E98" s="149">
        <f t="shared" si="3"/>
        <v>14.399999999999999</v>
      </c>
      <c r="F98" s="123"/>
    </row>
    <row r="99" spans="2:6" ht="12.75">
      <c r="B99" s="148"/>
      <c r="C99" s="116" t="s">
        <v>53</v>
      </c>
      <c r="D99" s="116"/>
      <c r="E99" s="149">
        <f t="shared" si="3"/>
        <v>24</v>
      </c>
      <c r="F99" s="123"/>
    </row>
    <row r="100" spans="2:6" ht="12.75">
      <c r="B100" s="148"/>
      <c r="C100" s="116" t="s">
        <v>54</v>
      </c>
      <c r="D100" s="116"/>
      <c r="E100" s="149">
        <f t="shared" si="3"/>
        <v>24</v>
      </c>
      <c r="F100" s="123"/>
    </row>
    <row r="101" spans="2:6" ht="12.75">
      <c r="B101" s="148"/>
      <c r="C101" s="116" t="s">
        <v>55</v>
      </c>
      <c r="D101" s="116"/>
      <c r="E101" s="149">
        <f t="shared" si="3"/>
        <v>19.200000000000003</v>
      </c>
      <c r="F101" s="123"/>
    </row>
    <row r="102" spans="2:6" ht="13.5" thickBot="1">
      <c r="B102" s="150"/>
      <c r="C102" s="151"/>
      <c r="D102" s="151"/>
      <c r="E102" s="152"/>
      <c r="F102" s="153"/>
    </row>
    <row r="103" spans="2:6" ht="18.75" customHeight="1" thickBot="1">
      <c r="B103" s="445" t="s">
        <v>180</v>
      </c>
      <c r="C103" s="455"/>
      <c r="D103" s="455"/>
      <c r="E103" s="446"/>
      <c r="F103" s="410">
        <f>F94+F90+F81+F69+F87</f>
        <v>17748.38</v>
      </c>
    </row>
  </sheetData>
  <sheetProtection/>
  <mergeCells count="16">
    <mergeCell ref="F2:G2"/>
    <mergeCell ref="B2:D2"/>
    <mergeCell ref="B9:D9"/>
    <mergeCell ref="B29:F29"/>
    <mergeCell ref="B33:F33"/>
    <mergeCell ref="B37:F37"/>
    <mergeCell ref="I6:K6"/>
    <mergeCell ref="B3:C3"/>
    <mergeCell ref="B21:F21"/>
    <mergeCell ref="B25:F25"/>
    <mergeCell ref="B67:F67"/>
    <mergeCell ref="B103:E103"/>
    <mergeCell ref="B46:F46"/>
    <mergeCell ref="B64:D64"/>
    <mergeCell ref="B55:F55"/>
    <mergeCell ref="B42:F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Krystell Coello B.</dc:creator>
  <cp:keywords/>
  <dc:description/>
  <cp:lastModifiedBy>Krystell Coello B.</cp:lastModifiedBy>
  <dcterms:created xsi:type="dcterms:W3CDTF">2009-01-27T15:19:52Z</dcterms:created>
  <dcterms:modified xsi:type="dcterms:W3CDTF">2009-03-06T04:39:31Z</dcterms:modified>
  <cp:category/>
  <cp:version/>
  <cp:contentType/>
  <cp:contentStatus/>
</cp:coreProperties>
</file>