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0" yWindow="45" windowWidth="15195" windowHeight="8445" tabRatio="863" activeTab="4"/>
  </bookViews>
  <sheets>
    <sheet name="Activos fijos" sheetId="1" r:id="rId1"/>
    <sheet name="Inversion" sheetId="2" r:id="rId2"/>
    <sheet name="Supuestos" sheetId="3" r:id="rId3"/>
    <sheet name="Ingresos" sheetId="4" r:id="rId4"/>
    <sheet name="Costos" sheetId="5" r:id="rId5"/>
    <sheet name="Desglose Administrativo" sheetId="6" r:id="rId6"/>
    <sheet name="Tabla de Amortizacion" sheetId="7" state="hidden" r:id="rId7"/>
    <sheet name="Flujo de Caja" sheetId="8" r:id="rId8"/>
    <sheet name="punto equilibrio" sheetId="9" r:id="rId9"/>
    <sheet name="PRC" sheetId="10" r:id="rId10"/>
    <sheet name="VAN" sheetId="11" r:id="rId11"/>
    <sheet name="resultados" sheetId="12" r:id="rId12"/>
    <sheet name="ADMINISTRATIVODS" sheetId="13" state="hidden" r:id="rId13"/>
    <sheet name="Tour Zona Loja-Sur" sheetId="14" state="hidden" r:id="rId14"/>
    <sheet name="Tour Loja" sheetId="15" state="hidden" r:id="rId15"/>
    <sheet name="Tour Loja Caro" sheetId="16" state="hidden" r:id="rId16"/>
    <sheet name="Tour Baños" sheetId="17" state="hidden" r:id="rId17"/>
  </sheets>
  <definedNames>
    <definedName name="_xlnm.Print_Area" localSheetId="0">'Activos fijos'!$A$3:$I$26</definedName>
    <definedName name="_xlnm.Print_Area" localSheetId="4">'Costos'!$A$10:$J$57</definedName>
    <definedName name="_xlnm.Print_Area" localSheetId="5">'Desglose Administrativo'!$A$3:$Q$15</definedName>
    <definedName name="_xlnm.Print_Area" localSheetId="7">'Flujo de Caja'!$A$1:$H$37</definedName>
    <definedName name="_xlnm.Print_Area" localSheetId="3">'Ingresos'!$A$10:$J$35</definedName>
    <definedName name="_xlnm.Print_Area" localSheetId="1">'Inversion'!$B$4:$G$8</definedName>
    <definedName name="_xlnm.Print_Area" localSheetId="9">'PRC'!$B$1:$E$17</definedName>
    <definedName name="_xlnm.Print_Area" localSheetId="8">'punto equilibrio'!$A$1:$D$24</definedName>
    <definedName name="_xlnm.Print_Area" localSheetId="11">'resultados'!$A$3:$G$21</definedName>
    <definedName name="_xlnm.Print_Area" localSheetId="2">'Supuestos'!$A$1:$B$19</definedName>
    <definedName name="_xlnm.Print_Area" localSheetId="6">'Tabla de Amortizacion'!$A$2:$E$73</definedName>
    <definedName name="_xlnm.Print_Area" localSheetId="13">'Tour Zona Loja-Sur'!$A$1:$Q$30</definedName>
    <definedName name="_xlnm.Print_Area" localSheetId="10">'VAN'!$B$1:$G$15</definedName>
  </definedNames>
  <calcPr fullCalcOnLoad="1"/>
</workbook>
</file>

<file path=xl/comments1.xml><?xml version="1.0" encoding="utf-8"?>
<comments xmlns="http://schemas.openxmlformats.org/spreadsheetml/2006/main">
  <authors>
    <author>Mirtha Mora</author>
  </authors>
  <commentList>
    <comment ref="B9" authorId="0">
      <text>
        <r>
          <rPr>
            <b/>
            <sz val="8"/>
            <rFont val="Tahoma"/>
            <family val="0"/>
          </rPr>
          <t xml:space="preserve">son 10 tachos a lo largo de la playa
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son 4 torres salvavidas, pero en el primer ciclo de 5 años se colocaran 2 torres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2"/>
          </rPr>
          <t>Costo construccion duchas y baños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2"/>
          </rPr>
          <t>costo del terreno 12,5*30m= 375m2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<sst xmlns="http://schemas.openxmlformats.org/spreadsheetml/2006/main" count="430" uniqueCount="288">
  <si>
    <t>Anexo No.</t>
  </si>
  <si>
    <t>RUBROS</t>
  </si>
  <si>
    <t>ENE</t>
  </si>
  <si>
    <t>FEB</t>
  </si>
  <si>
    <t>MAR</t>
  </si>
  <si>
    <t>ABR</t>
  </si>
  <si>
    <t>MAY</t>
  </si>
  <si>
    <t>JUN</t>
  </si>
  <si>
    <t>JUL</t>
  </si>
  <si>
    <t>AGOS</t>
  </si>
  <si>
    <t>SEP</t>
  </si>
  <si>
    <t>OCT</t>
  </si>
  <si>
    <t>NOV</t>
  </si>
  <si>
    <t>DIC</t>
  </si>
  <si>
    <t>TOTAL</t>
  </si>
  <si>
    <t xml:space="preserve">SUELDO </t>
  </si>
  <si>
    <t>INGRESOS TOTALES</t>
  </si>
  <si>
    <t>(CANTIDAD  *  PRECIO)</t>
  </si>
  <si>
    <t>Supuestos Utilizados</t>
  </si>
  <si>
    <t xml:space="preserve">Cifras </t>
  </si>
  <si>
    <t>Total Gastos Variables</t>
  </si>
  <si>
    <t>Total Gastos Generales</t>
  </si>
  <si>
    <t>Total Ingresos Operacionales</t>
  </si>
  <si>
    <t>Costos Administrativos</t>
  </si>
  <si>
    <t>Por Pax</t>
  </si>
  <si>
    <t>Nómina</t>
  </si>
  <si>
    <t xml:space="preserve">Días </t>
  </si>
  <si>
    <t>Agen - Opera</t>
  </si>
  <si>
    <t>Laborables</t>
  </si>
  <si>
    <t>Paquete</t>
  </si>
  <si>
    <t>Gerente General</t>
  </si>
  <si>
    <t>Contador</t>
  </si>
  <si>
    <t>Counter Internacional</t>
  </si>
  <si>
    <t>P.O.Organización</t>
  </si>
  <si>
    <t>P.O.Asistente</t>
  </si>
  <si>
    <t>Mensajero</t>
  </si>
  <si>
    <t>Servicios</t>
  </si>
  <si>
    <t>Alquiler</t>
  </si>
  <si>
    <t>Luz</t>
  </si>
  <si>
    <t>Teléfono</t>
  </si>
  <si>
    <t>Internet</t>
  </si>
  <si>
    <t>Publicidad</t>
  </si>
  <si>
    <t>Impresiones</t>
  </si>
  <si>
    <t>Cartucho para impresora</t>
  </si>
  <si>
    <t>COSTOS PAQUETES SPA VILCABAMBA - ZAMORA -LOJA - EL CISNE (CLUB DE VIAJES)</t>
  </si>
  <si>
    <t>Género</t>
  </si>
  <si>
    <t>Nombres</t>
  </si>
  <si>
    <t>4 Días - 3 Noches</t>
  </si>
  <si>
    <t>1 pax</t>
  </si>
  <si>
    <t>2 pax</t>
  </si>
  <si>
    <t>10 pax</t>
  </si>
  <si>
    <t>20 pax</t>
  </si>
  <si>
    <t>25 pax</t>
  </si>
  <si>
    <t>30 pax</t>
  </si>
  <si>
    <t>Hospedaje</t>
  </si>
  <si>
    <t>Hostería El Arenal</t>
  </si>
  <si>
    <t>Hostería Madre Tierra</t>
  </si>
  <si>
    <t>Hotel Gran H. Loja</t>
  </si>
  <si>
    <t>Alimentación</t>
  </si>
  <si>
    <t>4 Desayuno Ejecutivo</t>
  </si>
  <si>
    <t>1 No Incluido</t>
  </si>
  <si>
    <t>3 Almuerzo</t>
  </si>
  <si>
    <t>No Incluido</t>
  </si>
  <si>
    <t>3 Cena Completa.</t>
  </si>
  <si>
    <t>Box Lunch</t>
  </si>
  <si>
    <t>Atractivos</t>
  </si>
  <si>
    <t>P.N. Podocarpus.</t>
  </si>
  <si>
    <t>Otros</t>
  </si>
  <si>
    <t>Guías</t>
  </si>
  <si>
    <t>Transporte</t>
  </si>
  <si>
    <t>Bus(Ida y Vuelta)</t>
  </si>
  <si>
    <t>Bus todo el tiempo</t>
  </si>
  <si>
    <t>Imprevistos</t>
  </si>
  <si>
    <t>Ganancia</t>
  </si>
  <si>
    <t>Comisión Agencia</t>
  </si>
  <si>
    <t>Seguro de Viajes</t>
  </si>
  <si>
    <t>PRE.VTA.CLUB</t>
  </si>
  <si>
    <t>Diferencia</t>
  </si>
  <si>
    <t>Precio Vta.Agen</t>
  </si>
  <si>
    <t>3 Días - 2 Noches</t>
  </si>
  <si>
    <t xml:space="preserve">5 pax </t>
  </si>
  <si>
    <t>Hostal Las Americas</t>
  </si>
  <si>
    <t>3 Desayuno Ejecutivo</t>
  </si>
  <si>
    <t>Almuerzo</t>
  </si>
  <si>
    <t>Cena Completa.</t>
  </si>
  <si>
    <t>COSTOS PAQUETES LOJA ECONOMICO DESDE GUAYAQUIL</t>
  </si>
  <si>
    <t>Desayuno Ejecutivo</t>
  </si>
  <si>
    <t>Incluido</t>
  </si>
  <si>
    <t>Precio de Venta Club</t>
  </si>
  <si>
    <t>COSTOS CON SEGURO Y CON BUSES COOP. BAÑOS</t>
  </si>
  <si>
    <t>Hostería Llano Vientos</t>
  </si>
  <si>
    <t xml:space="preserve">2 Desayunos </t>
  </si>
  <si>
    <t>Almuerzos</t>
  </si>
  <si>
    <t xml:space="preserve">2 Cenas </t>
  </si>
  <si>
    <t>3 Box Lunch</t>
  </si>
  <si>
    <t>Res. Fau. Chimborazo</t>
  </si>
  <si>
    <t>Zoológico</t>
  </si>
  <si>
    <t>Pailón del Diablo</t>
  </si>
  <si>
    <t>Tarabita</t>
  </si>
  <si>
    <t xml:space="preserve">Compañías </t>
  </si>
  <si>
    <t>Counter Nacional</t>
  </si>
  <si>
    <t>Quinta de Juan León Mera</t>
  </si>
  <si>
    <t>Dentro de la ciudad</t>
  </si>
  <si>
    <t>DESCRIPCION</t>
  </si>
  <si>
    <t>AÑO 2</t>
  </si>
  <si>
    <t>AÑO 3</t>
  </si>
  <si>
    <t>AÑO 4</t>
  </si>
  <si>
    <t>AÑO 5</t>
  </si>
  <si>
    <t>Precio Venta</t>
  </si>
  <si>
    <t>DESGLOSE</t>
  </si>
  <si>
    <t>% de Costos sobre ventas</t>
  </si>
  <si>
    <t>EGRESOS OPERACIONALES</t>
  </si>
  <si>
    <t>INGRESOS OPERACIONALES</t>
  </si>
  <si>
    <t>Total Gastos Administrativos</t>
  </si>
  <si>
    <t>BASICO-MES</t>
  </si>
  <si>
    <t>SUELDO</t>
  </si>
  <si>
    <t>NETO-MES</t>
  </si>
  <si>
    <t>BENEFICIOS DE LEY</t>
  </si>
  <si>
    <t>NUMERO</t>
  </si>
  <si>
    <t>DE</t>
  </si>
  <si>
    <t>SUB-TOTAL</t>
  </si>
  <si>
    <t>Alquiler Oficinas</t>
  </si>
  <si>
    <t>A.  TOTAL INGRESOS OPERACIONALES</t>
  </si>
  <si>
    <t>B.  TOTAL EGRESOS OPERACIONALES</t>
  </si>
  <si>
    <t>INGRESOS NO OPERACIONALES</t>
  </si>
  <si>
    <t>D.  TOTAL  INGRESOS NO OPERACIONALES</t>
  </si>
  <si>
    <t>EGRESOS NO OPERACIONALES</t>
  </si>
  <si>
    <t>E.  TOTAL  EGRESOS NO OPERACIONALES</t>
  </si>
  <si>
    <t>F   FLUJO NO OPERACIONAL NETO ( D - E )</t>
  </si>
  <si>
    <t>G   FLUJO GENERADO NETO ( C + F )</t>
  </si>
  <si>
    <t>C.  FLUJO NETO OPERACIONAL (A - B)</t>
  </si>
  <si>
    <t>TABLA DE AMORTIZACIÓN</t>
  </si>
  <si>
    <t>PAGOS</t>
  </si>
  <si>
    <t>TASA ANUAL</t>
  </si>
  <si>
    <t>PLAZO (En Años)</t>
  </si>
  <si>
    <t>TASA POR PERÍODO</t>
  </si>
  <si>
    <t>No.DE PAGOS</t>
  </si>
  <si>
    <t>INTERÉS</t>
  </si>
  <si>
    <t>CAPITAL</t>
  </si>
  <si>
    <t>DIVIDENDO</t>
  </si>
  <si>
    <t>SALDO</t>
  </si>
  <si>
    <t>MONTO EN DOLARES</t>
  </si>
  <si>
    <t xml:space="preserve">COSTOS PAQUETES LOJA DESDE GUAYAQUIL </t>
  </si>
  <si>
    <t>INVERSION EN ACTIVOS FIJOS</t>
  </si>
  <si>
    <t>VALOR USD</t>
  </si>
  <si>
    <t>TOTAL EN USD</t>
  </si>
  <si>
    <t>Muebles y Enseres</t>
  </si>
  <si>
    <t>ANUAL</t>
  </si>
  <si>
    <t>MENSUAL</t>
  </si>
  <si>
    <t>Gastos Legales</t>
  </si>
  <si>
    <t>Guardiania</t>
  </si>
  <si>
    <t>IESS PAT</t>
  </si>
  <si>
    <t>AP.PATRO</t>
  </si>
  <si>
    <t>CATEGORIA</t>
  </si>
  <si>
    <t>AÑO 1</t>
  </si>
  <si>
    <t>Permiso  Ministerio de Turismo</t>
  </si>
  <si>
    <t>Permiso Municipal</t>
  </si>
  <si>
    <t>Permiso de Bomberos</t>
  </si>
  <si>
    <t>TIEMPO</t>
  </si>
  <si>
    <t>Depreciación</t>
  </si>
  <si>
    <t>Amortización</t>
  </si>
  <si>
    <t>FLUJO DE CAJA</t>
  </si>
  <si>
    <t>ENE-MAR</t>
  </si>
  <si>
    <t>ABR-JUN</t>
  </si>
  <si>
    <t>JUL-SEP</t>
  </si>
  <si>
    <t>OCT-DIC</t>
  </si>
  <si>
    <t>COSTOS VARIABLES TOTALES</t>
  </si>
  <si>
    <t>CATERGORIA</t>
  </si>
  <si>
    <t>DEPREC. ACUMUL</t>
  </si>
  <si>
    <t>INVERSION Y FINANCIAMIENTO</t>
  </si>
  <si>
    <t>Inversion</t>
  </si>
  <si>
    <t>Financiamiento</t>
  </si>
  <si>
    <t>Activos Fijos</t>
  </si>
  <si>
    <t>Valor en USD</t>
  </si>
  <si>
    <t>%</t>
  </si>
  <si>
    <t>Prestamo Bancario</t>
  </si>
  <si>
    <t>Total</t>
  </si>
  <si>
    <t>Aporte de Accionistas</t>
  </si>
  <si>
    <t>Capital de Trabajo</t>
  </si>
  <si>
    <t>MENSUAL POR</t>
  </si>
  <si>
    <t>TRIMESTRAL POR</t>
  </si>
  <si>
    <t>Totales</t>
  </si>
  <si>
    <t>Fondo Res</t>
  </si>
  <si>
    <t>Vacacion</t>
  </si>
  <si>
    <t>GASTO</t>
  </si>
  <si>
    <t>EMPLEADO</t>
  </si>
  <si>
    <t>AMORTIZ.ACUMUL</t>
  </si>
  <si>
    <t>INVERSION AMORTIZABLE</t>
  </si>
  <si>
    <t>(Expresado en Dólares)</t>
  </si>
  <si>
    <t>PAGO DE IMPUESTOS</t>
  </si>
  <si>
    <t>Desglose de Gastos Administrativos</t>
  </si>
  <si>
    <t>Expresado en dólares</t>
  </si>
  <si>
    <t>DEPRECIACION ANUAL</t>
  </si>
  <si>
    <t>EMPLEADOS</t>
  </si>
  <si>
    <t># PAGOS AL AÑO</t>
  </si>
  <si>
    <t>GASTOS ADMINISTRATIVOS  (personal)</t>
  </si>
  <si>
    <t>GASTOS GENERALES (administrativos)</t>
  </si>
  <si>
    <t xml:space="preserve">Seguros </t>
  </si>
  <si>
    <t>IMPREVISTOS (.005%)</t>
  </si>
  <si>
    <t>numero de clientes por trimestre</t>
  </si>
  <si>
    <t>precio por servicio</t>
  </si>
  <si>
    <t>Gasto Fijo (costo fijo)</t>
  </si>
  <si>
    <t xml:space="preserve">Gastos Variables </t>
  </si>
  <si>
    <t>precio por unidad</t>
  </si>
  <si>
    <t>costo por unidad</t>
  </si>
  <si>
    <t xml:space="preserve"> </t>
  </si>
  <si>
    <t>Punto de equilibrio</t>
  </si>
  <si>
    <t>PE=CF/(PvX-PpX)</t>
  </si>
  <si>
    <t>años</t>
  </si>
  <si>
    <t>flujo neto generado</t>
  </si>
  <si>
    <t>flujo acumulado</t>
  </si>
  <si>
    <t>prc=</t>
  </si>
  <si>
    <t>n-1+[(fa)/f]</t>
  </si>
  <si>
    <t>n: año en que flujo acumulado cambia de signo</t>
  </si>
  <si>
    <t>fa: flujo de efectivo acumulado en el año previo a n</t>
  </si>
  <si>
    <t>f: flujo de efectivo neto en el año n</t>
  </si>
  <si>
    <t>VALOR PRESENTE NETO</t>
  </si>
  <si>
    <t>AÑOS</t>
  </si>
  <si>
    <t>VALORES</t>
  </si>
  <si>
    <t>AÑO 0</t>
  </si>
  <si>
    <t>VAN</t>
  </si>
  <si>
    <t>TIR</t>
  </si>
  <si>
    <t>CUENTAS</t>
  </si>
  <si>
    <t>INGRESOS</t>
  </si>
  <si>
    <t>Ventas</t>
  </si>
  <si>
    <t>Costos de Ventas</t>
  </si>
  <si>
    <t>Utilidad Bruta</t>
  </si>
  <si>
    <t>Gastos Administrativos</t>
  </si>
  <si>
    <t>Gastos Generales</t>
  </si>
  <si>
    <t>Impuestos de funcionamiento</t>
  </si>
  <si>
    <t>Utilidad Operativa</t>
  </si>
  <si>
    <t>Gastos Financieros</t>
  </si>
  <si>
    <t>Utilidad antes de Imptos y Rep.trabajadores</t>
  </si>
  <si>
    <t>Utilidad antes de Impuesto a la Renta</t>
  </si>
  <si>
    <t>25% Impuesto a la Renta</t>
  </si>
  <si>
    <t>Utilidad Neta o Pérdida del Ejercicio</t>
  </si>
  <si>
    <t>Incremento proyectado de precio</t>
  </si>
  <si>
    <t>Instalaciones</t>
  </si>
  <si>
    <t>Duchas</t>
  </si>
  <si>
    <t>Tachos de basura</t>
  </si>
  <si>
    <t>Torres Salvavidas</t>
  </si>
  <si>
    <t>Silla</t>
  </si>
  <si>
    <t>Servicios de WC y Duchas</t>
  </si>
  <si>
    <t>TOTAL TURISTAS utilizan servicios</t>
  </si>
  <si>
    <t>Total Gastos de impuestos</t>
  </si>
  <si>
    <t>Terreno</t>
  </si>
  <si>
    <t>Suministros de Limpieza y papel h</t>
  </si>
  <si>
    <t xml:space="preserve">Tasa estimada (no hay prestamos) </t>
  </si>
  <si>
    <t>Imprevistos por feriados</t>
  </si>
  <si>
    <t>Salvavida 2</t>
  </si>
  <si>
    <t>Auxiliar de limpieza 1</t>
  </si>
  <si>
    <t>Salvavida 1</t>
  </si>
  <si>
    <t>Auxiliar de limpieza 2</t>
  </si>
  <si>
    <t>Propuesta</t>
  </si>
  <si>
    <t>Incremento proyectado en la demanda de los usuarios</t>
  </si>
  <si>
    <t>Baterías sanitarias y duchas</t>
  </si>
  <si>
    <t>Baterías sanitarias</t>
  </si>
  <si>
    <t>Permiso de Salud</t>
  </si>
  <si>
    <t>INSTALACION DE MUEBLES Y ENSERES</t>
  </si>
  <si>
    <t>INVERSION FIJA</t>
  </si>
  <si>
    <t>VAN&gt;1</t>
  </si>
  <si>
    <t>15% de trabajadores</t>
  </si>
  <si>
    <t>ESTADO DE RESULTADOS PROYECTOS</t>
  </si>
  <si>
    <t>Escritorio</t>
  </si>
  <si>
    <t>Número de clientes por mes</t>
  </si>
  <si>
    <t>PROMEDIO DE RETORNO DEL CAPITAL</t>
  </si>
  <si>
    <r>
      <t xml:space="preserve">Rubros </t>
    </r>
    <r>
      <rPr>
        <b/>
        <sz val="10"/>
        <rFont val="Arial"/>
        <family val="2"/>
      </rPr>
      <t>Duchas</t>
    </r>
  </si>
  <si>
    <r>
      <t>Rubros</t>
    </r>
    <r>
      <rPr>
        <b/>
        <sz val="10"/>
        <rFont val="Arial"/>
        <family val="2"/>
      </rPr>
      <t xml:space="preserve"> Baterias sanitarias</t>
    </r>
  </si>
  <si>
    <t>Publicidad y promocion</t>
  </si>
  <si>
    <t>Servicios Basicos (Luz)</t>
  </si>
  <si>
    <t>Servicios Basicos (Agua, por litro de consumo)</t>
  </si>
  <si>
    <t>Suministros (mensual)</t>
  </si>
  <si>
    <t>Sueldo por persona de Mantenimiento y Limpieza ( 2 personas)</t>
  </si>
  <si>
    <t xml:space="preserve">Sueldo por persona Salvavidas (2 personas) </t>
  </si>
  <si>
    <t>Anual</t>
  </si>
  <si>
    <t>13er.</t>
  </si>
  <si>
    <t>14to.</t>
  </si>
  <si>
    <t xml:space="preserve">personas </t>
  </si>
  <si>
    <t>personas</t>
  </si>
  <si>
    <t>Expresado en Dólares</t>
  </si>
  <si>
    <t>Inflación Proyectada       (Año 2007 en adelante)</t>
  </si>
  <si>
    <t>Monto del crédito bancario</t>
  </si>
  <si>
    <t>14 litros es el consumo de agua por persona</t>
  </si>
  <si>
    <t>ANEXO  Q</t>
  </si>
  <si>
    <t>RECUPERO LA INVERSION AL 5TO AÑO EN UN……..</t>
  </si>
  <si>
    <t>TIR&gt;15%</t>
  </si>
  <si>
    <t>Total de la CCR al mes =158400= 5280pax*30dias</t>
  </si>
  <si>
    <t xml:space="preserve"> ANEXO T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</si>
</sst>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&quot;$&quot;#,##0.00;[Red]\-&quot;$&quot;#,##0.00"/>
    <numFmt numFmtId="184" formatCode="_-* #,##0.00_-;\-* #,##0.00_-;_-* &quot;-&quot;??_-;_-@_-"/>
    <numFmt numFmtId="185" formatCode="0.0"/>
    <numFmt numFmtId="186" formatCode="_(* #,##0.000_);_(* \(#,##0.000\);_(* &quot;-&quot;??_);_(@_)"/>
    <numFmt numFmtId="187" formatCode="_(* #,##0.0000_);_(* \(#,##0.0000\);_(* &quot;-&quot;??_);_(@_)"/>
    <numFmt numFmtId="188" formatCode="_(* #,##0_);_(* \(#,##0\);_(* &quot;-&quot;??_);_(@_)"/>
    <numFmt numFmtId="189" formatCode="_-* #,##0_-;\-* #,##0_-;_-* &quot;-&quot;??_-;_-@_-"/>
    <numFmt numFmtId="190" formatCode="0_);\(0\)"/>
    <numFmt numFmtId="191" formatCode="[$$-409]#,##0.00"/>
    <numFmt numFmtId="192" formatCode="[$$-409]#,##0"/>
    <numFmt numFmtId="193" formatCode="_(* #,##0.00_);_(* \(#,##0.00\);_(* &quot;-&quot;_);_(@_)"/>
    <numFmt numFmtId="194" formatCode="&quot;$&quot;#,##0.0;[Red]\-&quot;$&quot;#,##0.0"/>
    <numFmt numFmtId="195" formatCode="&quot;$&quot;#,##0;[Red]\-&quot;$&quot;#,##0"/>
    <numFmt numFmtId="196" formatCode="#,##0.0\ &quot;€&quot;;[Red]\-#,##0.0\ &quot;€&quot;"/>
    <numFmt numFmtId="197" formatCode="[$$-409]#,##0.00_ ;[Red]\-[$$-409]#,##0.00\ "/>
    <numFmt numFmtId="198" formatCode="0.0%"/>
    <numFmt numFmtId="199" formatCode="_(* #,##0.0_);_(* \(#,##0.0\);_(* &quot;-&quot;??_);_(@_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  <numFmt numFmtId="208" formatCode="_(* #,##0.00000000_);_(* \(#,##0.00000000\);_(* &quot;-&quot;??_);_(@_)"/>
    <numFmt numFmtId="209" formatCode="[$$-409]#,##0.0_ ;[Red]\-[$$-409]#,##0.0\ "/>
    <numFmt numFmtId="210" formatCode="[$$-409]#,##0_ ;[Red]\-[$$-409]#,##0\ "/>
  </numFmts>
  <fonts count="4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2"/>
      <name val="Arial"/>
      <family val="0"/>
    </font>
    <font>
      <b/>
      <i/>
      <sz val="10"/>
      <name val="Arial"/>
      <family val="2"/>
    </font>
    <font>
      <u val="single"/>
      <sz val="10"/>
      <name val="Arial"/>
      <family val="0"/>
    </font>
    <font>
      <b/>
      <i/>
      <u val="single"/>
      <sz val="12"/>
      <name val="Arial"/>
      <family val="2"/>
    </font>
    <font>
      <b/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sz val="12"/>
      <color indexed="12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i/>
      <sz val="11"/>
      <name val="Arial"/>
      <family val="2"/>
    </font>
    <font>
      <sz val="10"/>
      <color indexed="9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color indexed="18"/>
      <name val="Arial"/>
      <family val="2"/>
    </font>
    <font>
      <b/>
      <sz val="18"/>
      <name val="Arial"/>
      <family val="2"/>
    </font>
    <font>
      <b/>
      <i/>
      <u val="single"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2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7"/>
      <name val="Arial"/>
      <family val="2"/>
    </font>
    <font>
      <sz val="10"/>
      <color indexed="17"/>
      <name val="Arial"/>
      <family val="0"/>
    </font>
    <font>
      <b/>
      <sz val="10"/>
      <color indexed="17"/>
      <name val="Arial"/>
      <family val="2"/>
    </font>
    <font>
      <sz val="8"/>
      <color indexed="8"/>
      <name val="Arial"/>
      <family val="2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 quotePrefix="1">
      <alignment/>
    </xf>
    <xf numFmtId="0" fontId="7" fillId="0" borderId="5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0" fillId="0" borderId="6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/>
    </xf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2" fontId="0" fillId="0" borderId="2" xfId="0" applyNumberFormat="1" applyBorder="1" applyAlignment="1">
      <alignment/>
    </xf>
    <xf numFmtId="0" fontId="0" fillId="0" borderId="2" xfId="0" applyFill="1" applyBorder="1" applyAlignment="1">
      <alignment/>
    </xf>
    <xf numFmtId="2" fontId="0" fillId="0" borderId="3" xfId="0" applyNumberFormat="1" applyBorder="1" applyAlignment="1">
      <alignment/>
    </xf>
    <xf numFmtId="2" fontId="0" fillId="0" borderId="9" xfId="0" applyNumberFormat="1" applyBorder="1" applyAlignment="1">
      <alignment/>
    </xf>
    <xf numFmtId="9" fontId="0" fillId="0" borderId="2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82" fontId="0" fillId="0" borderId="0" xfId="17" applyNumberFormat="1" applyAlignment="1">
      <alignment/>
    </xf>
    <xf numFmtId="182" fontId="8" fillId="0" borderId="6" xfId="17" applyNumberFormat="1" applyFont="1" applyBorder="1" applyAlignment="1">
      <alignment horizontal="center"/>
    </xf>
    <xf numFmtId="188" fontId="0" fillId="0" borderId="0" xfId="17" applyNumberFormat="1" applyAlignment="1">
      <alignment/>
    </xf>
    <xf numFmtId="188" fontId="0" fillId="0" borderId="6" xfId="17" applyNumberFormat="1" applyBorder="1" applyAlignment="1">
      <alignment/>
    </xf>
    <xf numFmtId="188" fontId="8" fillId="0" borderId="8" xfId="17" applyNumberFormat="1" applyFont="1" applyBorder="1" applyAlignment="1">
      <alignment horizontal="center"/>
    </xf>
    <xf numFmtId="188" fontId="4" fillId="0" borderId="12" xfId="17" applyNumberFormat="1" applyFont="1" applyBorder="1" applyAlignment="1">
      <alignment horizontal="center"/>
    </xf>
    <xf numFmtId="188" fontId="0" fillId="0" borderId="13" xfId="17" applyNumberFormat="1" applyBorder="1" applyAlignment="1">
      <alignment/>
    </xf>
    <xf numFmtId="188" fontId="1" fillId="0" borderId="14" xfId="17" applyNumberFormat="1" applyFont="1" applyBorder="1" applyAlignment="1">
      <alignment horizontal="center"/>
    </xf>
    <xf numFmtId="188" fontId="0" fillId="0" borderId="15" xfId="17" applyNumberFormat="1" applyBorder="1" applyAlignment="1">
      <alignment/>
    </xf>
    <xf numFmtId="188" fontId="0" fillId="0" borderId="0" xfId="17" applyNumberFormat="1" applyBorder="1" applyAlignment="1">
      <alignment/>
    </xf>
    <xf numFmtId="188" fontId="0" fillId="0" borderId="0" xfId="17" applyNumberFormat="1" applyBorder="1" applyAlignment="1">
      <alignment horizontal="center"/>
    </xf>
    <xf numFmtId="188" fontId="0" fillId="0" borderId="0" xfId="17" applyNumberFormat="1" applyFont="1" applyBorder="1" applyAlignment="1">
      <alignment/>
    </xf>
    <xf numFmtId="188" fontId="0" fillId="0" borderId="16" xfId="17" applyNumberFormat="1" applyBorder="1" applyAlignment="1">
      <alignment/>
    </xf>
    <xf numFmtId="188" fontId="3" fillId="0" borderId="0" xfId="17" applyNumberFormat="1" applyFont="1" applyBorder="1" applyAlignment="1">
      <alignment/>
    </xf>
    <xf numFmtId="188" fontId="0" fillId="0" borderId="11" xfId="17" applyNumberFormat="1" applyBorder="1" applyAlignment="1">
      <alignment/>
    </xf>
    <xf numFmtId="188" fontId="0" fillId="0" borderId="1" xfId="17" applyNumberFormat="1" applyBorder="1" applyAlignment="1">
      <alignment/>
    </xf>
    <xf numFmtId="188" fontId="0" fillId="0" borderId="1" xfId="17" applyNumberFormat="1" applyBorder="1" applyAlignment="1">
      <alignment horizontal="center"/>
    </xf>
    <xf numFmtId="188" fontId="0" fillId="0" borderId="17" xfId="17" applyNumberFormat="1" applyBorder="1" applyAlignment="1">
      <alignment/>
    </xf>
    <xf numFmtId="188" fontId="0" fillId="0" borderId="16" xfId="17" applyNumberFormat="1" applyBorder="1" applyAlignment="1">
      <alignment horizontal="center"/>
    </xf>
    <xf numFmtId="188" fontId="0" fillId="0" borderId="1" xfId="17" applyNumberFormat="1" applyFont="1" applyBorder="1" applyAlignment="1">
      <alignment horizontal="center"/>
    </xf>
    <xf numFmtId="188" fontId="0" fillId="0" borderId="15" xfId="17" applyNumberFormat="1" applyFont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2" fontId="0" fillId="2" borderId="0" xfId="0" applyNumberFormat="1" applyFill="1" applyAlignment="1">
      <alignment/>
    </xf>
    <xf numFmtId="2" fontId="0" fillId="2" borderId="0" xfId="0" applyNumberFormat="1" applyFill="1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9" fontId="0" fillId="2" borderId="0" xfId="0" applyNumberFormat="1" applyFill="1" applyAlignment="1">
      <alignment/>
    </xf>
    <xf numFmtId="0" fontId="11" fillId="2" borderId="0" xfId="0" applyFont="1" applyFill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9" fontId="0" fillId="2" borderId="0" xfId="21" applyFill="1" applyAlignment="1">
      <alignment/>
    </xf>
    <xf numFmtId="182" fontId="0" fillId="2" borderId="0" xfId="17" applyFill="1" applyAlignment="1">
      <alignment/>
    </xf>
    <xf numFmtId="182" fontId="11" fillId="2" borderId="0" xfId="17" applyFont="1" applyFill="1" applyAlignment="1">
      <alignment horizontal="center" vertical="center"/>
    </xf>
    <xf numFmtId="9" fontId="0" fillId="0" borderId="0" xfId="21" applyAlignment="1">
      <alignment/>
    </xf>
    <xf numFmtId="9" fontId="11" fillId="0" borderId="0" xfId="21" applyFont="1" applyAlignment="1">
      <alignment horizontal="center" vertical="center"/>
    </xf>
    <xf numFmtId="0" fontId="1" fillId="0" borderId="12" xfId="0" applyFont="1" applyBorder="1" applyAlignment="1">
      <alignment/>
    </xf>
    <xf numFmtId="0" fontId="7" fillId="0" borderId="14" xfId="0" applyFont="1" applyBorder="1" applyAlignment="1">
      <alignment horizontal="center" wrapText="1"/>
    </xf>
    <xf numFmtId="188" fontId="9" fillId="0" borderId="4" xfId="17" applyNumberFormat="1" applyFont="1" applyBorder="1" applyAlignment="1">
      <alignment horizontal="center" vertical="center"/>
    </xf>
    <xf numFmtId="188" fontId="0" fillId="0" borderId="18" xfId="17" applyNumberFormat="1" applyBorder="1" applyAlignment="1">
      <alignment/>
    </xf>
    <xf numFmtId="188" fontId="0" fillId="0" borderId="0" xfId="17" applyNumberFormat="1" applyAlignment="1">
      <alignment horizontal="center"/>
    </xf>
    <xf numFmtId="188" fontId="4" fillId="0" borderId="0" xfId="17" applyNumberFormat="1" applyFont="1" applyAlignment="1">
      <alignment/>
    </xf>
    <xf numFmtId="188" fontId="0" fillId="0" borderId="0" xfId="17" applyNumberFormat="1" applyFont="1" applyAlignment="1">
      <alignment/>
    </xf>
    <xf numFmtId="188" fontId="5" fillId="0" borderId="18" xfId="17" applyNumberFormat="1" applyFont="1" applyBorder="1" applyAlignment="1">
      <alignment/>
    </xf>
    <xf numFmtId="188" fontId="2" fillId="0" borderId="0" xfId="17" applyNumberFormat="1" applyFont="1" applyAlignment="1">
      <alignment horizontal="center" wrapText="1"/>
    </xf>
    <xf numFmtId="188" fontId="2" fillId="0" borderId="0" xfId="17" applyNumberFormat="1" applyFont="1" applyAlignment="1">
      <alignment horizontal="center"/>
    </xf>
    <xf numFmtId="188" fontId="0" fillId="0" borderId="18" xfId="17" applyNumberFormat="1" applyFont="1" applyBorder="1" applyAlignment="1">
      <alignment/>
    </xf>
    <xf numFmtId="188" fontId="0" fillId="0" borderId="18" xfId="17" applyNumberFormat="1" applyFont="1" applyBorder="1" applyAlignment="1">
      <alignment/>
    </xf>
    <xf numFmtId="189" fontId="0" fillId="0" borderId="0" xfId="0" applyNumberFormat="1" applyAlignment="1">
      <alignment/>
    </xf>
    <xf numFmtId="0" fontId="19" fillId="0" borderId="0" xfId="0" applyFont="1" applyAlignment="1">
      <alignment horizontal="left" vertical="center"/>
    </xf>
    <xf numFmtId="188" fontId="14" fillId="0" borderId="0" xfId="17" applyNumberFormat="1" applyFont="1" applyAlignment="1">
      <alignment/>
    </xf>
    <xf numFmtId="188" fontId="14" fillId="0" borderId="0" xfId="17" applyNumberFormat="1" applyFont="1" applyBorder="1" applyAlignment="1">
      <alignment/>
    </xf>
    <xf numFmtId="2" fontId="17" fillId="0" borderId="6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9" fontId="0" fillId="0" borderId="19" xfId="0" applyNumberFormat="1" applyBorder="1" applyAlignment="1">
      <alignment/>
    </xf>
    <xf numFmtId="188" fontId="20" fillId="0" borderId="4" xfId="17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188" fontId="0" fillId="0" borderId="0" xfId="17" applyNumberFormat="1" applyFont="1" applyAlignment="1">
      <alignment/>
    </xf>
    <xf numFmtId="188" fontId="0" fillId="0" borderId="5" xfId="17" applyNumberFormat="1" applyFont="1" applyBorder="1" applyAlignment="1">
      <alignment/>
    </xf>
    <xf numFmtId="188" fontId="8" fillId="0" borderId="20" xfId="17" applyNumberFormat="1" applyFont="1" applyBorder="1" applyAlignment="1">
      <alignment/>
    </xf>
    <xf numFmtId="188" fontId="0" fillId="0" borderId="18" xfId="17" applyNumberFormat="1" applyFont="1" applyBorder="1" applyAlignment="1">
      <alignment/>
    </xf>
    <xf numFmtId="0" fontId="0" fillId="0" borderId="0" xfId="0" applyFill="1" applyAlignment="1" applyProtection="1">
      <alignment/>
      <protection locked="0"/>
    </xf>
    <xf numFmtId="3" fontId="0" fillId="0" borderId="21" xfId="17" applyNumberFormat="1" applyFill="1" applyBorder="1" applyAlignment="1" applyProtection="1">
      <alignment horizontal="center"/>
      <protection locked="0"/>
    </xf>
    <xf numFmtId="3" fontId="0" fillId="0" borderId="22" xfId="0" applyNumberFormat="1" applyFill="1" applyBorder="1" applyAlignment="1" applyProtection="1">
      <alignment/>
      <protection locked="0"/>
    </xf>
    <xf numFmtId="3" fontId="1" fillId="0" borderId="23" xfId="0" applyNumberFormat="1" applyFont="1" applyFill="1" applyBorder="1" applyAlignment="1" applyProtection="1">
      <alignment/>
      <protection locked="0"/>
    </xf>
    <xf numFmtId="3" fontId="0" fillId="0" borderId="23" xfId="0" applyNumberFormat="1" applyFill="1" applyBorder="1" applyAlignment="1" applyProtection="1">
      <alignment/>
      <protection locked="0"/>
    </xf>
    <xf numFmtId="0" fontId="1" fillId="3" borderId="24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25" xfId="0" applyFont="1" applyFill="1" applyBorder="1" applyAlignment="1" applyProtection="1">
      <alignment horizontal="center"/>
      <protection locked="0"/>
    </xf>
    <xf numFmtId="3" fontId="0" fillId="0" borderId="21" xfId="17" applyNumberFormat="1" applyFont="1" applyFill="1" applyBorder="1" applyAlignment="1" applyProtection="1">
      <alignment horizontal="center"/>
      <protection locked="0"/>
    </xf>
    <xf numFmtId="3" fontId="0" fillId="0" borderId="21" xfId="17" applyNumberFormat="1" applyFont="1" applyFill="1" applyBorder="1" applyAlignment="1" applyProtection="1">
      <alignment horizontal="center"/>
      <protection/>
    </xf>
    <xf numFmtId="0" fontId="0" fillId="0" borderId="26" xfId="0" applyFont="1" applyBorder="1" applyAlignment="1">
      <alignment/>
    </xf>
    <xf numFmtId="182" fontId="18" fillId="0" borderId="0" xfId="0" applyNumberFormat="1" applyFont="1" applyAlignment="1">
      <alignment/>
    </xf>
    <xf numFmtId="10" fontId="22" fillId="0" borderId="18" xfId="21" applyNumberFormat="1" applyFont="1" applyBorder="1" applyAlignment="1">
      <alignment/>
    </xf>
    <xf numFmtId="188" fontId="18" fillId="0" borderId="0" xfId="17" applyNumberFormat="1" applyFont="1" applyAlignment="1">
      <alignment/>
    </xf>
    <xf numFmtId="188" fontId="23" fillId="0" borderId="5" xfId="17" applyNumberFormat="1" applyFont="1" applyBorder="1" applyAlignment="1">
      <alignment/>
    </xf>
    <xf numFmtId="188" fontId="24" fillId="0" borderId="0" xfId="17" applyNumberFormat="1" applyFont="1" applyAlignment="1">
      <alignment/>
    </xf>
    <xf numFmtId="188" fontId="23" fillId="0" borderId="0" xfId="17" applyNumberFormat="1" applyFont="1" applyAlignment="1">
      <alignment/>
    </xf>
    <xf numFmtId="10" fontId="0" fillId="0" borderId="0" xfId="21" applyNumberFormat="1" applyFont="1" applyAlignment="1">
      <alignment/>
    </xf>
    <xf numFmtId="187" fontId="3" fillId="0" borderId="0" xfId="17" applyNumberFormat="1" applyFont="1" applyAlignment="1">
      <alignment/>
    </xf>
    <xf numFmtId="0" fontId="18" fillId="0" borderId="0" xfId="0" applyFont="1" applyBorder="1" applyAlignment="1">
      <alignment/>
    </xf>
    <xf numFmtId="190" fontId="0" fillId="0" borderId="0" xfId="17" applyNumberFormat="1" applyFont="1" applyAlignment="1">
      <alignment/>
    </xf>
    <xf numFmtId="188" fontId="23" fillId="0" borderId="14" xfId="17" applyNumberFormat="1" applyFont="1" applyBorder="1" applyAlignment="1">
      <alignment/>
    </xf>
    <xf numFmtId="9" fontId="0" fillId="0" borderId="16" xfId="21" applyBorder="1" applyAlignment="1">
      <alignment/>
    </xf>
    <xf numFmtId="10" fontId="0" fillId="0" borderId="0" xfId="21" applyNumberFormat="1" applyAlignment="1">
      <alignment/>
    </xf>
    <xf numFmtId="9" fontId="0" fillId="0" borderId="0" xfId="21" applyAlignment="1">
      <alignment horizontal="center"/>
    </xf>
    <xf numFmtId="0" fontId="25" fillId="0" borderId="0" xfId="0" applyFont="1" applyBorder="1" applyAlignment="1">
      <alignment/>
    </xf>
    <xf numFmtId="188" fontId="0" fillId="0" borderId="27" xfId="17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0" xfId="0" applyFont="1" applyAlignment="1">
      <alignment/>
    </xf>
    <xf numFmtId="182" fontId="0" fillId="0" borderId="29" xfId="17" applyFont="1" applyBorder="1" applyAlignment="1">
      <alignment/>
    </xf>
    <xf numFmtId="182" fontId="0" fillId="0" borderId="30" xfId="17" applyFont="1" applyBorder="1" applyAlignment="1">
      <alignment/>
    </xf>
    <xf numFmtId="191" fontId="0" fillId="0" borderId="0" xfId="0" applyNumberFormat="1" applyFont="1" applyAlignment="1">
      <alignment horizontal="right"/>
    </xf>
    <xf numFmtId="19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31" xfId="0" applyFont="1" applyBorder="1" applyAlignment="1">
      <alignment/>
    </xf>
    <xf numFmtId="182" fontId="0" fillId="0" borderId="28" xfId="17" applyFont="1" applyBorder="1" applyAlignment="1">
      <alignment/>
    </xf>
    <xf numFmtId="0" fontId="0" fillId="0" borderId="32" xfId="0" applyFont="1" applyBorder="1" applyAlignment="1">
      <alignment/>
    </xf>
    <xf numFmtId="188" fontId="0" fillId="0" borderId="33" xfId="17" applyNumberFormat="1" applyFont="1" applyBorder="1" applyAlignment="1">
      <alignment/>
    </xf>
    <xf numFmtId="188" fontId="0" fillId="0" borderId="34" xfId="17" applyNumberFormat="1" applyFont="1" applyBorder="1" applyAlignment="1">
      <alignment/>
    </xf>
    <xf numFmtId="188" fontId="0" fillId="0" borderId="25" xfId="17" applyNumberFormat="1" applyFont="1" applyBorder="1" applyAlignment="1">
      <alignment horizontal="center"/>
    </xf>
    <xf numFmtId="188" fontId="0" fillId="0" borderId="2" xfId="17" applyNumberFormat="1" applyFont="1" applyBorder="1" applyAlignment="1">
      <alignment/>
    </xf>
    <xf numFmtId="188" fontId="0" fillId="0" borderId="24" xfId="17" applyNumberFormat="1" applyFont="1" applyBorder="1" applyAlignment="1">
      <alignment/>
    </xf>
    <xf numFmtId="188" fontId="0" fillId="0" borderId="30" xfId="17" applyNumberFormat="1" applyFont="1" applyBorder="1" applyAlignment="1">
      <alignment/>
    </xf>
    <xf numFmtId="188" fontId="0" fillId="0" borderId="35" xfId="17" applyNumberFormat="1" applyFont="1" applyBorder="1" applyAlignment="1">
      <alignment horizontal="center"/>
    </xf>
    <xf numFmtId="188" fontId="0" fillId="0" borderId="10" xfId="17" applyNumberFormat="1" applyFont="1" applyBorder="1" applyAlignment="1">
      <alignment/>
    </xf>
    <xf numFmtId="188" fontId="0" fillId="0" borderId="36" xfId="17" applyNumberFormat="1" applyFont="1" applyBorder="1" applyAlignment="1">
      <alignment/>
    </xf>
    <xf numFmtId="188" fontId="0" fillId="0" borderId="28" xfId="17" applyNumberFormat="1" applyFont="1" applyBorder="1" applyAlignment="1">
      <alignment/>
    </xf>
    <xf numFmtId="188" fontId="0" fillId="0" borderId="33" xfId="17" applyNumberFormat="1" applyFont="1" applyBorder="1" applyAlignment="1">
      <alignment/>
    </xf>
    <xf numFmtId="188" fontId="0" fillId="0" borderId="34" xfId="17" applyNumberFormat="1" applyFont="1" applyBorder="1" applyAlignment="1">
      <alignment/>
    </xf>
    <xf numFmtId="188" fontId="0" fillId="0" borderId="37" xfId="17" applyNumberFormat="1" applyFont="1" applyBorder="1" applyAlignment="1">
      <alignment/>
    </xf>
    <xf numFmtId="182" fontId="25" fillId="0" borderId="0" xfId="0" applyNumberFormat="1" applyFont="1" applyBorder="1" applyAlignment="1">
      <alignment/>
    </xf>
    <xf numFmtId="188" fontId="14" fillId="0" borderId="22" xfId="17" applyNumberFormat="1" applyFont="1" applyBorder="1" applyAlignment="1">
      <alignment/>
    </xf>
    <xf numFmtId="188" fontId="14" fillId="0" borderId="23" xfId="17" applyNumberFormat="1" applyFont="1" applyBorder="1" applyAlignment="1">
      <alignment/>
    </xf>
    <xf numFmtId="188" fontId="8" fillId="0" borderId="38" xfId="17" applyNumberFormat="1" applyFont="1" applyBorder="1" applyAlignment="1">
      <alignment horizontal="center"/>
    </xf>
    <xf numFmtId="188" fontId="8" fillId="0" borderId="13" xfId="17" applyNumberFormat="1" applyFont="1" applyBorder="1" applyAlignment="1">
      <alignment horizontal="center"/>
    </xf>
    <xf numFmtId="188" fontId="8" fillId="0" borderId="39" xfId="17" applyNumberFormat="1" applyFont="1" applyBorder="1" applyAlignment="1">
      <alignment horizontal="center"/>
    </xf>
    <xf numFmtId="188" fontId="8" fillId="0" borderId="14" xfId="17" applyNumberFormat="1" applyFont="1" applyBorder="1" applyAlignment="1">
      <alignment horizontal="center"/>
    </xf>
    <xf numFmtId="188" fontId="14" fillId="0" borderId="10" xfId="17" applyNumberFormat="1" applyFont="1" applyBorder="1" applyAlignment="1">
      <alignment/>
    </xf>
    <xf numFmtId="188" fontId="14" fillId="0" borderId="20" xfId="17" applyNumberFormat="1" applyFont="1" applyBorder="1" applyAlignment="1">
      <alignment/>
    </xf>
    <xf numFmtId="188" fontId="8" fillId="0" borderId="0" xfId="17" applyNumberFormat="1" applyFont="1" applyAlignment="1">
      <alignment horizontal="center"/>
    </xf>
    <xf numFmtId="188" fontId="8" fillId="0" borderId="0" xfId="17" applyNumberFormat="1" applyFont="1" applyAlignment="1">
      <alignment/>
    </xf>
    <xf numFmtId="188" fontId="14" fillId="0" borderId="0" xfId="17" applyNumberFormat="1" applyFont="1" applyAlignment="1">
      <alignment horizontal="center"/>
    </xf>
    <xf numFmtId="188" fontId="14" fillId="0" borderId="18" xfId="17" applyNumberFormat="1" applyFont="1" applyBorder="1" applyAlignment="1">
      <alignment/>
    </xf>
    <xf numFmtId="188" fontId="14" fillId="0" borderId="40" xfId="17" applyNumberFormat="1" applyFont="1" applyBorder="1" applyAlignment="1">
      <alignment/>
    </xf>
    <xf numFmtId="188" fontId="8" fillId="0" borderId="0" xfId="17" applyNumberFormat="1" applyFont="1" applyAlignment="1" quotePrefix="1">
      <alignment horizontal="center"/>
    </xf>
    <xf numFmtId="188" fontId="14" fillId="0" borderId="5" xfId="17" applyNumberFormat="1" applyFont="1" applyBorder="1" applyAlignment="1">
      <alignment/>
    </xf>
    <xf numFmtId="188" fontId="1" fillId="2" borderId="20" xfId="17" applyNumberFormat="1" applyFont="1" applyFill="1" applyBorder="1" applyAlignment="1">
      <alignment/>
    </xf>
    <xf numFmtId="188" fontId="0" fillId="2" borderId="0" xfId="17" applyNumberFormat="1" applyFont="1" applyFill="1" applyAlignment="1">
      <alignment/>
    </xf>
    <xf numFmtId="188" fontId="1" fillId="3" borderId="12" xfId="17" applyNumberFormat="1" applyFont="1" applyFill="1" applyBorder="1" applyAlignment="1">
      <alignment/>
    </xf>
    <xf numFmtId="188" fontId="7" fillId="3" borderId="13" xfId="17" applyNumberFormat="1" applyFont="1" applyFill="1" applyBorder="1" applyAlignment="1">
      <alignment horizontal="center"/>
    </xf>
    <xf numFmtId="9" fontId="7" fillId="3" borderId="14" xfId="21" applyFont="1" applyFill="1" applyBorder="1" applyAlignment="1">
      <alignment horizontal="center"/>
    </xf>
    <xf numFmtId="188" fontId="0" fillId="2" borderId="15" xfId="17" applyNumberFormat="1" applyFont="1" applyFill="1" applyBorder="1" applyAlignment="1">
      <alignment/>
    </xf>
    <xf numFmtId="188" fontId="0" fillId="2" borderId="0" xfId="17" applyNumberFormat="1" applyFill="1" applyBorder="1" applyAlignment="1">
      <alignment/>
    </xf>
    <xf numFmtId="9" fontId="0" fillId="2" borderId="16" xfId="21" applyFill="1" applyBorder="1" applyAlignment="1">
      <alignment horizontal="center"/>
    </xf>
    <xf numFmtId="188" fontId="0" fillId="2" borderId="41" xfId="17" applyNumberFormat="1" applyFill="1" applyBorder="1" applyAlignment="1">
      <alignment/>
    </xf>
    <xf numFmtId="188" fontId="0" fillId="2" borderId="11" xfId="17" applyNumberFormat="1" applyFont="1" applyFill="1" applyBorder="1" applyAlignment="1">
      <alignment/>
    </xf>
    <xf numFmtId="192" fontId="0" fillId="2" borderId="1" xfId="17" applyNumberFormat="1" applyFill="1" applyBorder="1" applyAlignment="1">
      <alignment/>
    </xf>
    <xf numFmtId="9" fontId="0" fillId="2" borderId="17" xfId="21" applyFill="1" applyBorder="1" applyAlignment="1">
      <alignment horizontal="center"/>
    </xf>
    <xf numFmtId="188" fontId="0" fillId="2" borderId="20" xfId="17" applyNumberFormat="1" applyFill="1" applyBorder="1" applyAlignment="1">
      <alignment/>
    </xf>
    <xf numFmtId="10" fontId="0" fillId="2" borderId="0" xfId="21" applyNumberFormat="1" applyFill="1" applyAlignment="1">
      <alignment/>
    </xf>
    <xf numFmtId="188" fontId="0" fillId="2" borderId="0" xfId="17" applyNumberFormat="1" applyFill="1" applyAlignment="1">
      <alignment/>
    </xf>
    <xf numFmtId="9" fontId="0" fillId="2" borderId="0" xfId="21" applyFill="1" applyAlignment="1">
      <alignment horizontal="center"/>
    </xf>
    <xf numFmtId="0" fontId="10" fillId="2" borderId="31" xfId="0" applyFont="1" applyFill="1" applyBorder="1" applyAlignment="1">
      <alignment/>
    </xf>
    <xf numFmtId="188" fontId="1" fillId="2" borderId="28" xfId="17" applyNumberFormat="1" applyFont="1" applyFill="1" applyBorder="1" applyAlignment="1">
      <alignment horizontal="center"/>
    </xf>
    <xf numFmtId="0" fontId="0" fillId="2" borderId="26" xfId="0" applyFont="1" applyFill="1" applyBorder="1" applyAlignment="1">
      <alignment/>
    </xf>
    <xf numFmtId="188" fontId="0" fillId="2" borderId="29" xfId="17" applyNumberFormat="1" applyFont="1" applyFill="1" applyBorder="1" applyAlignment="1">
      <alignment/>
    </xf>
    <xf numFmtId="0" fontId="10" fillId="2" borderId="26" xfId="0" applyFont="1" applyFill="1" applyBorder="1" applyAlignment="1">
      <alignment/>
    </xf>
    <xf numFmtId="188" fontId="8" fillId="3" borderId="4" xfId="17" applyNumberFormat="1" applyFont="1" applyFill="1" applyBorder="1" applyAlignment="1">
      <alignment horizontal="left"/>
    </xf>
    <xf numFmtId="188" fontId="1" fillId="3" borderId="42" xfId="17" applyNumberFormat="1" applyFont="1" applyFill="1" applyBorder="1" applyAlignment="1">
      <alignment horizontal="center"/>
    </xf>
    <xf numFmtId="188" fontId="1" fillId="3" borderId="6" xfId="17" applyNumberFormat="1" applyFont="1" applyFill="1" applyBorder="1" applyAlignment="1">
      <alignment horizontal="center"/>
    </xf>
    <xf numFmtId="188" fontId="1" fillId="3" borderId="43" xfId="17" applyNumberFormat="1" applyFont="1" applyFill="1" applyBorder="1" applyAlignment="1">
      <alignment horizontal="center"/>
    </xf>
    <xf numFmtId="188" fontId="1" fillId="3" borderId="43" xfId="17" applyNumberFormat="1" applyFont="1" applyFill="1" applyBorder="1" applyAlignment="1">
      <alignment horizontal="center" wrapText="1"/>
    </xf>
    <xf numFmtId="188" fontId="1" fillId="3" borderId="44" xfId="17" applyNumberFormat="1" applyFont="1" applyFill="1" applyBorder="1" applyAlignment="1">
      <alignment horizontal="center"/>
    </xf>
    <xf numFmtId="188" fontId="1" fillId="3" borderId="4" xfId="17" applyNumberFormat="1" applyFont="1" applyFill="1" applyBorder="1" applyAlignment="1">
      <alignment horizontal="center"/>
    </xf>
    <xf numFmtId="188" fontId="23" fillId="4" borderId="4" xfId="17" applyNumberFormat="1" applyFont="1" applyFill="1" applyBorder="1" applyAlignment="1">
      <alignment/>
    </xf>
    <xf numFmtId="188" fontId="8" fillId="4" borderId="42" xfId="17" applyNumberFormat="1" applyFont="1" applyFill="1" applyBorder="1" applyAlignment="1">
      <alignment/>
    </xf>
    <xf numFmtId="188" fontId="8" fillId="4" borderId="4" xfId="17" applyNumberFormat="1" applyFont="1" applyFill="1" applyBorder="1" applyAlignment="1">
      <alignment/>
    </xf>
    <xf numFmtId="188" fontId="8" fillId="4" borderId="44" xfId="17" applyNumberFormat="1" applyFont="1" applyFill="1" applyBorder="1" applyAlignment="1">
      <alignment/>
    </xf>
    <xf numFmtId="188" fontId="14" fillId="2" borderId="0" xfId="17" applyNumberFormat="1" applyFont="1" applyFill="1" applyAlignment="1">
      <alignment/>
    </xf>
    <xf numFmtId="188" fontId="8" fillId="2" borderId="0" xfId="17" applyNumberFormat="1" applyFont="1" applyFill="1" applyAlignment="1">
      <alignment/>
    </xf>
    <xf numFmtId="188" fontId="8" fillId="2" borderId="0" xfId="17" applyNumberFormat="1" applyFont="1" applyFill="1" applyAlignment="1">
      <alignment horizontal="center"/>
    </xf>
    <xf numFmtId="188" fontId="8" fillId="2" borderId="0" xfId="17" applyNumberFormat="1" applyFont="1" applyFill="1" applyAlignment="1" quotePrefix="1">
      <alignment/>
    </xf>
    <xf numFmtId="188" fontId="1" fillId="3" borderId="45" xfId="17" applyNumberFormat="1" applyFont="1" applyFill="1" applyBorder="1" applyAlignment="1">
      <alignment horizontal="center"/>
    </xf>
    <xf numFmtId="188" fontId="0" fillId="0" borderId="23" xfId="17" applyNumberFormat="1" applyFont="1" applyBorder="1" applyAlignment="1">
      <alignment/>
    </xf>
    <xf numFmtId="188" fontId="11" fillId="2" borderId="0" xfId="17" applyNumberFormat="1" applyFont="1" applyFill="1" applyAlignment="1">
      <alignment horizontal="center"/>
    </xf>
    <xf numFmtId="188" fontId="11" fillId="2" borderId="0" xfId="17" applyNumberFormat="1" applyFont="1" applyFill="1" applyAlignment="1">
      <alignment/>
    </xf>
    <xf numFmtId="188" fontId="4" fillId="4" borderId="4" xfId="17" applyNumberFormat="1" applyFont="1" applyFill="1" applyBorder="1" applyAlignment="1">
      <alignment/>
    </xf>
    <xf numFmtId="188" fontId="4" fillId="4" borderId="42" xfId="17" applyNumberFormat="1" applyFont="1" applyFill="1" applyBorder="1" applyAlignment="1">
      <alignment/>
    </xf>
    <xf numFmtId="188" fontId="4" fillId="4" borderId="43" xfId="17" applyNumberFormat="1" applyFont="1" applyFill="1" applyBorder="1" applyAlignment="1">
      <alignment/>
    </xf>
    <xf numFmtId="188" fontId="0" fillId="0" borderId="15" xfId="17" applyNumberFormat="1" applyFont="1" applyBorder="1" applyAlignment="1">
      <alignment/>
    </xf>
    <xf numFmtId="188" fontId="0" fillId="0" borderId="22" xfId="17" applyNumberFormat="1" applyFont="1" applyBorder="1" applyAlignment="1">
      <alignment/>
    </xf>
    <xf numFmtId="188" fontId="1" fillId="3" borderId="4" xfId="17" applyNumberFormat="1" applyFont="1" applyFill="1" applyBorder="1" applyAlignment="1">
      <alignment horizontal="left"/>
    </xf>
    <xf numFmtId="188" fontId="2" fillId="3" borderId="8" xfId="17" applyNumberFormat="1" applyFont="1" applyFill="1" applyBorder="1" applyAlignment="1">
      <alignment horizontal="center" wrapText="1"/>
    </xf>
    <xf numFmtId="188" fontId="4" fillId="4" borderId="7" xfId="17" applyNumberFormat="1" applyFont="1" applyFill="1" applyBorder="1" applyAlignment="1">
      <alignment/>
    </xf>
    <xf numFmtId="188" fontId="0" fillId="4" borderId="43" xfId="17" applyNumberFormat="1" applyFont="1" applyFill="1" applyBorder="1" applyAlignment="1">
      <alignment/>
    </xf>
    <xf numFmtId="188" fontId="0" fillId="4" borderId="46" xfId="17" applyNumberFormat="1" applyFont="1" applyFill="1" applyBorder="1" applyAlignment="1">
      <alignment/>
    </xf>
    <xf numFmtId="188" fontId="0" fillId="0" borderId="47" xfId="17" applyNumberFormat="1" applyFont="1" applyBorder="1" applyAlignment="1">
      <alignment/>
    </xf>
    <xf numFmtId="188" fontId="0" fillId="0" borderId="48" xfId="17" applyNumberFormat="1" applyFont="1" applyBorder="1" applyAlignment="1">
      <alignment/>
    </xf>
    <xf numFmtId="188" fontId="2" fillId="3" borderId="42" xfId="17" applyNumberFormat="1" applyFont="1" applyFill="1" applyBorder="1" applyAlignment="1">
      <alignment horizontal="center" wrapText="1"/>
    </xf>
    <xf numFmtId="188" fontId="26" fillId="4" borderId="4" xfId="17" applyNumberFormat="1" applyFont="1" applyFill="1" applyBorder="1" applyAlignment="1">
      <alignment/>
    </xf>
    <xf numFmtId="188" fontId="0" fillId="4" borderId="4" xfId="17" applyNumberFormat="1" applyFont="1" applyFill="1" applyBorder="1" applyAlignment="1">
      <alignment/>
    </xf>
    <xf numFmtId="188" fontId="2" fillId="3" borderId="4" xfId="17" applyNumberFormat="1" applyFont="1" applyFill="1" applyBorder="1" applyAlignment="1">
      <alignment horizontal="left"/>
    </xf>
    <xf numFmtId="188" fontId="2" fillId="3" borderId="4" xfId="17" applyNumberFormat="1" applyFont="1" applyFill="1" applyBorder="1" applyAlignment="1">
      <alignment horizontal="center" wrapText="1"/>
    </xf>
    <xf numFmtId="188" fontId="0" fillId="4" borderId="42" xfId="17" applyNumberFormat="1" applyFont="1" applyFill="1" applyBorder="1" applyAlignment="1">
      <alignment/>
    </xf>
    <xf numFmtId="188" fontId="1" fillId="3" borderId="4" xfId="17" applyNumberFormat="1" applyFont="1" applyFill="1" applyBorder="1" applyAlignment="1" quotePrefix="1">
      <alignment horizontal="center" wrapText="1"/>
    </xf>
    <xf numFmtId="188" fontId="11" fillId="3" borderId="4" xfId="17" applyNumberFormat="1" applyFont="1" applyFill="1" applyBorder="1" applyAlignment="1">
      <alignment horizontal="left"/>
    </xf>
    <xf numFmtId="0" fontId="1" fillId="3" borderId="7" xfId="0" applyFont="1" applyFill="1" applyBorder="1" applyAlignment="1">
      <alignment/>
    </xf>
    <xf numFmtId="182" fontId="7" fillId="3" borderId="4" xfId="17" applyNumberFormat="1" applyFont="1" applyFill="1" applyBorder="1" applyAlignment="1">
      <alignment horizontal="center"/>
    </xf>
    <xf numFmtId="188" fontId="7" fillId="3" borderId="6" xfId="17" applyNumberFormat="1" applyFont="1" applyFill="1" applyBorder="1" applyAlignment="1">
      <alignment horizontal="center"/>
    </xf>
    <xf numFmtId="188" fontId="7" fillId="3" borderId="43" xfId="17" applyNumberFormat="1" applyFont="1" applyFill="1" applyBorder="1" applyAlignment="1">
      <alignment horizontal="center"/>
    </xf>
    <xf numFmtId="0" fontId="7" fillId="3" borderId="46" xfId="0" applyFont="1" applyFill="1" applyBorder="1" applyAlignment="1">
      <alignment horizontal="center"/>
    </xf>
    <xf numFmtId="191" fontId="1" fillId="4" borderId="7" xfId="0" applyNumberFormat="1" applyFont="1" applyFill="1" applyBorder="1" applyAlignment="1">
      <alignment/>
    </xf>
    <xf numFmtId="188" fontId="1" fillId="4" borderId="4" xfId="17" applyNumberFormat="1" applyFont="1" applyFill="1" applyBorder="1" applyAlignment="1">
      <alignment horizontal="right"/>
    </xf>
    <xf numFmtId="188" fontId="0" fillId="4" borderId="6" xfId="17" applyNumberFormat="1" applyFont="1" applyFill="1" applyBorder="1" applyAlignment="1">
      <alignment/>
    </xf>
    <xf numFmtId="191" fontId="1" fillId="4" borderId="4" xfId="17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188" fontId="7" fillId="3" borderId="4" xfId="17" applyNumberFormat="1" applyFont="1" applyFill="1" applyBorder="1" applyAlignment="1">
      <alignment horizontal="center"/>
    </xf>
    <xf numFmtId="188" fontId="7" fillId="3" borderId="7" xfId="17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182" fontId="0" fillId="2" borderId="0" xfId="0" applyNumberFormat="1" applyFont="1" applyFill="1" applyAlignment="1">
      <alignment/>
    </xf>
    <xf numFmtId="0" fontId="11" fillId="2" borderId="0" xfId="0" applyFont="1" applyFill="1" applyBorder="1" applyAlignment="1">
      <alignment horizontal="center"/>
    </xf>
    <xf numFmtId="182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182" fontId="11" fillId="2" borderId="0" xfId="17" applyNumberFormat="1" applyFont="1" applyFill="1" applyBorder="1" applyAlignment="1">
      <alignment horizontal="center"/>
    </xf>
    <xf numFmtId="188" fontId="11" fillId="2" borderId="0" xfId="17" applyNumberFormat="1" applyFont="1" applyFill="1" applyBorder="1" applyAlignment="1">
      <alignment horizontal="center"/>
    </xf>
    <xf numFmtId="0" fontId="18" fillId="2" borderId="0" xfId="0" applyFont="1" applyFill="1" applyAlignment="1">
      <alignment/>
    </xf>
    <xf numFmtId="0" fontId="18" fillId="2" borderId="0" xfId="0" applyFont="1" applyFill="1" applyBorder="1" applyAlignment="1">
      <alignment/>
    </xf>
    <xf numFmtId="0" fontId="25" fillId="2" borderId="0" xfId="0" applyFont="1" applyFill="1" applyBorder="1" applyAlignment="1">
      <alignment/>
    </xf>
    <xf numFmtId="188" fontId="0" fillId="2" borderId="0" xfId="17" applyNumberFormat="1" applyFont="1" applyFill="1" applyBorder="1" applyAlignment="1">
      <alignment/>
    </xf>
    <xf numFmtId="188" fontId="2" fillId="2" borderId="0" xfId="17" applyNumberFormat="1" applyFont="1" applyFill="1" applyAlignment="1">
      <alignment horizontal="center" wrapText="1"/>
    </xf>
    <xf numFmtId="188" fontId="2" fillId="2" borderId="0" xfId="17" applyNumberFormat="1" applyFont="1" applyFill="1" applyAlignment="1">
      <alignment horizontal="center"/>
    </xf>
    <xf numFmtId="190" fontId="0" fillId="2" borderId="0" xfId="17" applyNumberFormat="1" applyFont="1" applyFill="1" applyBorder="1" applyAlignment="1">
      <alignment/>
    </xf>
    <xf numFmtId="188" fontId="25" fillId="2" borderId="0" xfId="17" applyNumberFormat="1" applyFont="1" applyFill="1" applyAlignment="1">
      <alignment/>
    </xf>
    <xf numFmtId="188" fontId="25" fillId="2" borderId="0" xfId="17" applyNumberFormat="1" applyFont="1" applyFill="1" applyBorder="1" applyAlignment="1">
      <alignment/>
    </xf>
    <xf numFmtId="188" fontId="7" fillId="2" borderId="0" xfId="17" applyNumberFormat="1" applyFont="1" applyFill="1" applyAlignment="1">
      <alignment/>
    </xf>
    <xf numFmtId="188" fontId="7" fillId="2" borderId="0" xfId="17" applyNumberFormat="1" applyFont="1" applyFill="1" applyAlignment="1">
      <alignment horizontal="center"/>
    </xf>
    <xf numFmtId="188" fontId="7" fillId="2" borderId="0" xfId="17" applyNumberFormat="1" applyFont="1" applyFill="1" applyBorder="1" applyAlignment="1">
      <alignment horizontal="center"/>
    </xf>
    <xf numFmtId="188" fontId="25" fillId="4" borderId="12" xfId="17" applyNumberFormat="1" applyFont="1" applyFill="1" applyBorder="1" applyAlignment="1">
      <alignment/>
    </xf>
    <xf numFmtId="188" fontId="25" fillId="4" borderId="5" xfId="17" applyNumberFormat="1" applyFont="1" applyFill="1" applyBorder="1" applyAlignment="1">
      <alignment/>
    </xf>
    <xf numFmtId="188" fontId="25" fillId="4" borderId="14" xfId="17" applyNumberFormat="1" applyFont="1" applyFill="1" applyBorder="1" applyAlignment="1">
      <alignment/>
    </xf>
    <xf numFmtId="188" fontId="7" fillId="0" borderId="0" xfId="17" applyNumberFormat="1" applyFont="1" applyAlignment="1">
      <alignment horizontal="center"/>
    </xf>
    <xf numFmtId="188" fontId="7" fillId="4" borderId="5" xfId="17" applyNumberFormat="1" applyFont="1" applyFill="1" applyBorder="1" applyAlignment="1">
      <alignment horizontal="center" wrapText="1"/>
    </xf>
    <xf numFmtId="188" fontId="7" fillId="4" borderId="15" xfId="17" applyNumberFormat="1" applyFont="1" applyFill="1" applyBorder="1" applyAlignment="1">
      <alignment horizontal="center" wrapText="1"/>
    </xf>
    <xf numFmtId="188" fontId="7" fillId="4" borderId="18" xfId="17" applyNumberFormat="1" applyFont="1" applyFill="1" applyBorder="1" applyAlignment="1">
      <alignment horizontal="center" wrapText="1"/>
    </xf>
    <xf numFmtId="188" fontId="7" fillId="4" borderId="16" xfId="17" applyNumberFormat="1" applyFont="1" applyFill="1" applyBorder="1" applyAlignment="1">
      <alignment horizontal="center" wrapText="1"/>
    </xf>
    <xf numFmtId="188" fontId="7" fillId="2" borderId="0" xfId="17" applyNumberFormat="1" applyFont="1" applyFill="1" applyBorder="1" applyAlignment="1">
      <alignment horizontal="center" wrapText="1"/>
    </xf>
    <xf numFmtId="188" fontId="7" fillId="4" borderId="12" xfId="17" applyNumberFormat="1" applyFont="1" applyFill="1" applyBorder="1" applyAlignment="1">
      <alignment horizontal="center" wrapText="1"/>
    </xf>
    <xf numFmtId="188" fontId="7" fillId="4" borderId="11" xfId="17" applyNumberFormat="1" applyFont="1" applyFill="1" applyBorder="1" applyAlignment="1">
      <alignment horizontal="center"/>
    </xf>
    <xf numFmtId="10" fontId="7" fillId="4" borderId="40" xfId="21" applyNumberFormat="1" applyFont="1" applyFill="1" applyBorder="1" applyAlignment="1">
      <alignment horizontal="center"/>
    </xf>
    <xf numFmtId="188" fontId="7" fillId="4" borderId="17" xfId="17" applyNumberFormat="1" applyFont="1" applyFill="1" applyBorder="1" applyAlignment="1">
      <alignment horizontal="center"/>
    </xf>
    <xf numFmtId="188" fontId="7" fillId="4" borderId="40" xfId="17" applyNumberFormat="1" applyFont="1" applyFill="1" applyBorder="1" applyAlignment="1">
      <alignment horizontal="center"/>
    </xf>
    <xf numFmtId="10" fontId="25" fillId="2" borderId="0" xfId="21" applyNumberFormat="1" applyFont="1" applyFill="1" applyBorder="1" applyAlignment="1">
      <alignment horizontal="center"/>
    </xf>
    <xf numFmtId="188" fontId="7" fillId="4" borderId="40" xfId="17" applyNumberFormat="1" applyFont="1" applyFill="1" applyBorder="1" applyAlignment="1">
      <alignment horizontal="center" wrapText="1"/>
    </xf>
    <xf numFmtId="188" fontId="27" fillId="0" borderId="49" xfId="17" applyNumberFormat="1" applyFont="1" applyBorder="1" applyAlignment="1">
      <alignment/>
    </xf>
    <xf numFmtId="188" fontId="27" fillId="2" borderId="0" xfId="17" applyNumberFormat="1" applyFont="1" applyFill="1" applyBorder="1" applyAlignment="1">
      <alignment/>
    </xf>
    <xf numFmtId="188" fontId="27" fillId="0" borderId="50" xfId="17" applyNumberFormat="1" applyFont="1" applyBorder="1" applyAlignment="1">
      <alignment/>
    </xf>
    <xf numFmtId="188" fontId="28" fillId="0" borderId="49" xfId="17" applyNumberFormat="1" applyFont="1" applyBorder="1" applyAlignment="1">
      <alignment/>
    </xf>
    <xf numFmtId="188" fontId="28" fillId="2" borderId="0" xfId="17" applyNumberFormat="1" applyFont="1" applyFill="1" applyBorder="1" applyAlignment="1">
      <alignment/>
    </xf>
    <xf numFmtId="190" fontId="25" fillId="0" borderId="49" xfId="17" applyNumberFormat="1" applyFont="1" applyBorder="1" applyAlignment="1">
      <alignment/>
    </xf>
    <xf numFmtId="188" fontId="7" fillId="0" borderId="49" xfId="17" applyNumberFormat="1" applyFont="1" applyBorder="1" applyAlignment="1">
      <alignment/>
    </xf>
    <xf numFmtId="188" fontId="25" fillId="0" borderId="24" xfId="17" applyNumberFormat="1" applyFont="1" applyBorder="1" applyAlignment="1">
      <alignment/>
    </xf>
    <xf numFmtId="188" fontId="27" fillId="0" borderId="51" xfId="17" applyNumberFormat="1" applyFont="1" applyBorder="1" applyAlignment="1">
      <alignment/>
    </xf>
    <xf numFmtId="188" fontId="25" fillId="0" borderId="2" xfId="17" applyNumberFormat="1" applyFont="1" applyBorder="1" applyAlignment="1">
      <alignment/>
    </xf>
    <xf numFmtId="188" fontId="7" fillId="2" borderId="0" xfId="17" applyNumberFormat="1" applyFont="1" applyFill="1" applyBorder="1" applyAlignment="1">
      <alignment/>
    </xf>
    <xf numFmtId="188" fontId="7" fillId="3" borderId="4" xfId="17" applyNumberFormat="1" applyFont="1" applyFill="1" applyBorder="1" applyAlignment="1">
      <alignment/>
    </xf>
    <xf numFmtId="190" fontId="25" fillId="3" borderId="4" xfId="17" applyNumberFormat="1" applyFont="1" applyFill="1" applyBorder="1" applyAlignment="1">
      <alignment/>
    </xf>
    <xf numFmtId="191" fontId="7" fillId="3" borderId="4" xfId="17" applyNumberFormat="1" applyFont="1" applyFill="1" applyBorder="1" applyAlignment="1">
      <alignment/>
    </xf>
    <xf numFmtId="9" fontId="25" fillId="4" borderId="11" xfId="21" applyNumberFormat="1" applyFont="1" applyFill="1" applyBorder="1" applyAlignment="1">
      <alignment horizontal="center"/>
    </xf>
    <xf numFmtId="188" fontId="23" fillId="4" borderId="40" xfId="17" applyNumberFormat="1" applyFont="1" applyFill="1" applyBorder="1" applyAlignment="1">
      <alignment/>
    </xf>
    <xf numFmtId="188" fontId="23" fillId="4" borderId="17" xfId="17" applyNumberFormat="1" applyFont="1" applyFill="1" applyBorder="1" applyAlignment="1">
      <alignment/>
    </xf>
    <xf numFmtId="188" fontId="4" fillId="4" borderId="8" xfId="17" applyNumberFormat="1" applyFont="1" applyFill="1" applyBorder="1" applyAlignment="1">
      <alignment/>
    </xf>
    <xf numFmtId="188" fontId="1" fillId="4" borderId="51" xfId="17" applyNumberFormat="1" applyFont="1" applyFill="1" applyBorder="1" applyAlignment="1">
      <alignment/>
    </xf>
    <xf numFmtId="188" fontId="1" fillId="4" borderId="52" xfId="17" applyNumberFormat="1" applyFont="1" applyFill="1" applyBorder="1" applyAlignment="1">
      <alignment/>
    </xf>
    <xf numFmtId="188" fontId="1" fillId="3" borderId="51" xfId="17" applyNumberFormat="1" applyFont="1" applyFill="1" applyBorder="1" applyAlignment="1">
      <alignment/>
    </xf>
    <xf numFmtId="188" fontId="1" fillId="3" borderId="52" xfId="17" applyNumberFormat="1" applyFont="1" applyFill="1" applyBorder="1" applyAlignment="1">
      <alignment/>
    </xf>
    <xf numFmtId="188" fontId="1" fillId="3" borderId="53" xfId="17" applyNumberFormat="1" applyFont="1" applyFill="1" applyBorder="1" applyAlignment="1">
      <alignment/>
    </xf>
    <xf numFmtId="188" fontId="1" fillId="3" borderId="54" xfId="17" applyNumberFormat="1" applyFont="1" applyFill="1" applyBorder="1" applyAlignment="1">
      <alignment/>
    </xf>
    <xf numFmtId="188" fontId="21" fillId="4" borderId="4" xfId="17" applyNumberFormat="1" applyFont="1" applyFill="1" applyBorder="1" applyAlignment="1">
      <alignment/>
    </xf>
    <xf numFmtId="188" fontId="11" fillId="3" borderId="4" xfId="17" applyNumberFormat="1" applyFont="1" applyFill="1" applyBorder="1" applyAlignment="1">
      <alignment horizontal="center" wrapText="1"/>
    </xf>
    <xf numFmtId="188" fontId="11" fillId="3" borderId="8" xfId="17" applyNumberFormat="1" applyFont="1" applyFill="1" applyBorder="1" applyAlignment="1">
      <alignment horizontal="center"/>
    </xf>
    <xf numFmtId="188" fontId="1" fillId="4" borderId="2" xfId="17" applyNumberFormat="1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1" fillId="2" borderId="36" xfId="0" applyFont="1" applyFill="1" applyBorder="1" applyAlignment="1" applyProtection="1">
      <alignment/>
      <protection/>
    </xf>
    <xf numFmtId="192" fontId="1" fillId="2" borderId="10" xfId="0" applyNumberFormat="1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24" xfId="0" applyFont="1" applyFill="1" applyBorder="1" applyAlignment="1" applyProtection="1">
      <alignment/>
      <protection/>
    </xf>
    <xf numFmtId="10" fontId="15" fillId="2" borderId="2" xfId="0" applyNumberFormat="1" applyFont="1" applyFill="1" applyBorder="1" applyAlignment="1" applyProtection="1">
      <alignment/>
      <protection/>
    </xf>
    <xf numFmtId="0" fontId="1" fillId="2" borderId="55" xfId="0" applyFont="1" applyFill="1" applyBorder="1" applyAlignment="1" applyProtection="1">
      <alignment/>
      <protection/>
    </xf>
    <xf numFmtId="10" fontId="0" fillId="2" borderId="9" xfId="0" applyNumberFormat="1" applyFill="1" applyBorder="1" applyAlignment="1" applyProtection="1">
      <alignment/>
      <protection/>
    </xf>
    <xf numFmtId="0" fontId="29" fillId="2" borderId="9" xfId="0" applyNumberFormat="1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3" fontId="29" fillId="2" borderId="25" xfId="0" applyNumberFormat="1" applyFont="1" applyFill="1" applyBorder="1" applyAlignment="1" applyProtection="1">
      <alignment horizontal="right"/>
      <protection/>
    </xf>
    <xf numFmtId="0" fontId="1" fillId="2" borderId="9" xfId="0" applyFont="1" applyFill="1" applyBorder="1" applyAlignment="1" applyProtection="1">
      <alignment/>
      <protection/>
    </xf>
    <xf numFmtId="0" fontId="0" fillId="2" borderId="56" xfId="0" applyFill="1" applyBorder="1" applyAlignment="1" applyProtection="1">
      <alignment horizontal="right"/>
      <protection/>
    </xf>
    <xf numFmtId="0" fontId="8" fillId="4" borderId="57" xfId="0" applyFont="1" applyFill="1" applyBorder="1" applyAlignment="1" applyProtection="1">
      <alignment horizontal="centerContinuous"/>
      <protection locked="0"/>
    </xf>
    <xf numFmtId="0" fontId="14" fillId="4" borderId="58" xfId="0" applyFont="1" applyFill="1" applyBorder="1" applyAlignment="1" applyProtection="1">
      <alignment horizontal="centerContinuous"/>
      <protection locked="0"/>
    </xf>
    <xf numFmtId="0" fontId="14" fillId="4" borderId="59" xfId="0" applyFont="1" applyFill="1" applyBorder="1" applyAlignment="1" applyProtection="1">
      <alignment horizontal="centerContinuous"/>
      <protection locked="0"/>
    </xf>
    <xf numFmtId="188" fontId="2" fillId="3" borderId="14" xfId="17" applyNumberFormat="1" applyFont="1" applyFill="1" applyBorder="1" applyAlignment="1">
      <alignment horizontal="left"/>
    </xf>
    <xf numFmtId="188" fontId="2" fillId="3" borderId="5" xfId="17" applyNumberFormat="1" applyFont="1" applyFill="1" applyBorder="1" applyAlignment="1">
      <alignment horizontal="left"/>
    </xf>
    <xf numFmtId="188" fontId="0" fillId="4" borderId="40" xfId="17" applyNumberFormat="1" applyFont="1" applyFill="1" applyBorder="1" applyAlignment="1">
      <alignment/>
    </xf>
    <xf numFmtId="188" fontId="0" fillId="4" borderId="48" xfId="17" applyNumberFormat="1" applyFont="1" applyFill="1" applyBorder="1" applyAlignment="1">
      <alignment/>
    </xf>
    <xf numFmtId="188" fontId="0" fillId="0" borderId="38" xfId="17" applyNumberFormat="1" applyFont="1" applyBorder="1" applyAlignment="1">
      <alignment/>
    </xf>
    <xf numFmtId="188" fontId="0" fillId="0" borderId="39" xfId="17" applyNumberFormat="1" applyFont="1" applyBorder="1" applyAlignment="1">
      <alignment/>
    </xf>
    <xf numFmtId="188" fontId="0" fillId="0" borderId="60" xfId="17" applyNumberFormat="1" applyFont="1" applyBorder="1" applyAlignment="1">
      <alignment/>
    </xf>
    <xf numFmtId="188" fontId="18" fillId="0" borderId="18" xfId="17" applyNumberFormat="1" applyFont="1" applyBorder="1" applyAlignment="1">
      <alignment/>
    </xf>
    <xf numFmtId="10" fontId="0" fillId="0" borderId="0" xfId="21" applyNumberFormat="1" applyBorder="1" applyAlignment="1">
      <alignment/>
    </xf>
    <xf numFmtId="9" fontId="0" fillId="0" borderId="0" xfId="21" applyBorder="1" applyAlignment="1">
      <alignment horizontal="center"/>
    </xf>
    <xf numFmtId="188" fontId="1" fillId="2" borderId="0" xfId="17" applyNumberFormat="1" applyFont="1" applyFill="1" applyBorder="1" applyAlignment="1">
      <alignment/>
    </xf>
    <xf numFmtId="10" fontId="0" fillId="2" borderId="0" xfId="21" applyNumberFormat="1" applyFill="1" applyBorder="1" applyAlignment="1">
      <alignment/>
    </xf>
    <xf numFmtId="9" fontId="0" fillId="2" borderId="0" xfId="21" applyFill="1" applyBorder="1" applyAlignment="1">
      <alignment horizontal="center"/>
    </xf>
    <xf numFmtId="188" fontId="0" fillId="2" borderId="0" xfId="17" applyNumberFormat="1" applyFont="1" applyFill="1" applyBorder="1" applyAlignment="1">
      <alignment/>
    </xf>
    <xf numFmtId="192" fontId="0" fillId="2" borderId="0" xfId="17" applyNumberFormat="1" applyFill="1" applyBorder="1" applyAlignment="1">
      <alignment/>
    </xf>
    <xf numFmtId="188" fontId="1" fillId="0" borderId="0" xfId="17" applyNumberFormat="1" applyFont="1" applyFill="1" applyBorder="1" applyAlignment="1">
      <alignment/>
    </xf>
    <xf numFmtId="188" fontId="7" fillId="0" borderId="0" xfId="17" applyNumberFormat="1" applyFont="1" applyFill="1" applyBorder="1" applyAlignment="1">
      <alignment horizontal="center"/>
    </xf>
    <xf numFmtId="9" fontId="7" fillId="0" borderId="0" xfId="21" applyFont="1" applyFill="1" applyBorder="1" applyAlignment="1">
      <alignment horizontal="center"/>
    </xf>
    <xf numFmtId="0" fontId="14" fillId="0" borderId="26" xfId="0" applyFont="1" applyBorder="1" applyAlignment="1">
      <alignment horizontal="left" indent="2"/>
    </xf>
    <xf numFmtId="0" fontId="14" fillId="0" borderId="15" xfId="0" applyFont="1" applyBorder="1" applyAlignment="1">
      <alignment/>
    </xf>
    <xf numFmtId="182" fontId="14" fillId="0" borderId="16" xfId="17" applyFont="1" applyBorder="1" applyAlignment="1">
      <alignment horizontal="left" indent="2"/>
    </xf>
    <xf numFmtId="188" fontId="0" fillId="2" borderId="2" xfId="17" applyNumberFormat="1" applyFont="1" applyFill="1" applyBorder="1" applyAlignment="1">
      <alignment horizontal="center"/>
    </xf>
    <xf numFmtId="185" fontId="0" fillId="0" borderId="0" xfId="0" applyNumberForma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9" fontId="33" fillId="0" borderId="4" xfId="21" applyFont="1" applyBorder="1" applyAlignment="1" quotePrefix="1">
      <alignment horizontal="center"/>
    </xf>
    <xf numFmtId="188" fontId="34" fillId="0" borderId="26" xfId="17" applyNumberFormat="1" applyFont="1" applyBorder="1" applyAlignment="1">
      <alignment/>
    </xf>
    <xf numFmtId="188" fontId="0" fillId="0" borderId="2" xfId="17" applyNumberFormat="1" applyFont="1" applyBorder="1" applyAlignment="1">
      <alignment/>
    </xf>
    <xf numFmtId="188" fontId="0" fillId="0" borderId="2" xfId="17" applyNumberFormat="1" applyBorder="1" applyAlignment="1">
      <alignment/>
    </xf>
    <xf numFmtId="188" fontId="1" fillId="0" borderId="2" xfId="17" applyNumberFormat="1" applyFont="1" applyBorder="1" applyAlignment="1">
      <alignment/>
    </xf>
    <xf numFmtId="188" fontId="1" fillId="0" borderId="2" xfId="0" applyNumberFormat="1" applyFont="1" applyBorder="1" applyAlignment="1">
      <alignment/>
    </xf>
    <xf numFmtId="188" fontId="0" fillId="0" borderId="23" xfId="17" applyNumberFormat="1" applyFont="1" applyFill="1" applyBorder="1" applyAlignment="1">
      <alignment/>
    </xf>
    <xf numFmtId="193" fontId="14" fillId="0" borderId="29" xfId="17" applyNumberFormat="1" applyFont="1" applyBorder="1" applyAlignment="1">
      <alignment horizontal="left" indent="2"/>
    </xf>
    <xf numFmtId="0" fontId="0" fillId="0" borderId="0" xfId="0" applyFill="1" applyAlignment="1">
      <alignment/>
    </xf>
    <xf numFmtId="0" fontId="0" fillId="0" borderId="26" xfId="0" applyFont="1" applyFill="1" applyBorder="1" applyAlignment="1">
      <alignment/>
    </xf>
    <xf numFmtId="0" fontId="33" fillId="0" borderId="0" xfId="0" applyFont="1" applyFill="1" applyAlignment="1">
      <alignment/>
    </xf>
    <xf numFmtId="0" fontId="0" fillId="0" borderId="0" xfId="0" applyFont="1" applyFill="1" applyAlignment="1">
      <alignment/>
    </xf>
    <xf numFmtId="188" fontId="0" fillId="0" borderId="29" xfId="17" applyNumberFormat="1" applyFont="1" applyFill="1" applyBorder="1" applyAlignment="1">
      <alignment/>
    </xf>
    <xf numFmtId="188" fontId="0" fillId="0" borderId="25" xfId="17" applyNumberFormat="1" applyFont="1" applyFill="1" applyBorder="1" applyAlignment="1">
      <alignment horizontal="center"/>
    </xf>
    <xf numFmtId="188" fontId="0" fillId="0" borderId="2" xfId="17" applyNumberFormat="1" applyFont="1" applyFill="1" applyBorder="1" applyAlignment="1">
      <alignment/>
    </xf>
    <xf numFmtId="188" fontId="0" fillId="0" borderId="24" xfId="17" applyNumberFormat="1" applyFont="1" applyFill="1" applyBorder="1" applyAlignment="1">
      <alignment/>
    </xf>
    <xf numFmtId="182" fontId="0" fillId="0" borderId="29" xfId="17" applyFont="1" applyFill="1" applyBorder="1" applyAlignment="1">
      <alignment/>
    </xf>
    <xf numFmtId="188" fontId="3" fillId="0" borderId="4" xfId="17" applyNumberFormat="1" applyFont="1" applyBorder="1" applyAlignment="1" quotePrefix="1">
      <alignment horizontal="left"/>
    </xf>
    <xf numFmtId="188" fontId="14" fillId="0" borderId="31" xfId="17" applyNumberFormat="1" applyFont="1" applyBorder="1" applyAlignment="1">
      <alignment/>
    </xf>
    <xf numFmtId="188" fontId="32" fillId="0" borderId="33" xfId="17" applyNumberFormat="1" applyFont="1" applyBorder="1" applyAlignment="1">
      <alignment/>
    </xf>
    <xf numFmtId="188" fontId="32" fillId="0" borderId="28" xfId="17" applyNumberFormat="1" applyFont="1" applyBorder="1" applyAlignment="1">
      <alignment/>
    </xf>
    <xf numFmtId="188" fontId="14" fillId="0" borderId="32" xfId="17" applyNumberFormat="1" applyFont="1" applyBorder="1" applyAlignment="1">
      <alignment/>
    </xf>
    <xf numFmtId="188" fontId="32" fillId="0" borderId="3" xfId="17" applyNumberFormat="1" applyFont="1" applyBorder="1" applyAlignment="1">
      <alignment/>
    </xf>
    <xf numFmtId="0" fontId="0" fillId="0" borderId="42" xfId="0" applyFont="1" applyBorder="1" applyAlignment="1">
      <alignment/>
    </xf>
    <xf numFmtId="9" fontId="33" fillId="0" borderId="46" xfId="21" applyFont="1" applyBorder="1" applyAlignment="1">
      <alignment horizontal="center"/>
    </xf>
    <xf numFmtId="188" fontId="14" fillId="0" borderId="0" xfId="17" applyNumberFormat="1" applyFont="1" applyFill="1" applyAlignment="1">
      <alignment/>
    </xf>
    <xf numFmtId="188" fontId="35" fillId="0" borderId="0" xfId="17" applyNumberFormat="1" applyFont="1" applyFill="1" applyAlignment="1">
      <alignment/>
    </xf>
    <xf numFmtId="188" fontId="32" fillId="0" borderId="0" xfId="17" applyNumberFormat="1" applyFont="1" applyFill="1" applyAlignment="1">
      <alignment horizontal="left"/>
    </xf>
    <xf numFmtId="188" fontId="14" fillId="0" borderId="0" xfId="17" applyNumberFormat="1" applyFont="1" applyFill="1" applyAlignment="1">
      <alignment horizontal="left"/>
    </xf>
    <xf numFmtId="188" fontId="0" fillId="0" borderId="61" xfId="17" applyNumberFormat="1" applyFont="1" applyBorder="1" applyAlignment="1">
      <alignment/>
    </xf>
    <xf numFmtId="188" fontId="0" fillId="0" borderId="21" xfId="17" applyNumberFormat="1" applyFont="1" applyBorder="1" applyAlignment="1">
      <alignment/>
    </xf>
    <xf numFmtId="188" fontId="0" fillId="0" borderId="62" xfId="17" applyNumberFormat="1" applyFont="1" applyBorder="1" applyAlignment="1">
      <alignment/>
    </xf>
    <xf numFmtId="188" fontId="0" fillId="0" borderId="40" xfId="17" applyNumberFormat="1" applyFont="1" applyBorder="1" applyAlignment="1">
      <alignment/>
    </xf>
    <xf numFmtId="0" fontId="14" fillId="4" borderId="11" xfId="0" applyFont="1" applyFill="1" applyBorder="1" applyAlignment="1">
      <alignment horizontal="left" indent="2"/>
    </xf>
    <xf numFmtId="182" fontId="32" fillId="0" borderId="63" xfId="17" applyNumberFormat="1" applyFont="1" applyBorder="1" applyAlignment="1">
      <alignment/>
    </xf>
    <xf numFmtId="182" fontId="14" fillId="0" borderId="13" xfId="17" applyNumberFormat="1" applyFont="1" applyBorder="1" applyAlignment="1">
      <alignment/>
    </xf>
    <xf numFmtId="182" fontId="14" fillId="0" borderId="39" xfId="17" applyNumberFormat="1" applyFont="1" applyBorder="1" applyAlignment="1">
      <alignment/>
    </xf>
    <xf numFmtId="182" fontId="14" fillId="0" borderId="5" xfId="17" applyNumberFormat="1" applyFont="1" applyBorder="1" applyAlignment="1">
      <alignment/>
    </xf>
    <xf numFmtId="182" fontId="32" fillId="0" borderId="64" xfId="17" applyNumberFormat="1" applyFont="1" applyBorder="1" applyAlignment="1">
      <alignment/>
    </xf>
    <xf numFmtId="182" fontId="14" fillId="0" borderId="1" xfId="17" applyNumberFormat="1" applyFont="1" applyBorder="1" applyAlignment="1">
      <alignment/>
    </xf>
    <xf numFmtId="182" fontId="14" fillId="0" borderId="60" xfId="17" applyNumberFormat="1" applyFont="1" applyBorder="1" applyAlignment="1">
      <alignment/>
    </xf>
    <xf numFmtId="182" fontId="14" fillId="0" borderId="40" xfId="17" applyNumberFormat="1" applyFont="1" applyBorder="1" applyAlignment="1">
      <alignment/>
    </xf>
    <xf numFmtId="188" fontId="14" fillId="0" borderId="21" xfId="17" applyNumberFormat="1" applyFont="1" applyBorder="1" applyAlignment="1">
      <alignment/>
    </xf>
    <xf numFmtId="182" fontId="14" fillId="0" borderId="12" xfId="17" applyNumberFormat="1" applyFont="1" applyBorder="1" applyAlignment="1">
      <alignment/>
    </xf>
    <xf numFmtId="182" fontId="14" fillId="0" borderId="11" xfId="17" applyNumberFormat="1" applyFont="1" applyBorder="1" applyAlignment="1">
      <alignment/>
    </xf>
    <xf numFmtId="188" fontId="14" fillId="2" borderId="0" xfId="17" applyNumberFormat="1" applyFont="1" applyFill="1" applyBorder="1" applyAlignment="1">
      <alignment/>
    </xf>
    <xf numFmtId="188" fontId="8" fillId="2" borderId="0" xfId="17" applyNumberFormat="1" applyFont="1" applyFill="1" applyBorder="1" applyAlignment="1">
      <alignment/>
    </xf>
    <xf numFmtId="188" fontId="4" fillId="4" borderId="44" xfId="17" applyNumberFormat="1" applyFont="1" applyFill="1" applyBorder="1" applyAlignment="1">
      <alignment/>
    </xf>
    <xf numFmtId="188" fontId="4" fillId="0" borderId="0" xfId="17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31" fillId="0" borderId="65" xfId="0" applyFont="1" applyBorder="1" applyAlignment="1">
      <alignment/>
    </xf>
    <xf numFmtId="0" fontId="0" fillId="0" borderId="66" xfId="0" applyBorder="1" applyAlignment="1">
      <alignment/>
    </xf>
    <xf numFmtId="0" fontId="1" fillId="0" borderId="66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191" fontId="1" fillId="0" borderId="7" xfId="0" applyNumberFormat="1" applyFont="1" applyFill="1" applyBorder="1" applyAlignment="1">
      <alignment/>
    </xf>
    <xf numFmtId="188" fontId="0" fillId="0" borderId="26" xfId="17" applyNumberFormat="1" applyFont="1" applyBorder="1" applyAlignment="1">
      <alignment/>
    </xf>
    <xf numFmtId="188" fontId="0" fillId="0" borderId="26" xfId="17" applyNumberFormat="1" applyBorder="1" applyAlignment="1">
      <alignment/>
    </xf>
    <xf numFmtId="188" fontId="1" fillId="0" borderId="26" xfId="17" applyNumberFormat="1" applyFont="1" applyBorder="1" applyAlignment="1">
      <alignment/>
    </xf>
    <xf numFmtId="188" fontId="1" fillId="0" borderId="26" xfId="0" applyNumberFormat="1" applyFont="1" applyBorder="1" applyAlignment="1">
      <alignment/>
    </xf>
    <xf numFmtId="0" fontId="0" fillId="0" borderId="66" xfId="0" applyFont="1" applyFill="1" applyBorder="1" applyAlignment="1">
      <alignment/>
    </xf>
    <xf numFmtId="188" fontId="8" fillId="2" borderId="4" xfId="17" applyNumberFormat="1" applyFont="1" applyFill="1" applyBorder="1" applyAlignment="1">
      <alignment/>
    </xf>
    <xf numFmtId="188" fontId="8" fillId="2" borderId="5" xfId="17" applyNumberFormat="1" applyFont="1" applyFill="1" applyBorder="1" applyAlignment="1">
      <alignment/>
    </xf>
    <xf numFmtId="188" fontId="8" fillId="2" borderId="40" xfId="17" applyNumberFormat="1" applyFont="1" applyFill="1" applyBorder="1" applyAlignment="1" quotePrefix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188" fontId="0" fillId="0" borderId="26" xfId="17" applyNumberFormat="1" applyFont="1" applyFill="1" applyBorder="1" applyAlignment="1">
      <alignment/>
    </xf>
    <xf numFmtId="188" fontId="0" fillId="0" borderId="18" xfId="17" applyNumberFormat="1" applyFont="1" applyFill="1" applyBorder="1" applyAlignment="1">
      <alignment/>
    </xf>
    <xf numFmtId="0" fontId="1" fillId="0" borderId="4" xfId="0" applyFont="1" applyFill="1" applyBorder="1" applyAlignment="1">
      <alignment wrapText="1"/>
    </xf>
    <xf numFmtId="0" fontId="0" fillId="0" borderId="15" xfId="0" applyFont="1" applyBorder="1" applyAlignment="1">
      <alignment/>
    </xf>
    <xf numFmtId="188" fontId="8" fillId="0" borderId="4" xfId="17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2" fontId="1" fillId="5" borderId="9" xfId="0" applyNumberFormat="1" applyFont="1" applyFill="1" applyBorder="1" applyAlignment="1">
      <alignment horizontal="center" wrapText="1"/>
    </xf>
    <xf numFmtId="0" fontId="0" fillId="0" borderId="7" xfId="0" applyBorder="1" applyAlignment="1">
      <alignment/>
    </xf>
    <xf numFmtId="0" fontId="0" fillId="5" borderId="68" xfId="0" applyFill="1" applyBorder="1" applyAlignment="1">
      <alignment horizontal="center"/>
    </xf>
    <xf numFmtId="0" fontId="1" fillId="5" borderId="69" xfId="0" applyFont="1" applyFill="1" applyBorder="1" applyAlignment="1">
      <alignment horizontal="center" wrapText="1"/>
    </xf>
    <xf numFmtId="0" fontId="0" fillId="0" borderId="26" xfId="0" applyBorder="1" applyAlignment="1">
      <alignment horizontal="center"/>
    </xf>
    <xf numFmtId="188" fontId="0" fillId="2" borderId="29" xfId="17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188" fontId="0" fillId="2" borderId="3" xfId="17" applyNumberFormat="1" applyFont="1" applyFill="1" applyBorder="1" applyAlignment="1">
      <alignment horizontal="center"/>
    </xf>
    <xf numFmtId="188" fontId="0" fillId="2" borderId="37" xfId="17" applyNumberFormat="1" applyFont="1" applyFill="1" applyBorder="1" applyAlignment="1">
      <alignment horizontal="center"/>
    </xf>
    <xf numFmtId="188" fontId="0" fillId="0" borderId="0" xfId="17" applyNumberFormat="1" applyFont="1" applyBorder="1" applyAlignment="1">
      <alignment horizontal="center"/>
    </xf>
    <xf numFmtId="184" fontId="0" fillId="2" borderId="0" xfId="0" applyNumberFormat="1" applyFill="1" applyBorder="1" applyAlignment="1">
      <alignment/>
    </xf>
    <xf numFmtId="180" fontId="14" fillId="0" borderId="29" xfId="17" applyNumberFormat="1" applyFont="1" applyBorder="1" applyAlignment="1">
      <alignment horizontal="left"/>
    </xf>
    <xf numFmtId="188" fontId="0" fillId="0" borderId="0" xfId="0" applyNumberFormat="1" applyAlignment="1">
      <alignment/>
    </xf>
    <xf numFmtId="188" fontId="0" fillId="0" borderId="0" xfId="17" applyNumberFormat="1" applyFont="1" applyFill="1" applyBorder="1" applyAlignment="1">
      <alignment horizontal="center"/>
    </xf>
    <xf numFmtId="188" fontId="4" fillId="4" borderId="4" xfId="17" applyNumberFormat="1" applyFont="1" applyFill="1" applyBorder="1" applyAlignment="1">
      <alignment horizontal="right"/>
    </xf>
    <xf numFmtId="188" fontId="23" fillId="0" borderId="14" xfId="17" applyNumberFormat="1" applyFont="1" applyBorder="1" applyAlignment="1">
      <alignment horizontal="right"/>
    </xf>
    <xf numFmtId="188" fontId="23" fillId="4" borderId="40" xfId="17" applyNumberFormat="1" applyFont="1" applyFill="1" applyBorder="1" applyAlignment="1">
      <alignment horizontal="right"/>
    </xf>
    <xf numFmtId="0" fontId="14" fillId="0" borderId="68" xfId="0" applyFont="1" applyBorder="1" applyAlignment="1">
      <alignment horizontal="left" indent="2"/>
    </xf>
    <xf numFmtId="180" fontId="14" fillId="0" borderId="69" xfId="17" applyNumberFormat="1" applyFont="1" applyBorder="1" applyAlignment="1">
      <alignment horizontal="left" indent="2"/>
    </xf>
    <xf numFmtId="188" fontId="0" fillId="4" borderId="45" xfId="17" applyNumberFormat="1" applyFont="1" applyFill="1" applyBorder="1" applyAlignment="1">
      <alignment/>
    </xf>
    <xf numFmtId="0" fontId="40" fillId="0" borderId="0" xfId="0" applyFont="1" applyBorder="1" applyAlignment="1">
      <alignment/>
    </xf>
    <xf numFmtId="0" fontId="8" fillId="4" borderId="67" xfId="0" applyFont="1" applyFill="1" applyBorder="1" applyAlignment="1">
      <alignment horizontal="left" indent="2"/>
    </xf>
    <xf numFmtId="188" fontId="14" fillId="0" borderId="18" xfId="17" applyNumberFormat="1" applyFont="1" applyBorder="1" applyAlignment="1">
      <alignment wrapText="1"/>
    </xf>
    <xf numFmtId="208" fontId="14" fillId="0" borderId="16" xfId="17" applyNumberFormat="1" applyFont="1" applyBorder="1" applyAlignment="1">
      <alignment horizontal="left" indent="2"/>
    </xf>
    <xf numFmtId="205" fontId="14" fillId="0" borderId="29" xfId="17" applyNumberFormat="1" applyFont="1" applyFill="1" applyBorder="1" applyAlignment="1">
      <alignment horizontal="left" indent="2"/>
    </xf>
    <xf numFmtId="0" fontId="0" fillId="0" borderId="0" xfId="0" applyFont="1" applyFill="1" applyAlignment="1">
      <alignment/>
    </xf>
    <xf numFmtId="0" fontId="39" fillId="0" borderId="0" xfId="0" applyFont="1" applyBorder="1" applyAlignment="1">
      <alignment/>
    </xf>
    <xf numFmtId="0" fontId="3" fillId="0" borderId="4" xfId="0" applyFont="1" applyBorder="1" applyAlignment="1">
      <alignment horizontal="center"/>
    </xf>
    <xf numFmtId="188" fontId="25" fillId="0" borderId="49" xfId="17" applyNumberFormat="1" applyFont="1" applyFill="1" applyBorder="1" applyAlignment="1">
      <alignment/>
    </xf>
    <xf numFmtId="188" fontId="25" fillId="0" borderId="9" xfId="17" applyNumberFormat="1" applyFont="1" applyFill="1" applyBorder="1" applyAlignment="1">
      <alignment/>
    </xf>
    <xf numFmtId="188" fontId="25" fillId="0" borderId="70" xfId="17" applyNumberFormat="1" applyFont="1" applyBorder="1" applyAlignment="1">
      <alignment/>
    </xf>
    <xf numFmtId="188" fontId="25" fillId="0" borderId="51" xfId="17" applyNumberFormat="1" applyFont="1" applyBorder="1" applyAlignment="1">
      <alignment/>
    </xf>
    <xf numFmtId="188" fontId="25" fillId="0" borderId="71" xfId="17" applyNumberFormat="1" applyFont="1" applyBorder="1" applyAlignment="1">
      <alignment/>
    </xf>
    <xf numFmtId="188" fontId="34" fillId="0" borderId="31" xfId="17" applyNumberFormat="1" applyFont="1" applyBorder="1" applyAlignment="1">
      <alignment/>
    </xf>
    <xf numFmtId="188" fontId="25" fillId="0" borderId="34" xfId="17" applyNumberFormat="1" applyFont="1" applyBorder="1" applyAlignment="1">
      <alignment/>
    </xf>
    <xf numFmtId="188" fontId="27" fillId="0" borderId="70" xfId="17" applyNumberFormat="1" applyFont="1" applyBorder="1" applyAlignment="1">
      <alignment/>
    </xf>
    <xf numFmtId="188" fontId="34" fillId="0" borderId="32" xfId="17" applyNumberFormat="1" applyFont="1" applyBorder="1" applyAlignment="1">
      <alignment/>
    </xf>
    <xf numFmtId="188" fontId="25" fillId="0" borderId="72" xfId="17" applyNumberFormat="1" applyFont="1" applyBorder="1" applyAlignment="1">
      <alignment/>
    </xf>
    <xf numFmtId="188" fontId="27" fillId="0" borderId="71" xfId="17" applyNumberFormat="1" applyFont="1" applyBorder="1" applyAlignment="1">
      <alignment/>
    </xf>
    <xf numFmtId="188" fontId="25" fillId="0" borderId="70" xfId="17" applyNumberFormat="1" applyFont="1" applyFill="1" applyBorder="1" applyAlignment="1">
      <alignment/>
    </xf>
    <xf numFmtId="188" fontId="25" fillId="0" borderId="33" xfId="17" applyNumberFormat="1" applyFont="1" applyFill="1" applyBorder="1" applyAlignment="1">
      <alignment/>
    </xf>
    <xf numFmtId="188" fontId="25" fillId="0" borderId="33" xfId="17" applyNumberFormat="1" applyFont="1" applyBorder="1" applyAlignment="1">
      <alignment/>
    </xf>
    <xf numFmtId="188" fontId="27" fillId="0" borderId="73" xfId="17" applyNumberFormat="1" applyFont="1" applyBorder="1" applyAlignment="1">
      <alignment/>
    </xf>
    <xf numFmtId="188" fontId="28" fillId="0" borderId="70" xfId="17" applyNumberFormat="1" applyFont="1" applyBorder="1" applyAlignment="1">
      <alignment/>
    </xf>
    <xf numFmtId="188" fontId="25" fillId="0" borderId="40" xfId="17" applyNumberFormat="1" applyFont="1" applyFill="1" applyBorder="1" applyAlignment="1">
      <alignment/>
    </xf>
    <xf numFmtId="188" fontId="25" fillId="0" borderId="60" xfId="17" applyNumberFormat="1" applyFont="1" applyFill="1" applyBorder="1" applyAlignment="1">
      <alignment/>
    </xf>
    <xf numFmtId="188" fontId="25" fillId="0" borderId="3" xfId="17" applyNumberFormat="1" applyFont="1" applyBorder="1" applyAlignment="1">
      <alignment/>
    </xf>
    <xf numFmtId="188" fontId="27" fillId="0" borderId="17" xfId="17" applyNumberFormat="1" applyFont="1" applyBorder="1" applyAlignment="1">
      <alignment/>
    </xf>
    <xf numFmtId="188" fontId="28" fillId="0" borderId="40" xfId="17" applyNumberFormat="1" applyFont="1" applyBorder="1" applyAlignment="1">
      <alignment/>
    </xf>
    <xf numFmtId="188" fontId="0" fillId="0" borderId="14" xfId="17" applyNumberFormat="1" applyBorder="1" applyAlignment="1">
      <alignment/>
    </xf>
    <xf numFmtId="188" fontId="0" fillId="0" borderId="17" xfId="0" applyNumberFormat="1" applyBorder="1" applyAlignment="1">
      <alignment/>
    </xf>
    <xf numFmtId="9" fontId="0" fillId="0" borderId="12" xfId="0" applyNumberFormat="1" applyBorder="1" applyAlignment="1">
      <alignment/>
    </xf>
    <xf numFmtId="9" fontId="0" fillId="0" borderId="11" xfId="21" applyBorder="1" applyAlignment="1">
      <alignment/>
    </xf>
    <xf numFmtId="188" fontId="1" fillId="0" borderId="0" xfId="17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6" fontId="14" fillId="0" borderId="0" xfId="17" applyNumberFormat="1" applyFont="1" applyAlignment="1">
      <alignment/>
    </xf>
    <xf numFmtId="10" fontId="0" fillId="0" borderId="11" xfId="0" applyNumberForma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88" fontId="0" fillId="0" borderId="29" xfId="17" applyNumberFormat="1" applyFont="1" applyBorder="1" applyAlignment="1">
      <alignment horizontal="center"/>
    </xf>
    <xf numFmtId="184" fontId="0" fillId="0" borderId="29" xfId="0" applyNumberFormat="1" applyBorder="1" applyAlignment="1">
      <alignment/>
    </xf>
    <xf numFmtId="0" fontId="1" fillId="4" borderId="15" xfId="0" applyFont="1" applyFill="1" applyBorder="1" applyAlignment="1">
      <alignment/>
    </xf>
    <xf numFmtId="195" fontId="1" fillId="4" borderId="16" xfId="0" applyNumberFormat="1" applyFont="1" applyFill="1" applyBorder="1" applyAlignment="1">
      <alignment/>
    </xf>
    <xf numFmtId="0" fontId="1" fillId="2" borderId="15" xfId="0" applyFont="1" applyFill="1" applyBorder="1" applyAlignment="1">
      <alignment/>
    </xf>
    <xf numFmtId="183" fontId="1" fillId="2" borderId="16" xfId="0" applyNumberFormat="1" applyFont="1" applyFill="1" applyBorder="1" applyAlignment="1">
      <alignment/>
    </xf>
    <xf numFmtId="0" fontId="1" fillId="4" borderId="11" xfId="0" applyFont="1" applyFill="1" applyBorder="1" applyAlignment="1">
      <alignment/>
    </xf>
    <xf numFmtId="10" fontId="1" fillId="4" borderId="17" xfId="0" applyNumberFormat="1" applyFont="1" applyFill="1" applyBorder="1" applyAlignment="1">
      <alignment/>
    </xf>
    <xf numFmtId="0" fontId="0" fillId="2" borderId="15" xfId="0" applyFill="1" applyBorder="1" applyAlignment="1">
      <alignment/>
    </xf>
    <xf numFmtId="184" fontId="0" fillId="2" borderId="16" xfId="0" applyNumberFormat="1" applyFill="1" applyBorder="1" applyAlignment="1">
      <alignment/>
    </xf>
    <xf numFmtId="184" fontId="0" fillId="0" borderId="37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188" fontId="0" fillId="0" borderId="32" xfId="0" applyNumberFormat="1" applyBorder="1" applyAlignment="1">
      <alignment/>
    </xf>
    <xf numFmtId="188" fontId="0" fillId="0" borderId="3" xfId="0" applyNumberFormat="1" applyBorder="1" applyAlignment="1">
      <alignment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88" fontId="1" fillId="0" borderId="48" xfId="0" applyNumberFormat="1" applyFont="1" applyFill="1" applyBorder="1" applyAlignment="1">
      <alignment/>
    </xf>
    <xf numFmtId="188" fontId="1" fillId="0" borderId="60" xfId="0" applyNumberFormat="1" applyFont="1" applyFill="1" applyBorder="1" applyAlignment="1">
      <alignment/>
    </xf>
    <xf numFmtId="188" fontId="1" fillId="0" borderId="62" xfId="0" applyNumberFormat="1" applyFont="1" applyFill="1" applyBorder="1" applyAlignment="1">
      <alignment/>
    </xf>
    <xf numFmtId="188" fontId="1" fillId="0" borderId="40" xfId="0" applyNumberFormat="1" applyFont="1" applyFill="1" applyBorder="1" applyAlignment="1">
      <alignment/>
    </xf>
    <xf numFmtId="188" fontId="0" fillId="0" borderId="2" xfId="17" applyNumberFormat="1" applyFont="1" applyFill="1" applyBorder="1" applyAlignment="1">
      <alignment/>
    </xf>
    <xf numFmtId="0" fontId="0" fillId="0" borderId="28" xfId="0" applyBorder="1" applyAlignment="1">
      <alignment/>
    </xf>
    <xf numFmtId="188" fontId="0" fillId="0" borderId="29" xfId="17" applyNumberFormat="1" applyFont="1" applyBorder="1" applyAlignment="1">
      <alignment/>
    </xf>
    <xf numFmtId="188" fontId="0" fillId="0" borderId="29" xfId="17" applyNumberFormat="1" applyBorder="1" applyAlignment="1">
      <alignment/>
    </xf>
    <xf numFmtId="188" fontId="1" fillId="0" borderId="29" xfId="17" applyNumberFormat="1" applyFont="1" applyBorder="1" applyAlignment="1">
      <alignment/>
    </xf>
    <xf numFmtId="188" fontId="1" fillId="0" borderId="29" xfId="0" applyNumberFormat="1" applyFont="1" applyBorder="1" applyAlignment="1">
      <alignment/>
    </xf>
    <xf numFmtId="188" fontId="0" fillId="0" borderId="29" xfId="17" applyNumberFormat="1" applyFont="1" applyFill="1" applyBorder="1" applyAlignment="1">
      <alignment/>
    </xf>
    <xf numFmtId="188" fontId="0" fillId="0" borderId="37" xfId="0" applyNumberFormat="1" applyBorder="1" applyAlignment="1">
      <alignment/>
    </xf>
    <xf numFmtId="188" fontId="41" fillId="0" borderId="31" xfId="17" applyNumberFormat="1" applyFont="1" applyFill="1" applyBorder="1" applyAlignment="1">
      <alignment/>
    </xf>
    <xf numFmtId="188" fontId="41" fillId="0" borderId="26" xfId="17" applyNumberFormat="1" applyFont="1" applyFill="1" applyBorder="1" applyAlignment="1">
      <alignment/>
    </xf>
    <xf numFmtId="188" fontId="41" fillId="0" borderId="32" xfId="17" applyNumberFormat="1" applyFont="1" applyFill="1" applyBorder="1" applyAlignment="1">
      <alignment/>
    </xf>
    <xf numFmtId="188" fontId="7" fillId="0" borderId="0" xfId="17" applyNumberFormat="1" applyFont="1" applyFill="1" applyBorder="1" applyAlignment="1">
      <alignment/>
    </xf>
    <xf numFmtId="210" fontId="0" fillId="0" borderId="12" xfId="0" applyNumberFormat="1" applyBorder="1" applyAlignment="1">
      <alignment/>
    </xf>
    <xf numFmtId="0" fontId="0" fillId="0" borderId="0" xfId="0" applyFill="1" applyBorder="1" applyAlignment="1">
      <alignment/>
    </xf>
    <xf numFmtId="188" fontId="0" fillId="0" borderId="41" xfId="17" applyNumberFormat="1" applyFill="1" applyBorder="1" applyAlignment="1">
      <alignment/>
    </xf>
    <xf numFmtId="188" fontId="8" fillId="0" borderId="0" xfId="17" applyNumberFormat="1" applyFont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188" fontId="14" fillId="0" borderId="0" xfId="17" applyNumberFormat="1" applyFont="1" applyFill="1" applyBorder="1" applyAlignment="1">
      <alignment/>
    </xf>
    <xf numFmtId="188" fontId="38" fillId="2" borderId="0" xfId="17" applyNumberFormat="1" applyFont="1" applyFill="1" applyBorder="1" applyAlignment="1">
      <alignment/>
    </xf>
    <xf numFmtId="9" fontId="25" fillId="0" borderId="0" xfId="21" applyFont="1" applyAlignment="1">
      <alignment/>
    </xf>
    <xf numFmtId="188" fontId="42" fillId="0" borderId="0" xfId="17" applyNumberFormat="1" applyFont="1" applyBorder="1" applyAlignment="1">
      <alignment horizontal="center"/>
    </xf>
    <xf numFmtId="188" fontId="0" fillId="0" borderId="20" xfId="17" applyNumberFormat="1" applyFont="1" applyBorder="1" applyAlignment="1">
      <alignment/>
    </xf>
    <xf numFmtId="188" fontId="42" fillId="0" borderId="0" xfId="17" applyNumberFormat="1" applyFont="1" applyAlignment="1">
      <alignment/>
    </xf>
    <xf numFmtId="188" fontId="14" fillId="0" borderId="0" xfId="17" applyNumberFormat="1" applyFont="1" applyFill="1" applyBorder="1" applyAlignment="1">
      <alignment horizontal="left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80" fontId="8" fillId="4" borderId="5" xfId="17" applyNumberFormat="1" applyFont="1" applyFill="1" applyBorder="1" applyAlignment="1">
      <alignment horizontal="center"/>
    </xf>
    <xf numFmtId="180" fontId="8" fillId="4" borderId="40" xfId="17" applyNumberFormat="1" applyFont="1" applyFill="1" applyBorder="1" applyAlignment="1">
      <alignment horizontal="center"/>
    </xf>
    <xf numFmtId="188" fontId="8" fillId="2" borderId="0" xfId="17" applyNumberFormat="1" applyFont="1" applyFill="1" applyBorder="1" applyAlignment="1">
      <alignment horizontal="center"/>
    </xf>
    <xf numFmtId="188" fontId="30" fillId="2" borderId="0" xfId="17" applyNumberFormat="1" applyFont="1" applyFill="1" applyBorder="1" applyAlignment="1">
      <alignment horizontal="center"/>
    </xf>
    <xf numFmtId="188" fontId="42" fillId="2" borderId="0" xfId="17" applyNumberFormat="1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188" fontId="1" fillId="0" borderId="0" xfId="17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88" fontId="42" fillId="0" borderId="0" xfId="17" applyNumberFormat="1" applyFont="1" applyBorder="1" applyAlignment="1">
      <alignment horizontal="center"/>
    </xf>
    <xf numFmtId="188" fontId="9" fillId="2" borderId="0" xfId="17" applyNumberFormat="1" applyFont="1" applyFill="1" applyAlignment="1" quotePrefix="1">
      <alignment horizontal="center"/>
    </xf>
    <xf numFmtId="188" fontId="9" fillId="2" borderId="0" xfId="17" applyNumberFormat="1" applyFont="1" applyFill="1" applyAlignment="1">
      <alignment horizontal="center"/>
    </xf>
    <xf numFmtId="188" fontId="16" fillId="0" borderId="15" xfId="17" applyNumberFormat="1" applyFont="1" applyBorder="1" applyAlignment="1">
      <alignment horizontal="right"/>
    </xf>
    <xf numFmtId="188" fontId="16" fillId="0" borderId="16" xfId="17" applyNumberFormat="1" applyFont="1" applyBorder="1" applyAlignment="1">
      <alignment horizontal="right"/>
    </xf>
    <xf numFmtId="188" fontId="16" fillId="0" borderId="11" xfId="17" applyNumberFormat="1" applyFont="1" applyBorder="1" applyAlignment="1">
      <alignment horizontal="right"/>
    </xf>
    <xf numFmtId="188" fontId="16" fillId="0" borderId="17" xfId="17" applyNumberFormat="1" applyFont="1" applyBorder="1" applyAlignment="1">
      <alignment horizontal="right"/>
    </xf>
    <xf numFmtId="188" fontId="16" fillId="0" borderId="12" xfId="17" applyNumberFormat="1" applyFont="1" applyBorder="1" applyAlignment="1">
      <alignment horizontal="right"/>
    </xf>
    <xf numFmtId="188" fontId="16" fillId="0" borderId="14" xfId="17" applyNumberFormat="1" applyFont="1" applyBorder="1" applyAlignment="1">
      <alignment horizontal="right"/>
    </xf>
    <xf numFmtId="186" fontId="16" fillId="0" borderId="15" xfId="17" applyNumberFormat="1" applyFont="1" applyBorder="1" applyAlignment="1">
      <alignment horizontal="right"/>
    </xf>
    <xf numFmtId="186" fontId="16" fillId="0" borderId="16" xfId="17" applyNumberFormat="1" applyFont="1" applyBorder="1" applyAlignment="1">
      <alignment horizontal="right"/>
    </xf>
    <xf numFmtId="188" fontId="14" fillId="0" borderId="1" xfId="17" applyNumberFormat="1" applyFont="1" applyBorder="1" applyAlignment="1">
      <alignment horizontal="center"/>
    </xf>
    <xf numFmtId="188" fontId="14" fillId="0" borderId="17" xfId="17" applyNumberFormat="1" applyFont="1" applyBorder="1" applyAlignment="1">
      <alignment horizontal="center"/>
    </xf>
    <xf numFmtId="188" fontId="11" fillId="2" borderId="0" xfId="17" applyNumberFormat="1" applyFont="1" applyFill="1" applyAlignment="1">
      <alignment horizontal="center"/>
    </xf>
    <xf numFmtId="188" fontId="8" fillId="2" borderId="0" xfId="17" applyNumberFormat="1" applyFont="1" applyFill="1" applyAlignment="1">
      <alignment horizontal="center"/>
    </xf>
    <xf numFmtId="188" fontId="42" fillId="0" borderId="0" xfId="17" applyNumberFormat="1" applyFont="1" applyAlignment="1">
      <alignment horizontal="center"/>
    </xf>
    <xf numFmtId="188" fontId="7" fillId="4" borderId="7" xfId="17" applyNumberFormat="1" applyFont="1" applyFill="1" applyBorder="1" applyAlignment="1">
      <alignment horizontal="center"/>
    </xf>
    <xf numFmtId="188" fontId="7" fillId="4" borderId="6" xfId="17" applyNumberFormat="1" applyFont="1" applyFill="1" applyBorder="1" applyAlignment="1">
      <alignment horizontal="center"/>
    </xf>
    <xf numFmtId="188" fontId="7" fillId="4" borderId="8" xfId="17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74" xfId="0" applyFont="1" applyFill="1" applyBorder="1" applyAlignment="1">
      <alignment horizontal="center" wrapText="1"/>
    </xf>
    <xf numFmtId="0" fontId="1" fillId="3" borderId="73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82" fontId="1" fillId="0" borderId="11" xfId="17" applyFont="1" applyFill="1" applyBorder="1" applyAlignment="1">
      <alignment horizontal="center"/>
    </xf>
    <xf numFmtId="182" fontId="1" fillId="0" borderId="1" xfId="17" applyFont="1" applyFill="1" applyBorder="1" applyAlignment="1">
      <alignment horizontal="center"/>
    </xf>
    <xf numFmtId="182" fontId="1" fillId="0" borderId="17" xfId="17" applyFont="1" applyFill="1" applyBorder="1" applyAlignment="1">
      <alignment horizontal="center"/>
    </xf>
    <xf numFmtId="188" fontId="8" fillId="0" borderId="7" xfId="17" applyNumberFormat="1" applyFont="1" applyBorder="1" applyAlignment="1">
      <alignment horizontal="center"/>
    </xf>
    <xf numFmtId="188" fontId="8" fillId="0" borderId="6" xfId="17" applyNumberFormat="1" applyFont="1" applyBorder="1" applyAlignment="1">
      <alignment horizontal="center"/>
    </xf>
    <xf numFmtId="188" fontId="0" fillId="0" borderId="7" xfId="17" applyNumberFormat="1" applyBorder="1" applyAlignment="1">
      <alignment horizontal="center"/>
    </xf>
    <xf numFmtId="188" fontId="0" fillId="0" borderId="6" xfId="17" applyNumberFormat="1" applyBorder="1" applyAlignment="1">
      <alignment horizontal="center"/>
    </xf>
    <xf numFmtId="188" fontId="0" fillId="0" borderId="8" xfId="17" applyNumberFormat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0"/>
  <sheetViews>
    <sheetView workbookViewId="0" topLeftCell="A1">
      <selection activeCell="A41" sqref="A41"/>
    </sheetView>
  </sheetViews>
  <sheetFormatPr defaultColWidth="11.421875" defaultRowHeight="12.75"/>
  <cols>
    <col min="1" max="1" width="41.7109375" style="97" customWidth="1"/>
    <col min="2" max="2" width="11.140625" style="113" bestFit="1" customWidth="1"/>
    <col min="3" max="3" width="8.140625" style="97" bestFit="1" customWidth="1"/>
    <col min="4" max="6" width="8.28125" style="97" bestFit="1" customWidth="1"/>
    <col min="7" max="7" width="8.28125" style="97" customWidth="1"/>
    <col min="8" max="8" width="8.00390625" style="97" bestFit="1" customWidth="1"/>
    <col min="9" max="9" width="18.421875" style="97" customWidth="1"/>
    <col min="10" max="16384" width="22.00390625" style="97" customWidth="1"/>
  </cols>
  <sheetData>
    <row r="1" spans="1:9" ht="15.75">
      <c r="A1" s="540" t="s">
        <v>283</v>
      </c>
      <c r="B1" s="540"/>
      <c r="C1" s="540"/>
      <c r="D1" s="540"/>
      <c r="E1" s="540"/>
      <c r="F1" s="540"/>
      <c r="G1" s="540"/>
      <c r="H1" s="540"/>
      <c r="I1" s="540"/>
    </row>
    <row r="2" ht="14.25"/>
    <row r="3" spans="1:10" ht="15">
      <c r="A3" s="535" t="s">
        <v>143</v>
      </c>
      <c r="B3" s="536"/>
      <c r="C3" s="536"/>
      <c r="D3" s="536"/>
      <c r="E3" s="536"/>
      <c r="F3" s="536"/>
      <c r="G3" s="536"/>
      <c r="H3" s="536"/>
      <c r="I3" s="536"/>
      <c r="J3" s="247"/>
    </row>
    <row r="4" spans="1:10" ht="6.75" customHeight="1" thickBot="1">
      <c r="A4" s="242"/>
      <c r="B4" s="243"/>
      <c r="C4" s="242"/>
      <c r="D4" s="242"/>
      <c r="E4" s="242"/>
      <c r="F4" s="242"/>
      <c r="G4" s="242"/>
      <c r="H4" s="242"/>
      <c r="I4" s="242"/>
      <c r="J4" s="247"/>
    </row>
    <row r="5" spans="1:10" s="121" customFormat="1" ht="15.75" thickBot="1">
      <c r="A5" s="244"/>
      <c r="B5" s="245"/>
      <c r="C5" s="246"/>
      <c r="D5" s="537" t="s">
        <v>192</v>
      </c>
      <c r="E5" s="538"/>
      <c r="F5" s="538"/>
      <c r="G5" s="538"/>
      <c r="H5" s="539"/>
      <c r="I5" s="242"/>
      <c r="J5" s="248"/>
    </row>
    <row r="6" spans="1:10" s="127" customFormat="1" ht="18" customHeight="1" thickBot="1">
      <c r="A6" s="228" t="s">
        <v>143</v>
      </c>
      <c r="B6" s="229" t="s">
        <v>144</v>
      </c>
      <c r="C6" s="230" t="s">
        <v>158</v>
      </c>
      <c r="D6" s="231" t="s">
        <v>154</v>
      </c>
      <c r="E6" s="231" t="s">
        <v>104</v>
      </c>
      <c r="F6" s="231" t="s">
        <v>105</v>
      </c>
      <c r="G6" s="231" t="s">
        <v>106</v>
      </c>
      <c r="H6" s="231" t="s">
        <v>107</v>
      </c>
      <c r="I6" s="232" t="s">
        <v>168</v>
      </c>
      <c r="J6" s="249"/>
    </row>
    <row r="7" spans="1:10" s="130" customFormat="1" ht="13.5" customHeight="1" thickBot="1">
      <c r="A7" s="184" t="s">
        <v>237</v>
      </c>
      <c r="B7" s="185">
        <v>0</v>
      </c>
      <c r="C7" s="128">
        <v>5</v>
      </c>
      <c r="D7" s="139"/>
      <c r="E7" s="140"/>
      <c r="F7" s="140"/>
      <c r="G7" s="140"/>
      <c r="H7" s="140"/>
      <c r="I7" s="129"/>
      <c r="J7" s="240"/>
    </row>
    <row r="8" spans="1:10" s="130" customFormat="1" ht="13.5" customHeight="1">
      <c r="A8" s="186" t="s">
        <v>255</v>
      </c>
      <c r="B8" s="185">
        <v>31392.02</v>
      </c>
      <c r="C8" s="128">
        <v>5</v>
      </c>
      <c r="D8" s="142">
        <f>B8/C8</f>
        <v>6278.404</v>
      </c>
      <c r="E8" s="143">
        <f aca="true" t="shared" si="0" ref="E8:F12">D8</f>
        <v>6278.404</v>
      </c>
      <c r="F8" s="143">
        <f t="shared" si="0"/>
        <v>6278.404</v>
      </c>
      <c r="G8" s="143">
        <f aca="true" t="shared" si="1" ref="G8:H10">E8</f>
        <v>6278.404</v>
      </c>
      <c r="H8" s="143">
        <f t="shared" si="1"/>
        <v>6278.404</v>
      </c>
      <c r="I8" s="131">
        <f>SUM(D8:H8)</f>
        <v>31392.020000000004</v>
      </c>
      <c r="J8" s="240"/>
    </row>
    <row r="9" spans="1:9" s="130" customFormat="1" ht="13.5" customHeight="1">
      <c r="A9" s="186" t="s">
        <v>239</v>
      </c>
      <c r="B9" s="187">
        <v>850</v>
      </c>
      <c r="C9" s="141">
        <v>5</v>
      </c>
      <c r="D9" s="142">
        <f>B9/C9</f>
        <v>170</v>
      </c>
      <c r="E9" s="143">
        <f t="shared" si="0"/>
        <v>170</v>
      </c>
      <c r="F9" s="143">
        <f t="shared" si="0"/>
        <v>170</v>
      </c>
      <c r="G9" s="142">
        <f t="shared" si="1"/>
        <v>170</v>
      </c>
      <c r="H9" s="142">
        <f t="shared" si="1"/>
        <v>170</v>
      </c>
      <c r="I9" s="131">
        <f>SUM(D9:H9)</f>
        <v>850</v>
      </c>
    </row>
    <row r="10" spans="1:9" s="130" customFormat="1" ht="13.5" customHeight="1">
      <c r="A10" s="416" t="s">
        <v>240</v>
      </c>
      <c r="B10" s="187">
        <v>1100</v>
      </c>
      <c r="C10" s="141">
        <v>5</v>
      </c>
      <c r="D10" s="142">
        <f>B10/C10</f>
        <v>220</v>
      </c>
      <c r="E10" s="143">
        <f t="shared" si="0"/>
        <v>220</v>
      </c>
      <c r="F10" s="143">
        <f t="shared" si="0"/>
        <v>220</v>
      </c>
      <c r="G10" s="143">
        <f t="shared" si="1"/>
        <v>220</v>
      </c>
      <c r="H10" s="143">
        <f t="shared" si="1"/>
        <v>220</v>
      </c>
      <c r="I10" s="131">
        <f>SUM(D10:H10)</f>
        <v>1100</v>
      </c>
    </row>
    <row r="11" spans="1:10" s="355" customFormat="1" ht="13.5" customHeight="1">
      <c r="A11" s="353" t="s">
        <v>245</v>
      </c>
      <c r="B11" s="356">
        <v>5625</v>
      </c>
      <c r="C11" s="357">
        <v>1</v>
      </c>
      <c r="D11" s="358"/>
      <c r="E11" s="359"/>
      <c r="F11" s="359"/>
      <c r="G11" s="359"/>
      <c r="H11" s="359"/>
      <c r="I11" s="360"/>
      <c r="J11" s="354"/>
    </row>
    <row r="12" spans="1:11" s="130" customFormat="1" ht="13.5" customHeight="1">
      <c r="A12" s="186"/>
      <c r="B12" s="187">
        <v>0</v>
      </c>
      <c r="C12" s="141">
        <v>1</v>
      </c>
      <c r="D12" s="142">
        <f aca="true" t="shared" si="2" ref="D12:D17">B12/C12</f>
        <v>0</v>
      </c>
      <c r="E12" s="143">
        <f t="shared" si="0"/>
        <v>0</v>
      </c>
      <c r="F12" s="143">
        <f t="shared" si="0"/>
        <v>0</v>
      </c>
      <c r="G12" s="143"/>
      <c r="H12" s="143"/>
      <c r="I12" s="131">
        <f>SUM(D12:H12)</f>
        <v>0</v>
      </c>
      <c r="J12" s="355"/>
      <c r="K12" s="355"/>
    </row>
    <row r="13" spans="1:9" s="130" customFormat="1" ht="13.5" customHeight="1">
      <c r="A13" s="186"/>
      <c r="B13" s="187">
        <v>0</v>
      </c>
      <c r="C13" s="141">
        <v>1</v>
      </c>
      <c r="D13" s="142">
        <f t="shared" si="2"/>
        <v>0</v>
      </c>
      <c r="E13" s="143">
        <f aca="true" t="shared" si="3" ref="E13:F17">D13</f>
        <v>0</v>
      </c>
      <c r="F13" s="143">
        <f t="shared" si="3"/>
        <v>0</v>
      </c>
      <c r="G13" s="143">
        <f aca="true" t="shared" si="4" ref="G13:H17">E13</f>
        <v>0</v>
      </c>
      <c r="H13" s="143">
        <f t="shared" si="4"/>
        <v>0</v>
      </c>
      <c r="I13" s="131">
        <f>SUM(D13:H13)</f>
        <v>0</v>
      </c>
    </row>
    <row r="14" spans="1:9" s="130" customFormat="1" ht="13.5" customHeight="1">
      <c r="A14" s="188" t="s">
        <v>146</v>
      </c>
      <c r="B14" s="187">
        <v>0</v>
      </c>
      <c r="C14" s="141">
        <v>1</v>
      </c>
      <c r="D14" s="142">
        <f t="shared" si="2"/>
        <v>0</v>
      </c>
      <c r="E14" s="143">
        <f t="shared" si="3"/>
        <v>0</v>
      </c>
      <c r="F14" s="143">
        <f t="shared" si="3"/>
        <v>0</v>
      </c>
      <c r="G14" s="143">
        <f t="shared" si="4"/>
        <v>0</v>
      </c>
      <c r="H14" s="143">
        <f t="shared" si="4"/>
        <v>0</v>
      </c>
      <c r="I14" s="131"/>
    </row>
    <row r="15" spans="1:9" s="130" customFormat="1" ht="13.5" customHeight="1">
      <c r="A15" s="186" t="s">
        <v>263</v>
      </c>
      <c r="B15" s="187">
        <v>150</v>
      </c>
      <c r="C15" s="141">
        <v>5</v>
      </c>
      <c r="D15" s="142">
        <f t="shared" si="2"/>
        <v>30</v>
      </c>
      <c r="E15" s="143">
        <f t="shared" si="3"/>
        <v>30</v>
      </c>
      <c r="F15" s="143">
        <f t="shared" si="3"/>
        <v>30</v>
      </c>
      <c r="G15" s="143">
        <f t="shared" si="4"/>
        <v>30</v>
      </c>
      <c r="H15" s="143">
        <f t="shared" si="4"/>
        <v>30</v>
      </c>
      <c r="I15" s="131">
        <f>SUM(D15:H15)</f>
        <v>150</v>
      </c>
    </row>
    <row r="16" spans="1:9" s="130" customFormat="1" ht="13.5" customHeight="1">
      <c r="A16" s="186" t="s">
        <v>241</v>
      </c>
      <c r="B16" s="187">
        <v>40</v>
      </c>
      <c r="C16" s="141">
        <v>5</v>
      </c>
      <c r="D16" s="142">
        <f t="shared" si="2"/>
        <v>8</v>
      </c>
      <c r="E16" s="143">
        <f t="shared" si="3"/>
        <v>8</v>
      </c>
      <c r="F16" s="143">
        <f t="shared" si="3"/>
        <v>8</v>
      </c>
      <c r="G16" s="143">
        <f t="shared" si="4"/>
        <v>8</v>
      </c>
      <c r="H16" s="143">
        <f t="shared" si="4"/>
        <v>8</v>
      </c>
      <c r="I16" s="131">
        <f>SUM(D16:H16)</f>
        <v>40</v>
      </c>
    </row>
    <row r="17" spans="1:9" s="130" customFormat="1" ht="13.5" customHeight="1" thickBot="1">
      <c r="A17" s="188"/>
      <c r="B17" s="187">
        <v>0</v>
      </c>
      <c r="C17" s="141">
        <v>1</v>
      </c>
      <c r="D17" s="142">
        <f t="shared" si="2"/>
        <v>0</v>
      </c>
      <c r="E17" s="143">
        <f t="shared" si="3"/>
        <v>0</v>
      </c>
      <c r="F17" s="143">
        <f t="shared" si="3"/>
        <v>0</v>
      </c>
      <c r="G17" s="143">
        <f t="shared" si="4"/>
        <v>0</v>
      </c>
      <c r="H17" s="143">
        <f t="shared" si="4"/>
        <v>0</v>
      </c>
      <c r="I17" s="131">
        <f>SUM(D17:H17)</f>
        <v>0</v>
      </c>
    </row>
    <row r="18" spans="1:9" s="130" customFormat="1" ht="13.5" hidden="1" thickBot="1">
      <c r="A18" s="112" t="s">
        <v>149</v>
      </c>
      <c r="B18" s="144"/>
      <c r="C18" s="145"/>
      <c r="D18" s="146"/>
      <c r="E18" s="147"/>
      <c r="F18" s="147"/>
      <c r="G18" s="147"/>
      <c r="H18" s="147"/>
      <c r="I18" s="132"/>
    </row>
    <row r="19" spans="1:13" s="134" customFormat="1" ht="13.5" thickBot="1">
      <c r="A19" s="233" t="s">
        <v>145</v>
      </c>
      <c r="B19" s="234">
        <f>SUM(B6:B18)</f>
        <v>39157.020000000004</v>
      </c>
      <c r="C19" s="235"/>
      <c r="D19" s="234">
        <f>SUM(D7:D18)</f>
        <v>6706.404</v>
      </c>
      <c r="E19" s="234">
        <f>SUM(E7:E18)</f>
        <v>6706.404</v>
      </c>
      <c r="F19" s="234">
        <f>SUM(F7:F18)</f>
        <v>6706.404</v>
      </c>
      <c r="G19" s="234">
        <f>SUM(G7:G18)</f>
        <v>6706.404</v>
      </c>
      <c r="H19" s="234">
        <f>SUM(H7:H18)</f>
        <v>6706.404</v>
      </c>
      <c r="I19" s="236">
        <f>SUM(I8:I18)</f>
        <v>33532.020000000004</v>
      </c>
      <c r="J19" s="133"/>
      <c r="K19" s="133"/>
      <c r="L19" s="133"/>
      <c r="M19" s="133"/>
    </row>
    <row r="20" spans="1:10" s="130" customFormat="1" ht="12.75">
      <c r="A20" s="240"/>
      <c r="B20" s="169"/>
      <c r="C20" s="169"/>
      <c r="D20" s="169"/>
      <c r="E20" s="169"/>
      <c r="F20" s="169"/>
      <c r="G20" s="169"/>
      <c r="H20" s="169"/>
      <c r="I20" s="241"/>
      <c r="J20" s="240"/>
    </row>
    <row r="21" spans="1:10" s="130" customFormat="1" ht="12.75">
      <c r="A21" s="240"/>
      <c r="B21" s="169"/>
      <c r="C21" s="169"/>
      <c r="D21" s="169"/>
      <c r="E21" s="169"/>
      <c r="F21" s="169"/>
      <c r="G21" s="169"/>
      <c r="H21" s="169"/>
      <c r="I21" s="241"/>
      <c r="J21" s="240"/>
    </row>
    <row r="22" spans="1:10" s="130" customFormat="1" ht="13.5" hidden="1" thickBot="1">
      <c r="A22" s="240"/>
      <c r="B22" s="169"/>
      <c r="C22" s="169"/>
      <c r="D22" s="169"/>
      <c r="E22" s="169"/>
      <c r="F22" s="169"/>
      <c r="G22" s="169"/>
      <c r="H22" s="169"/>
      <c r="I22" s="241"/>
      <c r="J22" s="240"/>
    </row>
    <row r="23" spans="1:17" s="135" customFormat="1" ht="14.25" customHeight="1" hidden="1" thickBot="1">
      <c r="A23" s="237" t="s">
        <v>187</v>
      </c>
      <c r="B23" s="238" t="s">
        <v>144</v>
      </c>
      <c r="C23" s="230" t="s">
        <v>158</v>
      </c>
      <c r="D23" s="239" t="str">
        <f>D6</f>
        <v>AÑO 1</v>
      </c>
      <c r="E23" s="239" t="str">
        <f>E6</f>
        <v>AÑO 2</v>
      </c>
      <c r="F23" s="239" t="str">
        <f>F6</f>
        <v>AÑO 3</v>
      </c>
      <c r="G23" s="239" t="str">
        <f>G6</f>
        <v>AÑO 4</v>
      </c>
      <c r="H23" s="239" t="str">
        <f>H6</f>
        <v>AÑO 5</v>
      </c>
      <c r="I23" s="232" t="s">
        <v>186</v>
      </c>
      <c r="J23" s="152"/>
      <c r="K23" s="127"/>
      <c r="L23" s="127"/>
      <c r="M23" s="127"/>
      <c r="N23" s="127"/>
      <c r="O23" s="127"/>
      <c r="P23" s="127"/>
      <c r="Q23" s="127"/>
    </row>
    <row r="24" spans="1:9" s="130" customFormat="1" ht="13.5" hidden="1" thickBot="1">
      <c r="A24" s="136"/>
      <c r="B24" s="148">
        <v>0</v>
      </c>
      <c r="C24" s="128">
        <v>1</v>
      </c>
      <c r="D24" s="149">
        <f>B24/C24</f>
        <v>0</v>
      </c>
      <c r="E24" s="150">
        <f>D24</f>
        <v>0</v>
      </c>
      <c r="F24" s="150">
        <f>E24</f>
        <v>0</v>
      </c>
      <c r="G24" s="150">
        <f>E24</f>
        <v>0</v>
      </c>
      <c r="H24" s="150">
        <f>F24</f>
        <v>0</v>
      </c>
      <c r="I24" s="137">
        <f>SUM(D24:H24)</f>
        <v>0</v>
      </c>
    </row>
    <row r="25" spans="1:9" s="130" customFormat="1" ht="13.5" hidden="1" thickBot="1">
      <c r="A25" s="138"/>
      <c r="B25" s="151">
        <v>0</v>
      </c>
      <c r="C25" s="145">
        <v>1</v>
      </c>
      <c r="D25" s="146">
        <f>B25/C25</f>
        <v>0</v>
      </c>
      <c r="E25" s="147">
        <f>D25</f>
        <v>0</v>
      </c>
      <c r="F25" s="147">
        <f>E25</f>
        <v>0</v>
      </c>
      <c r="G25" s="147">
        <f>E25</f>
        <v>0</v>
      </c>
      <c r="H25" s="147">
        <f>F25</f>
        <v>0</v>
      </c>
      <c r="I25" s="137">
        <f>SUM(D25:H25)</f>
        <v>0</v>
      </c>
    </row>
    <row r="26" spans="1:17" s="134" customFormat="1" ht="13.5" hidden="1" thickBot="1">
      <c r="A26" s="233" t="s">
        <v>145</v>
      </c>
      <c r="B26" s="234">
        <f>SUM(B24:B25)</f>
        <v>0</v>
      </c>
      <c r="C26" s="235"/>
      <c r="D26" s="234">
        <f aca="true" t="shared" si="5" ref="D26:I26">SUM(D24:D25)</f>
        <v>0</v>
      </c>
      <c r="E26" s="234">
        <f t="shared" si="5"/>
        <v>0</v>
      </c>
      <c r="F26" s="234">
        <f t="shared" si="5"/>
        <v>0</v>
      </c>
      <c r="G26" s="234">
        <f t="shared" si="5"/>
        <v>0</v>
      </c>
      <c r="H26" s="234">
        <f t="shared" si="5"/>
        <v>0</v>
      </c>
      <c r="I26" s="236">
        <f t="shared" si="5"/>
        <v>0</v>
      </c>
      <c r="J26" s="133"/>
      <c r="K26" s="133"/>
      <c r="L26" s="133"/>
      <c r="M26" s="133"/>
      <c r="N26" s="133"/>
      <c r="O26" s="133"/>
      <c r="P26" s="133"/>
      <c r="Q26" s="133"/>
    </row>
    <row r="27" spans="2:8" s="130" customFormat="1" ht="12.75" hidden="1">
      <c r="B27" s="83"/>
      <c r="C27" s="83"/>
      <c r="D27" s="83"/>
      <c r="E27" s="83"/>
      <c r="F27" s="83"/>
      <c r="G27" s="83"/>
      <c r="H27" s="83"/>
    </row>
    <row r="28" spans="2:8" s="130" customFormat="1" ht="12.75" hidden="1">
      <c r="B28" s="83"/>
      <c r="C28" s="83"/>
      <c r="D28" s="83"/>
      <c r="E28" s="83"/>
      <c r="F28" s="83"/>
      <c r="G28" s="83"/>
      <c r="H28" s="83"/>
    </row>
    <row r="29" spans="2:8" s="130" customFormat="1" ht="12.75" hidden="1">
      <c r="B29" s="83"/>
      <c r="C29" s="83"/>
      <c r="D29" s="83"/>
      <c r="E29" s="83"/>
      <c r="F29" s="83"/>
      <c r="G29" s="83"/>
      <c r="H29" s="83"/>
    </row>
    <row r="30" spans="2:8" s="130" customFormat="1" ht="12.75">
      <c r="B30" s="83"/>
      <c r="C30" s="83"/>
      <c r="D30" s="83"/>
      <c r="E30" s="83"/>
      <c r="F30" s="83"/>
      <c r="G30" s="83"/>
      <c r="H30" s="83"/>
    </row>
    <row r="31" spans="2:8" s="130" customFormat="1" ht="12.75">
      <c r="B31" s="83"/>
      <c r="C31" s="83"/>
      <c r="D31" s="83"/>
      <c r="E31" s="83"/>
      <c r="F31" s="83"/>
      <c r="G31" s="83"/>
      <c r="H31" s="83"/>
    </row>
    <row r="32" spans="2:8" s="130" customFormat="1" ht="12.75">
      <c r="B32" s="83"/>
      <c r="C32" s="83"/>
      <c r="D32" s="83"/>
      <c r="E32" s="83"/>
      <c r="F32" s="83"/>
      <c r="G32" s="83"/>
      <c r="H32" s="83"/>
    </row>
    <row r="33" spans="2:8" s="130" customFormat="1" ht="12.75">
      <c r="B33" s="83"/>
      <c r="C33" s="83"/>
      <c r="D33" s="83"/>
      <c r="E33" s="83"/>
      <c r="F33" s="83"/>
      <c r="G33" s="83"/>
      <c r="H33" s="83"/>
    </row>
    <row r="34" spans="2:8" s="130" customFormat="1" ht="12.75">
      <c r="B34" s="83"/>
      <c r="C34" s="83"/>
      <c r="D34" s="83"/>
      <c r="E34" s="83"/>
      <c r="F34" s="83"/>
      <c r="G34" s="83"/>
      <c r="H34" s="83"/>
    </row>
    <row r="35" spans="2:8" s="130" customFormat="1" ht="12.75">
      <c r="B35" s="83"/>
      <c r="C35" s="83"/>
      <c r="D35" s="83"/>
      <c r="E35" s="83"/>
      <c r="F35" s="83"/>
      <c r="G35" s="83"/>
      <c r="H35" s="83"/>
    </row>
    <row r="36" spans="2:8" s="130" customFormat="1" ht="12.75">
      <c r="B36" s="83"/>
      <c r="C36" s="83"/>
      <c r="D36" s="83"/>
      <c r="E36" s="83"/>
      <c r="F36" s="83"/>
      <c r="G36" s="83"/>
      <c r="H36" s="83"/>
    </row>
    <row r="37" spans="2:8" s="130" customFormat="1" ht="12.75">
      <c r="B37" s="83"/>
      <c r="C37" s="83"/>
      <c r="D37" s="83"/>
      <c r="E37" s="83"/>
      <c r="F37" s="83"/>
      <c r="G37" s="83"/>
      <c r="H37" s="83"/>
    </row>
    <row r="38" spans="2:8" s="130" customFormat="1" ht="12.75">
      <c r="B38" s="83"/>
      <c r="C38" s="83"/>
      <c r="D38" s="83"/>
      <c r="E38" s="83"/>
      <c r="F38" s="83"/>
      <c r="G38" s="83"/>
      <c r="H38" s="83"/>
    </row>
    <row r="39" spans="2:8" s="130" customFormat="1" ht="12.75">
      <c r="B39" s="83"/>
      <c r="C39" s="83"/>
      <c r="D39" s="83"/>
      <c r="E39" s="83"/>
      <c r="F39" s="83"/>
      <c r="G39" s="83"/>
      <c r="H39" s="83"/>
    </row>
    <row r="40" spans="2:8" s="130" customFormat="1" ht="12.75">
      <c r="B40" s="83"/>
      <c r="C40" s="83"/>
      <c r="D40" s="83"/>
      <c r="E40" s="83"/>
      <c r="F40" s="83"/>
      <c r="G40" s="83"/>
      <c r="H40" s="83"/>
    </row>
    <row r="41" spans="2:8" s="130" customFormat="1" ht="12.75">
      <c r="B41" s="83"/>
      <c r="C41" s="83"/>
      <c r="D41" s="83"/>
      <c r="E41" s="83"/>
      <c r="F41" s="83"/>
      <c r="G41" s="83"/>
      <c r="H41" s="83"/>
    </row>
    <row r="42" spans="2:8" s="130" customFormat="1" ht="12.75">
      <c r="B42" s="83"/>
      <c r="C42" s="83"/>
      <c r="D42" s="83"/>
      <c r="E42" s="83"/>
      <c r="F42" s="83"/>
      <c r="G42" s="83"/>
      <c r="H42" s="83"/>
    </row>
    <row r="43" spans="2:8" s="130" customFormat="1" ht="12.75">
      <c r="B43" s="83"/>
      <c r="C43" s="83"/>
      <c r="D43" s="83"/>
      <c r="E43" s="83"/>
      <c r="F43" s="83"/>
      <c r="G43" s="83"/>
      <c r="H43" s="83"/>
    </row>
    <row r="44" spans="2:8" ht="14.25">
      <c r="B44" s="115"/>
      <c r="C44" s="115"/>
      <c r="D44" s="115"/>
      <c r="E44" s="115"/>
      <c r="F44" s="115"/>
      <c r="G44" s="115"/>
      <c r="H44" s="115"/>
    </row>
    <row r="45" spans="2:8" ht="14.25">
      <c r="B45" s="115"/>
      <c r="C45" s="115"/>
      <c r="D45" s="115"/>
      <c r="E45" s="115"/>
      <c r="F45" s="115"/>
      <c r="G45" s="115"/>
      <c r="H45" s="115"/>
    </row>
    <row r="46" spans="2:8" ht="14.25">
      <c r="B46" s="115"/>
      <c r="C46" s="115"/>
      <c r="D46" s="115"/>
      <c r="E46" s="115"/>
      <c r="F46" s="115"/>
      <c r="G46" s="115"/>
      <c r="H46" s="115"/>
    </row>
    <row r="47" spans="2:8" ht="14.25">
      <c r="B47" s="115"/>
      <c r="C47" s="115"/>
      <c r="D47" s="115"/>
      <c r="E47" s="115"/>
      <c r="F47" s="115"/>
      <c r="G47" s="115"/>
      <c r="H47" s="115"/>
    </row>
    <row r="48" spans="2:8" ht="14.25">
      <c r="B48" s="115"/>
      <c r="C48" s="115"/>
      <c r="D48" s="115"/>
      <c r="E48" s="115"/>
      <c r="F48" s="115"/>
      <c r="G48" s="115"/>
      <c r="H48" s="115"/>
    </row>
    <row r="49" spans="2:8" ht="14.25">
      <c r="B49" s="115"/>
      <c r="C49" s="115"/>
      <c r="D49" s="115"/>
      <c r="E49" s="115"/>
      <c r="F49" s="115"/>
      <c r="G49" s="115"/>
      <c r="H49" s="115"/>
    </row>
    <row r="50" spans="2:8" ht="14.25">
      <c r="B50" s="115"/>
      <c r="C50" s="115"/>
      <c r="D50" s="115"/>
      <c r="E50" s="115"/>
      <c r="F50" s="115"/>
      <c r="G50" s="115"/>
      <c r="H50" s="115"/>
    </row>
    <row r="51" spans="2:8" ht="14.25">
      <c r="B51" s="115"/>
      <c r="C51" s="115"/>
      <c r="D51" s="115"/>
      <c r="E51" s="115"/>
      <c r="F51" s="115"/>
      <c r="G51" s="115"/>
      <c r="H51" s="115"/>
    </row>
    <row r="52" spans="2:8" ht="14.25">
      <c r="B52" s="115"/>
      <c r="C52" s="115"/>
      <c r="D52" s="115"/>
      <c r="E52" s="115"/>
      <c r="F52" s="115"/>
      <c r="G52" s="115"/>
      <c r="H52" s="115"/>
    </row>
    <row r="53" spans="2:8" ht="14.25">
      <c r="B53" s="115"/>
      <c r="C53" s="115"/>
      <c r="D53" s="115"/>
      <c r="E53" s="115"/>
      <c r="F53" s="115"/>
      <c r="G53" s="115"/>
      <c r="H53" s="115"/>
    </row>
    <row r="54" spans="2:8" ht="14.25">
      <c r="B54" s="115"/>
      <c r="C54" s="115"/>
      <c r="D54" s="115"/>
      <c r="E54" s="115"/>
      <c r="F54" s="115"/>
      <c r="G54" s="115"/>
      <c r="H54" s="115"/>
    </row>
    <row r="55" spans="2:8" ht="14.25">
      <c r="B55" s="115"/>
      <c r="C55" s="115"/>
      <c r="D55" s="115"/>
      <c r="E55" s="115"/>
      <c r="F55" s="115"/>
      <c r="G55" s="115"/>
      <c r="H55" s="115"/>
    </row>
    <row r="56" spans="2:8" ht="14.25">
      <c r="B56" s="115"/>
      <c r="C56" s="115"/>
      <c r="D56" s="115"/>
      <c r="E56" s="115"/>
      <c r="F56" s="115"/>
      <c r="G56" s="115"/>
      <c r="H56" s="115"/>
    </row>
    <row r="57" spans="2:8" ht="14.25">
      <c r="B57" s="115"/>
      <c r="C57" s="115"/>
      <c r="D57" s="115"/>
      <c r="E57" s="115"/>
      <c r="F57" s="115"/>
      <c r="G57" s="115"/>
      <c r="H57" s="115"/>
    </row>
    <row r="58" spans="2:8" ht="14.25">
      <c r="B58" s="115"/>
      <c r="C58" s="115"/>
      <c r="D58" s="115"/>
      <c r="E58" s="115"/>
      <c r="F58" s="115"/>
      <c r="G58" s="115"/>
      <c r="H58" s="115"/>
    </row>
    <row r="59" spans="2:8" ht="14.25">
      <c r="B59" s="115"/>
      <c r="C59" s="115"/>
      <c r="D59" s="115"/>
      <c r="E59" s="115"/>
      <c r="F59" s="115"/>
      <c r="G59" s="115"/>
      <c r="H59" s="115"/>
    </row>
    <row r="60" spans="2:8" ht="14.25">
      <c r="B60" s="115"/>
      <c r="C60" s="115"/>
      <c r="D60" s="115"/>
      <c r="E60" s="115"/>
      <c r="F60" s="115"/>
      <c r="G60" s="115"/>
      <c r="H60" s="115"/>
    </row>
    <row r="61" spans="2:8" ht="14.25">
      <c r="B61" s="115"/>
      <c r="C61" s="115"/>
      <c r="D61" s="115"/>
      <c r="E61" s="115"/>
      <c r="F61" s="115"/>
      <c r="G61" s="115"/>
      <c r="H61" s="115"/>
    </row>
    <row r="62" spans="2:8" ht="14.25">
      <c r="B62" s="115"/>
      <c r="C62" s="115"/>
      <c r="D62" s="115"/>
      <c r="E62" s="115"/>
      <c r="F62" s="115"/>
      <c r="G62" s="115"/>
      <c r="H62" s="115"/>
    </row>
    <row r="63" spans="2:8" ht="14.25">
      <c r="B63" s="115"/>
      <c r="C63" s="115"/>
      <c r="D63" s="115"/>
      <c r="E63" s="115"/>
      <c r="F63" s="115"/>
      <c r="G63" s="115"/>
      <c r="H63" s="115"/>
    </row>
    <row r="64" spans="2:8" ht="14.25">
      <c r="B64" s="115"/>
      <c r="C64" s="115"/>
      <c r="D64" s="115"/>
      <c r="E64" s="115"/>
      <c r="F64" s="115"/>
      <c r="G64" s="115"/>
      <c r="H64" s="115"/>
    </row>
    <row r="65" spans="2:8" ht="14.25">
      <c r="B65" s="115"/>
      <c r="C65" s="115"/>
      <c r="D65" s="115"/>
      <c r="E65" s="115"/>
      <c r="F65" s="115"/>
      <c r="G65" s="115"/>
      <c r="H65" s="115"/>
    </row>
    <row r="66" spans="2:8" ht="14.25">
      <c r="B66" s="115"/>
      <c r="C66" s="115"/>
      <c r="D66" s="115"/>
      <c r="E66" s="115"/>
      <c r="F66" s="115"/>
      <c r="G66" s="115"/>
      <c r="H66" s="115"/>
    </row>
    <row r="67" spans="2:8" ht="14.25">
      <c r="B67" s="115"/>
      <c r="C67" s="115"/>
      <c r="D67" s="115"/>
      <c r="E67" s="115"/>
      <c r="F67" s="115"/>
      <c r="G67" s="115"/>
      <c r="H67" s="115"/>
    </row>
    <row r="68" spans="2:8" ht="14.25">
      <c r="B68" s="115"/>
      <c r="C68" s="115"/>
      <c r="D68" s="115"/>
      <c r="E68" s="115"/>
      <c r="F68" s="115"/>
      <c r="G68" s="115"/>
      <c r="H68" s="115"/>
    </row>
    <row r="69" spans="2:8" ht="14.25">
      <c r="B69" s="115"/>
      <c r="C69" s="115"/>
      <c r="D69" s="115"/>
      <c r="E69" s="115"/>
      <c r="F69" s="115"/>
      <c r="G69" s="115"/>
      <c r="H69" s="115"/>
    </row>
    <row r="70" spans="2:8" ht="14.25">
      <c r="B70" s="115"/>
      <c r="C70" s="115"/>
      <c r="D70" s="115"/>
      <c r="E70" s="115"/>
      <c r="F70" s="115"/>
      <c r="G70" s="115"/>
      <c r="H70" s="115"/>
    </row>
    <row r="71" spans="2:8" ht="14.25">
      <c r="B71" s="115"/>
      <c r="C71" s="115"/>
      <c r="D71" s="115"/>
      <c r="E71" s="115"/>
      <c r="F71" s="115"/>
      <c r="G71" s="115"/>
      <c r="H71" s="115"/>
    </row>
    <row r="72" spans="2:8" ht="14.25">
      <c r="B72" s="115"/>
      <c r="C72" s="115"/>
      <c r="D72" s="115"/>
      <c r="E72" s="115"/>
      <c r="F72" s="115"/>
      <c r="G72" s="115"/>
      <c r="H72" s="115"/>
    </row>
    <row r="73" spans="2:8" ht="14.25">
      <c r="B73" s="115"/>
      <c r="C73" s="115"/>
      <c r="D73" s="115"/>
      <c r="E73" s="115"/>
      <c r="F73" s="115"/>
      <c r="G73" s="115"/>
      <c r="H73" s="115"/>
    </row>
    <row r="74" spans="2:8" ht="14.25">
      <c r="B74" s="115"/>
      <c r="C74" s="115"/>
      <c r="D74" s="115"/>
      <c r="E74" s="115"/>
      <c r="F74" s="115"/>
      <c r="G74" s="115"/>
      <c r="H74" s="115"/>
    </row>
    <row r="75" spans="2:8" ht="14.25">
      <c r="B75" s="115"/>
      <c r="C75" s="115"/>
      <c r="D75" s="115"/>
      <c r="E75" s="115"/>
      <c r="F75" s="115"/>
      <c r="G75" s="115"/>
      <c r="H75" s="115"/>
    </row>
    <row r="76" spans="2:8" ht="14.25">
      <c r="B76" s="115"/>
      <c r="C76" s="115"/>
      <c r="D76" s="115"/>
      <c r="E76" s="115"/>
      <c r="F76" s="115"/>
      <c r="G76" s="115"/>
      <c r="H76" s="115"/>
    </row>
    <row r="77" spans="2:8" ht="14.25">
      <c r="B77" s="115"/>
      <c r="C77" s="115"/>
      <c r="D77" s="115"/>
      <c r="E77" s="115"/>
      <c r="F77" s="115"/>
      <c r="G77" s="115"/>
      <c r="H77" s="115"/>
    </row>
    <row r="78" spans="2:8" ht="14.25">
      <c r="B78" s="115"/>
      <c r="C78" s="115"/>
      <c r="D78" s="115"/>
      <c r="E78" s="115"/>
      <c r="F78" s="115"/>
      <c r="G78" s="115"/>
      <c r="H78" s="115"/>
    </row>
    <row r="79" spans="2:8" ht="14.25">
      <c r="B79" s="115"/>
      <c r="C79" s="115"/>
      <c r="D79" s="115"/>
      <c r="E79" s="115"/>
      <c r="F79" s="115"/>
      <c r="G79" s="115"/>
      <c r="H79" s="115"/>
    </row>
    <row r="80" spans="2:8" ht="14.25">
      <c r="B80" s="115"/>
      <c r="C80" s="115"/>
      <c r="D80" s="115"/>
      <c r="E80" s="115"/>
      <c r="F80" s="115"/>
      <c r="G80" s="115"/>
      <c r="H80" s="115"/>
    </row>
    <row r="81" spans="2:8" ht="14.25">
      <c r="B81" s="115"/>
      <c r="C81" s="115"/>
      <c r="D81" s="115"/>
      <c r="E81" s="115"/>
      <c r="F81" s="115"/>
      <c r="G81" s="115"/>
      <c r="H81" s="115"/>
    </row>
    <row r="82" spans="2:8" ht="14.25">
      <c r="B82" s="115"/>
      <c r="C82" s="115"/>
      <c r="D82" s="115"/>
      <c r="E82" s="115"/>
      <c r="F82" s="115"/>
      <c r="G82" s="115"/>
      <c r="H82" s="115"/>
    </row>
    <row r="83" spans="2:8" ht="14.25">
      <c r="B83" s="115"/>
      <c r="C83" s="115"/>
      <c r="D83" s="115"/>
      <c r="E83" s="115"/>
      <c r="F83" s="115"/>
      <c r="G83" s="115"/>
      <c r="H83" s="115"/>
    </row>
    <row r="84" spans="2:8" ht="14.25">
      <c r="B84" s="115"/>
      <c r="C84" s="115"/>
      <c r="D84" s="115"/>
      <c r="E84" s="115"/>
      <c r="F84" s="115"/>
      <c r="G84" s="115"/>
      <c r="H84" s="115"/>
    </row>
    <row r="85" spans="2:8" ht="14.25">
      <c r="B85" s="115"/>
      <c r="C85" s="115"/>
      <c r="D85" s="115"/>
      <c r="E85" s="115"/>
      <c r="F85" s="115"/>
      <c r="G85" s="115"/>
      <c r="H85" s="115"/>
    </row>
    <row r="86" spans="2:8" ht="14.25">
      <c r="B86" s="115"/>
      <c r="C86" s="115"/>
      <c r="D86" s="115"/>
      <c r="E86" s="115"/>
      <c r="F86" s="115"/>
      <c r="G86" s="115"/>
      <c r="H86" s="115"/>
    </row>
    <row r="87" spans="2:8" ht="14.25">
      <c r="B87" s="115"/>
      <c r="C87" s="115"/>
      <c r="D87" s="115"/>
      <c r="E87" s="115"/>
      <c r="F87" s="115"/>
      <c r="G87" s="115"/>
      <c r="H87" s="115"/>
    </row>
    <row r="88" spans="2:8" ht="14.25">
      <c r="B88" s="115"/>
      <c r="C88" s="115"/>
      <c r="D88" s="115"/>
      <c r="E88" s="115"/>
      <c r="F88" s="115"/>
      <c r="G88" s="115"/>
      <c r="H88" s="115"/>
    </row>
    <row r="89" spans="2:8" ht="14.25">
      <c r="B89" s="115"/>
      <c r="C89" s="115"/>
      <c r="D89" s="115"/>
      <c r="E89" s="115"/>
      <c r="F89" s="115"/>
      <c r="G89" s="115"/>
      <c r="H89" s="115"/>
    </row>
    <row r="90" spans="2:8" ht="14.25">
      <c r="B90" s="115"/>
      <c r="C90" s="115"/>
      <c r="D90" s="115"/>
      <c r="E90" s="115"/>
      <c r="F90" s="115"/>
      <c r="G90" s="115"/>
      <c r="H90" s="115"/>
    </row>
    <row r="91" spans="2:8" ht="14.25">
      <c r="B91" s="115"/>
      <c r="C91" s="115"/>
      <c r="D91" s="115"/>
      <c r="E91" s="115"/>
      <c r="F91" s="115"/>
      <c r="G91" s="115"/>
      <c r="H91" s="115"/>
    </row>
    <row r="92" spans="2:8" ht="14.25">
      <c r="B92" s="115"/>
      <c r="C92" s="115"/>
      <c r="D92" s="115"/>
      <c r="E92" s="115"/>
      <c r="F92" s="115"/>
      <c r="G92" s="115"/>
      <c r="H92" s="115"/>
    </row>
    <row r="93" spans="2:8" ht="14.25">
      <c r="B93" s="115"/>
      <c r="C93" s="115"/>
      <c r="D93" s="115"/>
      <c r="E93" s="115"/>
      <c r="F93" s="115"/>
      <c r="G93" s="115"/>
      <c r="H93" s="115"/>
    </row>
    <row r="94" spans="2:8" ht="14.25">
      <c r="B94" s="115"/>
      <c r="C94" s="115"/>
      <c r="D94" s="115"/>
      <c r="E94" s="115"/>
      <c r="F94" s="115"/>
      <c r="G94" s="115"/>
      <c r="H94" s="115"/>
    </row>
    <row r="95" spans="2:8" ht="14.25">
      <c r="B95" s="115"/>
      <c r="C95" s="115"/>
      <c r="D95" s="115"/>
      <c r="E95" s="115"/>
      <c r="F95" s="115"/>
      <c r="G95" s="115"/>
      <c r="H95" s="115"/>
    </row>
    <row r="96" spans="2:8" ht="14.25">
      <c r="B96" s="115"/>
      <c r="C96" s="115"/>
      <c r="D96" s="115"/>
      <c r="E96" s="115"/>
      <c r="F96" s="115"/>
      <c r="G96" s="115"/>
      <c r="H96" s="115"/>
    </row>
    <row r="97" spans="2:8" ht="14.25">
      <c r="B97" s="115"/>
      <c r="C97" s="115"/>
      <c r="D97" s="115"/>
      <c r="E97" s="115"/>
      <c r="F97" s="115"/>
      <c r="G97" s="115"/>
      <c r="H97" s="115"/>
    </row>
    <row r="98" spans="2:8" ht="14.25">
      <c r="B98" s="115"/>
      <c r="C98" s="115"/>
      <c r="D98" s="115"/>
      <c r="E98" s="115"/>
      <c r="F98" s="115"/>
      <c r="G98" s="115"/>
      <c r="H98" s="115"/>
    </row>
    <row r="99" spans="2:8" ht="14.25">
      <c r="B99" s="115"/>
      <c r="C99" s="115"/>
      <c r="D99" s="115"/>
      <c r="E99" s="115"/>
      <c r="F99" s="115"/>
      <c r="G99" s="115"/>
      <c r="H99" s="115"/>
    </row>
    <row r="100" spans="2:8" ht="14.25">
      <c r="B100" s="115"/>
      <c r="C100" s="115"/>
      <c r="D100" s="115"/>
      <c r="E100" s="115"/>
      <c r="F100" s="115"/>
      <c r="G100" s="115"/>
      <c r="H100" s="115"/>
    </row>
    <row r="101" spans="2:8" ht="14.25">
      <c r="B101" s="115"/>
      <c r="C101" s="115"/>
      <c r="D101" s="115"/>
      <c r="E101" s="115"/>
      <c r="F101" s="115"/>
      <c r="G101" s="115"/>
      <c r="H101" s="115"/>
    </row>
    <row r="102" spans="2:8" ht="14.25">
      <c r="B102" s="115"/>
      <c r="C102" s="115"/>
      <c r="D102" s="115"/>
      <c r="E102" s="115"/>
      <c r="F102" s="115"/>
      <c r="G102" s="115"/>
      <c r="H102" s="115"/>
    </row>
    <row r="103" spans="2:8" ht="14.25">
      <c r="B103" s="115"/>
      <c r="C103" s="115"/>
      <c r="D103" s="115"/>
      <c r="E103" s="115"/>
      <c r="F103" s="115"/>
      <c r="G103" s="115"/>
      <c r="H103" s="115"/>
    </row>
    <row r="104" spans="2:8" ht="14.25">
      <c r="B104" s="115"/>
      <c r="C104" s="115"/>
      <c r="D104" s="115"/>
      <c r="E104" s="115"/>
      <c r="F104" s="115"/>
      <c r="G104" s="115"/>
      <c r="H104" s="115"/>
    </row>
    <row r="105" spans="2:8" ht="14.25">
      <c r="B105" s="115"/>
      <c r="C105" s="115"/>
      <c r="D105" s="115"/>
      <c r="E105" s="115"/>
      <c r="F105" s="115"/>
      <c r="G105" s="115"/>
      <c r="H105" s="115"/>
    </row>
    <row r="106" spans="2:8" ht="14.25">
      <c r="B106" s="115"/>
      <c r="C106" s="115"/>
      <c r="D106" s="115"/>
      <c r="E106" s="115"/>
      <c r="F106" s="115"/>
      <c r="G106" s="115"/>
      <c r="H106" s="115"/>
    </row>
    <row r="107" spans="2:8" ht="14.25">
      <c r="B107" s="115"/>
      <c r="C107" s="115"/>
      <c r="D107" s="115"/>
      <c r="E107" s="115"/>
      <c r="F107" s="115"/>
      <c r="G107" s="115"/>
      <c r="H107" s="115"/>
    </row>
    <row r="108" spans="2:8" ht="14.25">
      <c r="B108" s="115"/>
      <c r="C108" s="115"/>
      <c r="D108" s="115"/>
      <c r="E108" s="115"/>
      <c r="F108" s="115"/>
      <c r="G108" s="115"/>
      <c r="H108" s="115"/>
    </row>
    <row r="109" spans="2:8" ht="14.25">
      <c r="B109" s="115"/>
      <c r="C109" s="115"/>
      <c r="D109" s="115"/>
      <c r="E109" s="115"/>
      <c r="F109" s="115"/>
      <c r="G109" s="115"/>
      <c r="H109" s="115"/>
    </row>
    <row r="110" spans="2:8" ht="14.25">
      <c r="B110" s="115"/>
      <c r="C110" s="115"/>
      <c r="D110" s="115"/>
      <c r="E110" s="115"/>
      <c r="F110" s="115"/>
      <c r="G110" s="115"/>
      <c r="H110" s="115"/>
    </row>
    <row r="111" spans="2:8" ht="14.25">
      <c r="B111" s="115"/>
      <c r="C111" s="115"/>
      <c r="D111" s="115"/>
      <c r="E111" s="115"/>
      <c r="F111" s="115"/>
      <c r="G111" s="115"/>
      <c r="H111" s="115"/>
    </row>
    <row r="112" spans="2:8" ht="14.25">
      <c r="B112" s="115"/>
      <c r="C112" s="115"/>
      <c r="D112" s="115"/>
      <c r="E112" s="115"/>
      <c r="F112" s="115"/>
      <c r="G112" s="115"/>
      <c r="H112" s="115"/>
    </row>
    <row r="113" spans="2:8" ht="14.25">
      <c r="B113" s="115"/>
      <c r="C113" s="115"/>
      <c r="D113" s="115"/>
      <c r="E113" s="115"/>
      <c r="F113" s="115"/>
      <c r="G113" s="115"/>
      <c r="H113" s="115"/>
    </row>
    <row r="114" spans="2:8" ht="14.25">
      <c r="B114" s="115"/>
      <c r="C114" s="115"/>
      <c r="D114" s="115"/>
      <c r="E114" s="115"/>
      <c r="F114" s="115"/>
      <c r="G114" s="115"/>
      <c r="H114" s="115"/>
    </row>
    <row r="115" spans="2:8" ht="14.25">
      <c r="B115" s="115"/>
      <c r="C115" s="115"/>
      <c r="D115" s="115"/>
      <c r="E115" s="115"/>
      <c r="F115" s="115"/>
      <c r="G115" s="115"/>
      <c r="H115" s="115"/>
    </row>
    <row r="116" spans="2:8" ht="14.25">
      <c r="B116" s="115"/>
      <c r="C116" s="115"/>
      <c r="D116" s="115"/>
      <c r="E116" s="115"/>
      <c r="F116" s="115"/>
      <c r="G116" s="115"/>
      <c r="H116" s="115"/>
    </row>
    <row r="117" spans="2:8" ht="14.25">
      <c r="B117" s="115"/>
      <c r="C117" s="115"/>
      <c r="D117" s="115"/>
      <c r="E117" s="115"/>
      <c r="F117" s="115"/>
      <c r="G117" s="115"/>
      <c r="H117" s="115"/>
    </row>
    <row r="118" spans="2:8" ht="14.25">
      <c r="B118" s="115"/>
      <c r="C118" s="115"/>
      <c r="D118" s="115"/>
      <c r="E118" s="115"/>
      <c r="F118" s="115"/>
      <c r="G118" s="115"/>
      <c r="H118" s="115"/>
    </row>
    <row r="119" spans="2:8" ht="14.25">
      <c r="B119" s="115"/>
      <c r="C119" s="115"/>
      <c r="D119" s="115"/>
      <c r="E119" s="115"/>
      <c r="F119" s="115"/>
      <c r="G119" s="115"/>
      <c r="H119" s="115"/>
    </row>
    <row r="120" spans="2:8" ht="14.25">
      <c r="B120" s="115"/>
      <c r="C120" s="115"/>
      <c r="D120" s="115"/>
      <c r="E120" s="115"/>
      <c r="F120" s="115"/>
      <c r="G120" s="115"/>
      <c r="H120" s="115"/>
    </row>
    <row r="121" spans="2:8" ht="14.25">
      <c r="B121" s="115"/>
      <c r="C121" s="115"/>
      <c r="D121" s="115"/>
      <c r="E121" s="115"/>
      <c r="F121" s="115"/>
      <c r="G121" s="115"/>
      <c r="H121" s="115"/>
    </row>
    <row r="122" spans="2:8" ht="14.25">
      <c r="B122" s="115"/>
      <c r="C122" s="115"/>
      <c r="D122" s="115"/>
      <c r="E122" s="115"/>
      <c r="F122" s="115"/>
      <c r="G122" s="115"/>
      <c r="H122" s="115"/>
    </row>
    <row r="123" spans="2:8" ht="14.25">
      <c r="B123" s="115"/>
      <c r="C123" s="115"/>
      <c r="D123" s="115"/>
      <c r="E123" s="115"/>
      <c r="F123" s="115"/>
      <c r="G123" s="115"/>
      <c r="H123" s="115"/>
    </row>
    <row r="124" spans="2:8" ht="14.25">
      <c r="B124" s="115"/>
      <c r="C124" s="115"/>
      <c r="D124" s="115"/>
      <c r="E124" s="115"/>
      <c r="F124" s="115"/>
      <c r="G124" s="115"/>
      <c r="H124" s="115"/>
    </row>
    <row r="125" spans="2:8" ht="14.25">
      <c r="B125" s="115"/>
      <c r="C125" s="115"/>
      <c r="D125" s="115"/>
      <c r="E125" s="115"/>
      <c r="F125" s="115"/>
      <c r="G125" s="115"/>
      <c r="H125" s="115"/>
    </row>
    <row r="126" spans="2:8" ht="14.25">
      <c r="B126" s="115"/>
      <c r="C126" s="115"/>
      <c r="D126" s="115"/>
      <c r="E126" s="115"/>
      <c r="F126" s="115"/>
      <c r="G126" s="115"/>
      <c r="H126" s="115"/>
    </row>
    <row r="127" spans="2:8" ht="14.25">
      <c r="B127" s="115"/>
      <c r="C127" s="115"/>
      <c r="D127" s="115"/>
      <c r="E127" s="115"/>
      <c r="F127" s="115"/>
      <c r="G127" s="115"/>
      <c r="H127" s="115"/>
    </row>
    <row r="128" spans="2:8" ht="14.25">
      <c r="B128" s="115"/>
      <c r="C128" s="115"/>
      <c r="D128" s="115"/>
      <c r="E128" s="115"/>
      <c r="F128" s="115"/>
      <c r="G128" s="115"/>
      <c r="H128" s="115"/>
    </row>
    <row r="129" spans="2:8" ht="14.25">
      <c r="B129" s="115"/>
      <c r="C129" s="115"/>
      <c r="D129" s="115"/>
      <c r="E129" s="115"/>
      <c r="F129" s="115"/>
      <c r="G129" s="115"/>
      <c r="H129" s="115"/>
    </row>
    <row r="130" spans="2:8" ht="14.25">
      <c r="B130" s="115"/>
      <c r="C130" s="115"/>
      <c r="D130" s="115"/>
      <c r="E130" s="115"/>
      <c r="F130" s="115"/>
      <c r="G130" s="115"/>
      <c r="H130" s="115"/>
    </row>
    <row r="131" spans="2:8" ht="14.25">
      <c r="B131" s="115"/>
      <c r="C131" s="115"/>
      <c r="D131" s="115"/>
      <c r="E131" s="115"/>
      <c r="F131" s="115"/>
      <c r="G131" s="115"/>
      <c r="H131" s="115"/>
    </row>
    <row r="132" spans="2:8" ht="14.25">
      <c r="B132" s="115"/>
      <c r="C132" s="115"/>
      <c r="D132" s="115"/>
      <c r="E132" s="115"/>
      <c r="F132" s="115"/>
      <c r="G132" s="115"/>
      <c r="H132" s="115"/>
    </row>
    <row r="133" spans="2:8" ht="14.25">
      <c r="B133" s="115"/>
      <c r="C133" s="115"/>
      <c r="D133" s="115"/>
      <c r="E133" s="115"/>
      <c r="F133" s="115"/>
      <c r="G133" s="115"/>
      <c r="H133" s="115"/>
    </row>
    <row r="134" spans="2:8" ht="14.25">
      <c r="B134" s="115"/>
      <c r="C134" s="115"/>
      <c r="D134" s="115"/>
      <c r="E134" s="115"/>
      <c r="F134" s="115"/>
      <c r="G134" s="115"/>
      <c r="H134" s="115"/>
    </row>
    <row r="135" spans="2:8" ht="14.25">
      <c r="B135" s="115"/>
      <c r="C135" s="115"/>
      <c r="D135" s="115"/>
      <c r="E135" s="115"/>
      <c r="F135" s="115"/>
      <c r="G135" s="115"/>
      <c r="H135" s="115"/>
    </row>
    <row r="136" spans="2:8" ht="14.25">
      <c r="B136" s="115"/>
      <c r="C136" s="115"/>
      <c r="D136" s="115"/>
      <c r="E136" s="115"/>
      <c r="F136" s="115"/>
      <c r="G136" s="115"/>
      <c r="H136" s="115"/>
    </row>
    <row r="137" spans="2:8" ht="14.25">
      <c r="B137" s="115"/>
      <c r="C137" s="115"/>
      <c r="D137" s="115"/>
      <c r="E137" s="115"/>
      <c r="F137" s="115"/>
      <c r="G137" s="115"/>
      <c r="H137" s="115"/>
    </row>
    <row r="138" spans="2:8" ht="14.25">
      <c r="B138" s="115"/>
      <c r="C138" s="115"/>
      <c r="D138" s="115"/>
      <c r="E138" s="115"/>
      <c r="F138" s="115"/>
      <c r="G138" s="115"/>
      <c r="H138" s="115"/>
    </row>
    <row r="139" spans="2:8" ht="14.25">
      <c r="B139" s="115"/>
      <c r="C139" s="115"/>
      <c r="D139" s="115"/>
      <c r="E139" s="115"/>
      <c r="F139" s="115"/>
      <c r="G139" s="115"/>
      <c r="H139" s="115"/>
    </row>
    <row r="140" spans="2:8" ht="14.25">
      <c r="B140" s="115"/>
      <c r="C140" s="115"/>
      <c r="D140" s="115"/>
      <c r="E140" s="115"/>
      <c r="F140" s="115"/>
      <c r="G140" s="115"/>
      <c r="H140" s="115"/>
    </row>
    <row r="141" spans="2:8" ht="14.25">
      <c r="B141" s="115"/>
      <c r="C141" s="115"/>
      <c r="D141" s="115"/>
      <c r="E141" s="115"/>
      <c r="F141" s="115"/>
      <c r="G141" s="115"/>
      <c r="H141" s="115"/>
    </row>
    <row r="142" spans="2:8" ht="14.25">
      <c r="B142" s="115"/>
      <c r="C142" s="115"/>
      <c r="D142" s="115"/>
      <c r="E142" s="115"/>
      <c r="F142" s="115"/>
      <c r="G142" s="115"/>
      <c r="H142" s="115"/>
    </row>
    <row r="143" spans="2:8" ht="14.25">
      <c r="B143" s="115"/>
      <c r="C143" s="115"/>
      <c r="D143" s="115"/>
      <c r="E143" s="115"/>
      <c r="F143" s="115"/>
      <c r="G143" s="115"/>
      <c r="H143" s="115"/>
    </row>
    <row r="144" spans="2:8" ht="14.25">
      <c r="B144" s="115"/>
      <c r="C144" s="115"/>
      <c r="D144" s="115"/>
      <c r="E144" s="115"/>
      <c r="F144" s="115"/>
      <c r="G144" s="115"/>
      <c r="H144" s="115"/>
    </row>
    <row r="145" spans="2:8" ht="14.25">
      <c r="B145" s="115"/>
      <c r="C145" s="115"/>
      <c r="D145" s="115"/>
      <c r="E145" s="115"/>
      <c r="F145" s="115"/>
      <c r="G145" s="115"/>
      <c r="H145" s="115"/>
    </row>
    <row r="146" spans="2:8" ht="14.25">
      <c r="B146" s="115"/>
      <c r="C146" s="115"/>
      <c r="D146" s="115"/>
      <c r="E146" s="115"/>
      <c r="F146" s="115"/>
      <c r="G146" s="115"/>
      <c r="H146" s="115"/>
    </row>
    <row r="147" spans="2:8" ht="14.25">
      <c r="B147" s="115"/>
      <c r="C147" s="115"/>
      <c r="D147" s="115"/>
      <c r="E147" s="115"/>
      <c r="F147" s="115"/>
      <c r="G147" s="115"/>
      <c r="H147" s="115"/>
    </row>
    <row r="148" spans="2:8" ht="14.25">
      <c r="B148" s="115"/>
      <c r="C148" s="115"/>
      <c r="D148" s="115"/>
      <c r="E148" s="115"/>
      <c r="F148" s="115"/>
      <c r="G148" s="115"/>
      <c r="H148" s="115"/>
    </row>
    <row r="149" spans="2:8" ht="14.25">
      <c r="B149" s="115"/>
      <c r="C149" s="115"/>
      <c r="D149" s="115"/>
      <c r="E149" s="115"/>
      <c r="F149" s="115"/>
      <c r="G149" s="115"/>
      <c r="H149" s="115"/>
    </row>
    <row r="150" spans="2:8" ht="14.25">
      <c r="B150" s="115"/>
      <c r="C150" s="115"/>
      <c r="D150" s="115"/>
      <c r="E150" s="115"/>
      <c r="F150" s="115"/>
      <c r="G150" s="115"/>
      <c r="H150" s="115"/>
    </row>
    <row r="151" spans="2:8" ht="14.25">
      <c r="B151" s="115"/>
      <c r="C151" s="115"/>
      <c r="D151" s="115"/>
      <c r="E151" s="115"/>
      <c r="F151" s="115"/>
      <c r="G151" s="115"/>
      <c r="H151" s="115"/>
    </row>
    <row r="152" spans="2:8" ht="14.25">
      <c r="B152" s="115"/>
      <c r="C152" s="115"/>
      <c r="D152" s="115"/>
      <c r="E152" s="115"/>
      <c r="F152" s="115"/>
      <c r="G152" s="115"/>
      <c r="H152" s="115"/>
    </row>
    <row r="153" spans="2:8" ht="14.25">
      <c r="B153" s="115"/>
      <c r="C153" s="115"/>
      <c r="D153" s="115"/>
      <c r="E153" s="115"/>
      <c r="F153" s="115"/>
      <c r="G153" s="115"/>
      <c r="H153" s="115"/>
    </row>
    <row r="154" spans="2:8" ht="14.25">
      <c r="B154" s="115"/>
      <c r="C154" s="115"/>
      <c r="D154" s="115"/>
      <c r="E154" s="115"/>
      <c r="F154" s="115"/>
      <c r="G154" s="115"/>
      <c r="H154" s="115"/>
    </row>
    <row r="155" spans="2:8" ht="14.25">
      <c r="B155" s="115"/>
      <c r="C155" s="115"/>
      <c r="D155" s="115"/>
      <c r="E155" s="115"/>
      <c r="F155" s="115"/>
      <c r="G155" s="115"/>
      <c r="H155" s="115"/>
    </row>
    <row r="156" spans="2:8" ht="14.25">
      <c r="B156" s="115"/>
      <c r="C156" s="115"/>
      <c r="D156" s="115"/>
      <c r="E156" s="115"/>
      <c r="F156" s="115"/>
      <c r="G156" s="115"/>
      <c r="H156" s="115"/>
    </row>
    <row r="157" spans="2:8" ht="14.25">
      <c r="B157" s="115"/>
      <c r="C157" s="115"/>
      <c r="D157" s="115"/>
      <c r="E157" s="115"/>
      <c r="F157" s="115"/>
      <c r="G157" s="115"/>
      <c r="H157" s="115"/>
    </row>
    <row r="158" spans="2:8" ht="14.25">
      <c r="B158" s="115"/>
      <c r="C158" s="115"/>
      <c r="D158" s="115"/>
      <c r="E158" s="115"/>
      <c r="F158" s="115"/>
      <c r="G158" s="115"/>
      <c r="H158" s="115"/>
    </row>
    <row r="159" spans="2:8" ht="14.25">
      <c r="B159" s="115"/>
      <c r="C159" s="115"/>
      <c r="D159" s="115"/>
      <c r="E159" s="115"/>
      <c r="F159" s="115"/>
      <c r="G159" s="115"/>
      <c r="H159" s="115"/>
    </row>
    <row r="160" spans="2:8" ht="14.25">
      <c r="B160" s="115"/>
      <c r="C160" s="115"/>
      <c r="D160" s="115"/>
      <c r="E160" s="115"/>
      <c r="F160" s="115"/>
      <c r="G160" s="115"/>
      <c r="H160" s="115"/>
    </row>
    <row r="161" spans="2:8" ht="14.25">
      <c r="B161" s="115"/>
      <c r="C161" s="115"/>
      <c r="D161" s="115"/>
      <c r="E161" s="115"/>
      <c r="F161" s="115"/>
      <c r="G161" s="115"/>
      <c r="H161" s="115"/>
    </row>
    <row r="162" spans="2:8" ht="14.25">
      <c r="B162" s="115"/>
      <c r="C162" s="115"/>
      <c r="D162" s="115"/>
      <c r="E162" s="115"/>
      <c r="F162" s="115"/>
      <c r="G162" s="115"/>
      <c r="H162" s="115"/>
    </row>
    <row r="163" spans="2:8" ht="14.25">
      <c r="B163" s="115"/>
      <c r="C163" s="115"/>
      <c r="D163" s="115"/>
      <c r="E163" s="115"/>
      <c r="F163" s="115"/>
      <c r="G163" s="115"/>
      <c r="H163" s="115"/>
    </row>
    <row r="164" spans="2:8" ht="14.25">
      <c r="B164" s="115"/>
      <c r="C164" s="115"/>
      <c r="D164" s="115"/>
      <c r="E164" s="115"/>
      <c r="F164" s="115"/>
      <c r="G164" s="115"/>
      <c r="H164" s="115"/>
    </row>
    <row r="165" spans="2:8" ht="14.25">
      <c r="B165" s="115"/>
      <c r="C165" s="115"/>
      <c r="D165" s="115"/>
      <c r="E165" s="115"/>
      <c r="F165" s="115"/>
      <c r="G165" s="115"/>
      <c r="H165" s="115"/>
    </row>
    <row r="166" spans="2:8" ht="14.25">
      <c r="B166" s="115"/>
      <c r="C166" s="115"/>
      <c r="D166" s="115"/>
      <c r="E166" s="115"/>
      <c r="F166" s="115"/>
      <c r="G166" s="115"/>
      <c r="H166" s="115"/>
    </row>
    <row r="167" spans="2:8" ht="14.25">
      <c r="B167" s="115"/>
      <c r="C167" s="115"/>
      <c r="D167" s="115"/>
      <c r="E167" s="115"/>
      <c r="F167" s="115"/>
      <c r="G167" s="115"/>
      <c r="H167" s="115"/>
    </row>
    <row r="168" spans="2:8" ht="14.25">
      <c r="B168" s="115"/>
      <c r="C168" s="115"/>
      <c r="D168" s="115"/>
      <c r="E168" s="115"/>
      <c r="F168" s="115"/>
      <c r="G168" s="115"/>
      <c r="H168" s="115"/>
    </row>
    <row r="169" spans="2:8" ht="14.25">
      <c r="B169" s="115"/>
      <c r="C169" s="115"/>
      <c r="D169" s="115"/>
      <c r="E169" s="115"/>
      <c r="F169" s="115"/>
      <c r="G169" s="115"/>
      <c r="H169" s="115"/>
    </row>
    <row r="170" spans="2:8" ht="14.25">
      <c r="B170" s="115"/>
      <c r="C170" s="115"/>
      <c r="D170" s="115"/>
      <c r="E170" s="115"/>
      <c r="F170" s="115"/>
      <c r="G170" s="115"/>
      <c r="H170" s="115"/>
    </row>
    <row r="171" spans="2:8" ht="14.25">
      <c r="B171" s="115"/>
      <c r="C171" s="115"/>
      <c r="D171" s="115"/>
      <c r="E171" s="115"/>
      <c r="F171" s="115"/>
      <c r="G171" s="115"/>
      <c r="H171" s="115"/>
    </row>
    <row r="172" spans="2:8" ht="14.25">
      <c r="B172" s="115"/>
      <c r="C172" s="115"/>
      <c r="D172" s="115"/>
      <c r="E172" s="115"/>
      <c r="F172" s="115"/>
      <c r="G172" s="115"/>
      <c r="H172" s="115"/>
    </row>
    <row r="173" spans="2:8" ht="14.25">
      <c r="B173" s="115"/>
      <c r="C173" s="115"/>
      <c r="D173" s="115"/>
      <c r="E173" s="115"/>
      <c r="F173" s="115"/>
      <c r="G173" s="115"/>
      <c r="H173" s="115"/>
    </row>
    <row r="174" spans="2:8" ht="14.25">
      <c r="B174" s="115"/>
      <c r="C174" s="115"/>
      <c r="D174" s="115"/>
      <c r="E174" s="115"/>
      <c r="F174" s="115"/>
      <c r="G174" s="115"/>
      <c r="H174" s="115"/>
    </row>
    <row r="175" spans="2:8" ht="14.25">
      <c r="B175" s="115"/>
      <c r="C175" s="115"/>
      <c r="D175" s="115"/>
      <c r="E175" s="115"/>
      <c r="F175" s="115"/>
      <c r="G175" s="115"/>
      <c r="H175" s="115"/>
    </row>
    <row r="176" spans="2:8" ht="14.25">
      <c r="B176" s="115"/>
      <c r="C176" s="115"/>
      <c r="D176" s="115"/>
      <c r="E176" s="115"/>
      <c r="F176" s="115"/>
      <c r="G176" s="115"/>
      <c r="H176" s="115"/>
    </row>
    <row r="177" spans="2:8" ht="14.25">
      <c r="B177" s="115"/>
      <c r="C177" s="115"/>
      <c r="D177" s="115"/>
      <c r="E177" s="115"/>
      <c r="F177" s="115"/>
      <c r="G177" s="115"/>
      <c r="H177" s="115"/>
    </row>
    <row r="178" spans="2:8" ht="14.25">
      <c r="B178" s="115"/>
      <c r="C178" s="115"/>
      <c r="D178" s="115"/>
      <c r="E178" s="115"/>
      <c r="F178" s="115"/>
      <c r="G178" s="115"/>
      <c r="H178" s="115"/>
    </row>
    <row r="179" spans="2:8" ht="14.25">
      <c r="B179" s="115"/>
      <c r="C179" s="115"/>
      <c r="D179" s="115"/>
      <c r="E179" s="115"/>
      <c r="F179" s="115"/>
      <c r="G179" s="115"/>
      <c r="H179" s="115"/>
    </row>
    <row r="180" spans="2:8" ht="14.25">
      <c r="B180" s="115"/>
      <c r="C180" s="115"/>
      <c r="D180" s="115"/>
      <c r="E180" s="115"/>
      <c r="F180" s="115"/>
      <c r="G180" s="115"/>
      <c r="H180" s="115"/>
    </row>
    <row r="181" spans="2:8" ht="14.25">
      <c r="B181" s="115"/>
      <c r="C181" s="115"/>
      <c r="D181" s="115"/>
      <c r="E181" s="115"/>
      <c r="F181" s="115"/>
      <c r="G181" s="115"/>
      <c r="H181" s="115"/>
    </row>
    <row r="182" spans="2:8" ht="14.25">
      <c r="B182" s="115"/>
      <c r="C182" s="115"/>
      <c r="D182" s="115"/>
      <c r="E182" s="115"/>
      <c r="F182" s="115"/>
      <c r="G182" s="115"/>
      <c r="H182" s="115"/>
    </row>
    <row r="183" spans="2:8" ht="14.25">
      <c r="B183" s="115"/>
      <c r="C183" s="115"/>
      <c r="D183" s="115"/>
      <c r="E183" s="115"/>
      <c r="F183" s="115"/>
      <c r="G183" s="115"/>
      <c r="H183" s="115"/>
    </row>
    <row r="184" spans="2:8" ht="14.25">
      <c r="B184" s="115"/>
      <c r="C184" s="115"/>
      <c r="D184" s="115"/>
      <c r="E184" s="115"/>
      <c r="F184" s="115"/>
      <c r="G184" s="115"/>
      <c r="H184" s="115"/>
    </row>
    <row r="185" spans="2:8" ht="14.25">
      <c r="B185" s="115"/>
      <c r="C185" s="115"/>
      <c r="D185" s="115"/>
      <c r="E185" s="115"/>
      <c r="F185" s="115"/>
      <c r="G185" s="115"/>
      <c r="H185" s="115"/>
    </row>
    <row r="186" spans="2:8" ht="14.25">
      <c r="B186" s="115"/>
      <c r="C186" s="115"/>
      <c r="D186" s="115"/>
      <c r="E186" s="115"/>
      <c r="F186" s="115"/>
      <c r="G186" s="115"/>
      <c r="H186" s="115"/>
    </row>
    <row r="187" spans="2:8" ht="14.25">
      <c r="B187" s="115"/>
      <c r="C187" s="115"/>
      <c r="D187" s="115"/>
      <c r="E187" s="115"/>
      <c r="F187" s="115"/>
      <c r="G187" s="115"/>
      <c r="H187" s="115"/>
    </row>
    <row r="188" spans="2:8" ht="14.25">
      <c r="B188" s="115"/>
      <c r="C188" s="115"/>
      <c r="D188" s="115"/>
      <c r="E188" s="115"/>
      <c r="F188" s="115"/>
      <c r="G188" s="115"/>
      <c r="H188" s="115"/>
    </row>
    <row r="189" spans="2:8" ht="14.25">
      <c r="B189" s="115"/>
      <c r="C189" s="115"/>
      <c r="D189" s="115"/>
      <c r="E189" s="115"/>
      <c r="F189" s="115"/>
      <c r="G189" s="115"/>
      <c r="H189" s="115"/>
    </row>
    <row r="190" spans="2:8" ht="14.25">
      <c r="B190" s="115"/>
      <c r="C190" s="115"/>
      <c r="D190" s="115"/>
      <c r="E190" s="115"/>
      <c r="F190" s="115"/>
      <c r="G190" s="115"/>
      <c r="H190" s="115"/>
    </row>
    <row r="191" spans="2:8" ht="14.25">
      <c r="B191" s="115"/>
      <c r="C191" s="115"/>
      <c r="D191" s="115"/>
      <c r="E191" s="115"/>
      <c r="F191" s="115"/>
      <c r="G191" s="115"/>
      <c r="H191" s="115"/>
    </row>
    <row r="192" spans="2:8" ht="14.25">
      <c r="B192" s="115"/>
      <c r="C192" s="115"/>
      <c r="D192" s="115"/>
      <c r="E192" s="115"/>
      <c r="F192" s="115"/>
      <c r="G192" s="115"/>
      <c r="H192" s="115"/>
    </row>
    <row r="193" spans="2:8" ht="14.25">
      <c r="B193" s="115"/>
      <c r="C193" s="115"/>
      <c r="D193" s="115"/>
      <c r="E193" s="115"/>
      <c r="F193" s="115"/>
      <c r="G193" s="115"/>
      <c r="H193" s="115"/>
    </row>
    <row r="194" spans="2:8" ht="14.25">
      <c r="B194" s="115"/>
      <c r="C194" s="115"/>
      <c r="D194" s="115"/>
      <c r="E194" s="115"/>
      <c r="F194" s="115"/>
      <c r="G194" s="115"/>
      <c r="H194" s="115"/>
    </row>
    <row r="195" spans="2:8" ht="14.25">
      <c r="B195" s="115"/>
      <c r="C195" s="115"/>
      <c r="D195" s="115"/>
      <c r="E195" s="115"/>
      <c r="F195" s="115"/>
      <c r="G195" s="115"/>
      <c r="H195" s="115"/>
    </row>
    <row r="196" spans="2:8" ht="14.25">
      <c r="B196" s="115"/>
      <c r="C196" s="115"/>
      <c r="D196" s="115"/>
      <c r="E196" s="115"/>
      <c r="F196" s="115"/>
      <c r="G196" s="115"/>
      <c r="H196" s="115"/>
    </row>
    <row r="197" spans="2:8" ht="14.25">
      <c r="B197" s="115"/>
      <c r="C197" s="115"/>
      <c r="D197" s="115"/>
      <c r="E197" s="115"/>
      <c r="F197" s="115"/>
      <c r="G197" s="115"/>
      <c r="H197" s="115"/>
    </row>
    <row r="198" spans="2:8" ht="14.25">
      <c r="B198" s="115"/>
      <c r="C198" s="115"/>
      <c r="D198" s="115"/>
      <c r="E198" s="115"/>
      <c r="F198" s="115"/>
      <c r="G198" s="115"/>
      <c r="H198" s="115"/>
    </row>
    <row r="199" spans="2:8" ht="14.25">
      <c r="B199" s="115"/>
      <c r="C199" s="115"/>
      <c r="D199" s="115"/>
      <c r="E199" s="115"/>
      <c r="F199" s="115"/>
      <c r="G199" s="115"/>
      <c r="H199" s="115"/>
    </row>
    <row r="200" spans="2:8" ht="14.25">
      <c r="B200" s="115"/>
      <c r="C200" s="115"/>
      <c r="D200" s="115"/>
      <c r="E200" s="115"/>
      <c r="F200" s="115"/>
      <c r="G200" s="115"/>
      <c r="H200" s="115"/>
    </row>
    <row r="201" spans="2:8" ht="14.25">
      <c r="B201" s="115"/>
      <c r="C201" s="115"/>
      <c r="D201" s="115"/>
      <c r="E201" s="115"/>
      <c r="F201" s="115"/>
      <c r="G201" s="115"/>
      <c r="H201" s="115"/>
    </row>
    <row r="202" spans="2:8" ht="14.25">
      <c r="B202" s="115"/>
      <c r="C202" s="115"/>
      <c r="D202" s="115"/>
      <c r="E202" s="115"/>
      <c r="F202" s="115"/>
      <c r="G202" s="115"/>
      <c r="H202" s="115"/>
    </row>
    <row r="203" spans="2:8" ht="14.25">
      <c r="B203" s="115"/>
      <c r="C203" s="115"/>
      <c r="D203" s="115"/>
      <c r="E203" s="115"/>
      <c r="F203" s="115"/>
      <c r="G203" s="115"/>
      <c r="H203" s="115"/>
    </row>
    <row r="204" spans="2:8" ht="14.25">
      <c r="B204" s="115"/>
      <c r="C204" s="115"/>
      <c r="D204" s="115"/>
      <c r="E204" s="115"/>
      <c r="F204" s="115"/>
      <c r="G204" s="115"/>
      <c r="H204" s="115"/>
    </row>
    <row r="205" spans="2:8" ht="14.25">
      <c r="B205" s="115"/>
      <c r="C205" s="115"/>
      <c r="D205" s="115"/>
      <c r="E205" s="115"/>
      <c r="F205" s="115"/>
      <c r="G205" s="115"/>
      <c r="H205" s="115"/>
    </row>
    <row r="206" spans="2:8" ht="14.25">
      <c r="B206" s="115"/>
      <c r="C206" s="115"/>
      <c r="D206" s="115"/>
      <c r="E206" s="115"/>
      <c r="F206" s="115"/>
      <c r="G206" s="115"/>
      <c r="H206" s="115"/>
    </row>
    <row r="207" spans="2:8" ht="14.25">
      <c r="B207" s="115"/>
      <c r="C207" s="115"/>
      <c r="D207" s="115"/>
      <c r="E207" s="115"/>
      <c r="F207" s="115"/>
      <c r="G207" s="115"/>
      <c r="H207" s="115"/>
    </row>
    <row r="208" spans="2:8" ht="14.25">
      <c r="B208" s="115"/>
      <c r="C208" s="115"/>
      <c r="D208" s="115"/>
      <c r="E208" s="115"/>
      <c r="F208" s="115"/>
      <c r="G208" s="115"/>
      <c r="H208" s="115"/>
    </row>
    <row r="209" spans="2:8" ht="14.25">
      <c r="B209" s="115"/>
      <c r="C209" s="115"/>
      <c r="D209" s="115"/>
      <c r="E209" s="115"/>
      <c r="F209" s="115"/>
      <c r="G209" s="115"/>
      <c r="H209" s="115"/>
    </row>
    <row r="210" spans="2:8" ht="14.25">
      <c r="B210" s="115"/>
      <c r="C210" s="115"/>
      <c r="D210" s="115"/>
      <c r="E210" s="115"/>
      <c r="F210" s="115"/>
      <c r="G210" s="115"/>
      <c r="H210" s="115"/>
    </row>
    <row r="211" spans="2:8" ht="14.25">
      <c r="B211" s="115"/>
      <c r="C211" s="115"/>
      <c r="D211" s="115"/>
      <c r="E211" s="115"/>
      <c r="F211" s="115"/>
      <c r="G211" s="115"/>
      <c r="H211" s="115"/>
    </row>
    <row r="212" spans="2:8" ht="14.25">
      <c r="B212" s="115"/>
      <c r="C212" s="115"/>
      <c r="D212" s="115"/>
      <c r="E212" s="115"/>
      <c r="F212" s="115"/>
      <c r="G212" s="115"/>
      <c r="H212" s="115"/>
    </row>
    <row r="213" spans="2:8" ht="14.25">
      <c r="B213" s="115"/>
      <c r="C213" s="115"/>
      <c r="D213" s="115"/>
      <c r="E213" s="115"/>
      <c r="F213" s="115"/>
      <c r="G213" s="115"/>
      <c r="H213" s="115"/>
    </row>
    <row r="214" spans="2:8" ht="14.25">
      <c r="B214" s="115"/>
      <c r="C214" s="115"/>
      <c r="D214" s="115"/>
      <c r="E214" s="115"/>
      <c r="F214" s="115"/>
      <c r="G214" s="115"/>
      <c r="H214" s="115"/>
    </row>
    <row r="215" spans="2:8" ht="14.25">
      <c r="B215" s="115"/>
      <c r="C215" s="115"/>
      <c r="D215" s="115"/>
      <c r="E215" s="115"/>
      <c r="F215" s="115"/>
      <c r="G215" s="115"/>
      <c r="H215" s="115"/>
    </row>
    <row r="216" spans="2:8" ht="14.25">
      <c r="B216" s="115"/>
      <c r="C216" s="115"/>
      <c r="D216" s="115"/>
      <c r="E216" s="115"/>
      <c r="F216" s="115"/>
      <c r="G216" s="115"/>
      <c r="H216" s="115"/>
    </row>
    <row r="217" spans="2:8" ht="14.25">
      <c r="B217" s="115"/>
      <c r="C217" s="115"/>
      <c r="D217" s="115"/>
      <c r="E217" s="115"/>
      <c r="F217" s="115"/>
      <c r="G217" s="115"/>
      <c r="H217" s="115"/>
    </row>
    <row r="218" spans="2:8" ht="14.25">
      <c r="B218" s="115"/>
      <c r="C218" s="115"/>
      <c r="D218" s="115"/>
      <c r="E218" s="115"/>
      <c r="F218" s="115"/>
      <c r="G218" s="115"/>
      <c r="H218" s="115"/>
    </row>
    <row r="219" spans="2:8" ht="14.25">
      <c r="B219" s="115"/>
      <c r="C219" s="115"/>
      <c r="D219" s="115"/>
      <c r="E219" s="115"/>
      <c r="F219" s="115"/>
      <c r="G219" s="115"/>
      <c r="H219" s="115"/>
    </row>
    <row r="220" spans="2:8" ht="14.25">
      <c r="B220" s="115"/>
      <c r="C220" s="115"/>
      <c r="D220" s="115"/>
      <c r="E220" s="115"/>
      <c r="F220" s="115"/>
      <c r="G220" s="115"/>
      <c r="H220" s="115"/>
    </row>
    <row r="221" spans="2:8" ht="14.25">
      <c r="B221" s="115"/>
      <c r="C221" s="115"/>
      <c r="D221" s="115"/>
      <c r="E221" s="115"/>
      <c r="F221" s="115"/>
      <c r="G221" s="115"/>
      <c r="H221" s="115"/>
    </row>
    <row r="222" spans="2:8" ht="14.25">
      <c r="B222" s="115"/>
      <c r="C222" s="115"/>
      <c r="D222" s="115"/>
      <c r="E222" s="115"/>
      <c r="F222" s="115"/>
      <c r="G222" s="115"/>
      <c r="H222" s="115"/>
    </row>
    <row r="223" spans="2:8" ht="14.25">
      <c r="B223" s="115"/>
      <c r="C223" s="115"/>
      <c r="D223" s="115"/>
      <c r="E223" s="115"/>
      <c r="F223" s="115"/>
      <c r="G223" s="115"/>
      <c r="H223" s="115"/>
    </row>
    <row r="224" spans="2:8" ht="14.25">
      <c r="B224" s="115"/>
      <c r="C224" s="115"/>
      <c r="D224" s="115"/>
      <c r="E224" s="115"/>
      <c r="F224" s="115"/>
      <c r="G224" s="115"/>
      <c r="H224" s="115"/>
    </row>
    <row r="225" spans="2:8" ht="14.25">
      <c r="B225" s="115"/>
      <c r="C225" s="115"/>
      <c r="D225" s="115"/>
      <c r="E225" s="115"/>
      <c r="F225" s="115"/>
      <c r="G225" s="115"/>
      <c r="H225" s="115"/>
    </row>
    <row r="226" spans="2:8" ht="14.25">
      <c r="B226" s="115"/>
      <c r="C226" s="115"/>
      <c r="D226" s="115"/>
      <c r="E226" s="115"/>
      <c r="F226" s="115"/>
      <c r="G226" s="115"/>
      <c r="H226" s="115"/>
    </row>
    <row r="227" spans="2:8" ht="14.25">
      <c r="B227" s="115"/>
      <c r="C227" s="115"/>
      <c r="D227" s="115"/>
      <c r="E227" s="115"/>
      <c r="F227" s="115"/>
      <c r="G227" s="115"/>
      <c r="H227" s="115"/>
    </row>
    <row r="228" spans="2:8" ht="14.25">
      <c r="B228" s="115"/>
      <c r="C228" s="115"/>
      <c r="D228" s="115"/>
      <c r="E228" s="115"/>
      <c r="F228" s="115"/>
      <c r="G228" s="115"/>
      <c r="H228" s="115"/>
    </row>
    <row r="229" spans="2:8" ht="14.25">
      <c r="B229" s="115"/>
      <c r="C229" s="115"/>
      <c r="D229" s="115"/>
      <c r="E229" s="115"/>
      <c r="F229" s="115"/>
      <c r="G229" s="115"/>
      <c r="H229" s="115"/>
    </row>
    <row r="230" spans="2:8" ht="14.25">
      <c r="B230" s="115"/>
      <c r="C230" s="115"/>
      <c r="D230" s="115"/>
      <c r="E230" s="115"/>
      <c r="F230" s="115"/>
      <c r="G230" s="115"/>
      <c r="H230" s="115"/>
    </row>
    <row r="231" spans="2:8" ht="14.25">
      <c r="B231" s="115"/>
      <c r="C231" s="115"/>
      <c r="D231" s="115"/>
      <c r="E231" s="115"/>
      <c r="F231" s="115"/>
      <c r="G231" s="115"/>
      <c r="H231" s="115"/>
    </row>
    <row r="232" spans="2:8" ht="14.25">
      <c r="B232" s="115"/>
      <c r="C232" s="115"/>
      <c r="D232" s="115"/>
      <c r="E232" s="115"/>
      <c r="F232" s="115"/>
      <c r="G232" s="115"/>
      <c r="H232" s="115"/>
    </row>
    <row r="233" spans="2:8" ht="14.25">
      <c r="B233" s="115"/>
      <c r="C233" s="115"/>
      <c r="D233" s="115"/>
      <c r="E233" s="115"/>
      <c r="F233" s="115"/>
      <c r="G233" s="115"/>
      <c r="H233" s="115"/>
    </row>
    <row r="234" spans="2:8" ht="14.25">
      <c r="B234" s="115"/>
      <c r="C234" s="115"/>
      <c r="D234" s="115"/>
      <c r="E234" s="115"/>
      <c r="F234" s="115"/>
      <c r="G234" s="115"/>
      <c r="H234" s="115"/>
    </row>
    <row r="235" spans="2:8" ht="14.25">
      <c r="B235" s="115"/>
      <c r="C235" s="115"/>
      <c r="D235" s="115"/>
      <c r="E235" s="115"/>
      <c r="F235" s="115"/>
      <c r="G235" s="115"/>
      <c r="H235" s="115"/>
    </row>
    <row r="236" spans="2:8" ht="14.25">
      <c r="B236" s="115"/>
      <c r="C236" s="115"/>
      <c r="D236" s="115"/>
      <c r="E236" s="115"/>
      <c r="F236" s="115"/>
      <c r="G236" s="115"/>
      <c r="H236" s="115"/>
    </row>
    <row r="237" spans="2:8" ht="14.25">
      <c r="B237" s="115"/>
      <c r="C237" s="115"/>
      <c r="D237" s="115"/>
      <c r="E237" s="115"/>
      <c r="F237" s="115"/>
      <c r="G237" s="115"/>
      <c r="H237" s="115"/>
    </row>
    <row r="238" spans="2:8" ht="14.25">
      <c r="B238" s="115"/>
      <c r="C238" s="115"/>
      <c r="D238" s="115"/>
      <c r="E238" s="115"/>
      <c r="F238" s="115"/>
      <c r="G238" s="115"/>
      <c r="H238" s="115"/>
    </row>
    <row r="239" spans="2:8" ht="14.25">
      <c r="B239" s="115"/>
      <c r="C239" s="115"/>
      <c r="D239" s="115"/>
      <c r="E239" s="115"/>
      <c r="F239" s="115"/>
      <c r="G239" s="115"/>
      <c r="H239" s="115"/>
    </row>
    <row r="240" spans="2:8" ht="14.25">
      <c r="B240" s="115"/>
      <c r="C240" s="115"/>
      <c r="D240" s="115"/>
      <c r="E240" s="115"/>
      <c r="F240" s="115"/>
      <c r="G240" s="115"/>
      <c r="H240" s="115"/>
    </row>
    <row r="241" spans="2:8" ht="14.25">
      <c r="B241" s="115"/>
      <c r="C241" s="115"/>
      <c r="D241" s="115"/>
      <c r="E241" s="115"/>
      <c r="F241" s="115"/>
      <c r="G241" s="115"/>
      <c r="H241" s="115"/>
    </row>
    <row r="242" spans="2:8" ht="14.25">
      <c r="B242" s="115"/>
      <c r="C242" s="115"/>
      <c r="D242" s="115"/>
      <c r="E242" s="115"/>
      <c r="F242" s="115"/>
      <c r="G242" s="115"/>
      <c r="H242" s="115"/>
    </row>
    <row r="243" spans="2:8" ht="14.25">
      <c r="B243" s="115"/>
      <c r="C243" s="115"/>
      <c r="D243" s="115"/>
      <c r="E243" s="115"/>
      <c r="F243" s="115"/>
      <c r="G243" s="115"/>
      <c r="H243" s="115"/>
    </row>
    <row r="244" spans="2:8" ht="14.25">
      <c r="B244" s="115"/>
      <c r="C244" s="115"/>
      <c r="D244" s="115"/>
      <c r="E244" s="115"/>
      <c r="F244" s="115"/>
      <c r="G244" s="115"/>
      <c r="H244" s="115"/>
    </row>
    <row r="245" spans="2:8" ht="14.25">
      <c r="B245" s="115"/>
      <c r="C245" s="115"/>
      <c r="D245" s="115"/>
      <c r="E245" s="115"/>
      <c r="F245" s="115"/>
      <c r="G245" s="115"/>
      <c r="H245" s="115"/>
    </row>
    <row r="246" spans="2:8" ht="14.25">
      <c r="B246" s="115"/>
      <c r="C246" s="115"/>
      <c r="D246" s="115"/>
      <c r="E246" s="115"/>
      <c r="F246" s="115"/>
      <c r="G246" s="115"/>
      <c r="H246" s="115"/>
    </row>
    <row r="247" spans="2:8" ht="14.25">
      <c r="B247" s="115"/>
      <c r="C247" s="115"/>
      <c r="D247" s="115"/>
      <c r="E247" s="115"/>
      <c r="F247" s="115"/>
      <c r="G247" s="115"/>
      <c r="H247" s="115"/>
    </row>
    <row r="248" spans="2:8" ht="14.25">
      <c r="B248" s="115"/>
      <c r="C248" s="115"/>
      <c r="D248" s="115"/>
      <c r="E248" s="115"/>
      <c r="F248" s="115"/>
      <c r="G248" s="115"/>
      <c r="H248" s="115"/>
    </row>
    <row r="249" spans="2:8" ht="14.25">
      <c r="B249" s="115"/>
      <c r="C249" s="115"/>
      <c r="D249" s="115"/>
      <c r="E249" s="115"/>
      <c r="F249" s="115"/>
      <c r="G249" s="115"/>
      <c r="H249" s="115"/>
    </row>
    <row r="250" spans="2:8" ht="14.25">
      <c r="B250" s="115"/>
      <c r="C250" s="115"/>
      <c r="D250" s="115"/>
      <c r="E250" s="115"/>
      <c r="F250" s="115"/>
      <c r="G250" s="115"/>
      <c r="H250" s="115"/>
    </row>
    <row r="251" spans="2:8" ht="14.25">
      <c r="B251" s="115"/>
      <c r="C251" s="115"/>
      <c r="D251" s="115"/>
      <c r="E251" s="115"/>
      <c r="F251" s="115"/>
      <c r="G251" s="115"/>
      <c r="H251" s="115"/>
    </row>
    <row r="252" spans="2:8" ht="14.25">
      <c r="B252" s="115"/>
      <c r="C252" s="115"/>
      <c r="D252" s="115"/>
      <c r="E252" s="115"/>
      <c r="F252" s="115"/>
      <c r="G252" s="115"/>
      <c r="H252" s="115"/>
    </row>
    <row r="253" spans="2:8" ht="14.25">
      <c r="B253" s="115"/>
      <c r="C253" s="115"/>
      <c r="D253" s="115"/>
      <c r="E253" s="115"/>
      <c r="F253" s="115"/>
      <c r="G253" s="115"/>
      <c r="H253" s="115"/>
    </row>
    <row r="254" spans="2:8" ht="14.25">
      <c r="B254" s="115"/>
      <c r="C254" s="115"/>
      <c r="D254" s="115"/>
      <c r="E254" s="115"/>
      <c r="F254" s="115"/>
      <c r="G254" s="115"/>
      <c r="H254" s="115"/>
    </row>
    <row r="255" spans="2:8" ht="14.25">
      <c r="B255" s="115"/>
      <c r="C255" s="115"/>
      <c r="D255" s="115"/>
      <c r="E255" s="115"/>
      <c r="F255" s="115"/>
      <c r="G255" s="115"/>
      <c r="H255" s="115"/>
    </row>
    <row r="256" spans="2:8" ht="14.25">
      <c r="B256" s="115"/>
      <c r="C256" s="115"/>
      <c r="D256" s="115"/>
      <c r="E256" s="115"/>
      <c r="F256" s="115"/>
      <c r="G256" s="115"/>
      <c r="H256" s="115"/>
    </row>
    <row r="257" spans="2:8" ht="14.25">
      <c r="B257" s="115"/>
      <c r="C257" s="115"/>
      <c r="D257" s="115"/>
      <c r="E257" s="115"/>
      <c r="F257" s="115"/>
      <c r="G257" s="115"/>
      <c r="H257" s="115"/>
    </row>
    <row r="258" spans="2:8" ht="14.25">
      <c r="B258" s="115"/>
      <c r="C258" s="115"/>
      <c r="D258" s="115"/>
      <c r="E258" s="115"/>
      <c r="F258" s="115"/>
      <c r="G258" s="115"/>
      <c r="H258" s="115"/>
    </row>
    <row r="259" spans="2:8" ht="14.25">
      <c r="B259" s="115"/>
      <c r="C259" s="115"/>
      <c r="D259" s="115"/>
      <c r="E259" s="115"/>
      <c r="F259" s="115"/>
      <c r="G259" s="115"/>
      <c r="H259" s="115"/>
    </row>
    <row r="260" spans="2:8" ht="14.25">
      <c r="B260" s="115"/>
      <c r="C260" s="115"/>
      <c r="D260" s="115"/>
      <c r="E260" s="115"/>
      <c r="F260" s="115"/>
      <c r="G260" s="115"/>
      <c r="H260" s="115"/>
    </row>
    <row r="261" spans="2:8" ht="14.25">
      <c r="B261" s="115"/>
      <c r="C261" s="115"/>
      <c r="D261" s="115"/>
      <c r="E261" s="115"/>
      <c r="F261" s="115"/>
      <c r="G261" s="115"/>
      <c r="H261" s="115"/>
    </row>
    <row r="262" spans="2:8" ht="14.25">
      <c r="B262" s="115"/>
      <c r="C262" s="115"/>
      <c r="D262" s="115"/>
      <c r="E262" s="115"/>
      <c r="F262" s="115"/>
      <c r="G262" s="115"/>
      <c r="H262" s="115"/>
    </row>
    <row r="263" spans="2:8" ht="14.25">
      <c r="B263" s="115"/>
      <c r="C263" s="115"/>
      <c r="D263" s="115"/>
      <c r="E263" s="115"/>
      <c r="F263" s="115"/>
      <c r="G263" s="115"/>
      <c r="H263" s="115"/>
    </row>
    <row r="264" spans="2:8" ht="14.25">
      <c r="B264" s="115"/>
      <c r="C264" s="115"/>
      <c r="D264" s="115"/>
      <c r="E264" s="115"/>
      <c r="F264" s="115"/>
      <c r="G264" s="115"/>
      <c r="H264" s="115"/>
    </row>
    <row r="265" spans="2:8" ht="14.25">
      <c r="B265" s="115"/>
      <c r="C265" s="115"/>
      <c r="D265" s="115"/>
      <c r="E265" s="115"/>
      <c r="F265" s="115"/>
      <c r="G265" s="115"/>
      <c r="H265" s="115"/>
    </row>
    <row r="266" spans="2:8" ht="14.25">
      <c r="B266" s="115"/>
      <c r="C266" s="115"/>
      <c r="D266" s="115"/>
      <c r="E266" s="115"/>
      <c r="F266" s="115"/>
      <c r="G266" s="115"/>
      <c r="H266" s="115"/>
    </row>
    <row r="267" spans="2:8" ht="14.25">
      <c r="B267" s="115"/>
      <c r="C267" s="115"/>
      <c r="D267" s="115"/>
      <c r="E267" s="115"/>
      <c r="F267" s="115"/>
      <c r="G267" s="115"/>
      <c r="H267" s="115"/>
    </row>
    <row r="268" spans="2:8" ht="14.25">
      <c r="B268" s="115"/>
      <c r="C268" s="115"/>
      <c r="D268" s="115"/>
      <c r="E268" s="115"/>
      <c r="F268" s="115"/>
      <c r="G268" s="115"/>
      <c r="H268" s="115"/>
    </row>
    <row r="269" spans="2:8" ht="14.25">
      <c r="B269" s="115"/>
      <c r="C269" s="115"/>
      <c r="D269" s="115"/>
      <c r="E269" s="115"/>
      <c r="F269" s="115"/>
      <c r="G269" s="115"/>
      <c r="H269" s="115"/>
    </row>
    <row r="270" spans="2:8" ht="14.25">
      <c r="B270" s="115"/>
      <c r="C270" s="115"/>
      <c r="D270" s="115"/>
      <c r="E270" s="115"/>
      <c r="F270" s="115"/>
      <c r="G270" s="115"/>
      <c r="H270" s="115"/>
    </row>
    <row r="271" spans="2:8" ht="14.25">
      <c r="B271" s="115"/>
      <c r="C271" s="115"/>
      <c r="D271" s="115"/>
      <c r="E271" s="115"/>
      <c r="F271" s="115"/>
      <c r="G271" s="115"/>
      <c r="H271" s="115"/>
    </row>
    <row r="272" spans="2:8" ht="14.25">
      <c r="B272" s="115"/>
      <c r="C272" s="115"/>
      <c r="D272" s="115"/>
      <c r="E272" s="115"/>
      <c r="F272" s="115"/>
      <c r="G272" s="115"/>
      <c r="H272" s="115"/>
    </row>
    <row r="273" spans="2:8" ht="14.25">
      <c r="B273" s="115"/>
      <c r="C273" s="115"/>
      <c r="D273" s="115"/>
      <c r="E273" s="115"/>
      <c r="F273" s="115"/>
      <c r="G273" s="115"/>
      <c r="H273" s="115"/>
    </row>
    <row r="274" spans="2:8" ht="14.25">
      <c r="B274" s="115"/>
      <c r="C274" s="115"/>
      <c r="D274" s="115"/>
      <c r="E274" s="115"/>
      <c r="F274" s="115"/>
      <c r="G274" s="115"/>
      <c r="H274" s="115"/>
    </row>
    <row r="275" spans="2:8" ht="14.25">
      <c r="B275" s="115"/>
      <c r="C275" s="115"/>
      <c r="D275" s="115"/>
      <c r="E275" s="115"/>
      <c r="F275" s="115"/>
      <c r="G275" s="115"/>
      <c r="H275" s="115"/>
    </row>
    <row r="276" spans="2:8" ht="14.25">
      <c r="B276" s="115"/>
      <c r="C276" s="115"/>
      <c r="D276" s="115"/>
      <c r="E276" s="115"/>
      <c r="F276" s="115"/>
      <c r="G276" s="115"/>
      <c r="H276" s="115"/>
    </row>
    <row r="277" spans="2:8" ht="14.25">
      <c r="B277" s="115"/>
      <c r="C277" s="115"/>
      <c r="D277" s="115"/>
      <c r="E277" s="115"/>
      <c r="F277" s="115"/>
      <c r="G277" s="115"/>
      <c r="H277" s="115"/>
    </row>
    <row r="278" spans="2:8" ht="14.25">
      <c r="B278" s="115"/>
      <c r="C278" s="115"/>
      <c r="D278" s="115"/>
      <c r="E278" s="115"/>
      <c r="F278" s="115"/>
      <c r="G278" s="115"/>
      <c r="H278" s="115"/>
    </row>
    <row r="279" spans="2:8" ht="14.25">
      <c r="B279" s="115"/>
      <c r="C279" s="115"/>
      <c r="D279" s="115"/>
      <c r="E279" s="115"/>
      <c r="F279" s="115"/>
      <c r="G279" s="115"/>
      <c r="H279" s="115"/>
    </row>
    <row r="280" spans="2:8" ht="14.25">
      <c r="B280" s="115"/>
      <c r="C280" s="115"/>
      <c r="D280" s="115"/>
      <c r="E280" s="115"/>
      <c r="F280" s="115"/>
      <c r="G280" s="115"/>
      <c r="H280" s="115"/>
    </row>
    <row r="281" spans="2:8" ht="14.25">
      <c r="B281" s="115"/>
      <c r="C281" s="115"/>
      <c r="D281" s="115"/>
      <c r="E281" s="115"/>
      <c r="F281" s="115"/>
      <c r="G281" s="115"/>
      <c r="H281" s="115"/>
    </row>
    <row r="282" spans="2:8" ht="14.25">
      <c r="B282" s="115"/>
      <c r="C282" s="115"/>
      <c r="D282" s="115"/>
      <c r="E282" s="115"/>
      <c r="F282" s="115"/>
      <c r="G282" s="115"/>
      <c r="H282" s="115"/>
    </row>
    <row r="283" spans="2:8" ht="14.25">
      <c r="B283" s="115"/>
      <c r="C283" s="115"/>
      <c r="D283" s="115"/>
      <c r="E283" s="115"/>
      <c r="F283" s="115"/>
      <c r="G283" s="115"/>
      <c r="H283" s="115"/>
    </row>
    <row r="284" spans="2:8" ht="14.25">
      <c r="B284" s="115"/>
      <c r="C284" s="115"/>
      <c r="D284" s="115"/>
      <c r="E284" s="115"/>
      <c r="F284" s="115"/>
      <c r="G284" s="115"/>
      <c r="H284" s="115"/>
    </row>
    <row r="285" spans="2:8" ht="14.25">
      <c r="B285" s="115"/>
      <c r="C285" s="115"/>
      <c r="D285" s="115"/>
      <c r="E285" s="115"/>
      <c r="F285" s="115"/>
      <c r="G285" s="115"/>
      <c r="H285" s="115"/>
    </row>
    <row r="286" spans="2:8" ht="14.25">
      <c r="B286" s="115"/>
      <c r="C286" s="115"/>
      <c r="D286" s="115"/>
      <c r="E286" s="115"/>
      <c r="F286" s="115"/>
      <c r="G286" s="115"/>
      <c r="H286" s="115"/>
    </row>
    <row r="287" spans="2:8" ht="14.25">
      <c r="B287" s="115"/>
      <c r="C287" s="115"/>
      <c r="D287" s="115"/>
      <c r="E287" s="115"/>
      <c r="F287" s="115"/>
      <c r="G287" s="115"/>
      <c r="H287" s="115"/>
    </row>
    <row r="288" spans="2:8" ht="14.25">
      <c r="B288" s="115"/>
      <c r="C288" s="115"/>
      <c r="D288" s="115"/>
      <c r="E288" s="115"/>
      <c r="F288" s="115"/>
      <c r="G288" s="115"/>
      <c r="H288" s="115"/>
    </row>
    <row r="289" spans="2:8" ht="14.25">
      <c r="B289" s="115"/>
      <c r="C289" s="115"/>
      <c r="D289" s="115"/>
      <c r="E289" s="115"/>
      <c r="F289" s="115"/>
      <c r="G289" s="115"/>
      <c r="H289" s="115"/>
    </row>
    <row r="290" spans="2:8" ht="14.25">
      <c r="B290" s="115"/>
      <c r="C290" s="115"/>
      <c r="D290" s="115"/>
      <c r="E290" s="115"/>
      <c r="F290" s="115"/>
      <c r="G290" s="115"/>
      <c r="H290" s="115"/>
    </row>
    <row r="291" spans="2:8" ht="14.25">
      <c r="B291" s="115"/>
      <c r="C291" s="115"/>
      <c r="D291" s="115"/>
      <c r="E291" s="115"/>
      <c r="F291" s="115"/>
      <c r="G291" s="115"/>
      <c r="H291" s="115"/>
    </row>
    <row r="292" spans="2:8" ht="14.25">
      <c r="B292" s="115"/>
      <c r="C292" s="115"/>
      <c r="D292" s="115"/>
      <c r="E292" s="115"/>
      <c r="F292" s="115"/>
      <c r="G292" s="115"/>
      <c r="H292" s="115"/>
    </row>
    <row r="293" spans="2:8" ht="14.25">
      <c r="B293" s="115"/>
      <c r="C293" s="115"/>
      <c r="D293" s="115"/>
      <c r="E293" s="115"/>
      <c r="F293" s="115"/>
      <c r="G293" s="115"/>
      <c r="H293" s="115"/>
    </row>
    <row r="294" spans="2:8" ht="14.25">
      <c r="B294" s="115"/>
      <c r="C294" s="115"/>
      <c r="D294" s="115"/>
      <c r="E294" s="115"/>
      <c r="F294" s="115"/>
      <c r="G294" s="115"/>
      <c r="H294" s="115"/>
    </row>
    <row r="295" spans="2:8" ht="14.25">
      <c r="B295" s="115"/>
      <c r="C295" s="115"/>
      <c r="D295" s="115"/>
      <c r="E295" s="115"/>
      <c r="F295" s="115"/>
      <c r="G295" s="115"/>
      <c r="H295" s="115"/>
    </row>
    <row r="296" spans="2:8" ht="14.25">
      <c r="B296" s="115"/>
      <c r="C296" s="115"/>
      <c r="D296" s="115"/>
      <c r="E296" s="115"/>
      <c r="F296" s="115"/>
      <c r="G296" s="115"/>
      <c r="H296" s="115"/>
    </row>
    <row r="297" spans="2:8" ht="14.25">
      <c r="B297" s="115"/>
      <c r="C297" s="115"/>
      <c r="D297" s="115"/>
      <c r="E297" s="115"/>
      <c r="F297" s="115"/>
      <c r="G297" s="115"/>
      <c r="H297" s="115"/>
    </row>
    <row r="298" spans="2:8" ht="14.25">
      <c r="B298" s="115"/>
      <c r="C298" s="115"/>
      <c r="D298" s="115"/>
      <c r="E298" s="115"/>
      <c r="F298" s="115"/>
      <c r="G298" s="115"/>
      <c r="H298" s="115"/>
    </row>
    <row r="299" spans="2:8" ht="14.25">
      <c r="B299" s="115"/>
      <c r="C299" s="115"/>
      <c r="D299" s="115"/>
      <c r="E299" s="115"/>
      <c r="F299" s="115"/>
      <c r="G299" s="115"/>
      <c r="H299" s="115"/>
    </row>
    <row r="300" spans="2:8" ht="14.25">
      <c r="B300" s="115"/>
      <c r="C300" s="115"/>
      <c r="D300" s="115"/>
      <c r="E300" s="115"/>
      <c r="F300" s="115"/>
      <c r="G300" s="115"/>
      <c r="H300" s="115"/>
    </row>
    <row r="301" spans="2:8" ht="14.25">
      <c r="B301" s="115"/>
      <c r="C301" s="115"/>
      <c r="D301" s="115"/>
      <c r="E301" s="115"/>
      <c r="F301" s="115"/>
      <c r="G301" s="115"/>
      <c r="H301" s="115"/>
    </row>
    <row r="302" spans="2:8" ht="14.25">
      <c r="B302" s="115"/>
      <c r="C302" s="115"/>
      <c r="D302" s="115"/>
      <c r="E302" s="115"/>
      <c r="F302" s="115"/>
      <c r="G302" s="115"/>
      <c r="H302" s="115"/>
    </row>
    <row r="303" spans="2:8" ht="14.25">
      <c r="B303" s="115"/>
      <c r="C303" s="115"/>
      <c r="D303" s="115"/>
      <c r="E303" s="115"/>
      <c r="F303" s="115"/>
      <c r="G303" s="115"/>
      <c r="H303" s="115"/>
    </row>
    <row r="304" spans="2:8" ht="14.25">
      <c r="B304" s="115"/>
      <c r="C304" s="115"/>
      <c r="D304" s="115"/>
      <c r="E304" s="115"/>
      <c r="F304" s="115"/>
      <c r="G304" s="115"/>
      <c r="H304" s="115"/>
    </row>
    <row r="305" spans="2:8" ht="14.25">
      <c r="B305" s="115"/>
      <c r="C305" s="115"/>
      <c r="D305" s="115"/>
      <c r="E305" s="115"/>
      <c r="F305" s="115"/>
      <c r="G305" s="115"/>
      <c r="H305" s="115"/>
    </row>
    <row r="306" spans="2:8" ht="14.25">
      <c r="B306" s="115"/>
      <c r="C306" s="115"/>
      <c r="D306" s="115"/>
      <c r="E306" s="115"/>
      <c r="F306" s="115"/>
      <c r="G306" s="115"/>
      <c r="H306" s="115"/>
    </row>
    <row r="307" spans="2:8" ht="14.25">
      <c r="B307" s="115"/>
      <c r="C307" s="115"/>
      <c r="D307" s="115"/>
      <c r="E307" s="115"/>
      <c r="F307" s="115"/>
      <c r="G307" s="115"/>
      <c r="H307" s="115"/>
    </row>
    <row r="308" spans="2:8" ht="14.25">
      <c r="B308" s="115"/>
      <c r="C308" s="115"/>
      <c r="D308" s="115"/>
      <c r="E308" s="115"/>
      <c r="F308" s="115"/>
      <c r="G308" s="115"/>
      <c r="H308" s="115"/>
    </row>
    <row r="309" spans="2:8" ht="14.25">
      <c r="B309" s="115"/>
      <c r="C309" s="115"/>
      <c r="D309" s="115"/>
      <c r="E309" s="115"/>
      <c r="F309" s="115"/>
      <c r="G309" s="115"/>
      <c r="H309" s="115"/>
    </row>
    <row r="310" spans="2:8" ht="14.25">
      <c r="B310" s="115"/>
      <c r="C310" s="115"/>
      <c r="D310" s="115"/>
      <c r="E310" s="115"/>
      <c r="F310" s="115"/>
      <c r="G310" s="115"/>
      <c r="H310" s="115"/>
    </row>
  </sheetData>
  <mergeCells count="3">
    <mergeCell ref="A3:I3"/>
    <mergeCell ref="D5:H5"/>
    <mergeCell ref="A1:I1"/>
  </mergeCells>
  <printOptions horizontalCentered="1" verticalCentered="1"/>
  <pageMargins left="0.75" right="0.75" top="1" bottom="1" header="0" footer="0"/>
  <pageSetup fitToHeight="1" fitToWidth="1" horizontalDpi="300" verticalDpi="3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22"/>
  <sheetViews>
    <sheetView workbookViewId="0" topLeftCell="A1">
      <selection activeCell="D8" sqref="D8"/>
    </sheetView>
  </sheetViews>
  <sheetFormatPr defaultColWidth="11.421875" defaultRowHeight="12.75"/>
  <cols>
    <col min="4" max="4" width="13.140625" style="0" customWidth="1"/>
  </cols>
  <sheetData>
    <row r="1" spans="2:4" ht="13.5" thickBot="1">
      <c r="B1" s="422" t="s">
        <v>265</v>
      </c>
      <c r="C1" s="12"/>
      <c r="D1" s="412"/>
    </row>
    <row r="2" spans="2:4" ht="25.5">
      <c r="B2" s="423" t="s">
        <v>208</v>
      </c>
      <c r="C2" s="421" t="s">
        <v>209</v>
      </c>
      <c r="D2" s="424" t="s">
        <v>210</v>
      </c>
    </row>
    <row r="3" spans="2:7" ht="12.75">
      <c r="B3" s="425">
        <v>0</v>
      </c>
      <c r="C3" s="340">
        <f>-Inversion!C8</f>
        <v>-42508.020000000004</v>
      </c>
      <c r="D3" s="426">
        <f>C3</f>
        <v>-42508.020000000004</v>
      </c>
      <c r="E3" s="17"/>
      <c r="G3" s="341"/>
    </row>
    <row r="4" spans="2:4" ht="12.75">
      <c r="B4" s="425">
        <v>1</v>
      </c>
      <c r="C4" s="340">
        <f>'Flujo de Caja'!C37</f>
        <v>16681.084199999998</v>
      </c>
      <c r="D4" s="426">
        <f>D3+C4</f>
        <v>-25826.935800000007</v>
      </c>
    </row>
    <row r="5" spans="2:4" ht="12.75">
      <c r="B5" s="425">
        <v>2</v>
      </c>
      <c r="C5" s="340">
        <f>'Flujo de Caja'!D37</f>
        <v>17713.483792000003</v>
      </c>
      <c r="D5" s="426">
        <f>D4+C5</f>
        <v>-8113.452008000004</v>
      </c>
    </row>
    <row r="6" spans="2:4" ht="12.75">
      <c r="B6" s="425">
        <v>3</v>
      </c>
      <c r="C6" s="340">
        <f>'Flujo de Caja'!E37</f>
        <v>18749.937178880005</v>
      </c>
      <c r="D6" s="426">
        <f>D5+C6</f>
        <v>10636.485170880002</v>
      </c>
    </row>
    <row r="7" spans="2:4" ht="12.75">
      <c r="B7" s="425">
        <v>4</v>
      </c>
      <c r="C7" s="340">
        <f>'Flujo de Caja'!F37</f>
        <v>19843.344402995197</v>
      </c>
      <c r="D7" s="426">
        <f>D6+C7</f>
        <v>30479.8295738752</v>
      </c>
    </row>
    <row r="8" spans="2:4" ht="13.5" thickBot="1">
      <c r="B8" s="427">
        <v>5</v>
      </c>
      <c r="C8" s="428">
        <f>'Flujo de Caja'!G37</f>
        <v>20996.758402923013</v>
      </c>
      <c r="D8" s="429">
        <f>D7+C8</f>
        <v>51476.58797679821</v>
      </c>
    </row>
    <row r="9" spans="2:4" ht="12.75">
      <c r="B9" s="1"/>
      <c r="C9" s="430"/>
      <c r="D9" s="431"/>
    </row>
    <row r="11" spans="2:3" ht="12.75">
      <c r="B11" s="3" t="s">
        <v>211</v>
      </c>
      <c r="C11" t="s">
        <v>212</v>
      </c>
    </row>
    <row r="12" ht="13.5" thickBot="1"/>
    <row r="13" spans="2:5" ht="12.75">
      <c r="B13" s="418" t="s">
        <v>213</v>
      </c>
      <c r="C13" s="408"/>
      <c r="D13" s="408"/>
      <c r="E13" s="409"/>
    </row>
    <row r="14" spans="2:5" ht="12.75">
      <c r="B14" s="410" t="s">
        <v>214</v>
      </c>
      <c r="C14" s="1"/>
      <c r="D14" s="1"/>
      <c r="E14" s="411"/>
    </row>
    <row r="15" spans="2:5" ht="13.5" thickBot="1">
      <c r="B15" s="419" t="s">
        <v>215</v>
      </c>
      <c r="C15" s="2"/>
      <c r="D15" s="2"/>
      <c r="E15" s="420"/>
    </row>
    <row r="19" ht="13.5" thickBot="1"/>
    <row r="20" spans="2:5" ht="12.75">
      <c r="B20" s="418"/>
      <c r="C20" s="470">
        <v>42226</v>
      </c>
      <c r="D20" s="472">
        <v>1</v>
      </c>
      <c r="E20" s="409"/>
    </row>
    <row r="21" spans="2:5" ht="13.5" thickBot="1">
      <c r="B21" s="419"/>
      <c r="C21" s="471">
        <f>D8</f>
        <v>51476.58797679821</v>
      </c>
      <c r="D21" s="473">
        <f>C21*D20/C20</f>
        <v>1.2190732718419508</v>
      </c>
      <c r="E21" s="420"/>
    </row>
    <row r="22" spans="2:5" ht="13.5" thickBot="1">
      <c r="B22" s="422" t="s">
        <v>284</v>
      </c>
      <c r="C22" s="12"/>
      <c r="D22" s="12"/>
      <c r="E22" s="412"/>
    </row>
  </sheetData>
  <printOptions horizontalCentered="1" verticalCentered="1"/>
  <pageMargins left="0.7874015748031497" right="0.7874015748031497" top="0.984251968503937" bottom="0.984251968503937" header="0" footer="0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16"/>
  <sheetViews>
    <sheetView workbookViewId="0" topLeftCell="A1">
      <selection activeCell="B2" sqref="B2:C14"/>
    </sheetView>
  </sheetViews>
  <sheetFormatPr defaultColWidth="11.421875" defaultRowHeight="12.75"/>
  <cols>
    <col min="3" max="3" width="12.00390625" style="0" bestFit="1" customWidth="1"/>
  </cols>
  <sheetData>
    <row r="1" ht="13.5" thickBot="1"/>
    <row r="2" spans="2:3" ht="13.5" thickBot="1">
      <c r="B2" s="562" t="s">
        <v>253</v>
      </c>
      <c r="C2" s="563"/>
    </row>
    <row r="3" spans="2:3" ht="12.75">
      <c r="B3" s="564" t="s">
        <v>216</v>
      </c>
      <c r="C3" s="565"/>
    </row>
    <row r="4" spans="2:3" ht="12.75">
      <c r="B4" s="478" t="s">
        <v>217</v>
      </c>
      <c r="C4" s="479" t="s">
        <v>218</v>
      </c>
    </row>
    <row r="5" spans="2:3" ht="12.75">
      <c r="B5" s="425" t="s">
        <v>219</v>
      </c>
      <c r="C5" s="480">
        <f>PRC!C3</f>
        <v>-42508.020000000004</v>
      </c>
    </row>
    <row r="6" spans="2:6" ht="12.75">
      <c r="B6" s="425" t="s">
        <v>154</v>
      </c>
      <c r="C6" s="481">
        <f>'Flujo de Caja'!C37</f>
        <v>16681.084199999998</v>
      </c>
      <c r="F6" s="17"/>
    </row>
    <row r="7" spans="2:3" ht="12.75">
      <c r="B7" s="425" t="s">
        <v>104</v>
      </c>
      <c r="C7" s="481">
        <f>'Flujo de Caja'!D37</f>
        <v>17713.483792000003</v>
      </c>
    </row>
    <row r="8" spans="2:3" ht="12.75">
      <c r="B8" s="425" t="s">
        <v>105</v>
      </c>
      <c r="C8" s="481">
        <f>'Flujo de Caja'!E37</f>
        <v>18749.937178880005</v>
      </c>
    </row>
    <row r="9" spans="2:3" ht="13.5" thickBot="1">
      <c r="B9" s="425" t="s">
        <v>106</v>
      </c>
      <c r="C9" s="481">
        <f>'Flujo de Caja'!F37</f>
        <v>19843.344402995197</v>
      </c>
    </row>
    <row r="10" spans="2:7" ht="13.5" thickBot="1">
      <c r="B10" s="427" t="s">
        <v>107</v>
      </c>
      <c r="C10" s="490">
        <f>'Flujo de Caja'!G37</f>
        <v>20996.758402923013</v>
      </c>
      <c r="E10" s="472">
        <v>0.15</v>
      </c>
      <c r="F10" s="408"/>
      <c r="G10" s="409"/>
    </row>
    <row r="11" spans="2:7" ht="13.5" thickBot="1">
      <c r="B11" s="488"/>
      <c r="C11" s="489"/>
      <c r="E11" s="410"/>
      <c r="F11" s="1"/>
      <c r="G11" s="411"/>
    </row>
    <row r="12" spans="2:7" ht="12.75">
      <c r="B12" s="482" t="s">
        <v>220</v>
      </c>
      <c r="C12" s="483">
        <f>NPV(Supuestos!B17,C5:C10)</f>
        <v>16960.168362103843</v>
      </c>
      <c r="E12" s="515">
        <f>NPV(E10,C5:C10)</f>
        <v>16960.168362103843</v>
      </c>
      <c r="F12" s="408"/>
      <c r="G12" s="409" t="s">
        <v>260</v>
      </c>
    </row>
    <row r="13" spans="2:7" ht="12.75">
      <c r="B13" s="484"/>
      <c r="C13" s="485"/>
      <c r="E13" s="410"/>
      <c r="F13" s="1"/>
      <c r="G13" s="411"/>
    </row>
    <row r="14" spans="2:7" ht="13.5" thickBot="1">
      <c r="B14" s="486" t="s">
        <v>221</v>
      </c>
      <c r="C14" s="487">
        <f>IRR(C5:C10,Supuestos!B17)</f>
        <v>0.322694467300417</v>
      </c>
      <c r="E14" s="477">
        <f>IRR(C5:C10)</f>
        <v>0.3226944673010554</v>
      </c>
      <c r="F14" s="2"/>
      <c r="G14" s="420" t="s">
        <v>285</v>
      </c>
    </row>
    <row r="15" spans="5:7" ht="12.75">
      <c r="E15" s="1"/>
      <c r="F15" s="1"/>
      <c r="G15" s="1"/>
    </row>
    <row r="16" spans="3:7" ht="12.75">
      <c r="C16" s="17"/>
      <c r="E16" s="1"/>
      <c r="F16" s="1"/>
      <c r="G16" s="1"/>
    </row>
  </sheetData>
  <mergeCells count="2">
    <mergeCell ref="B2:C2"/>
    <mergeCell ref="B3:C3"/>
  </mergeCells>
  <printOptions horizontalCentered="1" verticalCentered="1"/>
  <pageMargins left="0.7874015748031497" right="0.7874015748031497" top="0.984251968503937" bottom="0.984251968503937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"/>
  <sheetViews>
    <sheetView zoomScale="120" zoomScaleNormal="120" workbookViewId="0" topLeftCell="A1">
      <selection activeCell="D27" sqref="D27"/>
    </sheetView>
  </sheetViews>
  <sheetFormatPr defaultColWidth="11.421875" defaultRowHeight="12.75"/>
  <cols>
    <col min="1" max="1" width="41.28125" style="0" bestFit="1" customWidth="1"/>
    <col min="2" max="4" width="10.8515625" style="0" bestFit="1" customWidth="1"/>
    <col min="5" max="5" width="10.8515625" style="0" customWidth="1"/>
    <col min="6" max="6" width="10.8515625" style="0" bestFit="1" customWidth="1"/>
  </cols>
  <sheetData>
    <row r="1" spans="1:6" ht="15.75">
      <c r="A1" s="540"/>
      <c r="B1" s="540"/>
      <c r="C1" s="540"/>
      <c r="D1" s="540"/>
      <c r="E1" s="540"/>
      <c r="F1" s="540"/>
    </row>
    <row r="3" ht="13.5" thickBot="1"/>
    <row r="4" spans="1:7" ht="15.75">
      <c r="A4" s="566" t="s">
        <v>262</v>
      </c>
      <c r="B4" s="567"/>
      <c r="C4" s="567"/>
      <c r="D4" s="567"/>
      <c r="E4" s="567"/>
      <c r="F4" s="568"/>
      <c r="G4">
        <v>0.005</v>
      </c>
    </row>
    <row r="5" spans="1:6" ht="13.5" thickBot="1">
      <c r="A5" s="569" t="s">
        <v>279</v>
      </c>
      <c r="B5" s="570"/>
      <c r="C5" s="570"/>
      <c r="D5" s="570"/>
      <c r="E5" s="570"/>
      <c r="F5" s="571"/>
    </row>
    <row r="6" spans="1:6" ht="13.5" thickBot="1">
      <c r="A6" s="393" t="s">
        <v>222</v>
      </c>
      <c r="B6" s="495" t="s">
        <v>154</v>
      </c>
      <c r="C6" s="496" t="s">
        <v>104</v>
      </c>
      <c r="D6" s="497" t="s">
        <v>105</v>
      </c>
      <c r="E6" s="498" t="s">
        <v>106</v>
      </c>
      <c r="F6" s="498" t="s">
        <v>107</v>
      </c>
    </row>
    <row r="7" spans="1:6" ht="12.75">
      <c r="A7" s="394" t="s">
        <v>223</v>
      </c>
      <c r="B7" s="491"/>
      <c r="C7" s="492"/>
      <c r="D7" s="492"/>
      <c r="E7" s="492"/>
      <c r="F7" s="504"/>
    </row>
    <row r="8" spans="1:6" ht="12.75">
      <c r="A8" s="395" t="s">
        <v>224</v>
      </c>
      <c r="B8" s="400">
        <f>Ingresos!F34</f>
        <v>30412.8</v>
      </c>
      <c r="C8" s="346">
        <f>Ingresos!G34</f>
        <v>31933.440000000002</v>
      </c>
      <c r="D8" s="346">
        <f>Ingresos!H34</f>
        <v>33530.112</v>
      </c>
      <c r="E8" s="346">
        <f>Ingresos!I34</f>
        <v>35206.6176</v>
      </c>
      <c r="F8" s="505">
        <f>Ingresos!J34</f>
        <v>36966.94848</v>
      </c>
    </row>
    <row r="9" spans="1:6" ht="12.75">
      <c r="A9" s="395" t="s">
        <v>225</v>
      </c>
      <c r="B9" s="401">
        <f>Costos!F19</f>
        <v>745.1136</v>
      </c>
      <c r="C9" s="347">
        <f>Costos!G19</f>
        <v>782.36928</v>
      </c>
      <c r="D9" s="347">
        <f>Costos!H19</f>
        <v>821.4877439999999</v>
      </c>
      <c r="E9" s="347">
        <f>Costos!I19</f>
        <v>862.5621312</v>
      </c>
      <c r="F9" s="506">
        <f>Costos!J19</f>
        <v>905.69023776</v>
      </c>
    </row>
    <row r="10" spans="1:6" ht="12.75">
      <c r="A10" s="396" t="s">
        <v>226</v>
      </c>
      <c r="B10" s="402">
        <f>B8-B9</f>
        <v>29667.6864</v>
      </c>
      <c r="C10" s="348">
        <f>C8-C9</f>
        <v>31151.070720000003</v>
      </c>
      <c r="D10" s="348">
        <f>D8-D9</f>
        <v>32708.624256000003</v>
      </c>
      <c r="E10" s="348">
        <f>E8-E9</f>
        <v>34344.0554688</v>
      </c>
      <c r="F10" s="507">
        <f>F8-F9</f>
        <v>36061.25824224</v>
      </c>
    </row>
    <row r="11" spans="1:6" ht="12.75">
      <c r="A11" s="397" t="s">
        <v>227</v>
      </c>
      <c r="B11" s="401">
        <f>Costos!F30</f>
        <v>9434.538199999999</v>
      </c>
      <c r="C11" s="347">
        <f>Costos!G30</f>
        <v>9811.919727999999</v>
      </c>
      <c r="D11" s="347">
        <f>Costos!H30</f>
        <v>10204.39651712</v>
      </c>
      <c r="E11" s="347">
        <f>Costos!I30</f>
        <v>10612.5723778048</v>
      </c>
      <c r="F11" s="506">
        <f>Costos!J30</f>
        <v>11037.07527291699</v>
      </c>
    </row>
    <row r="12" spans="1:6" ht="12.75">
      <c r="A12" s="397" t="s">
        <v>228</v>
      </c>
      <c r="B12" s="401">
        <f>Costos!F45</f>
        <v>9806.404</v>
      </c>
      <c r="C12" s="347">
        <f>Costos!G45</f>
        <v>9918.404</v>
      </c>
      <c r="D12" s="347">
        <f>Costos!H45</f>
        <v>10034.884</v>
      </c>
      <c r="E12" s="347">
        <f>Costos!I45</f>
        <v>10156.023200000001</v>
      </c>
      <c r="F12" s="506">
        <f>Costos!J45</f>
        <v>10282.007968</v>
      </c>
    </row>
    <row r="13" spans="1:6" ht="12.75">
      <c r="A13" s="397" t="s">
        <v>229</v>
      </c>
      <c r="B13" s="401">
        <f>Costos!B57</f>
        <v>300</v>
      </c>
      <c r="C13" s="347">
        <f>Costos!C57</f>
        <v>254</v>
      </c>
      <c r="D13" s="347">
        <f>Costos!D57</f>
        <v>258.15999999999997</v>
      </c>
      <c r="E13" s="347">
        <f>Costos!E57</f>
        <v>262.4864</v>
      </c>
      <c r="F13" s="506">
        <f>Costos!F57</f>
        <v>266.985856</v>
      </c>
    </row>
    <row r="14" spans="1:6" ht="12.75">
      <c r="A14" s="397" t="s">
        <v>72</v>
      </c>
      <c r="B14" s="401">
        <f>B8*$G$4</f>
        <v>152.064</v>
      </c>
      <c r="C14" s="347">
        <f>C8*$G$4</f>
        <v>159.6672</v>
      </c>
      <c r="D14" s="347">
        <f>D8*$G$4</f>
        <v>167.65056</v>
      </c>
      <c r="E14" s="347">
        <f>E8*$G$4</f>
        <v>176.033088</v>
      </c>
      <c r="F14" s="506">
        <f>F8*$G$4</f>
        <v>184.8347424</v>
      </c>
    </row>
    <row r="15" spans="1:6" ht="12.75">
      <c r="A15" s="396" t="s">
        <v>230</v>
      </c>
      <c r="B15" s="402">
        <f>B10-B11-B12-B14-B13</f>
        <v>9974.680199999999</v>
      </c>
      <c r="C15" s="348">
        <f>C10-C11-C12-C14-C13</f>
        <v>11007.079792000002</v>
      </c>
      <c r="D15" s="348">
        <f>D10-D11-D12-D14-D13</f>
        <v>12043.533178880003</v>
      </c>
      <c r="E15" s="348">
        <f>E10-E11-E12-E14-E13</f>
        <v>13136.940402995198</v>
      </c>
      <c r="F15" s="507">
        <f>F10-F11-F12-F14-F13</f>
        <v>14290.35440292301</v>
      </c>
    </row>
    <row r="16" spans="1:6" ht="12.75">
      <c r="A16" s="397" t="s">
        <v>231</v>
      </c>
      <c r="B16" s="401">
        <f>'Flujo de Caja'!B33</f>
        <v>0</v>
      </c>
      <c r="C16" s="401">
        <f>'Flujo de Caja'!C33</f>
        <v>0</v>
      </c>
      <c r="D16" s="401">
        <f>'Flujo de Caja'!D33</f>
        <v>0</v>
      </c>
      <c r="E16" s="401">
        <f>'Flujo de Caja'!E33</f>
        <v>0</v>
      </c>
      <c r="F16" s="401">
        <f>'Flujo de Caja'!F33</f>
        <v>0</v>
      </c>
    </row>
    <row r="17" spans="1:6" ht="12.75">
      <c r="A17" s="396" t="s">
        <v>232</v>
      </c>
      <c r="B17" s="403">
        <f>B15-B16</f>
        <v>9974.680199999999</v>
      </c>
      <c r="C17" s="349">
        <f>C15-C16</f>
        <v>11007.079792000002</v>
      </c>
      <c r="D17" s="349">
        <f>D15-D16</f>
        <v>12043.533178880003</v>
      </c>
      <c r="E17" s="349">
        <f>E15-E16</f>
        <v>13136.940402995198</v>
      </c>
      <c r="F17" s="508">
        <f>F15-F16</f>
        <v>14290.35440292301</v>
      </c>
    </row>
    <row r="18" spans="1:7" s="352" customFormat="1" ht="12.75">
      <c r="A18" s="404" t="s">
        <v>261</v>
      </c>
      <c r="B18" s="413">
        <f>B17*0.15</f>
        <v>1496.2020299999997</v>
      </c>
      <c r="C18" s="503">
        <f>C17*0.15</f>
        <v>1651.0619688000004</v>
      </c>
      <c r="D18" s="503">
        <f>D17*0.15</f>
        <v>1806.5299768320003</v>
      </c>
      <c r="E18" s="503">
        <f>E17*0.15</f>
        <v>1970.5410604492797</v>
      </c>
      <c r="F18" s="509">
        <f>F17*0.15</f>
        <v>2143.5531604384514</v>
      </c>
      <c r="G18" s="354"/>
    </row>
    <row r="19" spans="1:6" ht="12.75">
      <c r="A19" s="396" t="s">
        <v>233</v>
      </c>
      <c r="B19" s="403">
        <f>B17-B18</f>
        <v>8478.478169999998</v>
      </c>
      <c r="C19" s="349">
        <f>C17-C18</f>
        <v>9356.017823200002</v>
      </c>
      <c r="D19" s="349">
        <f>D17-D18</f>
        <v>10237.003202048003</v>
      </c>
      <c r="E19" s="349">
        <f>E17-E18</f>
        <v>11166.39934254592</v>
      </c>
      <c r="F19" s="508">
        <f>F17-F18</f>
        <v>12146.801242484558</v>
      </c>
    </row>
    <row r="20" spans="1:6" ht="13.5" thickBot="1">
      <c r="A20" s="398" t="s">
        <v>234</v>
      </c>
      <c r="B20" s="493">
        <v>0</v>
      </c>
      <c r="C20" s="494">
        <v>0</v>
      </c>
      <c r="D20" s="494">
        <v>0</v>
      </c>
      <c r="E20" s="494">
        <v>0</v>
      </c>
      <c r="F20" s="510"/>
    </row>
    <row r="21" spans="1:7" ht="13.5" thickBot="1">
      <c r="A21" s="399" t="s">
        <v>235</v>
      </c>
      <c r="B21" s="499">
        <f>B19-B20</f>
        <v>8478.478169999998</v>
      </c>
      <c r="C21" s="500">
        <f>C19-C20</f>
        <v>9356.017823200002</v>
      </c>
      <c r="D21" s="501">
        <f>D19-D20</f>
        <v>10237.003202048003</v>
      </c>
      <c r="E21" s="502">
        <f>E19-E20</f>
        <v>11166.39934254592</v>
      </c>
      <c r="F21" s="502">
        <f>F19-F20</f>
        <v>12146.801242484558</v>
      </c>
      <c r="G21" s="433"/>
    </row>
    <row r="24" spans="1:6" ht="12.75">
      <c r="A24" s="1"/>
      <c r="B24" s="1"/>
      <c r="C24" s="1"/>
      <c r="D24" s="1"/>
      <c r="E24" s="1"/>
      <c r="F24" s="1"/>
    </row>
  </sheetData>
  <mergeCells count="3">
    <mergeCell ref="A4:F4"/>
    <mergeCell ref="A5:F5"/>
    <mergeCell ref="A1:F1"/>
  </mergeCells>
  <printOptions horizontalCentered="1" verticalCentered="1"/>
  <pageMargins left="1.5748031496062993" right="0.7874015748031497" top="1.5748031496062993" bottom="1.5748031496062993" header="0" footer="0"/>
  <pageSetup horizontalDpi="300" verticalDpi="300" orientation="landscape" paperSize="9" r:id="rId1"/>
  <ignoredErrors>
    <ignoredError sqref="B18:F18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7"/>
  <sheetViews>
    <sheetView workbookViewId="0" topLeftCell="A1">
      <selection activeCell="C14" sqref="C14"/>
    </sheetView>
  </sheetViews>
  <sheetFormatPr defaultColWidth="11.421875" defaultRowHeight="12.75"/>
  <cols>
    <col min="1" max="1" width="19.140625" style="39" customWidth="1"/>
    <col min="2" max="16384" width="11.421875" style="39" customWidth="1"/>
  </cols>
  <sheetData>
    <row r="2" ht="13.5" thickBot="1">
      <c r="I2" s="37"/>
    </row>
    <row r="3" spans="1:10" ht="16.5" thickBot="1">
      <c r="A3" s="572" t="s">
        <v>23</v>
      </c>
      <c r="B3" s="573"/>
      <c r="C3" s="573"/>
      <c r="D3" s="40"/>
      <c r="E3" s="40"/>
      <c r="F3" s="40"/>
      <c r="G3" s="40"/>
      <c r="H3" s="40"/>
      <c r="I3" s="38">
        <f>SUM(J5:J25)</f>
        <v>6.49125</v>
      </c>
      <c r="J3" s="41" t="s">
        <v>24</v>
      </c>
    </row>
    <row r="4" spans="1:10" ht="13.5" thickBot="1">
      <c r="A4" s="574"/>
      <c r="B4" s="575"/>
      <c r="C4" s="575"/>
      <c r="D4" s="575"/>
      <c r="E4" s="575"/>
      <c r="F4" s="575"/>
      <c r="G4" s="575"/>
      <c r="H4" s="575"/>
      <c r="I4" s="575"/>
      <c r="J4" s="576"/>
    </row>
    <row r="5" spans="1:10" ht="12.75">
      <c r="A5" s="42" t="s">
        <v>25</v>
      </c>
      <c r="B5" s="43"/>
      <c r="C5" s="43"/>
      <c r="D5" s="43"/>
      <c r="E5" s="43"/>
      <c r="F5" s="43"/>
      <c r="G5" s="43"/>
      <c r="H5" s="43"/>
      <c r="I5" s="43"/>
      <c r="J5" s="44">
        <f>H15/I15</f>
        <v>4.66875</v>
      </c>
    </row>
    <row r="6" spans="1:10" ht="12.75">
      <c r="A6" s="45"/>
      <c r="B6" s="46"/>
      <c r="C6" s="47" t="s">
        <v>99</v>
      </c>
      <c r="D6" s="46"/>
      <c r="E6" s="47" t="s">
        <v>26</v>
      </c>
      <c r="F6" s="46"/>
      <c r="G6" s="47" t="s">
        <v>26</v>
      </c>
      <c r="H6" s="46"/>
      <c r="I6" s="48"/>
      <c r="J6" s="49"/>
    </row>
    <row r="7" spans="1:10" ht="12.75">
      <c r="A7" s="45"/>
      <c r="B7" s="46"/>
      <c r="C7" s="47" t="s">
        <v>27</v>
      </c>
      <c r="D7" s="46"/>
      <c r="E7" s="47" t="s">
        <v>28</v>
      </c>
      <c r="F7" s="46"/>
      <c r="G7" s="47" t="s">
        <v>29</v>
      </c>
      <c r="H7" s="46"/>
      <c r="I7" s="46"/>
      <c r="J7" s="49"/>
    </row>
    <row r="8" spans="1:10" ht="12.75">
      <c r="A8" s="45" t="s">
        <v>30</v>
      </c>
      <c r="B8" s="50">
        <v>300</v>
      </c>
      <c r="C8" s="47">
        <v>2</v>
      </c>
      <c r="D8" s="46">
        <f>B8/C8</f>
        <v>150</v>
      </c>
      <c r="E8" s="47">
        <v>20</v>
      </c>
      <c r="F8" s="46">
        <f>D8/E8</f>
        <v>7.5</v>
      </c>
      <c r="G8" s="47">
        <v>3</v>
      </c>
      <c r="H8" s="46">
        <f>F8*G8</f>
        <v>22.5</v>
      </c>
      <c r="I8" s="46"/>
      <c r="J8" s="49"/>
    </row>
    <row r="9" spans="1:10" ht="12.75">
      <c r="A9" s="45" t="s">
        <v>31</v>
      </c>
      <c r="B9" s="50">
        <v>200</v>
      </c>
      <c r="C9" s="47">
        <v>2</v>
      </c>
      <c r="D9" s="46">
        <f aca="true" t="shared" si="0" ref="D9:D14">B9/C9</f>
        <v>100</v>
      </c>
      <c r="E9" s="47">
        <v>20</v>
      </c>
      <c r="F9" s="46">
        <f aca="true" t="shared" si="1" ref="F9:F14">D9/E9</f>
        <v>5</v>
      </c>
      <c r="G9" s="47">
        <v>3</v>
      </c>
      <c r="H9" s="46">
        <f aca="true" t="shared" si="2" ref="H9:H14">F9*G9</f>
        <v>15</v>
      </c>
      <c r="I9" s="46"/>
      <c r="J9" s="49"/>
    </row>
    <row r="10" spans="1:10" ht="12.75">
      <c r="A10" s="57" t="s">
        <v>100</v>
      </c>
      <c r="B10" s="50">
        <v>140</v>
      </c>
      <c r="C10" s="47">
        <v>2</v>
      </c>
      <c r="D10" s="46">
        <f t="shared" si="0"/>
        <v>70</v>
      </c>
      <c r="E10" s="47">
        <v>20</v>
      </c>
      <c r="F10" s="46">
        <f t="shared" si="1"/>
        <v>3.5</v>
      </c>
      <c r="G10" s="47">
        <v>3</v>
      </c>
      <c r="H10" s="46">
        <f t="shared" si="2"/>
        <v>10.5</v>
      </c>
      <c r="I10" s="46"/>
      <c r="J10" s="49"/>
    </row>
    <row r="11" spans="1:10" ht="12.75">
      <c r="A11" s="45" t="s">
        <v>32</v>
      </c>
      <c r="B11" s="50">
        <v>150</v>
      </c>
      <c r="C11" s="47">
        <v>2</v>
      </c>
      <c r="D11" s="46">
        <f t="shared" si="0"/>
        <v>75</v>
      </c>
      <c r="E11" s="47">
        <v>20</v>
      </c>
      <c r="F11" s="46">
        <f t="shared" si="1"/>
        <v>3.75</v>
      </c>
      <c r="G11" s="47">
        <v>3</v>
      </c>
      <c r="H11" s="46">
        <f t="shared" si="2"/>
        <v>11.25</v>
      </c>
      <c r="I11" s="46"/>
      <c r="J11" s="49"/>
    </row>
    <row r="12" spans="1:10" ht="12.75">
      <c r="A12" s="45" t="s">
        <v>33</v>
      </c>
      <c r="B12" s="50">
        <v>200</v>
      </c>
      <c r="C12" s="47">
        <v>2</v>
      </c>
      <c r="D12" s="46">
        <f t="shared" si="0"/>
        <v>100</v>
      </c>
      <c r="E12" s="47">
        <v>20</v>
      </c>
      <c r="F12" s="46">
        <f t="shared" si="1"/>
        <v>5</v>
      </c>
      <c r="G12" s="47">
        <v>3</v>
      </c>
      <c r="H12" s="46">
        <f t="shared" si="2"/>
        <v>15</v>
      </c>
      <c r="I12" s="46"/>
      <c r="J12" s="49"/>
    </row>
    <row r="13" spans="1:10" ht="12.75">
      <c r="A13" s="45" t="s">
        <v>34</v>
      </c>
      <c r="B13" s="50">
        <v>180</v>
      </c>
      <c r="C13" s="47">
        <v>2</v>
      </c>
      <c r="D13" s="46">
        <f t="shared" si="0"/>
        <v>90</v>
      </c>
      <c r="E13" s="47">
        <v>20</v>
      </c>
      <c r="F13" s="46">
        <f t="shared" si="1"/>
        <v>4.5</v>
      </c>
      <c r="G13" s="47">
        <v>3</v>
      </c>
      <c r="H13" s="46">
        <f t="shared" si="2"/>
        <v>13.5</v>
      </c>
      <c r="I13" s="46"/>
      <c r="J13" s="49"/>
    </row>
    <row r="14" spans="1:10" ht="12.75">
      <c r="A14" s="45" t="s">
        <v>35</v>
      </c>
      <c r="B14" s="50">
        <v>75</v>
      </c>
      <c r="C14" s="47">
        <v>2</v>
      </c>
      <c r="D14" s="46">
        <f t="shared" si="0"/>
        <v>37.5</v>
      </c>
      <c r="E14" s="47">
        <v>20</v>
      </c>
      <c r="F14" s="46">
        <f t="shared" si="1"/>
        <v>1.875</v>
      </c>
      <c r="G14" s="47">
        <v>3</v>
      </c>
      <c r="H14" s="46">
        <f t="shared" si="2"/>
        <v>5.625</v>
      </c>
      <c r="I14" s="46"/>
      <c r="J14" s="49"/>
    </row>
    <row r="15" spans="1:10" ht="13.5" thickBot="1">
      <c r="A15" s="51"/>
      <c r="B15" s="52"/>
      <c r="C15" s="52"/>
      <c r="D15" s="52"/>
      <c r="E15" s="52"/>
      <c r="F15" s="52"/>
      <c r="G15" s="52"/>
      <c r="H15" s="52">
        <f>SUM(H8:H14)</f>
        <v>93.375</v>
      </c>
      <c r="I15" s="53">
        <v>20</v>
      </c>
      <c r="J15" s="54"/>
    </row>
    <row r="16" spans="1:10" ht="13.5" thickBot="1">
      <c r="A16" s="574"/>
      <c r="B16" s="575"/>
      <c r="C16" s="575"/>
      <c r="D16" s="575"/>
      <c r="E16" s="575"/>
      <c r="F16" s="575"/>
      <c r="G16" s="575"/>
      <c r="H16" s="575"/>
      <c r="I16" s="575"/>
      <c r="J16" s="576"/>
    </row>
    <row r="17" spans="1:10" ht="12.75">
      <c r="A17" s="42" t="s">
        <v>36</v>
      </c>
      <c r="B17" s="43"/>
      <c r="C17" s="43"/>
      <c r="D17" s="43"/>
      <c r="E17" s="43"/>
      <c r="F17" s="43"/>
      <c r="G17" s="43"/>
      <c r="H17" s="43"/>
      <c r="I17" s="43"/>
      <c r="J17" s="44">
        <f>H23/I23</f>
        <v>1.7625</v>
      </c>
    </row>
    <row r="18" spans="1:10" ht="12.75">
      <c r="A18" s="45"/>
      <c r="B18" s="46"/>
      <c r="C18" s="46"/>
      <c r="D18" s="46"/>
      <c r="E18" s="46"/>
      <c r="F18" s="46"/>
      <c r="G18" s="46"/>
      <c r="H18" s="46"/>
      <c r="I18" s="46"/>
      <c r="J18" s="49"/>
    </row>
    <row r="19" spans="1:10" ht="12.75">
      <c r="A19" s="45" t="s">
        <v>37</v>
      </c>
      <c r="B19" s="46">
        <v>150</v>
      </c>
      <c r="C19" s="47">
        <v>2</v>
      </c>
      <c r="D19" s="46">
        <f>B19/C19</f>
        <v>75</v>
      </c>
      <c r="E19" s="47">
        <v>20</v>
      </c>
      <c r="F19" s="46">
        <f>D19/E19</f>
        <v>3.75</v>
      </c>
      <c r="G19" s="47">
        <v>3</v>
      </c>
      <c r="H19" s="46">
        <f>F19*G19</f>
        <v>11.25</v>
      </c>
      <c r="I19" s="46"/>
      <c r="J19" s="55"/>
    </row>
    <row r="20" spans="1:10" ht="12.75">
      <c r="A20" s="45" t="s">
        <v>38</v>
      </c>
      <c r="B20" s="46">
        <v>100</v>
      </c>
      <c r="C20" s="47">
        <v>2</v>
      </c>
      <c r="D20" s="46">
        <f>B20/C20</f>
        <v>50</v>
      </c>
      <c r="E20" s="47">
        <v>20</v>
      </c>
      <c r="F20" s="46">
        <f>D20/E20</f>
        <v>2.5</v>
      </c>
      <c r="G20" s="47">
        <v>3</v>
      </c>
      <c r="H20" s="46">
        <f>F20*G20</f>
        <v>7.5</v>
      </c>
      <c r="I20" s="46"/>
      <c r="J20" s="55"/>
    </row>
    <row r="21" spans="1:10" ht="12.75">
      <c r="A21" s="45" t="s">
        <v>39</v>
      </c>
      <c r="B21" s="46">
        <v>200</v>
      </c>
      <c r="C21" s="47">
        <v>2</v>
      </c>
      <c r="D21" s="46">
        <f>B21/C21</f>
        <v>100</v>
      </c>
      <c r="E21" s="47">
        <v>20</v>
      </c>
      <c r="F21" s="46">
        <f>D21/E21</f>
        <v>5</v>
      </c>
      <c r="G21" s="47">
        <v>3</v>
      </c>
      <c r="H21" s="46">
        <f>F21*G21</f>
        <v>15</v>
      </c>
      <c r="I21" s="46"/>
      <c r="J21" s="55"/>
    </row>
    <row r="22" spans="1:10" ht="12.75">
      <c r="A22" s="45" t="s">
        <v>40</v>
      </c>
      <c r="B22" s="46">
        <v>20</v>
      </c>
      <c r="C22" s="47">
        <v>2</v>
      </c>
      <c r="D22" s="46">
        <f>B22/C22</f>
        <v>10</v>
      </c>
      <c r="E22" s="47">
        <v>20</v>
      </c>
      <c r="F22" s="46">
        <f>D22/E22</f>
        <v>0.5</v>
      </c>
      <c r="G22" s="47">
        <v>3</v>
      </c>
      <c r="H22" s="46">
        <f>F22*G22</f>
        <v>1.5</v>
      </c>
      <c r="I22" s="46"/>
      <c r="J22" s="55"/>
    </row>
    <row r="23" spans="1:10" ht="13.5" thickBot="1">
      <c r="A23" s="51"/>
      <c r="B23" s="52"/>
      <c r="C23" s="52"/>
      <c r="D23" s="52"/>
      <c r="E23" s="52"/>
      <c r="F23" s="52"/>
      <c r="G23" s="52"/>
      <c r="H23" s="56">
        <f>SUM(H19:H22)</f>
        <v>35.25</v>
      </c>
      <c r="I23" s="53">
        <v>20</v>
      </c>
      <c r="J23" s="54"/>
    </row>
    <row r="24" spans="1:10" ht="13.5" thickBot="1">
      <c r="A24" s="574"/>
      <c r="B24" s="575"/>
      <c r="C24" s="575"/>
      <c r="D24" s="575"/>
      <c r="E24" s="575"/>
      <c r="F24" s="575"/>
      <c r="G24" s="575"/>
      <c r="H24" s="575"/>
      <c r="I24" s="575"/>
      <c r="J24" s="576"/>
    </row>
    <row r="25" spans="1:10" ht="12.75">
      <c r="A25" s="42" t="s">
        <v>41</v>
      </c>
      <c r="B25" s="43"/>
      <c r="C25" s="43"/>
      <c r="D25" s="43"/>
      <c r="E25" s="43"/>
      <c r="F25" s="43"/>
      <c r="G25" s="43"/>
      <c r="H25" s="43"/>
      <c r="I25" s="43"/>
      <c r="J25" s="44">
        <v>0.06</v>
      </c>
    </row>
    <row r="26" spans="1:10" ht="12.75">
      <c r="A26" s="45"/>
      <c r="B26" s="46"/>
      <c r="C26" s="47" t="s">
        <v>42</v>
      </c>
      <c r="D26" s="46"/>
      <c r="E26" s="46"/>
      <c r="F26" s="46"/>
      <c r="G26" s="46"/>
      <c r="H26" s="46"/>
      <c r="I26" s="46"/>
      <c r="J26" s="49"/>
    </row>
    <row r="27" spans="1:10" ht="13.5" thickBot="1">
      <c r="A27" s="51" t="s">
        <v>43</v>
      </c>
      <c r="B27" s="52">
        <v>30</v>
      </c>
      <c r="C27" s="52">
        <v>1000</v>
      </c>
      <c r="D27" s="52">
        <f>B27/C27</f>
        <v>0.03</v>
      </c>
      <c r="E27" s="53">
        <v>2</v>
      </c>
      <c r="F27" s="52">
        <v>0.06</v>
      </c>
      <c r="G27" s="52"/>
      <c r="H27" s="52"/>
      <c r="I27" s="52"/>
      <c r="J27" s="54"/>
    </row>
  </sheetData>
  <mergeCells count="4">
    <mergeCell ref="A3:C3"/>
    <mergeCell ref="A4:J4"/>
    <mergeCell ref="A16:J16"/>
    <mergeCell ref="A24:J24"/>
  </mergeCells>
  <printOptions/>
  <pageMargins left="0.75" right="0.75" top="1" bottom="1" header="0" footer="0"/>
  <pageSetup fitToHeight="1" fitToWidth="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2:R42"/>
  <sheetViews>
    <sheetView workbookViewId="0" topLeftCell="D1">
      <selection activeCell="O30" sqref="O30"/>
    </sheetView>
  </sheetViews>
  <sheetFormatPr defaultColWidth="11.421875" defaultRowHeight="12.75"/>
  <cols>
    <col min="1" max="1" width="2.28125" style="58" customWidth="1"/>
    <col min="2" max="2" width="2.140625" style="58" customWidth="1"/>
    <col min="3" max="3" width="15.8515625" style="58" customWidth="1"/>
    <col min="4" max="4" width="18.8515625" style="58" customWidth="1"/>
    <col min="5" max="5" width="11.8515625" style="58" customWidth="1"/>
    <col min="6" max="6" width="7.7109375" style="58" customWidth="1"/>
    <col min="7" max="7" width="9.7109375" style="58" customWidth="1"/>
    <col min="8" max="8" width="7.8515625" style="58" customWidth="1"/>
    <col min="9" max="9" width="9.7109375" style="58" customWidth="1"/>
    <col min="10" max="10" width="12.00390625" style="58" bestFit="1" customWidth="1"/>
    <col min="11" max="11" width="9.7109375" style="58" customWidth="1"/>
    <col min="12" max="12" width="12.00390625" style="58" bestFit="1" customWidth="1"/>
    <col min="13" max="13" width="9.7109375" style="58" customWidth="1"/>
    <col min="14" max="14" width="7.8515625" style="58" customWidth="1"/>
    <col min="15" max="15" width="9.7109375" style="58" customWidth="1"/>
    <col min="16" max="16" width="7.7109375" style="58" customWidth="1"/>
    <col min="17" max="16384" width="11.421875" style="58" customWidth="1"/>
  </cols>
  <sheetData>
    <row r="2" spans="4:16" ht="18">
      <c r="D2" s="578" t="s">
        <v>44</v>
      </c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</row>
    <row r="4" spans="3:16" ht="12.75">
      <c r="C4" s="59" t="s">
        <v>45</v>
      </c>
      <c r="D4" s="59" t="s">
        <v>46</v>
      </c>
      <c r="E4" s="577" t="s">
        <v>47</v>
      </c>
      <c r="F4" s="577"/>
      <c r="G4" s="577" t="s">
        <v>47</v>
      </c>
      <c r="H4" s="577"/>
      <c r="I4" s="577" t="s">
        <v>47</v>
      </c>
      <c r="J4" s="577"/>
      <c r="K4" s="577" t="s">
        <v>47</v>
      </c>
      <c r="L4" s="577"/>
      <c r="M4" s="577" t="s">
        <v>47</v>
      </c>
      <c r="N4" s="577"/>
      <c r="O4" s="577" t="s">
        <v>47</v>
      </c>
      <c r="P4" s="577"/>
    </row>
    <row r="5" spans="5:16" ht="12.75">
      <c r="E5" s="579" t="s">
        <v>48</v>
      </c>
      <c r="F5" s="579"/>
      <c r="G5" s="579" t="s">
        <v>49</v>
      </c>
      <c r="H5" s="579"/>
      <c r="I5" s="579" t="s">
        <v>50</v>
      </c>
      <c r="J5" s="579"/>
      <c r="K5" s="579" t="s">
        <v>51</v>
      </c>
      <c r="L5" s="579"/>
      <c r="M5" s="579" t="s">
        <v>52</v>
      </c>
      <c r="N5" s="579"/>
      <c r="O5" s="579" t="s">
        <v>53</v>
      </c>
      <c r="P5" s="579"/>
    </row>
    <row r="6" spans="3:16" ht="12.75">
      <c r="C6" s="58" t="s">
        <v>54</v>
      </c>
      <c r="D6" s="58" t="s">
        <v>55</v>
      </c>
      <c r="F6" s="60"/>
      <c r="H6" s="60"/>
      <c r="J6" s="60">
        <v>25</v>
      </c>
      <c r="L6" s="60">
        <v>25</v>
      </c>
      <c r="N6" s="60">
        <v>25</v>
      </c>
      <c r="P6" s="60">
        <v>25</v>
      </c>
    </row>
    <row r="7" spans="4:16" ht="12.75">
      <c r="D7" s="58" t="s">
        <v>56</v>
      </c>
      <c r="F7" s="60"/>
      <c r="H7" s="60"/>
      <c r="J7" s="60">
        <v>46</v>
      </c>
      <c r="L7" s="60">
        <v>33</v>
      </c>
      <c r="N7" s="60">
        <v>31</v>
      </c>
      <c r="P7" s="60">
        <v>29</v>
      </c>
    </row>
    <row r="8" spans="4:16" ht="12.75">
      <c r="D8" s="58" t="s">
        <v>57</v>
      </c>
      <c r="F8" s="60"/>
      <c r="H8" s="60"/>
      <c r="J8" s="60">
        <v>47</v>
      </c>
      <c r="L8" s="60">
        <v>33</v>
      </c>
      <c r="N8" s="60">
        <v>31</v>
      </c>
      <c r="P8" s="60">
        <v>30</v>
      </c>
    </row>
    <row r="9" spans="3:16" ht="12.75">
      <c r="C9" s="58" t="s">
        <v>58</v>
      </c>
      <c r="F9" s="60"/>
      <c r="H9" s="60"/>
      <c r="J9" s="60"/>
      <c r="L9" s="60"/>
      <c r="N9" s="60"/>
      <c r="P9" s="60"/>
    </row>
    <row r="10" spans="4:16" ht="12.75">
      <c r="D10" s="58" t="s">
        <v>59</v>
      </c>
      <c r="E10" s="58" t="s">
        <v>60</v>
      </c>
      <c r="F10" s="60">
        <v>0</v>
      </c>
      <c r="H10" s="60">
        <v>0</v>
      </c>
      <c r="J10" s="60">
        <v>1.8</v>
      </c>
      <c r="L10" s="60">
        <v>1.6</v>
      </c>
      <c r="N10" s="60">
        <v>1.6</v>
      </c>
      <c r="P10" s="60">
        <v>1.6</v>
      </c>
    </row>
    <row r="11" spans="4:16" ht="12.75">
      <c r="D11" s="58" t="s">
        <v>61</v>
      </c>
      <c r="E11" s="58" t="s">
        <v>62</v>
      </c>
      <c r="F11" s="60">
        <v>0</v>
      </c>
      <c r="H11" s="60">
        <v>0</v>
      </c>
      <c r="J11" s="60">
        <v>0</v>
      </c>
      <c r="L11" s="60">
        <v>0</v>
      </c>
      <c r="N11" s="60">
        <v>0</v>
      </c>
      <c r="P11" s="60">
        <v>0</v>
      </c>
    </row>
    <row r="12" spans="4:16" ht="12.75">
      <c r="D12" s="58" t="s">
        <v>63</v>
      </c>
      <c r="E12" s="58" t="s">
        <v>62</v>
      </c>
      <c r="F12" s="60">
        <v>0</v>
      </c>
      <c r="G12" s="60"/>
      <c r="H12" s="60">
        <v>0</v>
      </c>
      <c r="I12" s="60"/>
      <c r="J12" s="60">
        <v>0</v>
      </c>
      <c r="K12" s="60"/>
      <c r="L12" s="60">
        <v>0</v>
      </c>
      <c r="M12" s="60"/>
      <c r="N12" s="60">
        <v>0</v>
      </c>
      <c r="O12" s="60"/>
      <c r="P12" s="60">
        <v>0</v>
      </c>
    </row>
    <row r="13" spans="4:16" ht="12.75">
      <c r="D13" s="58" t="s">
        <v>64</v>
      </c>
      <c r="F13" s="60">
        <v>0</v>
      </c>
      <c r="G13" s="60"/>
      <c r="H13" s="60">
        <v>0</v>
      </c>
      <c r="I13" s="60"/>
      <c r="J13" s="60">
        <v>0</v>
      </c>
      <c r="K13" s="60"/>
      <c r="L13" s="60">
        <v>0</v>
      </c>
      <c r="M13" s="60"/>
      <c r="N13" s="60">
        <v>0</v>
      </c>
      <c r="O13" s="60"/>
      <c r="P13" s="60">
        <v>0</v>
      </c>
    </row>
    <row r="14" ht="14.25" customHeight="1">
      <c r="C14" s="58" t="s">
        <v>65</v>
      </c>
    </row>
    <row r="15" spans="4:16" ht="12.75">
      <c r="D15" s="58" t="s">
        <v>66</v>
      </c>
      <c r="F15" s="60">
        <v>0</v>
      </c>
      <c r="H15" s="60">
        <v>0</v>
      </c>
      <c r="J15" s="60">
        <v>3</v>
      </c>
      <c r="L15" s="60">
        <v>3</v>
      </c>
      <c r="N15" s="60">
        <v>3</v>
      </c>
      <c r="P15" s="60">
        <v>3</v>
      </c>
    </row>
    <row r="16" spans="3:16" ht="12.75">
      <c r="C16" s="58" t="s">
        <v>67</v>
      </c>
      <c r="F16" s="60"/>
      <c r="H16" s="60"/>
      <c r="J16" s="60"/>
      <c r="L16" s="60"/>
      <c r="N16" s="60"/>
      <c r="P16" s="60"/>
    </row>
    <row r="17" spans="4:16" ht="12.75">
      <c r="D17" s="58" t="s">
        <v>68</v>
      </c>
      <c r="F17" s="60"/>
      <c r="H17" s="60"/>
      <c r="J17" s="60">
        <v>39</v>
      </c>
      <c r="L17" s="60">
        <v>39</v>
      </c>
      <c r="N17" s="60">
        <v>24</v>
      </c>
      <c r="P17" s="60">
        <v>20</v>
      </c>
    </row>
    <row r="18" ht="12.75">
      <c r="C18" s="58" t="s">
        <v>69</v>
      </c>
    </row>
    <row r="19" spans="4:16" ht="12.75">
      <c r="D19" s="58" t="s">
        <v>70</v>
      </c>
      <c r="F19" s="60"/>
      <c r="H19" s="60"/>
      <c r="J19" s="60">
        <v>0</v>
      </c>
      <c r="L19" s="60">
        <v>0</v>
      </c>
      <c r="N19" s="61">
        <v>0</v>
      </c>
      <c r="P19" s="60">
        <v>0</v>
      </c>
    </row>
    <row r="20" spans="4:16" ht="13.5" thickBot="1">
      <c r="D20" s="58" t="s">
        <v>71</v>
      </c>
      <c r="E20" s="62"/>
      <c r="F20" s="63"/>
      <c r="G20" s="62"/>
      <c r="H20" s="63"/>
      <c r="I20" s="62"/>
      <c r="J20" s="63">
        <v>125</v>
      </c>
      <c r="K20" s="62"/>
      <c r="L20" s="63">
        <v>75</v>
      </c>
      <c r="M20" s="62"/>
      <c r="N20" s="63">
        <v>60</v>
      </c>
      <c r="O20" s="62"/>
      <c r="P20" s="63">
        <v>50</v>
      </c>
    </row>
    <row r="21" spans="6:16" ht="12.75">
      <c r="F21" s="60">
        <f>SUM(F6:F20)</f>
        <v>0</v>
      </c>
      <c r="G21" s="60"/>
      <c r="H21" s="60">
        <f>SUM(H6:H20)</f>
        <v>0</v>
      </c>
      <c r="I21" s="60"/>
      <c r="J21" s="60">
        <f>SUM(J6:J20)</f>
        <v>286.8</v>
      </c>
      <c r="K21" s="60"/>
      <c r="L21" s="60">
        <f>SUM(L6:L20)</f>
        <v>209.6</v>
      </c>
      <c r="M21" s="60"/>
      <c r="N21" s="60">
        <f>SUM(N6:N20)</f>
        <v>175.6</v>
      </c>
      <c r="O21" s="60"/>
      <c r="P21" s="60">
        <f>SUM(P6:P20)</f>
        <v>158.6</v>
      </c>
    </row>
    <row r="22" spans="3:16" ht="13.5" thickBot="1">
      <c r="C22" s="58" t="s">
        <v>72</v>
      </c>
      <c r="D22" s="64">
        <v>0.03</v>
      </c>
      <c r="E22" s="62"/>
      <c r="F22" s="63">
        <f>F23-F21</f>
        <v>0</v>
      </c>
      <c r="G22" s="63"/>
      <c r="H22" s="63">
        <f>H23-H21</f>
        <v>0</v>
      </c>
      <c r="I22" s="63"/>
      <c r="J22" s="63">
        <f>J23-J21</f>
        <v>8.870103092783495</v>
      </c>
      <c r="K22" s="63"/>
      <c r="L22" s="63">
        <f>L23-L21</f>
        <v>6.482474226804129</v>
      </c>
      <c r="M22" s="63"/>
      <c r="N22" s="63">
        <f>N23-N21</f>
        <v>5.430927835051563</v>
      </c>
      <c r="O22" s="63"/>
      <c r="P22" s="63">
        <f>P23-P21</f>
        <v>4.905154639175265</v>
      </c>
    </row>
    <row r="23" spans="6:18" ht="12.75">
      <c r="F23" s="60">
        <f>F21/$R$23</f>
        <v>0</v>
      </c>
      <c r="G23" s="60"/>
      <c r="H23" s="60">
        <f>H21/$R$23</f>
        <v>0</v>
      </c>
      <c r="I23" s="60"/>
      <c r="J23" s="60">
        <f>J21/$R$23</f>
        <v>295.6701030927835</v>
      </c>
      <c r="K23" s="60"/>
      <c r="L23" s="60">
        <f>L21/$R$23</f>
        <v>216.08247422680412</v>
      </c>
      <c r="M23" s="60"/>
      <c r="N23" s="60">
        <f>N21/$R$23</f>
        <v>181.03092783505156</v>
      </c>
      <c r="O23" s="60"/>
      <c r="P23" s="60">
        <f>P21/$R$23</f>
        <v>163.50515463917526</v>
      </c>
      <c r="R23" s="64">
        <f>1-$D$22</f>
        <v>0.97</v>
      </c>
    </row>
    <row r="24" spans="3:16" ht="13.5" thickBot="1">
      <c r="C24" s="58" t="s">
        <v>73</v>
      </c>
      <c r="D24" s="64">
        <v>0.09</v>
      </c>
      <c r="E24" s="62"/>
      <c r="F24" s="63">
        <f>F25-F23</f>
        <v>0</v>
      </c>
      <c r="G24" s="63"/>
      <c r="H24" s="63">
        <f>H25-H23</f>
        <v>0</v>
      </c>
      <c r="I24" s="63"/>
      <c r="J24" s="63">
        <f>J25-J23</f>
        <v>29.24209810807747</v>
      </c>
      <c r="K24" s="63"/>
      <c r="L24" s="63">
        <f>L25-L23</f>
        <v>21.37079415429929</v>
      </c>
      <c r="M24" s="63"/>
      <c r="N24" s="63">
        <f>N25-N23</f>
        <v>17.904157697972124</v>
      </c>
      <c r="O24" s="63"/>
      <c r="P24" s="63">
        <f>P25-P23</f>
        <v>16.170839469808527</v>
      </c>
    </row>
    <row r="25" spans="6:18" ht="12.75">
      <c r="F25" s="60">
        <f>F23/$R$25</f>
        <v>0</v>
      </c>
      <c r="G25" s="60"/>
      <c r="H25" s="60">
        <f>H23/$R$25</f>
        <v>0</v>
      </c>
      <c r="I25" s="60"/>
      <c r="J25" s="60">
        <f>J23/$R$25</f>
        <v>324.912201200861</v>
      </c>
      <c r="K25" s="60"/>
      <c r="L25" s="60">
        <f>L23/$R$25</f>
        <v>237.4532683811034</v>
      </c>
      <c r="M25" s="60"/>
      <c r="N25" s="60">
        <f>N23/$R$25</f>
        <v>198.93508553302368</v>
      </c>
      <c r="O25" s="60"/>
      <c r="P25" s="60">
        <f>P23/$R$25</f>
        <v>179.6759941089838</v>
      </c>
      <c r="R25" s="64">
        <f>1-D24</f>
        <v>0.91</v>
      </c>
    </row>
    <row r="26" spans="3:16" ht="13.5" customHeight="1" thickBot="1">
      <c r="C26" s="58" t="s">
        <v>74</v>
      </c>
      <c r="D26" s="64">
        <v>0.1</v>
      </c>
      <c r="E26" s="62"/>
      <c r="F26" s="63">
        <f>F27-F25</f>
        <v>0</v>
      </c>
      <c r="G26" s="63"/>
      <c r="H26" s="63">
        <f>H27-H25</f>
        <v>0</v>
      </c>
      <c r="I26" s="63"/>
      <c r="J26" s="63">
        <f>J27-J25</f>
        <v>36.10135568898454</v>
      </c>
      <c r="K26" s="63"/>
      <c r="L26" s="63">
        <f>L27-L25</f>
        <v>26.383696486789262</v>
      </c>
      <c r="M26" s="63"/>
      <c r="N26" s="63">
        <f>N27-N25</f>
        <v>22.103898392558193</v>
      </c>
      <c r="O26" s="63"/>
      <c r="P26" s="63">
        <f>P27-P25</f>
        <v>19.96399934544263</v>
      </c>
    </row>
    <row r="27" spans="6:18" ht="12.75">
      <c r="F27" s="60">
        <f>F25/$R$27</f>
        <v>0</v>
      </c>
      <c r="G27" s="60"/>
      <c r="H27" s="60">
        <f>H25/$R$27</f>
        <v>0</v>
      </c>
      <c r="I27" s="60"/>
      <c r="J27" s="60">
        <f>J25/$R$27</f>
        <v>361.0135568898455</v>
      </c>
      <c r="K27" s="60"/>
      <c r="L27" s="60">
        <f>L25/$R$27</f>
        <v>263.8369648678927</v>
      </c>
      <c r="M27" s="60"/>
      <c r="N27" s="60">
        <f>N25/$R$27</f>
        <v>221.03898392558187</v>
      </c>
      <c r="O27" s="60"/>
      <c r="P27" s="60">
        <f>P25/$R$27</f>
        <v>199.63999345442642</v>
      </c>
      <c r="R27" s="72">
        <f>1-D26</f>
        <v>0.9</v>
      </c>
    </row>
    <row r="28" spans="3:16" ht="13.5" thickBot="1">
      <c r="C28" s="58" t="s">
        <v>75</v>
      </c>
      <c r="E28" s="62"/>
      <c r="F28" s="63">
        <v>0</v>
      </c>
      <c r="G28" s="62"/>
      <c r="H28" s="63">
        <v>0</v>
      </c>
      <c r="I28" s="62"/>
      <c r="J28" s="63">
        <v>7</v>
      </c>
      <c r="K28" s="62"/>
      <c r="L28" s="63">
        <v>7</v>
      </c>
      <c r="M28" s="62"/>
      <c r="N28" s="63">
        <v>7</v>
      </c>
      <c r="O28" s="62"/>
      <c r="P28" s="63">
        <v>7</v>
      </c>
    </row>
    <row r="29" spans="6:17" s="65" customFormat="1" ht="15.75" thickBot="1">
      <c r="F29" s="60">
        <f>SUM(F27:F28)</f>
        <v>0</v>
      </c>
      <c r="G29" s="58"/>
      <c r="H29" s="60">
        <f>SUM(H27:H28)</f>
        <v>0</v>
      </c>
      <c r="I29" s="58"/>
      <c r="J29" s="73">
        <f>SUM(J27:J28)</f>
        <v>368.0135568898455</v>
      </c>
      <c r="K29" s="73"/>
      <c r="L29" s="73">
        <f>SUM(L27:L28)</f>
        <v>270.8369648678927</v>
      </c>
      <c r="M29" s="73"/>
      <c r="N29" s="73">
        <f>SUM(N27:N28)</f>
        <v>228.03898392558187</v>
      </c>
      <c r="O29" s="73"/>
      <c r="P29" s="73">
        <f>SUM(P27:P28)</f>
        <v>206.63999345442642</v>
      </c>
      <c r="Q29" s="74"/>
    </row>
    <row r="30" spans="3:16" s="65" customFormat="1" ht="21" customHeight="1" thickBot="1">
      <c r="C30" s="66" t="s">
        <v>76</v>
      </c>
      <c r="D30" s="67"/>
      <c r="E30" s="67"/>
      <c r="F30" s="68"/>
      <c r="G30" s="67"/>
      <c r="H30" s="68"/>
      <c r="I30" s="67"/>
      <c r="J30" s="68">
        <v>369</v>
      </c>
      <c r="K30" s="67"/>
      <c r="L30" s="68">
        <v>271</v>
      </c>
      <c r="M30" s="67"/>
      <c r="N30" s="68">
        <v>229</v>
      </c>
      <c r="O30" s="67"/>
      <c r="P30" s="69">
        <v>207</v>
      </c>
    </row>
    <row r="31" spans="4:16" s="70" customFormat="1" ht="12.75">
      <c r="D31" s="70" t="s">
        <v>77</v>
      </c>
      <c r="F31" s="71">
        <f>F32-F30</f>
        <v>542</v>
      </c>
      <c r="G31" s="71"/>
      <c r="H31" s="71">
        <f>H32-H30</f>
        <v>308</v>
      </c>
      <c r="I31" s="71"/>
      <c r="J31" s="71">
        <f>J32-J30</f>
        <v>-177</v>
      </c>
      <c r="K31" s="71"/>
      <c r="L31" s="71">
        <f>L32-L30</f>
        <v>-117</v>
      </c>
      <c r="M31" s="71"/>
      <c r="N31" s="71">
        <f>N32-N30</f>
        <v>-95</v>
      </c>
      <c r="O31" s="71"/>
      <c r="P31" s="71">
        <f>P32-P30</f>
        <v>-87</v>
      </c>
    </row>
    <row r="32" spans="3:16" ht="12.75">
      <c r="C32" s="58" t="s">
        <v>78</v>
      </c>
      <c r="F32" s="58">
        <v>542</v>
      </c>
      <c r="H32" s="58">
        <v>308</v>
      </c>
      <c r="J32" s="58">
        <v>192</v>
      </c>
      <c r="L32" s="58">
        <v>154</v>
      </c>
      <c r="N32" s="58">
        <v>134</v>
      </c>
      <c r="P32" s="58">
        <v>120</v>
      </c>
    </row>
    <row r="36" ht="12.75">
      <c r="J36" s="60"/>
    </row>
    <row r="37" ht="12.75">
      <c r="J37" s="60"/>
    </row>
    <row r="38" ht="12.75">
      <c r="J38" s="60"/>
    </row>
    <row r="39" ht="12.75">
      <c r="J39" s="60"/>
    </row>
    <row r="40" ht="12.75">
      <c r="J40" s="60"/>
    </row>
    <row r="41" ht="12.75">
      <c r="J41" s="60"/>
    </row>
    <row r="42" ht="12.75">
      <c r="J42" s="60"/>
    </row>
  </sheetData>
  <mergeCells count="13">
    <mergeCell ref="M5:N5"/>
    <mergeCell ref="O5:P5"/>
    <mergeCell ref="G4:H4"/>
    <mergeCell ref="I4:J4"/>
    <mergeCell ref="E5:F5"/>
    <mergeCell ref="G5:H5"/>
    <mergeCell ref="I5:J5"/>
    <mergeCell ref="K5:L5"/>
    <mergeCell ref="K4:L4"/>
    <mergeCell ref="M4:N4"/>
    <mergeCell ref="O4:P4"/>
    <mergeCell ref="D2:P2"/>
    <mergeCell ref="E4:F4"/>
  </mergeCells>
  <printOptions/>
  <pageMargins left="0.75" right="0.75" top="1" bottom="1" header="0" footer="0"/>
  <pageSetup horizontalDpi="300" verticalDpi="300" orientation="landscape" paperSize="9" scale="87" r:id="rId1"/>
  <colBreaks count="1" manualBreakCount="1">
    <brk id="17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"/>
  <dimension ref="C2:R33"/>
  <sheetViews>
    <sheetView workbookViewId="0" topLeftCell="C1">
      <selection activeCell="F29" sqref="F29"/>
    </sheetView>
  </sheetViews>
  <sheetFormatPr defaultColWidth="11.421875" defaultRowHeight="12.75"/>
  <cols>
    <col min="1" max="1" width="2.28125" style="0" customWidth="1"/>
    <col min="2" max="2" width="2.140625" style="0" customWidth="1"/>
    <col min="3" max="3" width="18.140625" style="0" bestFit="1" customWidth="1"/>
    <col min="4" max="4" width="18.8515625" style="0" bestFit="1" customWidth="1"/>
    <col min="5" max="5" width="9.7109375" style="0" customWidth="1"/>
    <col min="6" max="6" width="7.7109375" style="0" customWidth="1"/>
    <col min="7" max="7" width="9.7109375" style="0" customWidth="1"/>
    <col min="8" max="8" width="7.8515625" style="0" customWidth="1"/>
    <col min="9" max="9" width="9.7109375" style="0" customWidth="1"/>
    <col min="10" max="10" width="7.8515625" style="0" customWidth="1"/>
    <col min="11" max="11" width="9.7109375" style="0" customWidth="1"/>
    <col min="12" max="12" width="7.8515625" style="0" customWidth="1"/>
    <col min="13" max="13" width="9.7109375" style="0" customWidth="1"/>
    <col min="14" max="14" width="7.8515625" style="0" customWidth="1"/>
    <col min="15" max="15" width="9.7109375" style="0" customWidth="1"/>
    <col min="16" max="16" width="7.7109375" style="0" customWidth="1"/>
  </cols>
  <sheetData>
    <row r="2" spans="4:16" ht="18">
      <c r="D2" s="581" t="s">
        <v>142</v>
      </c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</row>
    <row r="4" spans="3:16" ht="12.75">
      <c r="C4" s="16" t="s">
        <v>45</v>
      </c>
      <c r="D4" s="16" t="s">
        <v>46</v>
      </c>
      <c r="E4" s="582" t="s">
        <v>79</v>
      </c>
      <c r="F4" s="582"/>
      <c r="G4" s="582" t="s">
        <v>79</v>
      </c>
      <c r="H4" s="582"/>
      <c r="I4" s="582" t="s">
        <v>79</v>
      </c>
      <c r="J4" s="582"/>
      <c r="K4" s="582" t="s">
        <v>79</v>
      </c>
      <c r="L4" s="582"/>
      <c r="M4" s="582" t="s">
        <v>79</v>
      </c>
      <c r="N4" s="582"/>
      <c r="O4" s="582" t="s">
        <v>79</v>
      </c>
      <c r="P4" s="582"/>
    </row>
    <row r="5" spans="5:16" ht="12.75">
      <c r="E5" s="580" t="s">
        <v>48</v>
      </c>
      <c r="F5" s="580"/>
      <c r="G5" s="580" t="s">
        <v>49</v>
      </c>
      <c r="H5" s="580"/>
      <c r="I5" s="580" t="s">
        <v>80</v>
      </c>
      <c r="J5" s="580"/>
      <c r="K5" s="580" t="s">
        <v>51</v>
      </c>
      <c r="L5" s="580"/>
      <c r="M5" s="580" t="s">
        <v>52</v>
      </c>
      <c r="N5" s="580"/>
      <c r="O5" s="580" t="s">
        <v>53</v>
      </c>
      <c r="P5" s="580"/>
    </row>
    <row r="6" spans="3:16" ht="12.75">
      <c r="C6" t="s">
        <v>54</v>
      </c>
      <c r="D6" t="s">
        <v>81</v>
      </c>
      <c r="F6" s="15">
        <v>36</v>
      </c>
      <c r="H6" s="15">
        <v>25</v>
      </c>
      <c r="J6" s="15">
        <v>30</v>
      </c>
      <c r="L6" s="15">
        <v>28</v>
      </c>
      <c r="N6" s="15">
        <v>26</v>
      </c>
      <c r="P6" s="15">
        <v>26</v>
      </c>
    </row>
    <row r="7" spans="3:16" ht="12.75">
      <c r="C7" t="s">
        <v>58</v>
      </c>
      <c r="F7" s="15"/>
      <c r="H7" s="15"/>
      <c r="J7" s="15"/>
      <c r="L7" s="15"/>
      <c r="N7" s="15"/>
      <c r="P7" s="15"/>
    </row>
    <row r="8" spans="4:16" ht="12.75">
      <c r="D8" t="s">
        <v>82</v>
      </c>
      <c r="E8" t="s">
        <v>62</v>
      </c>
      <c r="F8" s="15">
        <v>1.8</v>
      </c>
      <c r="H8" s="15">
        <v>1.8</v>
      </c>
      <c r="J8" s="15">
        <v>1.8</v>
      </c>
      <c r="L8" s="15">
        <v>1.6</v>
      </c>
      <c r="N8" s="15">
        <v>1.6</v>
      </c>
      <c r="P8" s="15">
        <v>1.6</v>
      </c>
    </row>
    <row r="9" spans="4:16" ht="12.75">
      <c r="D9" t="s">
        <v>83</v>
      </c>
      <c r="E9" t="s">
        <v>62</v>
      </c>
      <c r="F9" s="15">
        <v>0</v>
      </c>
      <c r="H9" s="15">
        <v>0</v>
      </c>
      <c r="J9" s="15">
        <v>0</v>
      </c>
      <c r="L9" s="15">
        <v>0</v>
      </c>
      <c r="N9" s="15">
        <v>0</v>
      </c>
      <c r="P9" s="15">
        <v>0</v>
      </c>
    </row>
    <row r="10" spans="4:16" ht="12.75">
      <c r="D10" t="s">
        <v>84</v>
      </c>
      <c r="E10" t="s">
        <v>62</v>
      </c>
      <c r="F10" s="15">
        <v>1.5</v>
      </c>
      <c r="G10" s="15"/>
      <c r="H10" s="15">
        <v>1.5</v>
      </c>
      <c r="I10" s="15"/>
      <c r="J10" s="15">
        <v>1.5</v>
      </c>
      <c r="K10" s="15"/>
      <c r="L10" s="15">
        <v>1.5</v>
      </c>
      <c r="M10" s="15"/>
      <c r="N10" s="15">
        <v>1.5</v>
      </c>
      <c r="O10" s="15"/>
      <c r="P10" s="15">
        <v>1.5</v>
      </c>
    </row>
    <row r="11" spans="4:16" ht="12.75">
      <c r="D11" t="s">
        <v>64</v>
      </c>
      <c r="F11" s="15">
        <v>2</v>
      </c>
      <c r="G11" s="15"/>
      <c r="H11" s="15">
        <v>2</v>
      </c>
      <c r="I11" s="15"/>
      <c r="J11" s="15">
        <v>2</v>
      </c>
      <c r="K11" s="15"/>
      <c r="L11" s="15">
        <v>1.5</v>
      </c>
      <c r="M11" s="15"/>
      <c r="N11" s="15">
        <v>1.5</v>
      </c>
      <c r="O11" s="15"/>
      <c r="P11" s="15">
        <v>1.5</v>
      </c>
    </row>
    <row r="12" ht="14.25" customHeight="1">
      <c r="C12" t="s">
        <v>65</v>
      </c>
    </row>
    <row r="13" spans="4:16" ht="12.75">
      <c r="D13" t="s">
        <v>66</v>
      </c>
      <c r="F13" s="15">
        <v>3</v>
      </c>
      <c r="H13" s="15">
        <v>3</v>
      </c>
      <c r="J13" s="15">
        <v>3</v>
      </c>
      <c r="L13" s="15">
        <v>3</v>
      </c>
      <c r="N13" s="15">
        <v>3</v>
      </c>
      <c r="P13" s="15">
        <v>3</v>
      </c>
    </row>
    <row r="14" spans="3:16" ht="12.75">
      <c r="C14" t="s">
        <v>67</v>
      </c>
      <c r="F14" s="15"/>
      <c r="H14" s="15"/>
      <c r="J14" s="15"/>
      <c r="L14" s="15"/>
      <c r="N14" s="15"/>
      <c r="P14" s="15"/>
    </row>
    <row r="15" spans="4:16" ht="12.75">
      <c r="D15" t="s">
        <v>68</v>
      </c>
      <c r="F15" s="15">
        <v>90</v>
      </c>
      <c r="H15" s="15">
        <v>45</v>
      </c>
      <c r="J15" s="15">
        <v>18</v>
      </c>
      <c r="L15" s="15">
        <v>9</v>
      </c>
      <c r="N15" s="15">
        <v>7.2</v>
      </c>
      <c r="P15" s="15">
        <v>9</v>
      </c>
    </row>
    <row r="16" ht="12.75">
      <c r="C16" t="s">
        <v>69</v>
      </c>
    </row>
    <row r="17" spans="4:16" ht="12.75">
      <c r="D17" t="s">
        <v>70</v>
      </c>
      <c r="F17" s="15">
        <v>24</v>
      </c>
      <c r="H17" s="15">
        <v>24</v>
      </c>
      <c r="J17" s="15">
        <v>24</v>
      </c>
      <c r="L17" s="15">
        <v>0</v>
      </c>
      <c r="N17" s="13">
        <v>0</v>
      </c>
      <c r="P17" s="15">
        <v>0</v>
      </c>
    </row>
    <row r="18" spans="4:16" ht="13.5" thickBot="1">
      <c r="D18" t="s">
        <v>71</v>
      </c>
      <c r="E18" s="2"/>
      <c r="F18" s="14">
        <v>200</v>
      </c>
      <c r="G18" s="2"/>
      <c r="H18" s="14">
        <v>100</v>
      </c>
      <c r="I18" s="2"/>
      <c r="J18" s="14">
        <v>50</v>
      </c>
      <c r="K18" s="2"/>
      <c r="L18" s="14">
        <v>60</v>
      </c>
      <c r="M18" s="2"/>
      <c r="N18" s="14">
        <v>48</v>
      </c>
      <c r="O18" s="2"/>
      <c r="P18" s="14">
        <v>40</v>
      </c>
    </row>
    <row r="19" spans="6:16" ht="12.75">
      <c r="F19" s="15">
        <f>SUM(F6:F18)</f>
        <v>358.3</v>
      </c>
      <c r="G19" s="15"/>
      <c r="H19" s="15">
        <f>SUM(H6:H18)</f>
        <v>202.3</v>
      </c>
      <c r="I19" s="15"/>
      <c r="J19" s="15">
        <f>SUM(J6:J18)</f>
        <v>130.3</v>
      </c>
      <c r="K19" s="15"/>
      <c r="L19" s="15">
        <f>SUM(L6:L18)</f>
        <v>104.6</v>
      </c>
      <c r="M19" s="15"/>
      <c r="N19" s="15">
        <f>SUM(N6:N18)</f>
        <v>88.80000000000001</v>
      </c>
      <c r="O19" s="15"/>
      <c r="P19" s="15">
        <f>SUM(P6:P18)</f>
        <v>82.6</v>
      </c>
    </row>
    <row r="20" spans="3:18" ht="13.5" thickBot="1">
      <c r="C20" t="s">
        <v>72</v>
      </c>
      <c r="D20" s="17">
        <v>0.03</v>
      </c>
      <c r="E20" s="2"/>
      <c r="F20" s="14">
        <f>F21-F19</f>
        <v>11.081443298969077</v>
      </c>
      <c r="G20" s="14"/>
      <c r="H20" s="14">
        <f>H21-H19</f>
        <v>6.256701030927843</v>
      </c>
      <c r="I20" s="14"/>
      <c r="J20" s="14">
        <f>J21-J19</f>
        <v>4.029896907216511</v>
      </c>
      <c r="K20" s="14"/>
      <c r="L20" s="14">
        <f>L21-L19</f>
        <v>3.235051546391759</v>
      </c>
      <c r="M20" s="14"/>
      <c r="N20" s="14">
        <f>N21-N19</f>
        <v>2.746391752577324</v>
      </c>
      <c r="O20" s="14"/>
      <c r="P20" s="14">
        <f>P21-P19</f>
        <v>2.5546391752577335</v>
      </c>
      <c r="R20" s="75"/>
    </row>
    <row r="21" spans="6:18" ht="12.75">
      <c r="F21" s="15">
        <f>F19/$R$21</f>
        <v>369.3814432989691</v>
      </c>
      <c r="G21" s="15"/>
      <c r="H21" s="15">
        <f>H19/$R$21</f>
        <v>208.55670103092785</v>
      </c>
      <c r="I21" s="15"/>
      <c r="J21" s="15">
        <f>J19/$R$21</f>
        <v>134.32989690721652</v>
      </c>
      <c r="K21" s="15"/>
      <c r="L21" s="15">
        <f>L19/$R$21</f>
        <v>107.83505154639175</v>
      </c>
      <c r="M21" s="15"/>
      <c r="N21" s="15">
        <f>N19/$R$21</f>
        <v>91.54639175257734</v>
      </c>
      <c r="O21" s="15"/>
      <c r="P21" s="15">
        <f>P19/$R$21</f>
        <v>85.15463917525773</v>
      </c>
      <c r="R21" s="75">
        <f>1-D20</f>
        <v>0.97</v>
      </c>
    </row>
    <row r="22" spans="3:18" ht="13.5" thickBot="1">
      <c r="C22" t="s">
        <v>73</v>
      </c>
      <c r="D22" s="17">
        <v>0.09</v>
      </c>
      <c r="E22" s="2"/>
      <c r="F22" s="14">
        <f>F23-F21</f>
        <v>36.53223065594199</v>
      </c>
      <c r="G22" s="14"/>
      <c r="H22" s="14">
        <f>H23-H21</f>
        <v>20.6264869151467</v>
      </c>
      <c r="I22" s="14"/>
      <c r="J22" s="14">
        <f>J23-J21</f>
        <v>13.285374419395026</v>
      </c>
      <c r="K22" s="14"/>
      <c r="L22" s="14">
        <f>L23-L21</f>
        <v>10.66500509799478</v>
      </c>
      <c r="M22" s="14"/>
      <c r="N22" s="14">
        <f>N23-N21</f>
        <v>9.05403874476039</v>
      </c>
      <c r="O22" s="14"/>
      <c r="P22" s="14">
        <f>P23-P21</f>
        <v>8.421887390959554</v>
      </c>
      <c r="R22" s="75"/>
    </row>
    <row r="23" spans="6:18" ht="12.75">
      <c r="F23" s="15">
        <f>F21/$R$23</f>
        <v>405.9136739549111</v>
      </c>
      <c r="G23" s="15"/>
      <c r="H23" s="15">
        <f>H21/$R$23</f>
        <v>229.18318794607455</v>
      </c>
      <c r="I23" s="15"/>
      <c r="J23" s="15">
        <f>J21/$R$23</f>
        <v>147.61527132661155</v>
      </c>
      <c r="K23" s="15"/>
      <c r="L23" s="15">
        <f>L21/$R$23</f>
        <v>118.50005664438653</v>
      </c>
      <c r="M23" s="15"/>
      <c r="N23" s="15">
        <f>N21/$R$23</f>
        <v>100.60043049733773</v>
      </c>
      <c r="O23" s="15"/>
      <c r="P23" s="15">
        <f>P21/$R$23</f>
        <v>93.57652656621728</v>
      </c>
      <c r="R23" s="75">
        <f>1-D22</f>
        <v>0.91</v>
      </c>
    </row>
    <row r="24" spans="3:18" ht="13.5" customHeight="1" thickBot="1">
      <c r="C24" t="s">
        <v>74</v>
      </c>
      <c r="D24" s="17">
        <v>0.1</v>
      </c>
      <c r="E24" s="2"/>
      <c r="F24" s="14">
        <f>F25-F23</f>
        <v>45.101519328323434</v>
      </c>
      <c r="G24" s="14"/>
      <c r="H24" s="14">
        <f>H25-H23</f>
        <v>25.464798660674944</v>
      </c>
      <c r="I24" s="14"/>
      <c r="J24" s="14">
        <f>J25-J23</f>
        <v>16.401696814067947</v>
      </c>
      <c r="K24" s="14"/>
      <c r="L24" s="14">
        <f>L25-L23</f>
        <v>13.16667296048739</v>
      </c>
      <c r="M24" s="14"/>
      <c r="N24" s="14">
        <f>N25-N23</f>
        <v>11.177825610815304</v>
      </c>
      <c r="O24" s="14"/>
      <c r="P24" s="14">
        <f>P25-P23</f>
        <v>10.397391840690801</v>
      </c>
      <c r="R24" s="75"/>
    </row>
    <row r="25" spans="6:18" ht="12.75">
      <c r="F25" s="15">
        <f>F23/$R$25</f>
        <v>451.0151932832345</v>
      </c>
      <c r="G25" s="15"/>
      <c r="H25" s="15">
        <f>H23/$R$25</f>
        <v>254.6479866067495</v>
      </c>
      <c r="I25" s="15"/>
      <c r="J25" s="15">
        <f>J23/$R$25</f>
        <v>164.0169681406795</v>
      </c>
      <c r="K25" s="15"/>
      <c r="L25" s="15">
        <f>L23/$R$25</f>
        <v>131.66672960487392</v>
      </c>
      <c r="M25" s="15"/>
      <c r="N25" s="15">
        <f>N23/$R$25</f>
        <v>111.77825610815303</v>
      </c>
      <c r="O25" s="15"/>
      <c r="P25" s="15">
        <f>P23/$R$25</f>
        <v>103.97391840690808</v>
      </c>
      <c r="R25" s="75">
        <f>1-D24</f>
        <v>0.9</v>
      </c>
    </row>
    <row r="26" spans="3:18" ht="13.5" thickBot="1">
      <c r="C26" t="s">
        <v>75</v>
      </c>
      <c r="E26" s="2"/>
      <c r="F26" s="14">
        <v>10</v>
      </c>
      <c r="G26" s="2"/>
      <c r="H26" s="14">
        <v>10</v>
      </c>
      <c r="I26" s="2"/>
      <c r="J26" s="14">
        <v>10</v>
      </c>
      <c r="K26" s="2"/>
      <c r="L26" s="14">
        <v>10</v>
      </c>
      <c r="M26" s="2"/>
      <c r="N26" s="14">
        <v>10</v>
      </c>
      <c r="O26" s="2"/>
      <c r="P26" s="14">
        <v>10</v>
      </c>
      <c r="R26" s="75"/>
    </row>
    <row r="27" spans="6:18" s="18" customFormat="1" ht="15">
      <c r="F27">
        <f>SUM(F25:F26)</f>
        <v>461.0151932832345</v>
      </c>
      <c r="G27"/>
      <c r="H27">
        <f>SUM(H25:H26)</f>
        <v>264.6479866067495</v>
      </c>
      <c r="I27"/>
      <c r="J27">
        <f>SUM(J25:J26)</f>
        <v>174.0169681406795</v>
      </c>
      <c r="K27"/>
      <c r="L27">
        <f>SUM(L25:L26)</f>
        <v>141.66672960487392</v>
      </c>
      <c r="M27"/>
      <c r="N27">
        <f>SUM(N25:N26)</f>
        <v>121.77825610815303</v>
      </c>
      <c r="O27"/>
      <c r="P27">
        <f>SUM(P25:P26)</f>
        <v>113.97391840690808</v>
      </c>
      <c r="R27" s="76"/>
    </row>
    <row r="28" spans="6:18" s="18" customFormat="1" ht="15">
      <c r="F28"/>
      <c r="G28"/>
      <c r="H28"/>
      <c r="I28"/>
      <c r="J28"/>
      <c r="K28"/>
      <c r="L28"/>
      <c r="M28"/>
      <c r="N28"/>
      <c r="O28"/>
      <c r="P28"/>
      <c r="R28" s="76"/>
    </row>
    <row r="29" spans="3:18" s="18" customFormat="1" ht="15">
      <c r="C29" s="90" t="s">
        <v>23</v>
      </c>
      <c r="F29"/>
      <c r="G29"/>
      <c r="H29"/>
      <c r="I29"/>
      <c r="J29"/>
      <c r="K29"/>
      <c r="L29"/>
      <c r="M29"/>
      <c r="N29"/>
      <c r="O29"/>
      <c r="P29"/>
      <c r="R29" s="76"/>
    </row>
    <row r="30" spans="6:18" s="18" customFormat="1" ht="15.75" thickBot="1">
      <c r="F30"/>
      <c r="G30"/>
      <c r="H30"/>
      <c r="I30"/>
      <c r="J30"/>
      <c r="K30"/>
      <c r="L30"/>
      <c r="M30"/>
      <c r="N30"/>
      <c r="O30"/>
      <c r="P30"/>
      <c r="R30" s="76"/>
    </row>
    <row r="31" spans="3:16" s="18" customFormat="1" ht="21" customHeight="1" thickBot="1">
      <c r="C31" s="19" t="s">
        <v>76</v>
      </c>
      <c r="D31" s="20"/>
      <c r="E31" s="20"/>
      <c r="F31" s="21">
        <v>462</v>
      </c>
      <c r="G31" s="20"/>
      <c r="H31" s="21">
        <v>265</v>
      </c>
      <c r="I31" s="20"/>
      <c r="J31" s="21">
        <v>175</v>
      </c>
      <c r="K31" s="20"/>
      <c r="L31" s="93">
        <v>200</v>
      </c>
      <c r="M31" s="20"/>
      <c r="N31" s="21">
        <v>125</v>
      </c>
      <c r="O31" s="20"/>
      <c r="P31" s="22">
        <v>114</v>
      </c>
    </row>
    <row r="32" spans="4:16" s="3" customFormat="1" ht="12.75">
      <c r="D32" s="3" t="s">
        <v>77</v>
      </c>
      <c r="F32" s="23">
        <f>F33-F31</f>
        <v>80</v>
      </c>
      <c r="G32" s="23"/>
      <c r="H32" s="23">
        <f>H33-H31</f>
        <v>43</v>
      </c>
      <c r="I32" s="23"/>
      <c r="J32" s="23">
        <f>J33-J31</f>
        <v>17</v>
      </c>
      <c r="K32" s="23"/>
      <c r="L32" s="23">
        <f>L33-L31</f>
        <v>-46</v>
      </c>
      <c r="M32" s="23"/>
      <c r="N32" s="23">
        <f>N33-N31</f>
        <v>9</v>
      </c>
      <c r="O32" s="23"/>
      <c r="P32" s="23">
        <f>P33-P31</f>
        <v>6</v>
      </c>
    </row>
    <row r="33" spans="3:16" ht="12.75">
      <c r="C33" t="s">
        <v>78</v>
      </c>
      <c r="F33">
        <v>542</v>
      </c>
      <c r="H33">
        <v>308</v>
      </c>
      <c r="J33">
        <v>192</v>
      </c>
      <c r="L33">
        <v>154</v>
      </c>
      <c r="N33">
        <v>134</v>
      </c>
      <c r="P33">
        <v>120</v>
      </c>
    </row>
  </sheetData>
  <mergeCells count="13">
    <mergeCell ref="D2:P2"/>
    <mergeCell ref="E4:F4"/>
    <mergeCell ref="G4:H4"/>
    <mergeCell ref="I4:J4"/>
    <mergeCell ref="K4:L4"/>
    <mergeCell ref="M4:N4"/>
    <mergeCell ref="O4:P4"/>
    <mergeCell ref="M5:N5"/>
    <mergeCell ref="O5:P5"/>
    <mergeCell ref="E5:F5"/>
    <mergeCell ref="G5:H5"/>
    <mergeCell ref="I5:J5"/>
    <mergeCell ref="K5:L5"/>
  </mergeCell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"/>
  <dimension ref="C2:R47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1.8515625" style="0" customWidth="1"/>
    <col min="3" max="3" width="18.57421875" style="0" customWidth="1"/>
    <col min="4" max="4" width="17.7109375" style="0" customWidth="1"/>
    <col min="5" max="5" width="9.7109375" style="0" customWidth="1"/>
    <col min="6" max="7" width="9.57421875" style="0" customWidth="1"/>
    <col min="8" max="8" width="9.28125" style="0" customWidth="1"/>
    <col min="9" max="9" width="9.57421875" style="0" customWidth="1"/>
    <col min="10" max="10" width="9.28125" style="0" customWidth="1"/>
    <col min="11" max="11" width="9.7109375" style="0" customWidth="1"/>
    <col min="12" max="12" width="9.28125" style="0" customWidth="1"/>
    <col min="13" max="13" width="9.7109375" style="0" customWidth="1"/>
    <col min="14" max="14" width="8.00390625" style="0" customWidth="1"/>
    <col min="15" max="15" width="9.57421875" style="0" customWidth="1"/>
    <col min="16" max="16" width="7.8515625" style="0" customWidth="1"/>
  </cols>
  <sheetData>
    <row r="2" spans="4:16" ht="18">
      <c r="D2" s="581" t="s">
        <v>85</v>
      </c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</row>
    <row r="4" spans="3:16" ht="12.75">
      <c r="C4" s="16" t="s">
        <v>45</v>
      </c>
      <c r="D4" s="16" t="s">
        <v>46</v>
      </c>
      <c r="E4" s="582" t="s">
        <v>79</v>
      </c>
      <c r="F4" s="582"/>
      <c r="G4" s="582" t="s">
        <v>79</v>
      </c>
      <c r="H4" s="582"/>
      <c r="I4" s="582" t="s">
        <v>79</v>
      </c>
      <c r="J4" s="582"/>
      <c r="K4" s="582" t="s">
        <v>79</v>
      </c>
      <c r="L4" s="582"/>
      <c r="M4" s="582" t="s">
        <v>79</v>
      </c>
      <c r="N4" s="582"/>
      <c r="O4" s="582" t="s">
        <v>79</v>
      </c>
      <c r="P4" s="582"/>
    </row>
    <row r="5" spans="5:16" ht="12.75">
      <c r="E5" s="580" t="s">
        <v>48</v>
      </c>
      <c r="F5" s="580"/>
      <c r="G5" s="580" t="s">
        <v>49</v>
      </c>
      <c r="H5" s="580"/>
      <c r="I5" s="580" t="s">
        <v>80</v>
      </c>
      <c r="J5" s="580"/>
      <c r="K5" s="580" t="s">
        <v>51</v>
      </c>
      <c r="L5" s="580"/>
      <c r="M5" s="580" t="s">
        <v>52</v>
      </c>
      <c r="N5" s="580"/>
      <c r="O5" s="580" t="s">
        <v>53</v>
      </c>
      <c r="P5" s="580"/>
    </row>
    <row r="6" spans="3:16" ht="12.75">
      <c r="C6" t="s">
        <v>54</v>
      </c>
      <c r="D6" t="s">
        <v>81</v>
      </c>
      <c r="F6" s="15">
        <v>36</v>
      </c>
      <c r="H6" s="15">
        <v>25</v>
      </c>
      <c r="J6" s="15">
        <v>30</v>
      </c>
      <c r="L6" s="15">
        <v>28</v>
      </c>
      <c r="N6" s="15">
        <v>26</v>
      </c>
      <c r="P6" s="15">
        <v>26</v>
      </c>
    </row>
    <row r="7" spans="3:16" ht="12.75">
      <c r="C7" t="s">
        <v>58</v>
      </c>
      <c r="F7" s="15"/>
      <c r="H7" s="15"/>
      <c r="J7" s="15"/>
      <c r="L7" s="15"/>
      <c r="N7" s="15"/>
      <c r="P7" s="15"/>
    </row>
    <row r="8" spans="4:16" ht="12.75">
      <c r="D8" t="s">
        <v>86</v>
      </c>
      <c r="E8" t="s">
        <v>87</v>
      </c>
      <c r="F8" s="15">
        <v>1.8</v>
      </c>
      <c r="H8" s="15">
        <v>1.8</v>
      </c>
      <c r="J8" s="15">
        <v>1.8</v>
      </c>
      <c r="L8" s="15">
        <v>1.8</v>
      </c>
      <c r="N8" s="15">
        <v>1.8</v>
      </c>
      <c r="P8" s="15">
        <v>1.8</v>
      </c>
    </row>
    <row r="9" spans="4:16" ht="12.75">
      <c r="D9" t="s">
        <v>83</v>
      </c>
      <c r="E9" t="s">
        <v>62</v>
      </c>
      <c r="F9" s="15">
        <v>0</v>
      </c>
      <c r="H9" s="15">
        <v>0</v>
      </c>
      <c r="J9" s="15">
        <v>0</v>
      </c>
      <c r="L9" s="15">
        <v>0</v>
      </c>
      <c r="N9" s="15">
        <v>0</v>
      </c>
      <c r="P9" s="15">
        <v>0</v>
      </c>
    </row>
    <row r="10" spans="4:16" ht="12.75">
      <c r="D10" t="s">
        <v>84</v>
      </c>
      <c r="E10" t="s">
        <v>87</v>
      </c>
      <c r="F10" s="15">
        <v>1.5</v>
      </c>
      <c r="G10" s="15"/>
      <c r="H10" s="15">
        <v>1.5</v>
      </c>
      <c r="I10" s="15"/>
      <c r="J10" s="15">
        <v>1.5</v>
      </c>
      <c r="K10" s="15"/>
      <c r="L10" s="15">
        <v>1.5</v>
      </c>
      <c r="M10" s="15"/>
      <c r="N10" s="15">
        <v>1.5</v>
      </c>
      <c r="O10" s="15"/>
      <c r="P10" s="15">
        <v>1.5</v>
      </c>
    </row>
    <row r="11" spans="4:16" ht="12.75">
      <c r="D11" t="s">
        <v>64</v>
      </c>
      <c r="F11" s="15">
        <v>2</v>
      </c>
      <c r="G11" s="15"/>
      <c r="H11" s="15">
        <v>2</v>
      </c>
      <c r="I11" s="15"/>
      <c r="J11" s="15">
        <v>2</v>
      </c>
      <c r="K11" s="15"/>
      <c r="L11" s="15">
        <v>1.5</v>
      </c>
      <c r="M11" s="15"/>
      <c r="N11" s="15">
        <v>1.5</v>
      </c>
      <c r="O11" s="15"/>
      <c r="P11" s="15">
        <v>1.5</v>
      </c>
    </row>
    <row r="12" ht="14.25" customHeight="1">
      <c r="C12" t="s">
        <v>65</v>
      </c>
    </row>
    <row r="13" spans="4:16" ht="12.75">
      <c r="D13" t="s">
        <v>66</v>
      </c>
      <c r="F13" s="15">
        <v>3</v>
      </c>
      <c r="H13" s="15">
        <v>3</v>
      </c>
      <c r="J13" s="15">
        <v>3</v>
      </c>
      <c r="L13" s="15">
        <v>3</v>
      </c>
      <c r="N13" s="15">
        <v>3</v>
      </c>
      <c r="P13" s="15">
        <v>3</v>
      </c>
    </row>
    <row r="14" spans="3:16" ht="12.75">
      <c r="C14" t="s">
        <v>67</v>
      </c>
      <c r="F14" s="15"/>
      <c r="H14" s="15"/>
      <c r="J14" s="15"/>
      <c r="L14" s="15"/>
      <c r="N14" s="15"/>
      <c r="P14" s="15"/>
    </row>
    <row r="15" spans="4:16" ht="12.75">
      <c r="D15" t="s">
        <v>68</v>
      </c>
      <c r="F15" s="15">
        <v>90</v>
      </c>
      <c r="H15" s="15">
        <v>45</v>
      </c>
      <c r="J15" s="15">
        <v>18</v>
      </c>
      <c r="L15" s="15">
        <v>9</v>
      </c>
      <c r="N15" s="15">
        <v>7.2</v>
      </c>
      <c r="P15" s="15">
        <v>9</v>
      </c>
    </row>
    <row r="16" ht="12.75">
      <c r="C16" t="s">
        <v>69</v>
      </c>
    </row>
    <row r="17" spans="4:16" ht="12.75">
      <c r="D17" t="s">
        <v>70</v>
      </c>
      <c r="F17" s="15">
        <v>24</v>
      </c>
      <c r="H17" s="15">
        <v>24</v>
      </c>
      <c r="J17" s="15">
        <v>24</v>
      </c>
      <c r="L17" s="15">
        <v>60</v>
      </c>
      <c r="N17" s="15">
        <v>50</v>
      </c>
      <c r="P17">
        <v>40</v>
      </c>
    </row>
    <row r="18" spans="4:16" ht="13.5" thickBot="1">
      <c r="D18" t="s">
        <v>71</v>
      </c>
      <c r="E18" s="2"/>
      <c r="F18" s="14">
        <v>200</v>
      </c>
      <c r="G18" s="2"/>
      <c r="H18" s="14">
        <v>100</v>
      </c>
      <c r="I18" s="2"/>
      <c r="J18" s="14">
        <v>50</v>
      </c>
      <c r="K18" s="2"/>
      <c r="L18" s="2">
        <v>0</v>
      </c>
      <c r="M18" s="2"/>
      <c r="N18" s="2">
        <v>0</v>
      </c>
      <c r="O18" s="2"/>
      <c r="P18" s="2">
        <v>0</v>
      </c>
    </row>
    <row r="19" spans="6:16" ht="12.75">
      <c r="F19" s="15">
        <f>SUM(F6:F18)</f>
        <v>358.3</v>
      </c>
      <c r="G19" s="15"/>
      <c r="H19" s="15">
        <f>SUM(H6:H18)</f>
        <v>202.3</v>
      </c>
      <c r="I19" s="15"/>
      <c r="J19" s="15">
        <f>SUM(J6:J18)</f>
        <v>130.3</v>
      </c>
      <c r="K19" s="15"/>
      <c r="L19" s="15">
        <f>SUM(L6:L18)</f>
        <v>104.8</v>
      </c>
      <c r="M19" s="15"/>
      <c r="N19" s="15">
        <f>SUM(N6:N18)</f>
        <v>91</v>
      </c>
      <c r="O19" s="15"/>
      <c r="P19" s="15">
        <f>SUM(P6:P18)</f>
        <v>82.8</v>
      </c>
    </row>
    <row r="20" spans="3:18" ht="13.5" thickBot="1">
      <c r="C20" t="s">
        <v>72</v>
      </c>
      <c r="D20" s="17">
        <v>0.03</v>
      </c>
      <c r="E20" s="2"/>
      <c r="F20" s="14">
        <v>17.79</v>
      </c>
      <c r="G20" s="14"/>
      <c r="H20" s="14">
        <v>9.35</v>
      </c>
      <c r="I20" s="14"/>
      <c r="J20" s="14">
        <v>5.94</v>
      </c>
      <c r="K20" s="14"/>
      <c r="L20" s="14">
        <v>4.69</v>
      </c>
      <c r="M20" s="14"/>
      <c r="N20" s="14">
        <v>4.01</v>
      </c>
      <c r="O20" s="14"/>
      <c r="P20" s="14">
        <v>3.52</v>
      </c>
      <c r="R20" s="75">
        <f>1-D20</f>
        <v>0.97</v>
      </c>
    </row>
    <row r="21" spans="6:18" ht="12.75">
      <c r="F21" s="15">
        <f>F19/$R$20</f>
        <v>369.3814432989691</v>
      </c>
      <c r="G21" s="15"/>
      <c r="H21" s="15">
        <f>H19/$R$20</f>
        <v>208.55670103092785</v>
      </c>
      <c r="I21" s="15"/>
      <c r="J21" s="15">
        <f>J19/$R$20</f>
        <v>134.32989690721652</v>
      </c>
      <c r="K21" s="15"/>
      <c r="L21" s="15">
        <f>L19/$R$20</f>
        <v>108.04123711340206</v>
      </c>
      <c r="M21" s="15"/>
      <c r="N21" s="15">
        <f>N19/$R$20</f>
        <v>93.81443298969073</v>
      </c>
      <c r="O21" s="15"/>
      <c r="P21" s="15">
        <f>P19/$R$20</f>
        <v>85.36082474226804</v>
      </c>
      <c r="R21" s="75"/>
    </row>
    <row r="22" spans="3:18" ht="13.5" thickBot="1">
      <c r="C22" t="s">
        <v>75</v>
      </c>
      <c r="E22" s="2"/>
      <c r="F22" s="14">
        <v>10</v>
      </c>
      <c r="G22" s="2"/>
      <c r="H22" s="14">
        <v>10</v>
      </c>
      <c r="I22" s="2"/>
      <c r="J22" s="14">
        <v>10</v>
      </c>
      <c r="K22" s="2"/>
      <c r="L22" s="14">
        <v>10</v>
      </c>
      <c r="M22" s="2"/>
      <c r="N22" s="14">
        <v>10</v>
      </c>
      <c r="O22" s="2"/>
      <c r="P22" s="14">
        <v>10</v>
      </c>
      <c r="R22" s="75"/>
    </row>
    <row r="23" spans="6:18" ht="12" customHeight="1">
      <c r="F23" s="15">
        <f>SUM(F21:F22)</f>
        <v>379.3814432989691</v>
      </c>
      <c r="G23" s="15"/>
      <c r="H23" s="15">
        <f>SUM(H21:H22)</f>
        <v>218.55670103092785</v>
      </c>
      <c r="I23" s="15"/>
      <c r="J23" s="15">
        <f>SUM(J21:J22)</f>
        <v>144.32989690721652</v>
      </c>
      <c r="K23" s="15"/>
      <c r="L23" s="15">
        <f>SUM(L21:L22)</f>
        <v>118.04123711340206</v>
      </c>
      <c r="M23" s="15"/>
      <c r="N23" s="15">
        <f>SUM(N21:N22)</f>
        <v>103.81443298969073</v>
      </c>
      <c r="O23" s="15"/>
      <c r="P23" s="15">
        <f>SUM(P21:P22)</f>
        <v>95.36082474226804</v>
      </c>
      <c r="R23" s="75"/>
    </row>
    <row r="24" spans="3:18" ht="13.5" thickBot="1">
      <c r="C24" t="s">
        <v>73</v>
      </c>
      <c r="D24" s="17">
        <v>0.15</v>
      </c>
      <c r="E24" s="2"/>
      <c r="F24" s="14">
        <f>F25-F23</f>
        <v>66.94966646452394</v>
      </c>
      <c r="G24" s="14"/>
      <c r="H24" s="14">
        <f>H25-H23</f>
        <v>38.56882959369318</v>
      </c>
      <c r="I24" s="14"/>
      <c r="J24" s="14">
        <f>J25-J23</f>
        <v>25.469981807155875</v>
      </c>
      <c r="K24" s="14"/>
      <c r="L24" s="14">
        <f>L25-L23</f>
        <v>20.830806549423883</v>
      </c>
      <c r="M24" s="14"/>
      <c r="N24" s="14">
        <f>N25-N23</f>
        <v>18.320194057004244</v>
      </c>
      <c r="O24" s="14"/>
      <c r="P24" s="14">
        <f>P25-P23</f>
        <v>16.828380836870835</v>
      </c>
      <c r="R24" s="75">
        <f>1-D24</f>
        <v>0.85</v>
      </c>
    </row>
    <row r="25" spans="6:18" ht="12" customHeight="1">
      <c r="F25" s="15">
        <f>F23/$R$24</f>
        <v>446.33110976349303</v>
      </c>
      <c r="G25" s="15"/>
      <c r="H25" s="15">
        <f>H23/$R$24</f>
        <v>257.12553062462104</v>
      </c>
      <c r="I25" s="15"/>
      <c r="J25" s="15">
        <f>J23/$R$24</f>
        <v>169.7998787143724</v>
      </c>
      <c r="K25" s="15"/>
      <c r="L25" s="15">
        <f>L23/$R$24</f>
        <v>138.87204366282594</v>
      </c>
      <c r="M25" s="15"/>
      <c r="N25" s="15">
        <f>N23/$R$24</f>
        <v>122.13462704669497</v>
      </c>
      <c r="O25" s="15"/>
      <c r="P25" s="15">
        <f>P23/$R$24</f>
        <v>112.18920557913887</v>
      </c>
      <c r="R25" s="75"/>
    </row>
    <row r="26" spans="3:18" ht="13.5" thickBot="1">
      <c r="C26" t="s">
        <v>74</v>
      </c>
      <c r="D26" s="17">
        <v>0.1</v>
      </c>
      <c r="E26" s="2"/>
      <c r="F26" s="14">
        <f>F27-F25</f>
        <v>49.592345529277</v>
      </c>
      <c r="G26" s="14"/>
      <c r="H26" s="14">
        <f>H27-H25</f>
        <v>28.569503402735677</v>
      </c>
      <c r="I26" s="14"/>
      <c r="J26" s="14">
        <f>J27-J25</f>
        <v>18.866653190485806</v>
      </c>
      <c r="K26" s="14"/>
      <c r="L26" s="14">
        <f>L27-L25</f>
        <v>15.43022707364733</v>
      </c>
      <c r="M26" s="14"/>
      <c r="N26" s="14">
        <f>N27-N25</f>
        <v>13.570514116299435</v>
      </c>
      <c r="O26" s="14"/>
      <c r="P26" s="14">
        <f>P27-P25</f>
        <v>12.465467286570984</v>
      </c>
      <c r="R26" s="75">
        <f>1-D26</f>
        <v>0.9</v>
      </c>
    </row>
    <row r="27" spans="4:18" ht="12.75">
      <c r="D27" s="17"/>
      <c r="E27" s="1"/>
      <c r="F27" s="13">
        <f>F25/$R$26</f>
        <v>495.92345529277003</v>
      </c>
      <c r="G27" s="13"/>
      <c r="H27" s="13">
        <f>H25/$R$26</f>
        <v>285.6950340273567</v>
      </c>
      <c r="I27" s="13"/>
      <c r="J27" s="13">
        <f>J25/$R$26</f>
        <v>188.6665319048582</v>
      </c>
      <c r="K27" s="13"/>
      <c r="L27" s="13">
        <f>L25/$R$26</f>
        <v>154.30227073647328</v>
      </c>
      <c r="M27" s="13"/>
      <c r="N27" s="13">
        <f>N25/$R$26</f>
        <v>135.7051411629944</v>
      </c>
      <c r="O27" s="13"/>
      <c r="P27" s="13">
        <f>P25/$R$26</f>
        <v>124.65467286570986</v>
      </c>
      <c r="R27" s="75"/>
    </row>
    <row r="28" ht="13.5" thickBot="1">
      <c r="R28" s="75"/>
    </row>
    <row r="29" spans="3:18" ht="25.5" customHeight="1" thickBot="1">
      <c r="C29" s="24" t="s">
        <v>78</v>
      </c>
      <c r="D29" s="12"/>
      <c r="E29" s="25"/>
      <c r="F29" s="26">
        <v>542</v>
      </c>
      <c r="G29" s="26"/>
      <c r="H29" s="26">
        <v>308</v>
      </c>
      <c r="I29" s="26"/>
      <c r="J29" s="26">
        <v>192</v>
      </c>
      <c r="K29" s="26"/>
      <c r="L29" s="26">
        <v>154</v>
      </c>
      <c r="M29" s="26"/>
      <c r="N29" s="26">
        <v>134</v>
      </c>
      <c r="O29" s="26"/>
      <c r="P29" s="26">
        <v>120</v>
      </c>
      <c r="R29" s="75"/>
    </row>
    <row r="30" spans="3:16" ht="12.75">
      <c r="C30" t="s">
        <v>88</v>
      </c>
      <c r="F30">
        <v>506.37266132111483</v>
      </c>
      <c r="H30">
        <v>285.3546567979558</v>
      </c>
      <c r="J30">
        <v>175.94707316356798</v>
      </c>
      <c r="L30">
        <v>140.70167709342965</v>
      </c>
      <c r="N30">
        <v>121.90413252268922</v>
      </c>
      <c r="P30">
        <v>108.39339736246953</v>
      </c>
    </row>
    <row r="32" spans="4:16" ht="12.75">
      <c r="D32" t="s">
        <v>77</v>
      </c>
      <c r="F32" s="15">
        <f>F29-F30</f>
        <v>35.62733867888517</v>
      </c>
      <c r="G32" s="15"/>
      <c r="H32" s="15">
        <f aca="true" t="shared" si="0" ref="H32:P32">H29-H30</f>
        <v>22.645343202044216</v>
      </c>
      <c r="I32" s="15"/>
      <c r="J32" s="15">
        <f t="shared" si="0"/>
        <v>16.05292683643202</v>
      </c>
      <c r="K32" s="15"/>
      <c r="L32" s="15">
        <f t="shared" si="0"/>
        <v>13.298322906570348</v>
      </c>
      <c r="M32" s="15"/>
      <c r="N32" s="15">
        <f t="shared" si="0"/>
        <v>12.095867477310776</v>
      </c>
      <c r="O32" s="15"/>
      <c r="P32" s="15">
        <f t="shared" si="0"/>
        <v>11.606602637530472</v>
      </c>
    </row>
    <row r="45" spans="3:18" ht="12.75">
      <c r="C45" t="s">
        <v>73</v>
      </c>
      <c r="D45">
        <v>0.15</v>
      </c>
      <c r="F45">
        <v>118.59</v>
      </c>
      <c r="H45">
        <v>65.61</v>
      </c>
      <c r="J45">
        <v>38.39</v>
      </c>
      <c r="L45">
        <v>31.23</v>
      </c>
      <c r="N45">
        <v>26.73</v>
      </c>
      <c r="P45">
        <v>23.5</v>
      </c>
      <c r="R45">
        <v>0.75</v>
      </c>
    </row>
    <row r="46" spans="3:18" ht="12.75">
      <c r="C46" t="s">
        <v>73</v>
      </c>
      <c r="D46">
        <v>0.15</v>
      </c>
      <c r="F46" s="15">
        <v>135.47758284600388</v>
      </c>
      <c r="G46" s="15"/>
      <c r="H46" s="15">
        <v>76.80311890838209</v>
      </c>
      <c r="I46" s="15"/>
      <c r="J46" s="15">
        <v>47.75828460038986</v>
      </c>
      <c r="K46" s="15"/>
      <c r="L46" s="15">
        <v>38.401559454191045</v>
      </c>
      <c r="M46" s="15"/>
      <c r="N46" s="15">
        <v>33.411306042885</v>
      </c>
      <c r="O46" s="15"/>
      <c r="P46" s="15">
        <v>29.824561403508767</v>
      </c>
      <c r="R46">
        <v>0.75</v>
      </c>
    </row>
    <row r="47" spans="6:16" ht="12.75">
      <c r="F47" s="15">
        <f>F46-F45</f>
        <v>16.88758284600388</v>
      </c>
      <c r="G47" s="15"/>
      <c r="H47" s="15">
        <f>H46-H45</f>
        <v>11.19311890838209</v>
      </c>
      <c r="I47" s="15"/>
      <c r="J47" s="15">
        <f>J46-J45</f>
        <v>9.368284600389856</v>
      </c>
      <c r="K47" s="15"/>
      <c r="L47" s="15">
        <f>L46-L45</f>
        <v>7.171559454191044</v>
      </c>
      <c r="M47" s="15"/>
      <c r="N47" s="15">
        <f>N46-N45</f>
        <v>6.6813060428850015</v>
      </c>
      <c r="O47" s="15"/>
      <c r="P47" s="15">
        <f>P46-P45</f>
        <v>6.324561403508767</v>
      </c>
    </row>
  </sheetData>
  <mergeCells count="13">
    <mergeCell ref="D2:P2"/>
    <mergeCell ref="E4:F4"/>
    <mergeCell ref="G4:H4"/>
    <mergeCell ref="I4:J4"/>
    <mergeCell ref="K4:L4"/>
    <mergeCell ref="M4:N4"/>
    <mergeCell ref="O4:P4"/>
    <mergeCell ref="M5:N5"/>
    <mergeCell ref="O5:P5"/>
    <mergeCell ref="E5:F5"/>
    <mergeCell ref="G5:H5"/>
    <mergeCell ref="I5:J5"/>
    <mergeCell ref="K5:L5"/>
  </mergeCell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"/>
  <dimension ref="C2:I33"/>
  <sheetViews>
    <sheetView workbookViewId="0" topLeftCell="A4">
      <selection activeCell="F18" sqref="F18"/>
    </sheetView>
  </sheetViews>
  <sheetFormatPr defaultColWidth="11.421875" defaultRowHeight="12.75"/>
  <cols>
    <col min="1" max="1" width="2.7109375" style="0" customWidth="1"/>
    <col min="2" max="2" width="1.8515625" style="0" customWidth="1"/>
    <col min="3" max="3" width="19.57421875" style="0" customWidth="1"/>
    <col min="4" max="4" width="24.00390625" style="0" customWidth="1"/>
    <col min="5" max="5" width="10.28125" style="0" bestFit="1" customWidth="1"/>
    <col min="6" max="6" width="7.7109375" style="0" customWidth="1"/>
    <col min="7" max="7" width="9.57421875" style="0" customWidth="1"/>
    <col min="8" max="8" width="7.8515625" style="0" customWidth="1"/>
    <col min="9" max="9" width="5.7109375" style="0" customWidth="1"/>
    <col min="10" max="10" width="21.8515625" style="0" bestFit="1" customWidth="1"/>
    <col min="11" max="11" width="10.28125" style="0" bestFit="1" customWidth="1"/>
    <col min="12" max="12" width="7.7109375" style="0" customWidth="1"/>
    <col min="13" max="13" width="9.57421875" style="0" customWidth="1"/>
    <col min="14" max="14" width="7.8515625" style="0" customWidth="1"/>
  </cols>
  <sheetData>
    <row r="1" ht="13.5" thickBot="1"/>
    <row r="2" spans="3:8" ht="13.5" thickBot="1">
      <c r="C2" s="583" t="s">
        <v>89</v>
      </c>
      <c r="D2" s="584"/>
      <c r="E2" s="584"/>
      <c r="F2" s="584"/>
      <c r="G2" s="584"/>
      <c r="H2" s="585"/>
    </row>
    <row r="4" spans="3:8" ht="12.75">
      <c r="C4" s="27" t="s">
        <v>45</v>
      </c>
      <c r="D4" s="27" t="s">
        <v>46</v>
      </c>
      <c r="E4" s="590" t="s">
        <v>79</v>
      </c>
      <c r="F4" s="591"/>
      <c r="G4" s="590" t="s">
        <v>79</v>
      </c>
      <c r="H4" s="591"/>
    </row>
    <row r="5" spans="3:8" ht="12.75">
      <c r="C5" s="4"/>
      <c r="D5" s="4"/>
      <c r="E5" s="588" t="s">
        <v>52</v>
      </c>
      <c r="F5" s="589"/>
      <c r="G5" s="588" t="s">
        <v>53</v>
      </c>
      <c r="H5" s="589"/>
    </row>
    <row r="6" spans="3:8" ht="12.75">
      <c r="C6" s="28" t="s">
        <v>54</v>
      </c>
      <c r="D6" s="4"/>
      <c r="E6" s="27"/>
      <c r="F6" s="27"/>
      <c r="G6" s="27"/>
      <c r="H6" s="27"/>
    </row>
    <row r="7" spans="3:8" ht="12.75">
      <c r="C7" s="4"/>
      <c r="D7" s="4" t="s">
        <v>90</v>
      </c>
      <c r="E7" s="4"/>
      <c r="F7" s="29">
        <v>21</v>
      </c>
      <c r="G7" s="4"/>
      <c r="H7" s="29">
        <v>19.5</v>
      </c>
    </row>
    <row r="8" spans="4:8" ht="12.75">
      <c r="D8" s="4"/>
      <c r="E8" s="4"/>
      <c r="F8" s="29"/>
      <c r="G8" s="4"/>
      <c r="H8" s="29"/>
    </row>
    <row r="9" spans="3:8" ht="12.75">
      <c r="C9" s="4"/>
      <c r="D9" s="4" t="s">
        <v>91</v>
      </c>
      <c r="E9" s="4"/>
      <c r="F9" s="29">
        <v>0</v>
      </c>
      <c r="G9" s="4"/>
      <c r="H9" s="29">
        <v>0</v>
      </c>
    </row>
    <row r="10" spans="3:8" ht="12.75">
      <c r="C10" s="4"/>
      <c r="D10" s="4" t="s">
        <v>92</v>
      </c>
      <c r="E10" s="4" t="s">
        <v>62</v>
      </c>
      <c r="F10" s="29">
        <v>0</v>
      </c>
      <c r="G10" s="4"/>
      <c r="H10" s="29">
        <v>0</v>
      </c>
    </row>
    <row r="11" spans="3:8" ht="12.75">
      <c r="C11" s="4" t="s">
        <v>58</v>
      </c>
      <c r="D11" s="4" t="s">
        <v>93</v>
      </c>
      <c r="E11" s="29"/>
      <c r="F11" s="29">
        <v>0</v>
      </c>
      <c r="G11" s="29"/>
      <c r="H11" s="29">
        <v>0</v>
      </c>
    </row>
    <row r="12" spans="3:8" ht="12.75">
      <c r="C12" s="4"/>
      <c r="D12" s="4" t="s">
        <v>94</v>
      </c>
      <c r="E12" s="29"/>
      <c r="F12" s="29">
        <v>5</v>
      </c>
      <c r="G12" s="29"/>
      <c r="H12" s="29">
        <v>5</v>
      </c>
    </row>
    <row r="13" spans="3:8" ht="14.25" customHeight="1">
      <c r="C13" s="4" t="s">
        <v>65</v>
      </c>
      <c r="D13" s="4"/>
      <c r="E13" s="4"/>
      <c r="F13" s="4"/>
      <c r="G13" s="4"/>
      <c r="H13" s="4"/>
    </row>
    <row r="14" spans="3:8" ht="14.25" customHeight="1">
      <c r="C14" s="4"/>
      <c r="D14" s="30" t="s">
        <v>95</v>
      </c>
      <c r="E14" s="4"/>
      <c r="F14" s="29">
        <v>2.4</v>
      </c>
      <c r="G14" s="4"/>
      <c r="H14" s="29">
        <v>2.4</v>
      </c>
    </row>
    <row r="15" spans="3:8" ht="14.25" customHeight="1">
      <c r="C15" s="4"/>
      <c r="D15" s="30" t="s">
        <v>101</v>
      </c>
      <c r="E15" s="4"/>
      <c r="F15" s="29">
        <v>1.2</v>
      </c>
      <c r="G15" s="4"/>
      <c r="H15" s="29">
        <v>1.2</v>
      </c>
    </row>
    <row r="16" spans="3:8" ht="14.25" customHeight="1">
      <c r="C16" s="4"/>
      <c r="D16" s="30" t="s">
        <v>96</v>
      </c>
      <c r="E16" s="4"/>
      <c r="F16" s="29">
        <v>1</v>
      </c>
      <c r="G16" s="4"/>
      <c r="H16" s="29">
        <v>1</v>
      </c>
    </row>
    <row r="17" spans="3:8" ht="14.25" customHeight="1">
      <c r="C17" s="4"/>
      <c r="D17" s="4" t="s">
        <v>97</v>
      </c>
      <c r="E17" s="4"/>
      <c r="F17" s="29">
        <v>0.6</v>
      </c>
      <c r="G17" s="4"/>
      <c r="H17" s="29">
        <v>0.6</v>
      </c>
    </row>
    <row r="18" spans="3:8" ht="12.75">
      <c r="C18" s="4"/>
      <c r="D18" s="4" t="s">
        <v>98</v>
      </c>
      <c r="E18" s="4"/>
      <c r="F18" s="29">
        <v>1.2</v>
      </c>
      <c r="G18" s="4"/>
      <c r="H18" s="29">
        <v>1.2</v>
      </c>
    </row>
    <row r="19" spans="3:8" ht="12.75">
      <c r="C19" s="4" t="s">
        <v>67</v>
      </c>
      <c r="D19" s="4"/>
      <c r="E19" s="4"/>
      <c r="F19" s="29"/>
      <c r="G19" s="4"/>
      <c r="H19" s="29"/>
    </row>
    <row r="20" spans="3:8" ht="12.75">
      <c r="C20" s="4"/>
      <c r="D20" s="4" t="s">
        <v>68</v>
      </c>
      <c r="E20" s="4"/>
      <c r="F20" s="29">
        <v>1.6</v>
      </c>
      <c r="G20" s="4"/>
      <c r="H20" s="29">
        <v>1.6</v>
      </c>
    </row>
    <row r="21" spans="3:8" ht="12.75">
      <c r="C21" s="4" t="s">
        <v>69</v>
      </c>
      <c r="D21" s="4"/>
      <c r="E21" s="4"/>
      <c r="F21" s="4"/>
      <c r="G21" s="4"/>
      <c r="H21" s="4"/>
    </row>
    <row r="22" spans="3:8" ht="13.5" thickBot="1">
      <c r="C22" s="4"/>
      <c r="D22" s="4" t="s">
        <v>71</v>
      </c>
      <c r="E22" s="5"/>
      <c r="F22" s="31">
        <v>39.5</v>
      </c>
      <c r="G22" s="5"/>
      <c r="H22" s="31">
        <v>34.5</v>
      </c>
    </row>
    <row r="23" spans="3:8" ht="12.75">
      <c r="C23" s="4"/>
      <c r="D23" s="4"/>
      <c r="E23" s="32"/>
      <c r="F23" s="32">
        <f>SUM(F6:F22)</f>
        <v>73.5</v>
      </c>
      <c r="G23" s="32"/>
      <c r="H23" s="32">
        <f>SUM(H6:H22)</f>
        <v>67</v>
      </c>
    </row>
    <row r="24" spans="3:8" ht="13.5" thickBot="1">
      <c r="C24" s="4" t="s">
        <v>72</v>
      </c>
      <c r="D24" s="33">
        <v>0.03</v>
      </c>
      <c r="E24" s="31"/>
      <c r="F24" s="31">
        <f>F23*D24</f>
        <v>2.205</v>
      </c>
      <c r="G24" s="31"/>
      <c r="H24" s="31">
        <f>H23*D24</f>
        <v>2.01</v>
      </c>
    </row>
    <row r="25" spans="3:8" ht="12.75">
      <c r="C25" s="4"/>
      <c r="D25" s="4"/>
      <c r="E25" s="32"/>
      <c r="F25" s="32">
        <f>SUM(F23:F24)</f>
        <v>75.705</v>
      </c>
      <c r="G25" s="32"/>
      <c r="H25" s="32">
        <f>SUM(H23:H24)</f>
        <v>69.01</v>
      </c>
    </row>
    <row r="26" spans="3:9" ht="13.5" thickBot="1">
      <c r="C26" s="4" t="s">
        <v>73</v>
      </c>
      <c r="D26" s="33">
        <v>0.07</v>
      </c>
      <c r="E26" s="31"/>
      <c r="F26" s="31">
        <f>F25*D26</f>
        <v>5.2993500000000004</v>
      </c>
      <c r="G26" s="31"/>
      <c r="H26" s="31">
        <f>H25*D26</f>
        <v>4.830700000000001</v>
      </c>
      <c r="I26" s="17"/>
    </row>
    <row r="27" spans="3:8" ht="12" customHeight="1">
      <c r="C27" s="4"/>
      <c r="D27" s="4"/>
      <c r="E27" s="32"/>
      <c r="F27" s="32">
        <f>SUM(F25:F26)</f>
        <v>81.00435</v>
      </c>
      <c r="G27" s="32"/>
      <c r="H27" s="32">
        <f>SUM(H25:H26)</f>
        <v>73.84070000000001</v>
      </c>
    </row>
    <row r="28" spans="3:8" ht="13.5" thickBot="1">
      <c r="C28" s="4" t="s">
        <v>75</v>
      </c>
      <c r="D28" s="4"/>
      <c r="E28" s="5"/>
      <c r="F28" s="31">
        <v>7</v>
      </c>
      <c r="G28" s="5"/>
      <c r="H28" s="31">
        <v>7</v>
      </c>
    </row>
    <row r="29" spans="3:8" ht="12.75">
      <c r="C29" s="4"/>
      <c r="D29" s="33"/>
      <c r="E29" s="29"/>
      <c r="F29" s="34">
        <f>SUM(F27:F28)</f>
        <v>88.00435</v>
      </c>
      <c r="G29" s="34"/>
      <c r="H29" s="34">
        <f>SUM(H27:H28)</f>
        <v>80.84070000000001</v>
      </c>
    </row>
    <row r="30" spans="3:8" ht="12.75">
      <c r="C30" s="94"/>
      <c r="D30" s="95"/>
      <c r="E30" s="13"/>
      <c r="F30" s="13"/>
      <c r="G30" s="13"/>
      <c r="H30" s="13"/>
    </row>
    <row r="31" spans="3:8" ht="12.75">
      <c r="C31" s="94" t="s">
        <v>23</v>
      </c>
      <c r="D31" s="95"/>
      <c r="E31" s="13"/>
      <c r="F31" s="13"/>
      <c r="G31" s="13"/>
      <c r="H31" s="13"/>
    </row>
    <row r="32" spans="3:8" ht="13.5" thickBot="1">
      <c r="C32" s="94"/>
      <c r="D32" s="95"/>
      <c r="E32" s="13"/>
      <c r="F32" s="13"/>
      <c r="G32" s="13"/>
      <c r="H32" s="13"/>
    </row>
    <row r="33" spans="3:8" ht="25.5" customHeight="1" thickBot="1">
      <c r="C33" s="586" t="s">
        <v>108</v>
      </c>
      <c r="D33" s="587"/>
      <c r="E33" s="35"/>
      <c r="F33" s="96">
        <f>F29</f>
        <v>88.00435</v>
      </c>
      <c r="G33" s="36"/>
      <c r="H33" s="79">
        <f>H29</f>
        <v>80.84070000000001</v>
      </c>
    </row>
  </sheetData>
  <mergeCells count="6">
    <mergeCell ref="C2:H2"/>
    <mergeCell ref="C33:D33"/>
    <mergeCell ref="G5:H5"/>
    <mergeCell ref="E4:F4"/>
    <mergeCell ref="E5:F5"/>
    <mergeCell ref="G4:H4"/>
  </mergeCells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"/>
  <sheetViews>
    <sheetView workbookViewId="0" topLeftCell="A1">
      <selection activeCell="D18" sqref="D18"/>
    </sheetView>
  </sheetViews>
  <sheetFormatPr defaultColWidth="11.421875" defaultRowHeight="12.75"/>
  <cols>
    <col min="1" max="1" width="11.421875" style="39" customWidth="1"/>
    <col min="2" max="2" width="21.140625" style="39" customWidth="1"/>
    <col min="3" max="3" width="11.421875" style="39" customWidth="1"/>
    <col min="4" max="4" width="11.421875" style="125" customWidth="1"/>
    <col min="5" max="5" width="20.28125" style="39" customWidth="1"/>
    <col min="6" max="6" width="11.421875" style="39" customWidth="1"/>
    <col min="7" max="7" width="11.421875" style="126" customWidth="1"/>
    <col min="8" max="16384" width="11.421875" style="39" customWidth="1"/>
  </cols>
  <sheetData>
    <row r="3" spans="2:8" ht="13.5" thickBot="1">
      <c r="B3" s="168" t="s">
        <v>169</v>
      </c>
      <c r="C3" s="180"/>
      <c r="D3" s="181"/>
      <c r="E3" s="182"/>
      <c r="F3" s="182"/>
      <c r="G3" s="183"/>
      <c r="H3" s="182"/>
    </row>
    <row r="4" spans="1:8" ht="9.75" customHeight="1" thickBot="1" thickTop="1">
      <c r="A4" s="182"/>
      <c r="B4" s="541"/>
      <c r="C4" s="542"/>
      <c r="D4" s="542"/>
      <c r="E4" s="542"/>
      <c r="F4" s="542"/>
      <c r="G4" s="542"/>
      <c r="H4" s="182"/>
    </row>
    <row r="5" spans="2:7" ht="15.75" customHeight="1">
      <c r="B5" s="170" t="s">
        <v>170</v>
      </c>
      <c r="C5" s="171" t="s">
        <v>173</v>
      </c>
      <c r="D5" s="172" t="s">
        <v>174</v>
      </c>
      <c r="E5" s="170" t="s">
        <v>171</v>
      </c>
      <c r="F5" s="171" t="s">
        <v>173</v>
      </c>
      <c r="G5" s="172" t="s">
        <v>174</v>
      </c>
    </row>
    <row r="6" spans="2:7" ht="12.75">
      <c r="B6" s="173" t="s">
        <v>172</v>
      </c>
      <c r="C6" s="174">
        <f>'Activos fijos'!B19</f>
        <v>39157.020000000004</v>
      </c>
      <c r="D6" s="175">
        <f>C6/$C$8</f>
        <v>0.9211678172730698</v>
      </c>
      <c r="E6" s="173" t="s">
        <v>175</v>
      </c>
      <c r="F6" s="174">
        <v>0</v>
      </c>
      <c r="G6" s="175">
        <f>F6/$F$8</f>
        <v>0</v>
      </c>
    </row>
    <row r="7" spans="2:7" ht="12.75">
      <c r="B7" s="173" t="s">
        <v>178</v>
      </c>
      <c r="C7" s="517">
        <v>3351</v>
      </c>
      <c r="D7" s="175">
        <f>C7/$C$8</f>
        <v>0.07883218272693011</v>
      </c>
      <c r="E7" s="173" t="s">
        <v>177</v>
      </c>
      <c r="F7" s="176">
        <f>C8-F6</f>
        <v>42508.020000000004</v>
      </c>
      <c r="G7" s="175">
        <f>F7/$F$8</f>
        <v>1</v>
      </c>
    </row>
    <row r="8" spans="2:7" ht="13.5" thickBot="1">
      <c r="B8" s="177" t="s">
        <v>176</v>
      </c>
      <c r="C8" s="178">
        <f>SUM(C6:C7)</f>
        <v>42508.020000000004</v>
      </c>
      <c r="D8" s="179">
        <f>SUM(D6:D7)</f>
        <v>1</v>
      </c>
      <c r="E8" s="177" t="s">
        <v>176</v>
      </c>
      <c r="F8" s="178">
        <f>SUM(F6:F7)</f>
        <v>42508.020000000004</v>
      </c>
      <c r="G8" s="179">
        <f>SUM(G6:G7)</f>
        <v>1</v>
      </c>
    </row>
    <row r="10" ht="12.75">
      <c r="F10" s="75"/>
    </row>
    <row r="12" spans="2:7" ht="12.75">
      <c r="B12" s="46"/>
      <c r="C12" s="46"/>
      <c r="D12" s="327"/>
      <c r="E12" s="46"/>
      <c r="F12" s="46"/>
      <c r="G12" s="328"/>
    </row>
    <row r="13" spans="2:7" ht="12.75">
      <c r="B13" s="329"/>
      <c r="C13" s="174"/>
      <c r="D13" s="330"/>
      <c r="E13" s="174"/>
      <c r="F13" s="174"/>
      <c r="G13" s="331"/>
    </row>
    <row r="14" spans="2:7" ht="12.75">
      <c r="B14" s="474"/>
      <c r="C14" s="475"/>
      <c r="D14" s="475"/>
      <c r="E14" s="475"/>
      <c r="F14" s="475"/>
      <c r="G14" s="475"/>
    </row>
    <row r="15" spans="2:7" ht="12.75">
      <c r="B15" s="334"/>
      <c r="C15" s="335"/>
      <c r="D15" s="336"/>
      <c r="E15" s="334"/>
      <c r="F15" s="335"/>
      <c r="G15" s="336"/>
    </row>
    <row r="16" spans="2:7" ht="12.75">
      <c r="B16" s="332"/>
      <c r="C16" s="174"/>
      <c r="D16" s="331"/>
      <c r="E16" s="332"/>
      <c r="F16" s="174"/>
      <c r="G16" s="331"/>
    </row>
    <row r="17" spans="2:7" ht="12.75">
      <c r="B17" s="332"/>
      <c r="C17" s="174"/>
      <c r="D17" s="331"/>
      <c r="E17" s="332"/>
      <c r="F17" s="174"/>
      <c r="G17" s="331"/>
    </row>
    <row r="18" spans="2:7" ht="12.75">
      <c r="B18" s="332"/>
      <c r="C18" s="174"/>
      <c r="D18" s="331"/>
      <c r="E18" s="332"/>
      <c r="F18" s="174"/>
      <c r="G18" s="331"/>
    </row>
    <row r="19" spans="2:7" ht="12.75">
      <c r="B19" s="332"/>
      <c r="C19" s="333"/>
      <c r="D19" s="331"/>
      <c r="E19" s="332"/>
      <c r="F19" s="333"/>
      <c r="G19" s="331"/>
    </row>
    <row r="20" spans="2:7" ht="12.75">
      <c r="B20" s="46"/>
      <c r="C20" s="46"/>
      <c r="D20" s="327"/>
      <c r="E20" s="46"/>
      <c r="F20" s="46"/>
      <c r="G20" s="328"/>
    </row>
    <row r="21" spans="2:7" ht="12.75">
      <c r="B21" s="46"/>
      <c r="C21" s="46"/>
      <c r="D21" s="327"/>
      <c r="E21" s="46"/>
      <c r="F21" s="46"/>
      <c r="G21" s="328"/>
    </row>
  </sheetData>
  <mergeCells count="1">
    <mergeCell ref="B4:G4"/>
  </mergeCells>
  <printOptions horizontalCentered="1" verticalCentered="1"/>
  <pageMargins left="0.75" right="0.75" top="1" bottom="1" header="0" footer="0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21"/>
  <sheetViews>
    <sheetView workbookViewId="0" topLeftCell="A4">
      <selection activeCell="B18" sqref="B18"/>
    </sheetView>
  </sheetViews>
  <sheetFormatPr defaultColWidth="11.421875" defaultRowHeight="12.75"/>
  <cols>
    <col min="1" max="1" width="40.140625" style="0" bestFit="1" customWidth="1"/>
    <col min="2" max="2" width="21.28125" style="7" customWidth="1"/>
  </cols>
  <sheetData>
    <row r="3" ht="15">
      <c r="A3" s="8" t="s">
        <v>18</v>
      </c>
    </row>
    <row r="4" ht="15.75" thickBot="1">
      <c r="A4" s="8"/>
    </row>
    <row r="5" spans="1:2" ht="13.5" thickBot="1">
      <c r="A5" s="6" t="s">
        <v>19</v>
      </c>
      <c r="B5" s="448" t="s">
        <v>188</v>
      </c>
    </row>
    <row r="6" ht="12.75">
      <c r="B6" s="9"/>
    </row>
    <row r="7" ht="13.5" thickBot="1">
      <c r="B7" s="9"/>
    </row>
    <row r="8" spans="1:2" ht="23.25" thickBot="1">
      <c r="A8" s="6" t="s">
        <v>36</v>
      </c>
      <c r="B8" s="10" t="s">
        <v>110</v>
      </c>
    </row>
    <row r="9" spans="1:3" ht="13.5" thickBot="1">
      <c r="A9" s="77" t="s">
        <v>102</v>
      </c>
      <c r="B9" s="78"/>
      <c r="C9" s="16"/>
    </row>
    <row r="10" spans="1:3" ht="13.5" thickBot="1">
      <c r="A10" s="367" t="s">
        <v>242</v>
      </c>
      <c r="B10" s="368">
        <v>0</v>
      </c>
      <c r="C10" s="89"/>
    </row>
    <row r="11" ht="12.75">
      <c r="B11" s="342"/>
    </row>
    <row r="12" ht="13.5" thickBot="1">
      <c r="B12" s="343"/>
    </row>
    <row r="13" spans="1:3" ht="26.25" thickBot="1">
      <c r="A13" s="415" t="s">
        <v>280</v>
      </c>
      <c r="B13" s="344">
        <v>0.04</v>
      </c>
      <c r="C13" s="352"/>
    </row>
    <row r="14" ht="13.5" thickBot="1">
      <c r="B14" s="343"/>
    </row>
    <row r="15" spans="1:2" ht="26.25" thickBot="1">
      <c r="A15" s="415" t="s">
        <v>254</v>
      </c>
      <c r="B15" s="344">
        <v>0.05</v>
      </c>
    </row>
    <row r="16" ht="13.5" thickBot="1">
      <c r="B16" s="343"/>
    </row>
    <row r="17" spans="1:2" ht="13.5" thickBot="1">
      <c r="A17" s="6" t="s">
        <v>247</v>
      </c>
      <c r="B17" s="344">
        <v>0.15</v>
      </c>
    </row>
    <row r="18" ht="13.5" thickBot="1"/>
    <row r="19" spans="1:2" ht="13.5" thickBot="1">
      <c r="A19" s="11" t="s">
        <v>281</v>
      </c>
      <c r="B19" s="361">
        <v>0</v>
      </c>
    </row>
    <row r="20" ht="13.5" thickBot="1">
      <c r="B20" s="120"/>
    </row>
    <row r="21" spans="1:2" ht="13.5" thickBot="1">
      <c r="A21" s="11" t="s">
        <v>236</v>
      </c>
      <c r="B21" s="344">
        <v>0</v>
      </c>
    </row>
  </sheetData>
  <printOptions horizontalCentered="1" verticalCentered="1"/>
  <pageMargins left="0.75" right="0.75" top="1" bottom="1" header="0" footer="0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1">
      <selection activeCell="A11" sqref="A11:J11"/>
    </sheetView>
  </sheetViews>
  <sheetFormatPr defaultColWidth="11.421875" defaultRowHeight="12.75"/>
  <cols>
    <col min="1" max="1" width="45.421875" style="91" customWidth="1"/>
    <col min="2" max="2" width="11.57421875" style="91" bestFit="1" customWidth="1"/>
    <col min="3" max="3" width="11.8515625" style="91" bestFit="1" customWidth="1"/>
    <col min="4" max="4" width="11.57421875" style="91" bestFit="1" customWidth="1"/>
    <col min="5" max="5" width="10.8515625" style="91" bestFit="1" customWidth="1"/>
    <col min="6" max="7" width="12.00390625" style="91" bestFit="1" customWidth="1"/>
    <col min="8" max="8" width="12.28125" style="91" bestFit="1" customWidth="1"/>
    <col min="9" max="9" width="12.8515625" style="91" customWidth="1"/>
    <col min="10" max="10" width="12.7109375" style="91" bestFit="1" customWidth="1"/>
    <col min="11" max="13" width="11.421875" style="91" customWidth="1"/>
    <col min="14" max="14" width="13.57421875" style="91" customWidth="1"/>
    <col min="15" max="16384" width="11.421875" style="91" customWidth="1"/>
  </cols>
  <sheetData>
    <row r="1" spans="1:3" ht="16.5" thickBot="1">
      <c r="A1" s="417" t="s">
        <v>264</v>
      </c>
      <c r="B1" s="523">
        <v>0.02</v>
      </c>
      <c r="C1" s="523">
        <v>0.1</v>
      </c>
    </row>
    <row r="2" spans="2:13" ht="16.5" thickBot="1">
      <c r="B2" s="155" t="s">
        <v>2</v>
      </c>
      <c r="C2" s="156" t="s">
        <v>3</v>
      </c>
      <c r="D2" s="157" t="s">
        <v>4</v>
      </c>
      <c r="E2" s="156" t="s">
        <v>5</v>
      </c>
      <c r="F2" s="157" t="s">
        <v>6</v>
      </c>
      <c r="G2" s="156" t="s">
        <v>7</v>
      </c>
      <c r="H2" s="157" t="s">
        <v>8</v>
      </c>
      <c r="I2" s="156" t="s">
        <v>9</v>
      </c>
      <c r="J2" s="157" t="s">
        <v>10</v>
      </c>
      <c r="K2" s="156" t="s">
        <v>11</v>
      </c>
      <c r="L2" s="157" t="s">
        <v>12</v>
      </c>
      <c r="M2" s="158" t="s">
        <v>13</v>
      </c>
    </row>
    <row r="3" spans="1:14" ht="16.5" thickBot="1">
      <c r="A3" s="362" t="s">
        <v>256</v>
      </c>
      <c r="B3" s="363">
        <f>(5280*30)*2%</f>
        <v>3168</v>
      </c>
      <c r="C3" s="363">
        <f>(5280*30)*10%</f>
        <v>15840</v>
      </c>
      <c r="D3" s="363">
        <f>B3</f>
        <v>3168</v>
      </c>
      <c r="E3" s="363">
        <f>C3</f>
        <v>15840</v>
      </c>
      <c r="F3" s="363">
        <f>B3</f>
        <v>3168</v>
      </c>
      <c r="G3" s="363">
        <f>F3</f>
        <v>3168</v>
      </c>
      <c r="H3" s="363">
        <f>G3</f>
        <v>3168</v>
      </c>
      <c r="I3" s="363">
        <f>E3</f>
        <v>15840</v>
      </c>
      <c r="J3" s="363">
        <f>H3</f>
        <v>3168</v>
      </c>
      <c r="K3" s="363">
        <f>F3</f>
        <v>3168</v>
      </c>
      <c r="L3" s="363">
        <f>K3</f>
        <v>3168</v>
      </c>
      <c r="M3" s="364">
        <f>L3</f>
        <v>3168</v>
      </c>
      <c r="N3" s="91">
        <f>SUM(B3:M3)</f>
        <v>76032</v>
      </c>
    </row>
    <row r="4" spans="1:14" ht="16.5" thickBot="1">
      <c r="A4" s="365" t="s">
        <v>238</v>
      </c>
      <c r="B4" s="363">
        <f>(5280*30)*2%</f>
        <v>3168</v>
      </c>
      <c r="C4" s="366">
        <f>C3*100%</f>
        <v>15840</v>
      </c>
      <c r="D4" s="363">
        <f>B4</f>
        <v>3168</v>
      </c>
      <c r="E4" s="366">
        <f>E3*100%</f>
        <v>15840</v>
      </c>
      <c r="F4" s="363">
        <f>B4</f>
        <v>3168</v>
      </c>
      <c r="G4" s="363">
        <f>F4</f>
        <v>3168</v>
      </c>
      <c r="H4" s="363">
        <f>G4</f>
        <v>3168</v>
      </c>
      <c r="I4" s="366">
        <f>I3*100%</f>
        <v>15840</v>
      </c>
      <c r="J4" s="366">
        <f>J3*100%</f>
        <v>3168</v>
      </c>
      <c r="K4" s="366">
        <f>H4</f>
        <v>3168</v>
      </c>
      <c r="L4" s="366">
        <f>K4</f>
        <v>3168</v>
      </c>
      <c r="M4" s="364">
        <f>L4</f>
        <v>3168</v>
      </c>
      <c r="N4" s="91">
        <f>SUM(B4:M4)</f>
        <v>76032</v>
      </c>
    </row>
    <row r="5" ht="15">
      <c r="N5" s="91">
        <f>N3+N4</f>
        <v>152064</v>
      </c>
    </row>
    <row r="6" spans="1:10" ht="15.75" thickBot="1">
      <c r="A6" s="525" t="s">
        <v>286</v>
      </c>
      <c r="B6" s="160"/>
      <c r="C6" s="160"/>
      <c r="D6" s="160"/>
      <c r="E6" s="160"/>
      <c r="F6" s="160"/>
      <c r="G6" s="160"/>
      <c r="H6" s="160"/>
      <c r="I6" s="160"/>
      <c r="J6" s="160"/>
    </row>
    <row r="7" spans="1:10" ht="16.5" thickTop="1">
      <c r="A7" s="518"/>
      <c r="B7" s="92"/>
      <c r="C7" s="92"/>
      <c r="D7" s="92"/>
      <c r="E7" s="92"/>
      <c r="F7" s="92"/>
      <c r="G7" s="92"/>
      <c r="H7" s="92"/>
      <c r="I7" s="92"/>
      <c r="J7" s="92"/>
    </row>
    <row r="8" spans="1:10" ht="15.75">
      <c r="A8" s="543" t="s">
        <v>287</v>
      </c>
      <c r="B8" s="543"/>
      <c r="C8" s="543"/>
      <c r="D8" s="543"/>
      <c r="E8" s="543"/>
      <c r="F8" s="543"/>
      <c r="G8" s="543"/>
      <c r="H8" s="543"/>
      <c r="I8" s="543"/>
      <c r="J8" s="543"/>
    </row>
    <row r="9" spans="2:10" ht="15.75">
      <c r="B9" s="524"/>
      <c r="C9" s="524"/>
      <c r="D9" s="524"/>
      <c r="E9" s="524"/>
      <c r="F9" s="524"/>
      <c r="G9" s="524"/>
      <c r="H9" s="524"/>
      <c r="I9" s="524"/>
      <c r="J9" s="524"/>
    </row>
    <row r="11" spans="1:10" ht="18">
      <c r="A11" s="545" t="s">
        <v>16</v>
      </c>
      <c r="B11" s="545"/>
      <c r="C11" s="545"/>
      <c r="D11" s="545"/>
      <c r="E11" s="545"/>
      <c r="F11" s="545"/>
      <c r="G11" s="545"/>
      <c r="H11" s="545"/>
      <c r="I11" s="545"/>
      <c r="J11" s="545"/>
    </row>
    <row r="12" spans="1:10" ht="15.75" thickBot="1">
      <c r="A12" s="200"/>
      <c r="B12" s="200"/>
      <c r="C12" s="200"/>
      <c r="D12" s="200"/>
      <c r="E12" s="200"/>
      <c r="F12" s="200"/>
      <c r="G12" s="200"/>
      <c r="H12" s="200"/>
      <c r="I12" s="200"/>
      <c r="J12" s="200"/>
    </row>
    <row r="13" spans="1:15" s="162" customFormat="1" ht="16.5" thickBot="1">
      <c r="A13" s="405" t="s">
        <v>199</v>
      </c>
      <c r="B13" s="202"/>
      <c r="C13" s="202"/>
      <c r="D13" s="202"/>
      <c r="E13" s="202"/>
      <c r="F13" s="202"/>
      <c r="G13" s="201"/>
      <c r="H13" s="201"/>
      <c r="I13" s="201"/>
      <c r="J13" s="201"/>
      <c r="O13" s="161"/>
    </row>
    <row r="14" spans="1:14" s="163" customFormat="1" ht="16.5" thickBot="1">
      <c r="A14" s="189" t="str">
        <f>Supuestos!A8</f>
        <v>Servicios</v>
      </c>
      <c r="B14" s="190" t="s">
        <v>162</v>
      </c>
      <c r="C14" s="191" t="s">
        <v>163</v>
      </c>
      <c r="D14" s="192" t="s">
        <v>164</v>
      </c>
      <c r="E14" s="191" t="s">
        <v>165</v>
      </c>
      <c r="F14" s="193" t="s">
        <v>154</v>
      </c>
      <c r="G14" s="192" t="s">
        <v>104</v>
      </c>
      <c r="H14" s="191" t="s">
        <v>105</v>
      </c>
      <c r="I14" s="195" t="s">
        <v>106</v>
      </c>
      <c r="J14" s="195" t="s">
        <v>107</v>
      </c>
      <c r="K14" s="162"/>
      <c r="L14" s="162"/>
      <c r="M14" s="162"/>
      <c r="N14" s="162"/>
    </row>
    <row r="15" spans="1:14" ht="15.75">
      <c r="A15" s="159" t="str">
        <f>A3</f>
        <v>Baterías sanitarias</v>
      </c>
      <c r="B15" s="92">
        <f>SUM(B3:D3)</f>
        <v>22176</v>
      </c>
      <c r="C15" s="153">
        <f>SUM(E3:G3)</f>
        <v>22176</v>
      </c>
      <c r="D15" s="92">
        <f>SUM(H3:J3)</f>
        <v>22176</v>
      </c>
      <c r="E15" s="153">
        <f>SUM(K3:M3)</f>
        <v>9504</v>
      </c>
      <c r="F15" s="153">
        <f>SUM(B15:E15)</f>
        <v>76032</v>
      </c>
      <c r="G15" s="154">
        <f>F15+(F15*Supuestos!$B$15)</f>
        <v>79833.6</v>
      </c>
      <c r="H15" s="386">
        <f>G15+(G15*Supuestos!$B$15)</f>
        <v>83825.28</v>
      </c>
      <c r="I15" s="164">
        <f>H15+(H15*Supuestos!$B$15)</f>
        <v>88016.544</v>
      </c>
      <c r="J15" s="164">
        <f>I15+(I15*Supuestos!$B$15)</f>
        <v>92417.3712</v>
      </c>
      <c r="K15" s="162"/>
      <c r="L15" s="162"/>
      <c r="M15" s="162"/>
      <c r="N15" s="162"/>
    </row>
    <row r="16" spans="1:14" ht="16.5" thickBot="1">
      <c r="A16" s="153" t="str">
        <f>A4</f>
        <v>Duchas</v>
      </c>
      <c r="B16" s="92">
        <f>SUM(B4:D4)</f>
        <v>22176</v>
      </c>
      <c r="C16" s="153">
        <f>SUM(E4:G4)</f>
        <v>22176</v>
      </c>
      <c r="D16" s="92">
        <f>SUM(H4:J4)</f>
        <v>22176</v>
      </c>
      <c r="E16" s="153">
        <f>SUM(K4:M4)</f>
        <v>9504</v>
      </c>
      <c r="F16" s="153">
        <f>SUM(B16:E16)</f>
        <v>76032</v>
      </c>
      <c r="G16" s="154">
        <f>F16+(F16*Supuestos!$B$15)</f>
        <v>79833.6</v>
      </c>
      <c r="H16" s="386">
        <f>G16+(G16*Supuestos!$B$15)</f>
        <v>83825.28</v>
      </c>
      <c r="I16" s="164">
        <f>H16+(H16*Supuestos!$B$15)</f>
        <v>88016.544</v>
      </c>
      <c r="J16" s="164">
        <f>I16+(I16*Supuestos!$B$15)</f>
        <v>92417.3712</v>
      </c>
      <c r="K16" s="162"/>
      <c r="L16" s="162"/>
      <c r="M16" s="162"/>
      <c r="N16" s="162"/>
    </row>
    <row r="17" spans="1:10" s="162" customFormat="1" ht="16.5" thickBot="1">
      <c r="A17" s="196" t="s">
        <v>243</v>
      </c>
      <c r="B17" s="197">
        <f aca="true" t="shared" si="0" ref="B17:J17">SUM(B15:B16)</f>
        <v>44352</v>
      </c>
      <c r="C17" s="197">
        <f>SUM(C15:C16)</f>
        <v>44352</v>
      </c>
      <c r="D17" s="197">
        <f>SUM(D15:D16)</f>
        <v>44352</v>
      </c>
      <c r="E17" s="197">
        <f>SUM(E15:E16)</f>
        <v>19008</v>
      </c>
      <c r="F17" s="198">
        <f t="shared" si="0"/>
        <v>152064</v>
      </c>
      <c r="G17" s="197">
        <f t="shared" si="0"/>
        <v>159667.2</v>
      </c>
      <c r="H17" s="199">
        <f t="shared" si="0"/>
        <v>167650.56</v>
      </c>
      <c r="I17" s="198">
        <f t="shared" si="0"/>
        <v>176033.088</v>
      </c>
      <c r="J17" s="198">
        <f t="shared" si="0"/>
        <v>184834.7424</v>
      </c>
    </row>
    <row r="18" ht="15">
      <c r="J18" s="92"/>
    </row>
    <row r="19" ht="15.75" thickBot="1">
      <c r="J19" s="92"/>
    </row>
    <row r="20" spans="1:10" ht="15.75">
      <c r="A20" s="406" t="s">
        <v>200</v>
      </c>
      <c r="B20" s="200"/>
      <c r="C20" s="200"/>
      <c r="D20" s="200"/>
      <c r="E20" s="200"/>
      <c r="F20" s="200"/>
      <c r="G20" s="200"/>
      <c r="H20" s="200"/>
      <c r="I20" s="200"/>
      <c r="J20" s="389"/>
    </row>
    <row r="21" spans="1:10" ht="15" customHeight="1" thickBot="1">
      <c r="A21" s="407" t="s">
        <v>188</v>
      </c>
      <c r="B21" s="200"/>
      <c r="C21" s="200"/>
      <c r="D21" s="200"/>
      <c r="E21" s="200"/>
      <c r="F21" s="200"/>
      <c r="G21" s="200"/>
      <c r="H21" s="200"/>
      <c r="I21" s="200"/>
      <c r="J21" s="389"/>
    </row>
    <row r="22" spans="1:15" s="162" customFormat="1" ht="8.25" customHeight="1" thickBot="1">
      <c r="A22" s="203"/>
      <c r="B22" s="202"/>
      <c r="C22" s="201"/>
      <c r="D22" s="201"/>
      <c r="E22" s="201"/>
      <c r="F22" s="201"/>
      <c r="G22" s="201"/>
      <c r="H22" s="201"/>
      <c r="I22" s="201"/>
      <c r="J22" s="390"/>
      <c r="O22" s="161"/>
    </row>
    <row r="23" spans="1:14" s="163" customFormat="1" ht="16.5" thickBot="1">
      <c r="A23" s="189" t="str">
        <f aca="true" t="shared" si="1" ref="A23:I23">A14</f>
        <v>Servicios</v>
      </c>
      <c r="B23" s="204" t="str">
        <f t="shared" si="1"/>
        <v>ENE-MAR</v>
      </c>
      <c r="C23" s="192" t="str">
        <f t="shared" si="1"/>
        <v>ABR-JUN</v>
      </c>
      <c r="D23" s="192" t="str">
        <f t="shared" si="1"/>
        <v>JUL-SEP</v>
      </c>
      <c r="E23" s="192" t="str">
        <f t="shared" si="1"/>
        <v>OCT-DIC</v>
      </c>
      <c r="F23" s="193" t="str">
        <f t="shared" si="1"/>
        <v>AÑO 1</v>
      </c>
      <c r="G23" s="192" t="str">
        <f t="shared" si="1"/>
        <v>AÑO 2</v>
      </c>
      <c r="H23" s="194" t="str">
        <f t="shared" si="1"/>
        <v>AÑO 3</v>
      </c>
      <c r="I23" s="195" t="str">
        <f t="shared" si="1"/>
        <v>AÑO 4</v>
      </c>
      <c r="J23" s="195" t="str">
        <f>J14</f>
        <v>AÑO 5</v>
      </c>
      <c r="L23" s="162"/>
      <c r="M23" s="162"/>
      <c r="N23" s="162"/>
    </row>
    <row r="24" spans="1:14" ht="15.75">
      <c r="A24" s="167" t="str">
        <f>A15</f>
        <v>Baterías sanitarias</v>
      </c>
      <c r="B24" s="378">
        <v>0.25</v>
      </c>
      <c r="C24" s="379">
        <f aca="true" t="shared" si="2" ref="C24:F25">B24</f>
        <v>0.25</v>
      </c>
      <c r="D24" s="380">
        <f t="shared" si="2"/>
        <v>0.25</v>
      </c>
      <c r="E24" s="379">
        <f t="shared" si="2"/>
        <v>0.25</v>
      </c>
      <c r="F24" s="387">
        <f t="shared" si="2"/>
        <v>0.25</v>
      </c>
      <c r="G24" s="381">
        <f>F24+(F24*Supuestos!$B$21)</f>
        <v>0.25</v>
      </c>
      <c r="H24" s="387">
        <f>G24+(G24*Supuestos!$B$21)</f>
        <v>0.25</v>
      </c>
      <c r="I24" s="381">
        <f>H24+(H24*Supuestos!$B$21)</f>
        <v>0.25</v>
      </c>
      <c r="J24" s="381">
        <f>I24+(I24*Supuestos!$B$21)</f>
        <v>0.25</v>
      </c>
      <c r="L24" s="162"/>
      <c r="M24" s="162"/>
      <c r="N24" s="162"/>
    </row>
    <row r="25" spans="1:14" ht="16.5" thickBot="1">
      <c r="A25" s="165" t="str">
        <f>A16</f>
        <v>Duchas</v>
      </c>
      <c r="B25" s="382">
        <v>0.15</v>
      </c>
      <c r="C25" s="383">
        <f t="shared" si="2"/>
        <v>0.15</v>
      </c>
      <c r="D25" s="384">
        <f t="shared" si="2"/>
        <v>0.15</v>
      </c>
      <c r="E25" s="383">
        <f t="shared" si="2"/>
        <v>0.15</v>
      </c>
      <c r="F25" s="388">
        <f t="shared" si="2"/>
        <v>0.15</v>
      </c>
      <c r="G25" s="385">
        <f>F25+(F25*Supuestos!$B$21)</f>
        <v>0.15</v>
      </c>
      <c r="H25" s="388">
        <f>G25+(G25*Supuestos!$B$21)</f>
        <v>0.15</v>
      </c>
      <c r="I25" s="385">
        <f>H25+(H25*Supuestos!$B$21)</f>
        <v>0.15</v>
      </c>
      <c r="J25" s="385">
        <f>I25+(I25*Supuestos!$B$21)</f>
        <v>0.15</v>
      </c>
      <c r="L25" s="162"/>
      <c r="M25" s="162"/>
      <c r="N25" s="162"/>
    </row>
    <row r="26" spans="10:14" ht="15.75">
      <c r="J26" s="369"/>
      <c r="L26" s="162"/>
      <c r="M26" s="162"/>
      <c r="N26" s="162"/>
    </row>
    <row r="27" spans="1:14" ht="18">
      <c r="A27" s="545" t="s">
        <v>16</v>
      </c>
      <c r="B27" s="545"/>
      <c r="C27" s="545"/>
      <c r="D27" s="545"/>
      <c r="E27" s="545"/>
      <c r="F27" s="545"/>
      <c r="G27" s="545"/>
      <c r="H27" s="545"/>
      <c r="I27" s="545"/>
      <c r="J27" s="545"/>
      <c r="L27" s="162"/>
      <c r="M27" s="162"/>
      <c r="N27" s="162"/>
    </row>
    <row r="28" spans="1:10" ht="18">
      <c r="A28" s="545" t="s">
        <v>17</v>
      </c>
      <c r="B28" s="545"/>
      <c r="C28" s="545"/>
      <c r="D28" s="545"/>
      <c r="E28" s="545"/>
      <c r="F28" s="545"/>
      <c r="G28" s="545"/>
      <c r="H28" s="545"/>
      <c r="I28" s="545"/>
      <c r="J28" s="545"/>
    </row>
    <row r="29" spans="1:11" ht="18">
      <c r="A29" s="544" t="s">
        <v>188</v>
      </c>
      <c r="B29" s="544"/>
      <c r="C29" s="544"/>
      <c r="D29" s="544"/>
      <c r="E29" s="544"/>
      <c r="F29" s="544"/>
      <c r="G29" s="544"/>
      <c r="H29" s="544"/>
      <c r="I29" s="544"/>
      <c r="J29" s="544"/>
      <c r="K29" s="200"/>
    </row>
    <row r="30" spans="1:15" s="162" customFormat="1" ht="6" customHeight="1" thickBot="1">
      <c r="A30" s="207"/>
      <c r="B30" s="206"/>
      <c r="C30" s="207"/>
      <c r="D30" s="207"/>
      <c r="E30" s="207"/>
      <c r="F30" s="207"/>
      <c r="G30" s="207"/>
      <c r="H30" s="207"/>
      <c r="I30" s="207"/>
      <c r="J30" s="207"/>
      <c r="K30" s="201"/>
      <c r="O30" s="166"/>
    </row>
    <row r="31" spans="1:20" s="163" customFormat="1" ht="16.5" thickBot="1">
      <c r="A31" s="189" t="str">
        <f>A23</f>
        <v>Servicios</v>
      </c>
      <c r="B31" s="204" t="str">
        <f>B23</f>
        <v>ENE-MAR</v>
      </c>
      <c r="C31" s="204" t="str">
        <f aca="true" t="shared" si="3" ref="C31:J31">C23</f>
        <v>ABR-JUN</v>
      </c>
      <c r="D31" s="204" t="str">
        <f t="shared" si="3"/>
        <v>JUL-SEP</v>
      </c>
      <c r="E31" s="204" t="str">
        <f t="shared" si="3"/>
        <v>OCT-DIC</v>
      </c>
      <c r="F31" s="193" t="str">
        <f t="shared" si="3"/>
        <v>AÑO 1</v>
      </c>
      <c r="G31" s="204" t="str">
        <f t="shared" si="3"/>
        <v>AÑO 2</v>
      </c>
      <c r="H31" s="191" t="str">
        <f t="shared" si="3"/>
        <v>AÑO 3</v>
      </c>
      <c r="I31" s="195" t="str">
        <f t="shared" si="3"/>
        <v>AÑO 4</v>
      </c>
      <c r="J31" s="195" t="str">
        <f t="shared" si="3"/>
        <v>AÑO 5</v>
      </c>
      <c r="K31" s="200"/>
      <c r="L31" s="91"/>
      <c r="M31" s="91"/>
      <c r="N31" s="91"/>
      <c r="O31" s="91"/>
      <c r="P31" s="91"/>
      <c r="Q31" s="91"/>
      <c r="R31" s="91"/>
      <c r="S31" s="91"/>
      <c r="T31" s="91"/>
    </row>
    <row r="32" spans="1:10" ht="15">
      <c r="A32" s="326" t="str">
        <f>A15</f>
        <v>Baterías sanitarias</v>
      </c>
      <c r="B32" s="205">
        <f aca="true" t="shared" si="4" ref="B32:J32">B15*B24</f>
        <v>5544</v>
      </c>
      <c r="C32" s="205">
        <f t="shared" si="4"/>
        <v>5544</v>
      </c>
      <c r="D32" s="205">
        <f t="shared" si="4"/>
        <v>5544</v>
      </c>
      <c r="E32" s="205">
        <f t="shared" si="4"/>
        <v>2376</v>
      </c>
      <c r="F32" s="205">
        <f t="shared" si="4"/>
        <v>19008</v>
      </c>
      <c r="G32" s="205">
        <f t="shared" si="4"/>
        <v>19958.4</v>
      </c>
      <c r="H32" s="48">
        <f t="shared" si="4"/>
        <v>20956.32</v>
      </c>
      <c r="I32" s="101">
        <f t="shared" si="4"/>
        <v>22004.136</v>
      </c>
      <c r="J32" s="414">
        <f t="shared" si="4"/>
        <v>23104.3428</v>
      </c>
    </row>
    <row r="33" spans="1:10" ht="15.75" thickBot="1">
      <c r="A33" s="326" t="str">
        <f>A16</f>
        <v>Duchas</v>
      </c>
      <c r="B33" s="205">
        <f aca="true" t="shared" si="5" ref="B33:J33">B16*B25</f>
        <v>3326.4</v>
      </c>
      <c r="C33" s="205">
        <f t="shared" si="5"/>
        <v>3326.4</v>
      </c>
      <c r="D33" s="205">
        <f t="shared" si="5"/>
        <v>3326.4</v>
      </c>
      <c r="E33" s="205">
        <f t="shared" si="5"/>
        <v>1425.6</v>
      </c>
      <c r="F33" s="205">
        <f t="shared" si="5"/>
        <v>11404.8</v>
      </c>
      <c r="G33" s="205">
        <f t="shared" si="5"/>
        <v>11975.04</v>
      </c>
      <c r="H33" s="48">
        <f t="shared" si="5"/>
        <v>12573.792</v>
      </c>
      <c r="I33" s="101">
        <f t="shared" si="5"/>
        <v>13202.4816</v>
      </c>
      <c r="J33" s="414">
        <f t="shared" si="5"/>
        <v>13862.605679999999</v>
      </c>
    </row>
    <row r="34" spans="1:20" s="118" customFormat="1" ht="15.75" thickBot="1">
      <c r="A34" s="208" t="s">
        <v>22</v>
      </c>
      <c r="B34" s="209">
        <f aca="true" t="shared" si="6" ref="B34:J34">SUM(B32:B33)</f>
        <v>8870.4</v>
      </c>
      <c r="C34" s="210">
        <f t="shared" si="6"/>
        <v>8870.4</v>
      </c>
      <c r="D34" s="210">
        <f t="shared" si="6"/>
        <v>8870.4</v>
      </c>
      <c r="E34" s="210">
        <f t="shared" si="6"/>
        <v>3801.6</v>
      </c>
      <c r="F34" s="210">
        <f t="shared" si="6"/>
        <v>30412.8</v>
      </c>
      <c r="G34" s="210">
        <f t="shared" si="6"/>
        <v>31933.440000000002</v>
      </c>
      <c r="H34" s="391">
        <f t="shared" si="6"/>
        <v>33530.112</v>
      </c>
      <c r="I34" s="208">
        <f t="shared" si="6"/>
        <v>35206.6176</v>
      </c>
      <c r="J34" s="208">
        <f t="shared" si="6"/>
        <v>36966.94848</v>
      </c>
      <c r="K34" s="91"/>
      <c r="L34" s="91"/>
      <c r="M34" s="91"/>
      <c r="N34" s="91"/>
      <c r="O34" s="91"/>
      <c r="P34" s="91"/>
      <c r="Q34" s="91"/>
      <c r="R34" s="91"/>
      <c r="S34" s="91"/>
      <c r="T34" s="91"/>
    </row>
    <row r="35" spans="1:20" s="118" customFormat="1" ht="15">
      <c r="A35" s="392"/>
      <c r="B35" s="392"/>
      <c r="C35" s="392"/>
      <c r="D35" s="392"/>
      <c r="E35" s="392"/>
      <c r="F35" s="392"/>
      <c r="G35" s="392"/>
      <c r="H35" s="392"/>
      <c r="I35" s="392"/>
      <c r="J35" s="392"/>
      <c r="K35" s="92"/>
      <c r="L35" s="91"/>
      <c r="M35" s="91"/>
      <c r="N35" s="91"/>
      <c r="O35" s="91"/>
      <c r="P35" s="91"/>
      <c r="Q35" s="91"/>
      <c r="R35" s="91"/>
      <c r="S35" s="91"/>
      <c r="T35" s="91"/>
    </row>
    <row r="36" spans="1:10" ht="15">
      <c r="A36" s="521"/>
      <c r="B36" s="521"/>
      <c r="C36" s="521"/>
      <c r="D36" s="521"/>
      <c r="E36" s="521"/>
      <c r="F36" s="527"/>
      <c r="G36" s="521"/>
      <c r="H36" s="521"/>
      <c r="I36" s="521"/>
      <c r="J36" s="521"/>
    </row>
    <row r="37" spans="1:10" ht="15">
      <c r="A37" s="521"/>
      <c r="B37" s="521"/>
      <c r="C37" s="521"/>
      <c r="D37" s="521"/>
      <c r="E37" s="521"/>
      <c r="F37" s="521"/>
      <c r="G37" s="521"/>
      <c r="H37" s="521"/>
      <c r="I37" s="521"/>
      <c r="J37" s="521"/>
    </row>
    <row r="38" spans="1:10" ht="12" customHeight="1">
      <c r="A38" s="521"/>
      <c r="B38" s="521"/>
      <c r="C38" s="521"/>
      <c r="D38" s="521"/>
      <c r="E38" s="521"/>
      <c r="F38" s="521"/>
      <c r="G38" s="521"/>
      <c r="H38" s="521"/>
      <c r="I38" s="521"/>
      <c r="J38" s="521"/>
    </row>
    <row r="39" spans="1:10" ht="15">
      <c r="A39" s="521"/>
      <c r="B39" s="521"/>
      <c r="C39" s="521"/>
      <c r="D39" s="521"/>
      <c r="E39" s="521"/>
      <c r="F39" s="521"/>
      <c r="G39" s="521"/>
      <c r="H39" s="521"/>
      <c r="I39" s="521"/>
      <c r="J39" s="521"/>
    </row>
    <row r="40" spans="1:10" ht="15">
      <c r="A40" s="521"/>
      <c r="B40" s="521"/>
      <c r="C40" s="521">
        <f>B40*10%</f>
        <v>0</v>
      </c>
      <c r="D40" s="521"/>
      <c r="E40" s="521"/>
      <c r="F40" s="521"/>
      <c r="G40" s="521"/>
      <c r="H40" s="521"/>
      <c r="I40" s="521"/>
      <c r="J40" s="521"/>
    </row>
    <row r="41" spans="1:10" ht="15">
      <c r="A41" s="92"/>
      <c r="B41" s="92"/>
      <c r="C41" s="92"/>
      <c r="D41" s="92"/>
      <c r="E41" s="92"/>
      <c r="F41" s="92"/>
      <c r="G41" s="92"/>
      <c r="H41" s="92"/>
      <c r="I41" s="92"/>
      <c r="J41" s="92"/>
    </row>
    <row r="42" spans="1:10" ht="15">
      <c r="A42" s="92"/>
      <c r="B42" s="92"/>
      <c r="C42" s="92"/>
      <c r="D42" s="92"/>
      <c r="E42" s="92"/>
      <c r="F42" s="92"/>
      <c r="G42" s="92"/>
      <c r="H42" s="92"/>
      <c r="I42" s="92"/>
      <c r="J42" s="92"/>
    </row>
    <row r="43" spans="1:10" ht="15.75">
      <c r="A43" s="522"/>
      <c r="B43" s="522"/>
      <c r="C43" s="389"/>
      <c r="D43" s="389"/>
      <c r="E43" s="92"/>
      <c r="F43" s="92"/>
      <c r="G43" s="92"/>
      <c r="H43" s="92"/>
      <c r="I43" s="92"/>
      <c r="J43" s="92"/>
    </row>
    <row r="44" spans="1:10" ht="15.75">
      <c r="A44" s="522"/>
      <c r="B44" s="522"/>
      <c r="C44" s="389"/>
      <c r="D44" s="389"/>
      <c r="E44" s="92"/>
      <c r="F44" s="92"/>
      <c r="G44" s="92"/>
      <c r="H44" s="92"/>
      <c r="I44" s="92"/>
      <c r="J44" s="92"/>
    </row>
    <row r="45" spans="1:10" ht="15">
      <c r="A45" s="92"/>
      <c r="B45" s="92"/>
      <c r="C45" s="92"/>
      <c r="D45" s="92"/>
      <c r="E45" s="92"/>
      <c r="F45" s="92"/>
      <c r="G45" s="92"/>
      <c r="H45" s="92"/>
      <c r="I45" s="92"/>
      <c r="J45" s="92"/>
    </row>
    <row r="46" spans="1:10" ht="15">
      <c r="A46" s="92"/>
      <c r="B46" s="92"/>
      <c r="C46" s="92"/>
      <c r="D46" s="92"/>
      <c r="E46" s="92"/>
      <c r="F46" s="92"/>
      <c r="G46" s="92"/>
      <c r="H46" s="92"/>
      <c r="I46" s="92"/>
      <c r="J46" s="92"/>
    </row>
    <row r="47" spans="1:10" ht="15">
      <c r="A47" s="92"/>
      <c r="B47" s="92"/>
      <c r="C47" s="92"/>
      <c r="D47" s="92"/>
      <c r="E47" s="92"/>
      <c r="F47" s="92"/>
      <c r="G47" s="92"/>
      <c r="H47" s="92"/>
      <c r="I47" s="92"/>
      <c r="J47" s="92"/>
    </row>
    <row r="48" spans="1:10" ht="15">
      <c r="A48" s="92"/>
      <c r="B48" s="92"/>
      <c r="C48" s="92"/>
      <c r="D48" s="92"/>
      <c r="E48" s="92"/>
      <c r="F48" s="92"/>
      <c r="G48" s="92"/>
      <c r="H48" s="92"/>
      <c r="I48" s="92"/>
      <c r="J48" s="92"/>
    </row>
  </sheetData>
  <mergeCells count="5">
    <mergeCell ref="A8:J8"/>
    <mergeCell ref="A29:J29"/>
    <mergeCell ref="A11:J11"/>
    <mergeCell ref="A27:J27"/>
    <mergeCell ref="A28:J28"/>
  </mergeCells>
  <printOptions horizontalCentered="1" verticalCentered="1"/>
  <pageMargins left="0.7874015748031497" right="0.7874015748031497" top="0.3937007874015748" bottom="0.31496062992125984" header="0" footer="0"/>
  <pageSetup horizontalDpi="300" verticalDpi="300" orientation="landscape" paperSize="9" scale="85" r:id="rId1"/>
  <ignoredErrors>
    <ignoredError sqref="B15:E15" formulaRange="1"/>
    <ignoredError sqref="D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workbookViewId="0" topLeftCell="A26">
      <selection activeCell="G48" sqref="G48"/>
    </sheetView>
  </sheetViews>
  <sheetFormatPr defaultColWidth="11.421875" defaultRowHeight="12.75"/>
  <cols>
    <col min="1" max="1" width="37.140625" style="91" customWidth="1"/>
    <col min="2" max="2" width="9.00390625" style="91" customWidth="1"/>
    <col min="3" max="3" width="10.140625" style="91" bestFit="1" customWidth="1"/>
    <col min="4" max="4" width="8.28125" style="91" customWidth="1"/>
    <col min="5" max="5" width="9.7109375" style="91" bestFit="1" customWidth="1"/>
    <col min="6" max="6" width="8.8515625" style="91" customWidth="1"/>
    <col min="7" max="7" width="10.00390625" style="91" customWidth="1"/>
    <col min="8" max="9" width="9.421875" style="91" customWidth="1"/>
    <col min="10" max="10" width="9.8515625" style="91" customWidth="1"/>
    <col min="11" max="13" width="7.7109375" style="91" customWidth="1"/>
    <col min="14" max="14" width="10.8515625" style="91" bestFit="1" customWidth="1"/>
    <col min="15" max="18" width="8.7109375" style="91" bestFit="1" customWidth="1"/>
    <col min="19" max="16384" width="11.421875" style="91" customWidth="1"/>
  </cols>
  <sheetData>
    <row r="1" spans="1:3" ht="15.75" thickBot="1">
      <c r="A1" s="554"/>
      <c r="B1" s="554"/>
      <c r="C1" s="555"/>
    </row>
    <row r="2" spans="1:3" ht="15">
      <c r="A2" s="167">
        <v>0</v>
      </c>
      <c r="B2" s="550">
        <v>0</v>
      </c>
      <c r="C2" s="551"/>
    </row>
    <row r="3" spans="1:5" ht="30">
      <c r="A3" s="443" t="s">
        <v>270</v>
      </c>
      <c r="B3" s="552">
        <f>(0.35/1000)*14</f>
        <v>0.0049</v>
      </c>
      <c r="C3" s="553"/>
      <c r="E3" s="91" t="s">
        <v>282</v>
      </c>
    </row>
    <row r="4" spans="1:3" ht="15" hidden="1">
      <c r="A4" s="164"/>
      <c r="B4" s="546">
        <v>0</v>
      </c>
      <c r="C4" s="547"/>
    </row>
    <row r="5" spans="1:3" ht="15">
      <c r="A5" s="164" t="s">
        <v>271</v>
      </c>
      <c r="B5" s="546">
        <v>100</v>
      </c>
      <c r="C5" s="547"/>
    </row>
    <row r="6" spans="1:6" ht="45">
      <c r="A6" s="443" t="s">
        <v>272</v>
      </c>
      <c r="B6" s="546">
        <v>150</v>
      </c>
      <c r="C6" s="547"/>
      <c r="F6" s="476">
        <v>0.029</v>
      </c>
    </row>
    <row r="7" spans="1:3" ht="30.75" thickBot="1">
      <c r="A7" s="443" t="s">
        <v>273</v>
      </c>
      <c r="B7" s="548">
        <v>150</v>
      </c>
      <c r="C7" s="549"/>
    </row>
    <row r="9" ht="15.75">
      <c r="A9" s="518" t="s">
        <v>0</v>
      </c>
    </row>
    <row r="10" spans="1:18" ht="16.5" thickBot="1">
      <c r="A10" s="558"/>
      <c r="B10" s="558"/>
      <c r="C10" s="558"/>
      <c r="D10" s="558"/>
      <c r="E10" s="558"/>
      <c r="F10" s="558"/>
      <c r="G10" s="558"/>
      <c r="H10" s="558"/>
      <c r="I10" s="558"/>
      <c r="J10" s="558"/>
      <c r="K10" s="92"/>
      <c r="L10" s="92"/>
      <c r="M10" s="92"/>
      <c r="N10" s="92"/>
      <c r="O10" s="92"/>
      <c r="P10" s="92"/>
      <c r="Q10" s="160"/>
      <c r="R10" s="160"/>
    </row>
    <row r="11" spans="1:16" ht="15.75" thickTop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</row>
    <row r="13" spans="1:11" s="162" customFormat="1" ht="18">
      <c r="A13" s="545" t="s">
        <v>166</v>
      </c>
      <c r="B13" s="545"/>
      <c r="C13" s="545"/>
      <c r="D13" s="545"/>
      <c r="E13" s="545"/>
      <c r="F13" s="545"/>
      <c r="G13" s="545"/>
      <c r="H13" s="545"/>
      <c r="I13" s="545"/>
      <c r="J13" s="545"/>
      <c r="K13" s="201"/>
    </row>
    <row r="14" spans="1:18" s="162" customFormat="1" ht="18">
      <c r="A14" s="545" t="str">
        <f>Supuestos!B5</f>
        <v>(Expresado en Dólares)</v>
      </c>
      <c r="B14" s="545"/>
      <c r="C14" s="545"/>
      <c r="D14" s="545"/>
      <c r="E14" s="545"/>
      <c r="F14" s="545"/>
      <c r="G14" s="545"/>
      <c r="H14" s="545"/>
      <c r="I14" s="545"/>
      <c r="J14" s="545"/>
      <c r="K14" s="202"/>
      <c r="L14" s="161"/>
      <c r="M14" s="161"/>
      <c r="N14" s="161"/>
      <c r="O14" s="161"/>
      <c r="P14" s="161"/>
      <c r="Q14" s="161"/>
      <c r="R14" s="161"/>
    </row>
    <row r="15" spans="1:18" s="162" customFormat="1" ht="16.5" thickBot="1">
      <c r="A15" s="201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161"/>
      <c r="M15" s="161"/>
      <c r="N15" s="161"/>
      <c r="O15" s="161"/>
      <c r="P15" s="161"/>
      <c r="Q15" s="161"/>
      <c r="R15" s="161"/>
    </row>
    <row r="16" spans="1:19" s="163" customFormat="1" ht="25.5" thickBot="1">
      <c r="A16" s="213" t="str">
        <f>Supuestos!A8</f>
        <v>Servicios</v>
      </c>
      <c r="B16" s="214" t="str">
        <f>Ingresos!B14</f>
        <v>ENE-MAR</v>
      </c>
      <c r="C16" s="214" t="str">
        <f>Ingresos!C14</f>
        <v>ABR-JUN</v>
      </c>
      <c r="D16" s="214" t="str">
        <f>Ingresos!D14</f>
        <v>JUL-SEP</v>
      </c>
      <c r="E16" s="214" t="str">
        <f>Ingresos!E14</f>
        <v>OCT-DIC</v>
      </c>
      <c r="F16" s="214" t="str">
        <f>Ingresos!F14</f>
        <v>AÑO 1</v>
      </c>
      <c r="G16" s="214" t="str">
        <f>Ingresos!G14</f>
        <v>AÑO 2</v>
      </c>
      <c r="H16" s="214" t="str">
        <f>Ingresos!H14</f>
        <v>AÑO 3</v>
      </c>
      <c r="I16" s="214" t="str">
        <f>Ingresos!I14</f>
        <v>AÑO 4</v>
      </c>
      <c r="J16" s="214" t="str">
        <f>Ingresos!J14</f>
        <v>AÑO 5</v>
      </c>
      <c r="K16" s="162"/>
      <c r="L16" s="162"/>
      <c r="M16" s="162"/>
      <c r="N16" s="162"/>
      <c r="O16" s="162"/>
      <c r="P16" s="162"/>
      <c r="Q16" s="162"/>
      <c r="R16" s="162"/>
      <c r="S16" s="162"/>
    </row>
    <row r="17" spans="1:19" ht="15.75">
      <c r="A17" s="211" t="str">
        <f>Ingresos!A32</f>
        <v>Baterías sanitarias</v>
      </c>
      <c r="B17" s="212">
        <f>Ingresos!B15*Costos!B3</f>
        <v>108.66239999999999</v>
      </c>
      <c r="C17" s="212">
        <f>Ingresos!C15*Costos!B3</f>
        <v>108.66239999999999</v>
      </c>
      <c r="D17" s="212">
        <f>Ingresos!D15*Costos!B3</f>
        <v>108.66239999999999</v>
      </c>
      <c r="E17" s="212">
        <f>Ingresos!E15*Costos!B3</f>
        <v>46.5696</v>
      </c>
      <c r="F17" s="212">
        <f>Ingresos!F15*Costos!B3</f>
        <v>372.5568</v>
      </c>
      <c r="G17" s="212">
        <f>Ingresos!G15*Costos!B3</f>
        <v>391.18464</v>
      </c>
      <c r="H17" s="212">
        <f>Ingresos!H15*Costos!B3</f>
        <v>410.74387199999995</v>
      </c>
      <c r="I17" s="212">
        <f>Ingresos!I15*Costos!B3</f>
        <v>431.2810656</v>
      </c>
      <c r="J17" s="212">
        <f>Ingresos!J15*Costos!B3</f>
        <v>452.84511888</v>
      </c>
      <c r="K17" s="162"/>
      <c r="L17" s="162"/>
      <c r="M17" s="162"/>
      <c r="N17" s="162"/>
      <c r="O17" s="162"/>
      <c r="P17" s="162"/>
      <c r="Q17" s="162"/>
      <c r="R17" s="162"/>
      <c r="S17" s="162"/>
    </row>
    <row r="18" spans="1:19" ht="16.5" thickBot="1">
      <c r="A18" s="211" t="str">
        <f>Ingresos!A33</f>
        <v>Duchas</v>
      </c>
      <c r="B18" s="212">
        <f>+Ingresos!B16*Costos!B3</f>
        <v>108.66239999999999</v>
      </c>
      <c r="C18" s="212">
        <f>+Ingresos!C16*Costos!B3</f>
        <v>108.66239999999999</v>
      </c>
      <c r="D18" s="212">
        <f>+Ingresos!D16*Costos!B3</f>
        <v>108.66239999999999</v>
      </c>
      <c r="E18" s="212">
        <f>+Ingresos!E16*Costos!B3</f>
        <v>46.5696</v>
      </c>
      <c r="F18" s="212">
        <f>+Ingresos!F16*Costos!B3</f>
        <v>372.5568</v>
      </c>
      <c r="G18" s="212">
        <f>+Ingresos!G16*Costos!B3</f>
        <v>391.18464</v>
      </c>
      <c r="H18" s="212">
        <f>+Ingresos!H16*Costos!B3</f>
        <v>410.74387199999995</v>
      </c>
      <c r="I18" s="212">
        <f>+Ingresos!I16*Costos!B3</f>
        <v>431.2810656</v>
      </c>
      <c r="J18" s="212">
        <f>+Ingresos!J16*Costos!B3</f>
        <v>452.84511888</v>
      </c>
      <c r="K18" s="162"/>
      <c r="L18" s="162"/>
      <c r="M18" s="162"/>
      <c r="N18" s="162"/>
      <c r="O18" s="162"/>
      <c r="P18" s="162"/>
      <c r="Q18" s="162"/>
      <c r="R18" s="162"/>
      <c r="S18" s="162"/>
    </row>
    <row r="19" spans="1:19" ht="16.5" thickBot="1">
      <c r="A19" s="215" t="s">
        <v>20</v>
      </c>
      <c r="B19" s="216">
        <f>SUM(B17:B18)</f>
        <v>217.32479999999998</v>
      </c>
      <c r="C19" s="216">
        <f aca="true" t="shared" si="0" ref="C19:J19">SUM(C17:C18)</f>
        <v>217.32479999999998</v>
      </c>
      <c r="D19" s="216">
        <f t="shared" si="0"/>
        <v>217.32479999999998</v>
      </c>
      <c r="E19" s="216">
        <f t="shared" si="0"/>
        <v>93.1392</v>
      </c>
      <c r="F19" s="216">
        <f t="shared" si="0"/>
        <v>745.1136</v>
      </c>
      <c r="G19" s="216">
        <f t="shared" si="0"/>
        <v>782.36928</v>
      </c>
      <c r="H19" s="216">
        <f t="shared" si="0"/>
        <v>821.4877439999999</v>
      </c>
      <c r="I19" s="216">
        <f t="shared" si="0"/>
        <v>862.5621312</v>
      </c>
      <c r="J19" s="217">
        <f t="shared" si="0"/>
        <v>905.69023776</v>
      </c>
      <c r="K19" s="162"/>
      <c r="L19" s="162"/>
      <c r="M19" s="162"/>
      <c r="N19" s="162"/>
      <c r="O19" s="162"/>
      <c r="P19" s="162"/>
      <c r="Q19" s="162"/>
      <c r="R19" s="162"/>
      <c r="S19" s="162"/>
    </row>
    <row r="20" spans="11:19" ht="15.75">
      <c r="K20" s="162"/>
      <c r="L20" s="162"/>
      <c r="M20" s="162"/>
      <c r="N20" s="162"/>
      <c r="O20" s="162"/>
      <c r="P20" s="162"/>
      <c r="Q20" s="162"/>
      <c r="R20" s="162"/>
      <c r="S20" s="162"/>
    </row>
    <row r="22" spans="1:10" ht="18">
      <c r="A22" s="545" t="s">
        <v>195</v>
      </c>
      <c r="B22" s="545"/>
      <c r="C22" s="545"/>
      <c r="D22" s="545"/>
      <c r="E22" s="545"/>
      <c r="F22" s="545"/>
      <c r="G22" s="545"/>
      <c r="H22" s="545"/>
      <c r="I22" s="545"/>
      <c r="J22" s="545"/>
    </row>
    <row r="23" spans="1:18" ht="15.75">
      <c r="A23" s="557" t="str">
        <f>Supuestos!B5</f>
        <v>(Expresado en Dólares)</v>
      </c>
      <c r="B23" s="557"/>
      <c r="C23" s="557"/>
      <c r="D23" s="557"/>
      <c r="E23" s="557"/>
      <c r="F23" s="557"/>
      <c r="G23" s="557"/>
      <c r="H23" s="557"/>
      <c r="I23" s="557"/>
      <c r="J23" s="557"/>
      <c r="K23" s="202"/>
      <c r="L23" s="161"/>
      <c r="M23" s="161"/>
      <c r="N23" s="161"/>
      <c r="O23" s="161"/>
      <c r="P23" s="161"/>
      <c r="Q23" s="161"/>
      <c r="R23" s="161"/>
    </row>
    <row r="24" spans="1:18" ht="6" customHeight="1" thickBot="1">
      <c r="A24" s="201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161"/>
      <c r="M24" s="161"/>
      <c r="N24" s="161"/>
      <c r="O24" s="161"/>
      <c r="P24" s="161"/>
      <c r="Q24" s="161"/>
      <c r="R24" s="161"/>
    </row>
    <row r="25" spans="1:14" s="163" customFormat="1" ht="27.75" customHeight="1" thickBot="1">
      <c r="A25" s="213" t="s">
        <v>109</v>
      </c>
      <c r="B25" s="190" t="str">
        <f>B16</f>
        <v>ENE-MAR</v>
      </c>
      <c r="C25" s="190" t="str">
        <f aca="true" t="shared" si="1" ref="C25:J25">C16</f>
        <v>ABR-JUN</v>
      </c>
      <c r="D25" s="190" t="str">
        <f t="shared" si="1"/>
        <v>JUL-SEP</v>
      </c>
      <c r="E25" s="190" t="str">
        <f t="shared" si="1"/>
        <v>OCT-DIC</v>
      </c>
      <c r="F25" s="220" t="str">
        <f t="shared" si="1"/>
        <v>AÑO 1</v>
      </c>
      <c r="G25" s="190" t="str">
        <f t="shared" si="1"/>
        <v>AÑO 2</v>
      </c>
      <c r="H25" s="190" t="str">
        <f t="shared" si="1"/>
        <v>AÑO 3</v>
      </c>
      <c r="I25" s="195" t="str">
        <f t="shared" si="1"/>
        <v>AÑO 4</v>
      </c>
      <c r="J25" s="195" t="str">
        <f t="shared" si="1"/>
        <v>AÑO 5</v>
      </c>
      <c r="K25" s="202"/>
      <c r="L25" s="161"/>
      <c r="M25" s="161"/>
      <c r="N25" s="161"/>
    </row>
    <row r="26" spans="1:14" ht="15.75">
      <c r="A26" s="101" t="str">
        <f>'Desglose Administrativo'!A11</f>
        <v>Salvavida 1</v>
      </c>
      <c r="B26" s="218">
        <f>'Desglose Administrativo'!Q11</f>
        <v>589.6586374999999</v>
      </c>
      <c r="C26" s="218">
        <f aca="true" t="shared" si="2" ref="C26:E29">B26</f>
        <v>589.6586374999999</v>
      </c>
      <c r="D26" s="218">
        <f t="shared" si="2"/>
        <v>589.6586374999999</v>
      </c>
      <c r="E26" s="218">
        <f t="shared" si="2"/>
        <v>589.6586374999999</v>
      </c>
      <c r="F26" s="101">
        <f>SUM(B26:E26)</f>
        <v>2358.6345499999998</v>
      </c>
      <c r="G26" s="205">
        <f>F26+(F26*Supuestos!$B$13)</f>
        <v>2452.9799319999997</v>
      </c>
      <c r="H26" s="48">
        <f>G26+(G26*Supuestos!$B$13)</f>
        <v>2551.09912928</v>
      </c>
      <c r="I26" s="374">
        <f>H26+(H26*Supuestos!$B$13)</f>
        <v>2653.1430944512</v>
      </c>
      <c r="J26" s="101">
        <f>I26+(I26*Supuestos!$B$13)</f>
        <v>2759.2688182292477</v>
      </c>
      <c r="K26" s="161"/>
      <c r="L26" s="161"/>
      <c r="M26" s="161"/>
      <c r="N26" s="161"/>
    </row>
    <row r="27" spans="1:14" ht="15.75">
      <c r="A27" s="101" t="str">
        <f>'Desglose Administrativo'!A12</f>
        <v>Salvavida 2</v>
      </c>
      <c r="B27" s="218">
        <f>'Desglose Administrativo'!Q12</f>
        <v>589.6586374999999</v>
      </c>
      <c r="C27" s="218">
        <f t="shared" si="2"/>
        <v>589.6586374999999</v>
      </c>
      <c r="D27" s="218">
        <f t="shared" si="2"/>
        <v>589.6586374999999</v>
      </c>
      <c r="E27" s="218">
        <f t="shared" si="2"/>
        <v>589.6586374999999</v>
      </c>
      <c r="F27" s="101">
        <f>SUM(B27:E27)</f>
        <v>2358.6345499999998</v>
      </c>
      <c r="G27" s="205">
        <f>F27+(F27*Supuestos!$B$13)</f>
        <v>2452.9799319999997</v>
      </c>
      <c r="H27" s="48">
        <f>G27+(G27*Supuestos!$B$13)</f>
        <v>2551.09912928</v>
      </c>
      <c r="I27" s="374">
        <f>H27+(H27*Supuestos!$B$13)</f>
        <v>2653.1430944512</v>
      </c>
      <c r="J27" s="101">
        <f>I27+(I27*Supuestos!$B$13)</f>
        <v>2759.2688182292477</v>
      </c>
      <c r="K27" s="161"/>
      <c r="L27" s="161"/>
      <c r="M27" s="161"/>
      <c r="N27" s="161"/>
    </row>
    <row r="28" spans="1:14" ht="15.75">
      <c r="A28" s="101" t="str">
        <f>'Desglose Administrativo'!A13</f>
        <v>Auxiliar de limpieza 1</v>
      </c>
      <c r="B28" s="218">
        <f>'Desglose Administrativo'!Q13</f>
        <v>589.6586374999999</v>
      </c>
      <c r="C28" s="218">
        <f t="shared" si="2"/>
        <v>589.6586374999999</v>
      </c>
      <c r="D28" s="218">
        <f t="shared" si="2"/>
        <v>589.6586374999999</v>
      </c>
      <c r="E28" s="218">
        <f t="shared" si="2"/>
        <v>589.6586374999999</v>
      </c>
      <c r="F28" s="101">
        <f>SUM(B28:E28)</f>
        <v>2358.6345499999998</v>
      </c>
      <c r="G28" s="350">
        <f>F28+(F28*Supuestos!$B$13)</f>
        <v>2452.9799319999997</v>
      </c>
      <c r="H28" s="48">
        <f>G28+(G28*Supuestos!$B$13)</f>
        <v>2551.09912928</v>
      </c>
      <c r="I28" s="374">
        <f>H28+(H28*Supuestos!$B$13)</f>
        <v>2653.1430944512</v>
      </c>
      <c r="J28" s="101">
        <f>I28+(I28*Supuestos!$B$13)</f>
        <v>2759.2688182292477</v>
      </c>
      <c r="K28" s="161"/>
      <c r="L28" s="161"/>
      <c r="M28" s="161"/>
      <c r="N28" s="161"/>
    </row>
    <row r="29" spans="1:14" ht="16.5" thickBot="1">
      <c r="A29" s="101" t="str">
        <f>'Desglose Administrativo'!A14</f>
        <v>Auxiliar de limpieza 2</v>
      </c>
      <c r="B29" s="218">
        <f>'Desglose Administrativo'!Q14</f>
        <v>589.6586374999999</v>
      </c>
      <c r="C29" s="218">
        <f t="shared" si="2"/>
        <v>589.6586374999999</v>
      </c>
      <c r="D29" s="218">
        <f t="shared" si="2"/>
        <v>589.6586374999999</v>
      </c>
      <c r="E29" s="218">
        <f t="shared" si="2"/>
        <v>589.6586374999999</v>
      </c>
      <c r="F29" s="101">
        <f>SUM(B29:E29)</f>
        <v>2358.6345499999998</v>
      </c>
      <c r="G29" s="350">
        <f>F29+(F29*Supuestos!$B$13)</f>
        <v>2452.9799319999997</v>
      </c>
      <c r="H29" s="48">
        <f>G29+(G29*Supuestos!$B$13)</f>
        <v>2551.09912928</v>
      </c>
      <c r="I29" s="374">
        <f>H29+(H29*Supuestos!$B$13)</f>
        <v>2653.1430944512</v>
      </c>
      <c r="J29" s="101">
        <f>I29+(I29*Supuestos!$B$13)</f>
        <v>2759.2688182292477</v>
      </c>
      <c r="K29" s="161"/>
      <c r="L29" s="161"/>
      <c r="M29" s="161"/>
      <c r="N29" s="161"/>
    </row>
    <row r="30" spans="1:14" ht="16.5" thickBot="1">
      <c r="A30" s="221" t="s">
        <v>113</v>
      </c>
      <c r="B30" s="222">
        <f aca="true" t="shared" si="3" ref="B30:J30">SUM(B26:B29)</f>
        <v>2358.6345499999998</v>
      </c>
      <c r="C30" s="225">
        <f t="shared" si="3"/>
        <v>2358.6345499999998</v>
      </c>
      <c r="D30" s="440">
        <f t="shared" si="3"/>
        <v>2358.6345499999998</v>
      </c>
      <c r="E30" s="440">
        <f t="shared" si="3"/>
        <v>2358.6345499999998</v>
      </c>
      <c r="F30" s="222">
        <f t="shared" si="3"/>
        <v>9434.538199999999</v>
      </c>
      <c r="G30" s="222">
        <f t="shared" si="3"/>
        <v>9811.919727999999</v>
      </c>
      <c r="H30" s="222">
        <f t="shared" si="3"/>
        <v>10204.39651712</v>
      </c>
      <c r="I30" s="222">
        <f t="shared" si="3"/>
        <v>10612.5723778048</v>
      </c>
      <c r="J30" s="222">
        <f t="shared" si="3"/>
        <v>11037.07527291699</v>
      </c>
      <c r="K30" s="161"/>
      <c r="L30" s="161"/>
      <c r="M30" s="161"/>
      <c r="N30" s="161"/>
    </row>
    <row r="31" spans="11:14" ht="15.75">
      <c r="K31" s="161"/>
      <c r="L31" s="161"/>
      <c r="M31" s="161"/>
      <c r="N31" s="161"/>
    </row>
    <row r="33" spans="1:11" ht="18">
      <c r="A33" s="545" t="s">
        <v>196</v>
      </c>
      <c r="B33" s="545"/>
      <c r="C33" s="545"/>
      <c r="D33" s="545"/>
      <c r="E33" s="545"/>
      <c r="F33" s="545"/>
      <c r="G33" s="545"/>
      <c r="H33" s="545"/>
      <c r="I33" s="545"/>
      <c r="J33" s="545"/>
      <c r="K33" s="200"/>
    </row>
    <row r="34" spans="1:18" ht="15" customHeight="1">
      <c r="A34" s="556" t="str">
        <f>A23</f>
        <v>(Expresado en Dólares)</v>
      </c>
      <c r="B34" s="556"/>
      <c r="C34" s="556"/>
      <c r="D34" s="556"/>
      <c r="E34" s="556"/>
      <c r="F34" s="556"/>
      <c r="G34" s="556"/>
      <c r="H34" s="556"/>
      <c r="I34" s="556"/>
      <c r="J34" s="556"/>
      <c r="K34" s="201"/>
      <c r="L34" s="162"/>
      <c r="M34" s="162"/>
      <c r="N34" s="162"/>
      <c r="O34" s="162"/>
      <c r="P34" s="162"/>
      <c r="Q34" s="162"/>
      <c r="R34" s="162"/>
    </row>
    <row r="35" spans="1:18" ht="8.25" customHeight="1" thickBot="1">
      <c r="A35" s="207"/>
      <c r="B35" s="207"/>
      <c r="C35" s="207"/>
      <c r="D35" s="207"/>
      <c r="E35" s="207"/>
      <c r="F35" s="207"/>
      <c r="G35" s="207"/>
      <c r="H35" s="207"/>
      <c r="I35" s="207"/>
      <c r="J35" s="207"/>
      <c r="K35" s="201"/>
      <c r="L35" s="162"/>
      <c r="M35" s="162"/>
      <c r="N35" s="162"/>
      <c r="O35" s="162"/>
      <c r="P35" s="162"/>
      <c r="Q35" s="162"/>
      <c r="R35" s="162"/>
    </row>
    <row r="36" spans="1:13" ht="27.75" customHeight="1" thickBot="1">
      <c r="A36" s="213" t="str">
        <f>A25</f>
        <v>DESGLOSE</v>
      </c>
      <c r="B36" s="223" t="str">
        <f aca="true" t="shared" si="4" ref="B36:J36">B25</f>
        <v>ENE-MAR</v>
      </c>
      <c r="C36" s="223" t="str">
        <f t="shared" si="4"/>
        <v>ABR-JUN</v>
      </c>
      <c r="D36" s="223" t="str">
        <f t="shared" si="4"/>
        <v>JUL-SEP</v>
      </c>
      <c r="E36" s="223" t="str">
        <f t="shared" si="4"/>
        <v>OCT-DIC</v>
      </c>
      <c r="F36" s="224" t="str">
        <f t="shared" si="4"/>
        <v>AÑO 1</v>
      </c>
      <c r="G36" s="319" t="str">
        <f t="shared" si="4"/>
        <v>AÑO 2</v>
      </c>
      <c r="H36" s="320" t="str">
        <f t="shared" si="4"/>
        <v>AÑO 3</v>
      </c>
      <c r="I36" s="320" t="str">
        <f t="shared" si="4"/>
        <v>AÑO 4</v>
      </c>
      <c r="J36" s="320" t="str">
        <f t="shared" si="4"/>
        <v>AÑO 5</v>
      </c>
      <c r="K36" s="201"/>
      <c r="L36" s="162"/>
      <c r="M36" s="162"/>
    </row>
    <row r="37" spans="1:13" ht="15.75">
      <c r="A37" s="99" t="s">
        <v>121</v>
      </c>
      <c r="B37" s="205">
        <v>0</v>
      </c>
      <c r="C37" s="205">
        <f aca="true" t="shared" si="5" ref="C37:E44">B37</f>
        <v>0</v>
      </c>
      <c r="D37" s="205">
        <f t="shared" si="5"/>
        <v>0</v>
      </c>
      <c r="E37" s="205">
        <f t="shared" si="5"/>
        <v>0</v>
      </c>
      <c r="F37" s="211">
        <f aca="true" t="shared" si="6" ref="F37:F44">SUM(B37:E37)</f>
        <v>0</v>
      </c>
      <c r="G37" s="323">
        <f>F37+(F37*Supuestos!$B$13)</f>
        <v>0</v>
      </c>
      <c r="H37" s="324">
        <f>G37+(G37*Supuestos!$B$13)</f>
        <v>0</v>
      </c>
      <c r="I37" s="373">
        <f>H37+(H37*Supuestos!$B$13)</f>
        <v>0</v>
      </c>
      <c r="J37" s="99">
        <f>I37+(I37*Supuestos!$B$13)</f>
        <v>0</v>
      </c>
      <c r="K37" s="162"/>
      <c r="L37" s="162"/>
      <c r="M37" s="162"/>
    </row>
    <row r="38" spans="1:13" ht="15.75">
      <c r="A38" s="101" t="s">
        <v>269</v>
      </c>
      <c r="B38" s="205">
        <v>75</v>
      </c>
      <c r="C38" s="205">
        <f t="shared" si="5"/>
        <v>75</v>
      </c>
      <c r="D38" s="205">
        <f t="shared" si="5"/>
        <v>75</v>
      </c>
      <c r="E38" s="205">
        <f t="shared" si="5"/>
        <v>75</v>
      </c>
      <c r="F38" s="211">
        <f t="shared" si="6"/>
        <v>300</v>
      </c>
      <c r="G38" s="218">
        <f>F38+(F38*Supuestos!$B$21)</f>
        <v>300</v>
      </c>
      <c r="H38" s="218">
        <f>G38+(G38*Supuestos!$B$21)</f>
        <v>300</v>
      </c>
      <c r="I38" s="211">
        <f>H38+(H38*Supuestos!$B$21)</f>
        <v>300</v>
      </c>
      <c r="J38" s="101">
        <f>I38+(I38*Supuestos!$B$21)</f>
        <v>300</v>
      </c>
      <c r="K38" s="162"/>
      <c r="L38" s="162"/>
      <c r="M38" s="162"/>
    </row>
    <row r="39" spans="1:13" ht="15.75">
      <c r="A39" s="101" t="s">
        <v>159</v>
      </c>
      <c r="B39" s="205"/>
      <c r="C39" s="205"/>
      <c r="D39" s="205"/>
      <c r="E39" s="205"/>
      <c r="F39" s="211">
        <f>'Activos fijos'!D19</f>
        <v>6706.404</v>
      </c>
      <c r="G39" s="211">
        <f>'Activos fijos'!E19</f>
        <v>6706.404</v>
      </c>
      <c r="H39" s="211">
        <f>'Activos fijos'!F19</f>
        <v>6706.404</v>
      </c>
      <c r="I39" s="211">
        <f>'Activos fijos'!G19</f>
        <v>6706.404</v>
      </c>
      <c r="J39" s="101">
        <f>'Activos fijos'!H19</f>
        <v>6706.404</v>
      </c>
      <c r="K39" s="162"/>
      <c r="L39" s="162"/>
      <c r="M39" s="162"/>
    </row>
    <row r="40" spans="1:13" ht="15.75">
      <c r="A40" s="101" t="s">
        <v>160</v>
      </c>
      <c r="B40" s="205"/>
      <c r="C40" s="205"/>
      <c r="D40" s="205"/>
      <c r="E40" s="205"/>
      <c r="F40" s="211">
        <f>'Activos fijos'!D26</f>
        <v>0</v>
      </c>
      <c r="G40" s="218">
        <f>'Activos fijos'!E26</f>
        <v>0</v>
      </c>
      <c r="H40" s="212">
        <f>'Activos fijos'!F26</f>
        <v>0</v>
      </c>
      <c r="I40" s="374">
        <f>'Activos fijos'!G26</f>
        <v>0</v>
      </c>
      <c r="J40" s="101">
        <f>'Activos fijos'!I26</f>
        <v>0</v>
      </c>
      <c r="K40" s="162"/>
      <c r="L40" s="162"/>
      <c r="M40" s="162"/>
    </row>
    <row r="41" spans="1:13" ht="15.75">
      <c r="A41" s="101" t="s">
        <v>248</v>
      </c>
      <c r="B41" s="205">
        <v>200</v>
      </c>
      <c r="C41" s="205">
        <f t="shared" si="5"/>
        <v>200</v>
      </c>
      <c r="D41" s="205">
        <f>C41</f>
        <v>200</v>
      </c>
      <c r="E41" s="205">
        <f t="shared" si="5"/>
        <v>200</v>
      </c>
      <c r="F41" s="211">
        <f t="shared" si="6"/>
        <v>800</v>
      </c>
      <c r="G41" s="218">
        <f>F41+(F41*Supuestos!$B$13)</f>
        <v>832</v>
      </c>
      <c r="H41" s="212">
        <f>G41+(G41*Supuestos!$B$13)</f>
        <v>865.28</v>
      </c>
      <c r="I41" s="374">
        <f>H41+(H41*Supuestos!$B$13)</f>
        <v>899.8912</v>
      </c>
      <c r="J41" s="101">
        <f>I41+(I41*Supuestos!$B$13)</f>
        <v>935.886848</v>
      </c>
      <c r="K41" s="162"/>
      <c r="L41" s="162"/>
      <c r="M41" s="162"/>
    </row>
    <row r="42" spans="1:13" ht="15.75">
      <c r="A42" s="101" t="s">
        <v>246</v>
      </c>
      <c r="B42" s="205">
        <v>300</v>
      </c>
      <c r="C42" s="205">
        <f t="shared" si="5"/>
        <v>300</v>
      </c>
      <c r="D42" s="205">
        <f t="shared" si="5"/>
        <v>300</v>
      </c>
      <c r="E42" s="205">
        <f t="shared" si="5"/>
        <v>300</v>
      </c>
      <c r="F42" s="211">
        <f t="shared" si="6"/>
        <v>1200</v>
      </c>
      <c r="G42" s="218">
        <f>F42+(F42*Supuestos!$B$13)</f>
        <v>1248</v>
      </c>
      <c r="H42" s="212">
        <f>G42+(G42*Supuestos!$B$13)</f>
        <v>1297.92</v>
      </c>
      <c r="I42" s="374">
        <f>H42+(H42*Supuestos!$B$13)</f>
        <v>1349.8368</v>
      </c>
      <c r="J42" s="101">
        <f>I42+(I42*Supuestos!$B$13)</f>
        <v>1403.8302720000002</v>
      </c>
      <c r="K42" s="162"/>
      <c r="L42" s="162"/>
      <c r="M42" s="162"/>
    </row>
    <row r="43" spans="1:13" ht="15.75">
      <c r="A43" s="101" t="s">
        <v>268</v>
      </c>
      <c r="B43" s="205">
        <v>200</v>
      </c>
      <c r="C43" s="205">
        <f t="shared" si="5"/>
        <v>200</v>
      </c>
      <c r="D43" s="205">
        <f t="shared" si="5"/>
        <v>200</v>
      </c>
      <c r="E43" s="205">
        <f t="shared" si="5"/>
        <v>200</v>
      </c>
      <c r="F43" s="211">
        <f t="shared" si="6"/>
        <v>800</v>
      </c>
      <c r="G43" s="218">
        <f>F43+(F43*Supuestos!$B$13)</f>
        <v>832</v>
      </c>
      <c r="H43" s="212">
        <f>G43+(G43*Supuestos!$B$13)</f>
        <v>865.28</v>
      </c>
      <c r="I43" s="374">
        <f>H43+(H43*Supuestos!$B$13)</f>
        <v>899.8912</v>
      </c>
      <c r="J43" s="101">
        <f>I43+(I43*Supuestos!$B$13)</f>
        <v>935.886848</v>
      </c>
      <c r="K43" s="162"/>
      <c r="L43" s="162"/>
      <c r="M43" s="162"/>
    </row>
    <row r="44" spans="1:13" ht="16.5" thickBot="1">
      <c r="A44" s="101" t="s">
        <v>150</v>
      </c>
      <c r="B44" s="205">
        <v>0</v>
      </c>
      <c r="C44" s="205">
        <f t="shared" si="5"/>
        <v>0</v>
      </c>
      <c r="D44" s="205">
        <f t="shared" si="5"/>
        <v>0</v>
      </c>
      <c r="E44" s="205">
        <f t="shared" si="5"/>
        <v>0</v>
      </c>
      <c r="F44" s="211">
        <f t="shared" si="6"/>
        <v>0</v>
      </c>
      <c r="G44" s="219">
        <f>F44+(F44*Supuestos!$B$13)</f>
        <v>0</v>
      </c>
      <c r="H44" s="325">
        <f>G44+(G44*Supuestos!$B$13)</f>
        <v>0</v>
      </c>
      <c r="I44" s="375">
        <f>H44+(H44*Supuestos!$B$13)</f>
        <v>0</v>
      </c>
      <c r="J44" s="376">
        <f>I44+(I44*Supuestos!$B$13)</f>
        <v>0</v>
      </c>
      <c r="K44" s="162"/>
      <c r="L44" s="162"/>
      <c r="M44" s="162"/>
    </row>
    <row r="45" spans="1:13" ht="16.5" thickBot="1">
      <c r="A45" s="208" t="s">
        <v>21</v>
      </c>
      <c r="B45" s="225">
        <f>SUM(B37:B44)</f>
        <v>775</v>
      </c>
      <c r="C45" s="225">
        <f aca="true" t="shared" si="7" ref="C45:I45">SUM(C37:C44)</f>
        <v>775</v>
      </c>
      <c r="D45" s="225">
        <f t="shared" si="7"/>
        <v>775</v>
      </c>
      <c r="E45" s="225">
        <f t="shared" si="7"/>
        <v>775</v>
      </c>
      <c r="F45" s="222">
        <f>SUM(F37:F44)</f>
        <v>9806.404</v>
      </c>
      <c r="G45" s="321">
        <f>SUM(G37:G44)</f>
        <v>9918.404</v>
      </c>
      <c r="H45" s="322">
        <f t="shared" si="7"/>
        <v>10034.884</v>
      </c>
      <c r="I45" s="322">
        <f t="shared" si="7"/>
        <v>10156.023200000001</v>
      </c>
      <c r="J45" s="322">
        <f>SUM(J37:J44)</f>
        <v>10282.007968</v>
      </c>
      <c r="K45" s="162"/>
      <c r="L45" s="162"/>
      <c r="M45" s="162"/>
    </row>
    <row r="46" spans="11:13" ht="15.75">
      <c r="K46" s="162"/>
      <c r="L46" s="162"/>
      <c r="M46" s="162"/>
    </row>
    <row r="48" spans="1:7" ht="15.75">
      <c r="A48" s="557" t="s">
        <v>189</v>
      </c>
      <c r="B48" s="557"/>
      <c r="C48" s="557"/>
      <c r="D48" s="557"/>
      <c r="E48" s="557"/>
      <c r="F48" s="557"/>
      <c r="G48" s="200"/>
    </row>
    <row r="49" spans="1:7" ht="15.75">
      <c r="A49" s="557" t="str">
        <f>A34</f>
        <v>(Expresado en Dólares)</v>
      </c>
      <c r="B49" s="557"/>
      <c r="C49" s="557"/>
      <c r="D49" s="557"/>
      <c r="E49" s="557"/>
      <c r="F49" s="557"/>
      <c r="G49" s="200"/>
    </row>
    <row r="50" spans="1:7" ht="6.75" customHeight="1" thickBot="1">
      <c r="A50" s="201"/>
      <c r="B50" s="200"/>
      <c r="C50" s="200"/>
      <c r="D50" s="200"/>
      <c r="E50" s="200"/>
      <c r="F50" s="200"/>
      <c r="G50" s="200"/>
    </row>
    <row r="51" spans="1:7" ht="27.75" customHeight="1" thickBot="1">
      <c r="A51" s="213" t="str">
        <f>A36</f>
        <v>DESGLOSE</v>
      </c>
      <c r="B51" s="226" t="s">
        <v>154</v>
      </c>
      <c r="C51" s="226" t="s">
        <v>104</v>
      </c>
      <c r="D51" s="226" t="s">
        <v>105</v>
      </c>
      <c r="E51" s="226" t="s">
        <v>106</v>
      </c>
      <c r="F51" s="226" t="s">
        <v>107</v>
      </c>
      <c r="G51" s="200"/>
    </row>
    <row r="52" spans="1:8" ht="15.75">
      <c r="A52" s="99" t="s">
        <v>155</v>
      </c>
      <c r="B52" s="101">
        <v>0</v>
      </c>
      <c r="C52" s="101">
        <v>0</v>
      </c>
      <c r="D52" s="101">
        <v>0</v>
      </c>
      <c r="E52" s="101">
        <v>0</v>
      </c>
      <c r="F52" s="101">
        <v>0</v>
      </c>
      <c r="G52" s="371"/>
      <c r="H52" s="372"/>
    </row>
    <row r="53" spans="1:8" ht="15.75">
      <c r="A53" s="101" t="s">
        <v>156</v>
      </c>
      <c r="B53" s="101">
        <v>100</v>
      </c>
      <c r="C53" s="101">
        <f>B53+(B53*Supuestos!$B$13)</f>
        <v>104</v>
      </c>
      <c r="D53" s="101">
        <f>C53+(C53*Supuestos!$B$13)</f>
        <v>108.16</v>
      </c>
      <c r="E53" s="101">
        <f>D53+(D53*Supuestos!$B$13)</f>
        <v>112.4864</v>
      </c>
      <c r="F53" s="101">
        <f>E53+(E53*Supuestos!$B$13)</f>
        <v>116.985856</v>
      </c>
      <c r="G53" s="371"/>
      <c r="H53" s="372"/>
    </row>
    <row r="54" spans="1:8" ht="15.75">
      <c r="A54" s="101" t="s">
        <v>197</v>
      </c>
      <c r="B54" s="101">
        <v>0</v>
      </c>
      <c r="C54" s="101">
        <f>B54+(B54*Supuestos!$B$13)</f>
        <v>0</v>
      </c>
      <c r="D54" s="101">
        <f>C54+(C54*Supuestos!$B$13)</f>
        <v>0</v>
      </c>
      <c r="E54" s="101">
        <f>D54+(D54*Supuestos!$B$13)</f>
        <v>0</v>
      </c>
      <c r="F54" s="101">
        <f>E54+(E54*Supuestos!$B$13)</f>
        <v>0</v>
      </c>
      <c r="G54" s="371"/>
      <c r="H54" s="372"/>
    </row>
    <row r="55" spans="1:8" ht="15.75">
      <c r="A55" s="101" t="s">
        <v>157</v>
      </c>
      <c r="B55" s="101">
        <v>100</v>
      </c>
      <c r="C55" s="101">
        <v>50</v>
      </c>
      <c r="D55" s="101">
        <v>50</v>
      </c>
      <c r="E55" s="101">
        <v>50</v>
      </c>
      <c r="F55" s="101">
        <v>50</v>
      </c>
      <c r="G55" s="371"/>
      <c r="H55" s="372"/>
    </row>
    <row r="56" spans="1:8" ht="16.5" thickBot="1">
      <c r="A56" s="101" t="s">
        <v>257</v>
      </c>
      <c r="B56" s="101">
        <v>100</v>
      </c>
      <c r="C56" s="101">
        <f>B56+(B56*Supuestos!$B$21)</f>
        <v>100</v>
      </c>
      <c r="D56" s="101">
        <f>C56+(C56*Supuestos!$B$21)</f>
        <v>100</v>
      </c>
      <c r="E56" s="101">
        <f>D56+(D56*Supuestos!$B$21)</f>
        <v>100</v>
      </c>
      <c r="F56" s="101">
        <f>E56+(E56*Supuestos!$B$21)</f>
        <v>100</v>
      </c>
      <c r="G56" s="371"/>
      <c r="H56" s="372"/>
    </row>
    <row r="57" spans="1:8" ht="15.75" thickBot="1">
      <c r="A57" s="208" t="s">
        <v>244</v>
      </c>
      <c r="B57" s="222">
        <f>SUM(B52:B56)</f>
        <v>300</v>
      </c>
      <c r="C57" s="222">
        <f>SUM(C52:C56)</f>
        <v>254</v>
      </c>
      <c r="D57" s="222">
        <f>SUM(D52:D56)</f>
        <v>258.15999999999997</v>
      </c>
      <c r="E57" s="222">
        <f>SUM(E52:E56)</f>
        <v>262.4864</v>
      </c>
      <c r="F57" s="222">
        <f>SUM(F52:F56)</f>
        <v>266.985856</v>
      </c>
      <c r="G57" s="370"/>
      <c r="H57" s="369"/>
    </row>
  </sheetData>
  <mergeCells count="16">
    <mergeCell ref="A1:C1"/>
    <mergeCell ref="A34:J34"/>
    <mergeCell ref="A48:F48"/>
    <mergeCell ref="A49:F49"/>
    <mergeCell ref="A13:J13"/>
    <mergeCell ref="A14:J14"/>
    <mergeCell ref="A22:J22"/>
    <mergeCell ref="A23:J23"/>
    <mergeCell ref="A33:J33"/>
    <mergeCell ref="A10:J10"/>
    <mergeCell ref="B6:C6"/>
    <mergeCell ref="B7:C7"/>
    <mergeCell ref="B2:C2"/>
    <mergeCell ref="B3:C3"/>
    <mergeCell ref="B4:C4"/>
    <mergeCell ref="B5:C5"/>
  </mergeCells>
  <printOptions horizontalCentered="1" verticalCentered="1"/>
  <pageMargins left="0.75" right="0.75" top="1" bottom="1" header="0" footer="0"/>
  <pageSetup fitToHeight="1" fitToWidth="1" horizontalDpi="300" verticalDpi="3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workbookViewId="0" topLeftCell="A1">
      <selection activeCell="A4" sqref="A4:Q4"/>
    </sheetView>
  </sheetViews>
  <sheetFormatPr defaultColWidth="11.421875" defaultRowHeight="12.75"/>
  <cols>
    <col min="1" max="1" width="19.140625" style="83" customWidth="1"/>
    <col min="2" max="2" width="11.28125" style="83" customWidth="1"/>
    <col min="3" max="3" width="8.140625" style="83" customWidth="1"/>
    <col min="4" max="4" width="9.140625" style="83" customWidth="1"/>
    <col min="5" max="5" width="1.28515625" style="48" customWidth="1"/>
    <col min="6" max="6" width="9.57421875" style="83" customWidth="1"/>
    <col min="7" max="7" width="5.7109375" style="83" customWidth="1"/>
    <col min="8" max="8" width="6.00390625" style="83" customWidth="1"/>
    <col min="9" max="9" width="8.00390625" style="83" customWidth="1"/>
    <col min="10" max="10" width="10.140625" style="83" customWidth="1"/>
    <col min="11" max="11" width="10.28125" style="83" customWidth="1"/>
    <col min="12" max="12" width="8.8515625" style="83" customWidth="1"/>
    <col min="13" max="13" width="1.57421875" style="48" customWidth="1"/>
    <col min="14" max="14" width="12.28125" style="83" customWidth="1"/>
    <col min="15" max="15" width="11.28125" style="83" customWidth="1"/>
    <col min="16" max="16" width="13.421875" style="83" bestFit="1" customWidth="1"/>
    <col min="17" max="17" width="15.8515625" style="83" bestFit="1" customWidth="1"/>
    <col min="18" max="16384" width="11.421875" style="83" customWidth="1"/>
  </cols>
  <sheetData>
    <row r="1" ht="16.5" thickBot="1">
      <c r="A1" s="100" t="s">
        <v>0</v>
      </c>
    </row>
    <row r="2" spans="2:9" ht="13.5" thickTop="1">
      <c r="B2" s="48"/>
      <c r="C2" s="48"/>
      <c r="D2" s="48"/>
      <c r="F2" s="48"/>
      <c r="G2" s="48"/>
      <c r="H2" s="48"/>
      <c r="I2" s="48"/>
    </row>
    <row r="3" spans="2:21" ht="15.75"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48"/>
      <c r="S3" s="48"/>
      <c r="T3" s="48"/>
      <c r="U3" s="48"/>
    </row>
    <row r="4" spans="1:17" ht="15.75">
      <c r="A4" s="532" t="s">
        <v>190</v>
      </c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</row>
    <row r="5" spans="2:18" ht="12.75">
      <c r="B5" s="254"/>
      <c r="C5" s="254"/>
      <c r="D5" s="254"/>
      <c r="E5" s="255"/>
      <c r="F5" s="254"/>
      <c r="G5" s="254"/>
      <c r="H5" s="254"/>
      <c r="I5" s="254"/>
      <c r="J5" s="254"/>
      <c r="K5" s="254"/>
      <c r="L5" s="254"/>
      <c r="M5" s="255"/>
      <c r="N5" s="255"/>
      <c r="O5" s="255"/>
      <c r="P5" s="255"/>
      <c r="Q5" s="255"/>
      <c r="R5" s="169"/>
    </row>
    <row r="6" spans="1:18" ht="12.75">
      <c r="A6" s="256" t="s">
        <v>191</v>
      </c>
      <c r="B6" s="254"/>
      <c r="C6" s="254"/>
      <c r="D6" s="257"/>
      <c r="E6" s="258"/>
      <c r="F6" s="257"/>
      <c r="G6" s="254"/>
      <c r="H6" s="254"/>
      <c r="I6" s="254"/>
      <c r="J6" s="254"/>
      <c r="K6" s="257"/>
      <c r="L6" s="257"/>
      <c r="M6" s="258"/>
      <c r="N6" s="254"/>
      <c r="O6" s="254"/>
      <c r="P6" s="254"/>
      <c r="Q6" s="254"/>
      <c r="R6" s="169"/>
    </row>
    <row r="7" spans="1:18" ht="9" customHeight="1" thickBot="1">
      <c r="A7" s="254"/>
      <c r="B7" s="254"/>
      <c r="C7" s="254"/>
      <c r="D7" s="254"/>
      <c r="E7" s="255"/>
      <c r="F7" s="254"/>
      <c r="G7" s="254"/>
      <c r="H7" s="254"/>
      <c r="I7" s="254"/>
      <c r="J7" s="254"/>
      <c r="K7" s="254"/>
      <c r="L7" s="254"/>
      <c r="M7" s="255"/>
      <c r="N7" s="254"/>
      <c r="O7" s="254"/>
      <c r="P7" s="254"/>
      <c r="Q7" s="254"/>
      <c r="R7" s="169"/>
    </row>
    <row r="8" spans="1:18" ht="13.5" thickBot="1">
      <c r="A8" s="259"/>
      <c r="B8" s="259"/>
      <c r="C8" s="260"/>
      <c r="D8" s="261"/>
      <c r="E8" s="255"/>
      <c r="F8" s="559" t="s">
        <v>117</v>
      </c>
      <c r="G8" s="560"/>
      <c r="H8" s="560"/>
      <c r="I8" s="560"/>
      <c r="J8" s="560"/>
      <c r="K8" s="561"/>
      <c r="L8" s="262"/>
      <c r="M8" s="258"/>
      <c r="N8" s="263" t="s">
        <v>184</v>
      </c>
      <c r="O8" s="263" t="s">
        <v>118</v>
      </c>
      <c r="P8" s="263" t="s">
        <v>184</v>
      </c>
      <c r="Q8" s="263" t="s">
        <v>184</v>
      </c>
      <c r="R8" s="169"/>
    </row>
    <row r="9" spans="1:18" s="85" customFormat="1" ht="21" customHeight="1">
      <c r="A9" s="264" t="s">
        <v>103</v>
      </c>
      <c r="B9" s="264" t="s">
        <v>15</v>
      </c>
      <c r="C9" s="265" t="s">
        <v>151</v>
      </c>
      <c r="D9" s="266" t="s">
        <v>115</v>
      </c>
      <c r="E9" s="267"/>
      <c r="F9" s="263" t="s">
        <v>182</v>
      </c>
      <c r="G9" s="268" t="s">
        <v>275</v>
      </c>
      <c r="H9" s="263" t="s">
        <v>276</v>
      </c>
      <c r="I9" s="268" t="s">
        <v>183</v>
      </c>
      <c r="J9" s="263" t="s">
        <v>120</v>
      </c>
      <c r="K9" s="263" t="s">
        <v>120</v>
      </c>
      <c r="L9" s="263" t="s">
        <v>152</v>
      </c>
      <c r="M9" s="267"/>
      <c r="N9" s="265" t="s">
        <v>179</v>
      </c>
      <c r="O9" s="265" t="s">
        <v>119</v>
      </c>
      <c r="P9" s="265" t="s">
        <v>179</v>
      </c>
      <c r="Q9" s="265" t="s">
        <v>180</v>
      </c>
      <c r="R9" s="251"/>
    </row>
    <row r="10" spans="1:18" s="86" customFormat="1" ht="17.25" customHeight="1" thickBot="1">
      <c r="A10" s="269"/>
      <c r="B10" s="269" t="s">
        <v>114</v>
      </c>
      <c r="C10" s="270">
        <v>0.0935</v>
      </c>
      <c r="D10" s="271" t="s">
        <v>116</v>
      </c>
      <c r="E10" s="258"/>
      <c r="F10" s="270" t="s">
        <v>274</v>
      </c>
      <c r="G10" s="289">
        <v>1</v>
      </c>
      <c r="H10" s="272"/>
      <c r="I10" s="269"/>
      <c r="J10" s="272" t="s">
        <v>147</v>
      </c>
      <c r="K10" s="272" t="s">
        <v>148</v>
      </c>
      <c r="L10" s="270">
        <v>0.1115</v>
      </c>
      <c r="M10" s="273"/>
      <c r="N10" s="274" t="s">
        <v>185</v>
      </c>
      <c r="O10" s="272" t="s">
        <v>193</v>
      </c>
      <c r="P10" s="272" t="s">
        <v>153</v>
      </c>
      <c r="Q10" s="272" t="s">
        <v>167</v>
      </c>
      <c r="R10" s="252"/>
    </row>
    <row r="11" spans="1:18" ht="12.75">
      <c r="A11" s="451" t="s">
        <v>251</v>
      </c>
      <c r="B11" s="454">
        <v>150</v>
      </c>
      <c r="C11" s="455">
        <f>B11*$C$10</f>
        <v>14.025</v>
      </c>
      <c r="D11" s="456">
        <f>B11-C11</f>
        <v>135.975</v>
      </c>
      <c r="E11" s="276"/>
      <c r="F11" s="460">
        <f>(150/12)*12</f>
        <v>150</v>
      </c>
      <c r="G11" s="511">
        <f>B11*$G$10</f>
        <v>150</v>
      </c>
      <c r="H11" s="461">
        <f>(170/12)*12</f>
        <v>170</v>
      </c>
      <c r="I11" s="455">
        <f>B11/2</f>
        <v>75</v>
      </c>
      <c r="J11" s="462">
        <f>SUM(F11:I11)</f>
        <v>545</v>
      </c>
      <c r="K11" s="463">
        <f>J11/12</f>
        <v>45.416666666666664</v>
      </c>
      <c r="L11" s="464">
        <f>D11*$L$10</f>
        <v>15.1612125</v>
      </c>
      <c r="M11" s="279"/>
      <c r="N11" s="275">
        <f>D11+K11+L11</f>
        <v>196.55287916666666</v>
      </c>
      <c r="O11" s="280">
        <v>1</v>
      </c>
      <c r="P11" s="281">
        <f>N11*O11</f>
        <v>196.55287916666666</v>
      </c>
      <c r="Q11" s="281">
        <f>P11*3</f>
        <v>589.6586374999999</v>
      </c>
      <c r="R11" s="169"/>
    </row>
    <row r="12" spans="1:18" ht="12.75">
      <c r="A12" s="452" t="s">
        <v>249</v>
      </c>
      <c r="B12" s="345">
        <v>150</v>
      </c>
      <c r="C12" s="282">
        <f>B12*$C$10</f>
        <v>14.025</v>
      </c>
      <c r="D12" s="283">
        <f>B12-C12</f>
        <v>135.975</v>
      </c>
      <c r="E12" s="276"/>
      <c r="F12" s="449">
        <f>(150/12)*12</f>
        <v>150</v>
      </c>
      <c r="G12" s="512">
        <f>B12*$G$10</f>
        <v>150</v>
      </c>
      <c r="H12" s="450">
        <f>(170/12)*12</f>
        <v>170</v>
      </c>
      <c r="I12" s="282">
        <f>B12/2</f>
        <v>75</v>
      </c>
      <c r="J12" s="284">
        <f>SUM(F12:I12)</f>
        <v>545</v>
      </c>
      <c r="K12" s="277">
        <f>J12/12</f>
        <v>45.416666666666664</v>
      </c>
      <c r="L12" s="278">
        <f>D12*$L$10</f>
        <v>15.1612125</v>
      </c>
      <c r="M12" s="279"/>
      <c r="N12" s="275">
        <f>D12+K12+L12</f>
        <v>196.55287916666666</v>
      </c>
      <c r="O12" s="280">
        <v>1</v>
      </c>
      <c r="P12" s="281">
        <f>N12*O12</f>
        <v>196.55287916666666</v>
      </c>
      <c r="Q12" s="281">
        <f>P12*3</f>
        <v>589.6586374999999</v>
      </c>
      <c r="R12" s="169"/>
    </row>
    <row r="13" spans="1:18" ht="12.75">
      <c r="A13" s="452" t="s">
        <v>250</v>
      </c>
      <c r="B13" s="345">
        <v>150</v>
      </c>
      <c r="C13" s="282">
        <f>B13*$C$10</f>
        <v>14.025</v>
      </c>
      <c r="D13" s="283">
        <f>B13-C13</f>
        <v>135.975</v>
      </c>
      <c r="E13" s="276"/>
      <c r="F13" s="449">
        <f>(150/12)*12</f>
        <v>150</v>
      </c>
      <c r="G13" s="512">
        <f>B13*$G$10</f>
        <v>150</v>
      </c>
      <c r="H13" s="450">
        <f>(170/12)*12</f>
        <v>170</v>
      </c>
      <c r="I13" s="282">
        <f>B13/2</f>
        <v>75</v>
      </c>
      <c r="J13" s="284">
        <f>SUM(F13:I13)</f>
        <v>545</v>
      </c>
      <c r="K13" s="277">
        <f>J13/12</f>
        <v>45.416666666666664</v>
      </c>
      <c r="L13" s="278">
        <f>D13*$L$10</f>
        <v>15.1612125</v>
      </c>
      <c r="M13" s="279"/>
      <c r="N13" s="275">
        <f>D13+K13+L13</f>
        <v>196.55287916666666</v>
      </c>
      <c r="O13" s="280">
        <v>1</v>
      </c>
      <c r="P13" s="281">
        <f>N13*O13</f>
        <v>196.55287916666666</v>
      </c>
      <c r="Q13" s="281">
        <f>P13*3</f>
        <v>589.6586374999999</v>
      </c>
      <c r="R13" s="169"/>
    </row>
    <row r="14" spans="1:18" ht="13.5" thickBot="1">
      <c r="A14" s="453" t="s">
        <v>252</v>
      </c>
      <c r="B14" s="457">
        <v>150</v>
      </c>
      <c r="C14" s="458">
        <f>B14*$C$10</f>
        <v>14.025</v>
      </c>
      <c r="D14" s="459">
        <f>B14-C14</f>
        <v>135.975</v>
      </c>
      <c r="E14" s="276"/>
      <c r="F14" s="465">
        <f>(150/12)*12</f>
        <v>150</v>
      </c>
      <c r="G14" s="513">
        <f>B14*$G$10</f>
        <v>150</v>
      </c>
      <c r="H14" s="466">
        <f>(170/12)*12</f>
        <v>170</v>
      </c>
      <c r="I14" s="458">
        <f>B14/2</f>
        <v>75</v>
      </c>
      <c r="J14" s="467">
        <f>SUM(F14:I14)</f>
        <v>545</v>
      </c>
      <c r="K14" s="468">
        <f>J14/12</f>
        <v>45.416666666666664</v>
      </c>
      <c r="L14" s="469">
        <f>D14*$L$10</f>
        <v>15.1612125</v>
      </c>
      <c r="M14" s="279"/>
      <c r="N14" s="275">
        <f>D14+K14+L14</f>
        <v>196.55287916666666</v>
      </c>
      <c r="O14" s="280">
        <v>1</v>
      </c>
      <c r="P14" s="281">
        <f>N14*O14</f>
        <v>196.55287916666666</v>
      </c>
      <c r="Q14" s="281">
        <f>P14*3</f>
        <v>589.6586374999999</v>
      </c>
      <c r="R14" s="169"/>
    </row>
    <row r="15" spans="1:18" ht="13.5" thickBot="1">
      <c r="A15" s="276"/>
      <c r="B15" s="285"/>
      <c r="C15" s="285"/>
      <c r="D15" s="285"/>
      <c r="E15" s="285"/>
      <c r="F15" s="285"/>
      <c r="G15" s="514"/>
      <c r="H15" s="285"/>
      <c r="I15" s="285"/>
      <c r="J15" s="285"/>
      <c r="K15" s="285"/>
      <c r="L15" s="255"/>
      <c r="M15" s="255"/>
      <c r="N15" s="286" t="s">
        <v>181</v>
      </c>
      <c r="O15" s="287">
        <f>SUM(O11:O14)</f>
        <v>4</v>
      </c>
      <c r="P15" s="288">
        <f>SUM(P11:P14)</f>
        <v>786.2115166666666</v>
      </c>
      <c r="Q15" s="288">
        <f>SUM(Q11:Q14)</f>
        <v>2358.6345499999998</v>
      </c>
      <c r="R15" s="169"/>
    </row>
    <row r="16" spans="1:18" ht="12.75">
      <c r="A16" s="250"/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3"/>
      <c r="P16" s="250"/>
      <c r="Q16" s="250"/>
      <c r="R16" s="169"/>
    </row>
    <row r="17" spans="3:15" ht="12.75">
      <c r="C17" s="48"/>
      <c r="E17" s="83"/>
      <c r="O17" s="122"/>
    </row>
  </sheetData>
  <mergeCells count="2">
    <mergeCell ref="F8:K8"/>
    <mergeCell ref="A4:Q4"/>
  </mergeCells>
  <printOptions horizontalCentered="1" verticalCentered="1"/>
  <pageMargins left="0.75" right="0.75" top="1" bottom="1" header="0" footer="0"/>
  <pageSetup fitToHeight="1" fitToWidth="1" horizontalDpi="300" verticalDpi="3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workbookViewId="0" topLeftCell="A1">
      <selection activeCell="B33" sqref="B33"/>
    </sheetView>
  </sheetViews>
  <sheetFormatPr defaultColWidth="11.421875" defaultRowHeight="12.75"/>
  <cols>
    <col min="1" max="1" width="21.7109375" style="102" customWidth="1"/>
    <col min="2" max="2" width="11.140625" style="102" customWidth="1"/>
    <col min="3" max="3" width="11.421875" style="102" customWidth="1"/>
    <col min="4" max="4" width="22.421875" style="102" customWidth="1"/>
    <col min="5" max="16384" width="11.421875" style="102" customWidth="1"/>
  </cols>
  <sheetData>
    <row r="1" spans="1:5" ht="13.5" thickBot="1">
      <c r="A1" s="303"/>
      <c r="B1" s="303"/>
      <c r="C1" s="303"/>
      <c r="D1" s="303"/>
      <c r="E1" s="303"/>
    </row>
    <row r="2" spans="1:5" ht="17.25" thickBot="1" thickTop="1">
      <c r="A2" s="316" t="s">
        <v>131</v>
      </c>
      <c r="B2" s="317"/>
      <c r="C2" s="317"/>
      <c r="D2" s="317"/>
      <c r="E2" s="318"/>
    </row>
    <row r="3" spans="1:5" ht="13.5" thickTop="1">
      <c r="A3" s="303"/>
      <c r="B3" s="303"/>
      <c r="C3" s="303"/>
      <c r="D3" s="303"/>
      <c r="E3" s="303"/>
    </row>
    <row r="4" spans="1:5" ht="12.75">
      <c r="A4" s="304" t="s">
        <v>141</v>
      </c>
      <c r="B4" s="305">
        <f>Supuestos!B19</f>
        <v>0</v>
      </c>
      <c r="C4" s="306"/>
      <c r="D4" s="303"/>
      <c r="E4" s="303"/>
    </row>
    <row r="5" spans="1:5" ht="12.75">
      <c r="A5" s="307" t="s">
        <v>133</v>
      </c>
      <c r="B5" s="308">
        <f>Supuestos!B17</f>
        <v>0.15</v>
      </c>
      <c r="C5" s="306"/>
      <c r="D5" s="303"/>
      <c r="E5" s="303"/>
    </row>
    <row r="6" spans="1:5" ht="12.75">
      <c r="A6" s="309" t="s">
        <v>135</v>
      </c>
      <c r="B6" s="310">
        <f>B5/B7</f>
        <v>0.012499999999999999</v>
      </c>
      <c r="C6" s="306">
        <f>((1+B5)^(1/12)-1)</f>
        <v>0.01171491691985338</v>
      </c>
      <c r="D6" s="303"/>
      <c r="E6" s="303"/>
    </row>
    <row r="7" spans="1:5" ht="12.75">
      <c r="A7" s="309" t="s">
        <v>194</v>
      </c>
      <c r="B7" s="311">
        <v>12</v>
      </c>
      <c r="C7" s="306"/>
      <c r="D7" s="303"/>
      <c r="E7" s="303"/>
    </row>
    <row r="8" spans="1:5" ht="12.75">
      <c r="A8" s="312" t="s">
        <v>134</v>
      </c>
      <c r="B8" s="313">
        <v>5</v>
      </c>
      <c r="C8" s="306"/>
      <c r="D8" s="303"/>
      <c r="E8" s="303"/>
    </row>
    <row r="9" spans="1:5" ht="12.75">
      <c r="A9" s="314" t="s">
        <v>136</v>
      </c>
      <c r="B9" s="315">
        <f>B7*B8</f>
        <v>60</v>
      </c>
      <c r="C9" s="303"/>
      <c r="D9" s="303"/>
      <c r="E9" s="303"/>
    </row>
    <row r="10" spans="1:5" ht="12.75">
      <c r="A10" s="303"/>
      <c r="B10" s="303"/>
      <c r="C10" s="303"/>
      <c r="D10" s="303"/>
      <c r="E10" s="303"/>
    </row>
    <row r="11" spans="1:5" ht="12.75">
      <c r="A11" s="107" t="s">
        <v>132</v>
      </c>
      <c r="B11" s="108" t="s">
        <v>137</v>
      </c>
      <c r="C11" s="108" t="s">
        <v>138</v>
      </c>
      <c r="D11" s="108" t="s">
        <v>139</v>
      </c>
      <c r="E11" s="109" t="s">
        <v>140</v>
      </c>
    </row>
    <row r="12" spans="1:5" ht="12.75">
      <c r="A12" s="110">
        <v>0</v>
      </c>
      <c r="B12" s="104"/>
      <c r="C12" s="104"/>
      <c r="D12" s="104"/>
      <c r="E12" s="105">
        <f>B4</f>
        <v>0</v>
      </c>
    </row>
    <row r="13" spans="1:5" ht="12.75">
      <c r="A13" s="110">
        <v>1</v>
      </c>
      <c r="B13" s="104">
        <f>E12*$B$6</f>
        <v>0</v>
      </c>
      <c r="C13" s="104">
        <f>B4/B9</f>
        <v>0</v>
      </c>
      <c r="D13" s="104">
        <f>B13+C13</f>
        <v>0</v>
      </c>
      <c r="E13" s="106">
        <f>E12-C13</f>
        <v>0</v>
      </c>
    </row>
    <row r="14" spans="1:5" ht="12.75">
      <c r="A14" s="111">
        <f>A13+1</f>
        <v>2</v>
      </c>
      <c r="B14" s="104">
        <f aca="true" t="shared" si="0" ref="B14:B72">E13*$B$6</f>
        <v>0</v>
      </c>
      <c r="C14" s="104">
        <f>C13</f>
        <v>0</v>
      </c>
      <c r="D14" s="104">
        <f aca="true" t="shared" si="1" ref="D14:D73">B14+C14</f>
        <v>0</v>
      </c>
      <c r="E14" s="106">
        <f aca="true" t="shared" si="2" ref="E14:E72">E13-C14</f>
        <v>0</v>
      </c>
    </row>
    <row r="15" spans="1:5" ht="12.75">
      <c r="A15" s="110">
        <v>3</v>
      </c>
      <c r="B15" s="104">
        <f t="shared" si="0"/>
        <v>0</v>
      </c>
      <c r="C15" s="104">
        <f aca="true" t="shared" si="3" ref="C15:C72">C14</f>
        <v>0</v>
      </c>
      <c r="D15" s="104">
        <f t="shared" si="1"/>
        <v>0</v>
      </c>
      <c r="E15" s="106">
        <f t="shared" si="2"/>
        <v>0</v>
      </c>
    </row>
    <row r="16" spans="1:5" ht="12.75">
      <c r="A16" s="110">
        <v>4</v>
      </c>
      <c r="B16" s="104">
        <f t="shared" si="0"/>
        <v>0</v>
      </c>
      <c r="C16" s="104">
        <f t="shared" si="3"/>
        <v>0</v>
      </c>
      <c r="D16" s="104">
        <f t="shared" si="1"/>
        <v>0</v>
      </c>
      <c r="E16" s="106">
        <f t="shared" si="2"/>
        <v>0</v>
      </c>
    </row>
    <row r="17" spans="1:5" ht="12.75">
      <c r="A17" s="110">
        <v>5</v>
      </c>
      <c r="B17" s="104">
        <f>E16*$B$6</f>
        <v>0</v>
      </c>
      <c r="C17" s="104">
        <f>C16</f>
        <v>0</v>
      </c>
      <c r="D17" s="104">
        <f t="shared" si="1"/>
        <v>0</v>
      </c>
      <c r="E17" s="106">
        <f>E16-C17</f>
        <v>0</v>
      </c>
    </row>
    <row r="18" spans="1:5" ht="12.75">
      <c r="A18" s="110">
        <v>6</v>
      </c>
      <c r="B18" s="104">
        <f t="shared" si="0"/>
        <v>0</v>
      </c>
      <c r="C18" s="104">
        <f t="shared" si="3"/>
        <v>0</v>
      </c>
      <c r="D18" s="104">
        <f t="shared" si="1"/>
        <v>0</v>
      </c>
      <c r="E18" s="106">
        <f t="shared" si="2"/>
        <v>0</v>
      </c>
    </row>
    <row r="19" spans="1:5" ht="12.75">
      <c r="A19" s="110">
        <v>7</v>
      </c>
      <c r="B19" s="104">
        <f t="shared" si="0"/>
        <v>0</v>
      </c>
      <c r="C19" s="104">
        <f t="shared" si="3"/>
        <v>0</v>
      </c>
      <c r="D19" s="104">
        <f t="shared" si="1"/>
        <v>0</v>
      </c>
      <c r="E19" s="106">
        <f t="shared" si="2"/>
        <v>0</v>
      </c>
    </row>
    <row r="20" spans="1:5" ht="12.75">
      <c r="A20" s="110">
        <v>8</v>
      </c>
      <c r="B20" s="104">
        <f t="shared" si="0"/>
        <v>0</v>
      </c>
      <c r="C20" s="104">
        <f t="shared" si="3"/>
        <v>0</v>
      </c>
      <c r="D20" s="104">
        <f t="shared" si="1"/>
        <v>0</v>
      </c>
      <c r="E20" s="106">
        <f t="shared" si="2"/>
        <v>0</v>
      </c>
    </row>
    <row r="21" spans="1:5" ht="12.75">
      <c r="A21" s="110">
        <v>9</v>
      </c>
      <c r="B21" s="104">
        <f t="shared" si="0"/>
        <v>0</v>
      </c>
      <c r="C21" s="104">
        <f t="shared" si="3"/>
        <v>0</v>
      </c>
      <c r="D21" s="104">
        <f t="shared" si="1"/>
        <v>0</v>
      </c>
      <c r="E21" s="106">
        <f t="shared" si="2"/>
        <v>0</v>
      </c>
    </row>
    <row r="22" spans="1:5" ht="12.75">
      <c r="A22" s="110">
        <v>10</v>
      </c>
      <c r="B22" s="104">
        <f t="shared" si="0"/>
        <v>0</v>
      </c>
      <c r="C22" s="104">
        <f t="shared" si="3"/>
        <v>0</v>
      </c>
      <c r="D22" s="104">
        <f t="shared" si="1"/>
        <v>0</v>
      </c>
      <c r="E22" s="106">
        <f t="shared" si="2"/>
        <v>0</v>
      </c>
    </row>
    <row r="23" spans="1:5" ht="12.75">
      <c r="A23" s="110">
        <f>A22+1</f>
        <v>11</v>
      </c>
      <c r="B23" s="104">
        <f t="shared" si="0"/>
        <v>0</v>
      </c>
      <c r="C23" s="104">
        <f t="shared" si="3"/>
        <v>0</v>
      </c>
      <c r="D23" s="104">
        <f t="shared" si="1"/>
        <v>0</v>
      </c>
      <c r="E23" s="106">
        <f t="shared" si="2"/>
        <v>0</v>
      </c>
    </row>
    <row r="24" spans="1:5" ht="12.75">
      <c r="A24" s="110">
        <f aca="true" t="shared" si="4" ref="A24:A72">A23+1</f>
        <v>12</v>
      </c>
      <c r="B24" s="104">
        <f t="shared" si="0"/>
        <v>0</v>
      </c>
      <c r="C24" s="104">
        <f t="shared" si="3"/>
        <v>0</v>
      </c>
      <c r="D24" s="104">
        <f t="shared" si="1"/>
        <v>0</v>
      </c>
      <c r="E24" s="106">
        <f t="shared" si="2"/>
        <v>0</v>
      </c>
    </row>
    <row r="25" spans="1:5" ht="12.75">
      <c r="A25" s="110">
        <f t="shared" si="4"/>
        <v>13</v>
      </c>
      <c r="B25" s="104">
        <f t="shared" si="0"/>
        <v>0</v>
      </c>
      <c r="C25" s="104">
        <f t="shared" si="3"/>
        <v>0</v>
      </c>
      <c r="D25" s="104">
        <f t="shared" si="1"/>
        <v>0</v>
      </c>
      <c r="E25" s="106">
        <f t="shared" si="2"/>
        <v>0</v>
      </c>
    </row>
    <row r="26" spans="1:5" ht="12.75">
      <c r="A26" s="110">
        <f t="shared" si="4"/>
        <v>14</v>
      </c>
      <c r="B26" s="104">
        <f t="shared" si="0"/>
        <v>0</v>
      </c>
      <c r="C26" s="104">
        <f t="shared" si="3"/>
        <v>0</v>
      </c>
      <c r="D26" s="104">
        <f t="shared" si="1"/>
        <v>0</v>
      </c>
      <c r="E26" s="106">
        <f t="shared" si="2"/>
        <v>0</v>
      </c>
    </row>
    <row r="27" spans="1:5" ht="12.75">
      <c r="A27" s="110">
        <f t="shared" si="4"/>
        <v>15</v>
      </c>
      <c r="B27" s="104">
        <f t="shared" si="0"/>
        <v>0</v>
      </c>
      <c r="C27" s="104">
        <f t="shared" si="3"/>
        <v>0</v>
      </c>
      <c r="D27" s="104">
        <f t="shared" si="1"/>
        <v>0</v>
      </c>
      <c r="E27" s="106">
        <f t="shared" si="2"/>
        <v>0</v>
      </c>
    </row>
    <row r="28" spans="1:5" ht="12.75">
      <c r="A28" s="110">
        <f t="shared" si="4"/>
        <v>16</v>
      </c>
      <c r="B28" s="104">
        <f t="shared" si="0"/>
        <v>0</v>
      </c>
      <c r="C28" s="104">
        <f t="shared" si="3"/>
        <v>0</v>
      </c>
      <c r="D28" s="104">
        <f t="shared" si="1"/>
        <v>0</v>
      </c>
      <c r="E28" s="106">
        <f t="shared" si="2"/>
        <v>0</v>
      </c>
    </row>
    <row r="29" spans="1:5" ht="12.75">
      <c r="A29" s="110">
        <f t="shared" si="4"/>
        <v>17</v>
      </c>
      <c r="B29" s="104">
        <f t="shared" si="0"/>
        <v>0</v>
      </c>
      <c r="C29" s="104">
        <f t="shared" si="3"/>
        <v>0</v>
      </c>
      <c r="D29" s="104">
        <f t="shared" si="1"/>
        <v>0</v>
      </c>
      <c r="E29" s="106">
        <f t="shared" si="2"/>
        <v>0</v>
      </c>
    </row>
    <row r="30" spans="1:5" ht="12.75">
      <c r="A30" s="110">
        <f t="shared" si="4"/>
        <v>18</v>
      </c>
      <c r="B30" s="104">
        <f t="shared" si="0"/>
        <v>0</v>
      </c>
      <c r="C30" s="104">
        <f t="shared" si="3"/>
        <v>0</v>
      </c>
      <c r="D30" s="104">
        <f t="shared" si="1"/>
        <v>0</v>
      </c>
      <c r="E30" s="106">
        <f t="shared" si="2"/>
        <v>0</v>
      </c>
    </row>
    <row r="31" spans="1:5" ht="12.75">
      <c r="A31" s="110">
        <f t="shared" si="4"/>
        <v>19</v>
      </c>
      <c r="B31" s="104">
        <f t="shared" si="0"/>
        <v>0</v>
      </c>
      <c r="C31" s="104">
        <f t="shared" si="3"/>
        <v>0</v>
      </c>
      <c r="D31" s="104">
        <f t="shared" si="1"/>
        <v>0</v>
      </c>
      <c r="E31" s="106">
        <f t="shared" si="2"/>
        <v>0</v>
      </c>
    </row>
    <row r="32" spans="1:5" ht="12.75">
      <c r="A32" s="110">
        <f t="shared" si="4"/>
        <v>20</v>
      </c>
      <c r="B32" s="104">
        <f t="shared" si="0"/>
        <v>0</v>
      </c>
      <c r="C32" s="104">
        <f t="shared" si="3"/>
        <v>0</v>
      </c>
      <c r="D32" s="104">
        <f t="shared" si="1"/>
        <v>0</v>
      </c>
      <c r="E32" s="106">
        <f t="shared" si="2"/>
        <v>0</v>
      </c>
    </row>
    <row r="33" spans="1:5" ht="12.75">
      <c r="A33" s="110">
        <f t="shared" si="4"/>
        <v>21</v>
      </c>
      <c r="B33" s="104">
        <f t="shared" si="0"/>
        <v>0</v>
      </c>
      <c r="C33" s="104">
        <f t="shared" si="3"/>
        <v>0</v>
      </c>
      <c r="D33" s="104">
        <f t="shared" si="1"/>
        <v>0</v>
      </c>
      <c r="E33" s="106">
        <f t="shared" si="2"/>
        <v>0</v>
      </c>
    </row>
    <row r="34" spans="1:5" ht="12.75">
      <c r="A34" s="110">
        <f t="shared" si="4"/>
        <v>22</v>
      </c>
      <c r="B34" s="104">
        <f t="shared" si="0"/>
        <v>0</v>
      </c>
      <c r="C34" s="104">
        <f t="shared" si="3"/>
        <v>0</v>
      </c>
      <c r="D34" s="104">
        <f t="shared" si="1"/>
        <v>0</v>
      </c>
      <c r="E34" s="106">
        <f t="shared" si="2"/>
        <v>0</v>
      </c>
    </row>
    <row r="35" spans="1:5" ht="12.75">
      <c r="A35" s="110">
        <f t="shared" si="4"/>
        <v>23</v>
      </c>
      <c r="B35" s="104">
        <f t="shared" si="0"/>
        <v>0</v>
      </c>
      <c r="C35" s="104">
        <f t="shared" si="3"/>
        <v>0</v>
      </c>
      <c r="D35" s="104">
        <f t="shared" si="1"/>
        <v>0</v>
      </c>
      <c r="E35" s="106">
        <f t="shared" si="2"/>
        <v>0</v>
      </c>
    </row>
    <row r="36" spans="1:5" ht="12.75">
      <c r="A36" s="110">
        <f t="shared" si="4"/>
        <v>24</v>
      </c>
      <c r="B36" s="104">
        <f t="shared" si="0"/>
        <v>0</v>
      </c>
      <c r="C36" s="104">
        <f t="shared" si="3"/>
        <v>0</v>
      </c>
      <c r="D36" s="104">
        <f t="shared" si="1"/>
        <v>0</v>
      </c>
      <c r="E36" s="106">
        <f t="shared" si="2"/>
        <v>0</v>
      </c>
    </row>
    <row r="37" spans="1:5" ht="12.75">
      <c r="A37" s="110">
        <f t="shared" si="4"/>
        <v>25</v>
      </c>
      <c r="B37" s="104">
        <f t="shared" si="0"/>
        <v>0</v>
      </c>
      <c r="C37" s="104">
        <f t="shared" si="3"/>
        <v>0</v>
      </c>
      <c r="D37" s="104">
        <f t="shared" si="1"/>
        <v>0</v>
      </c>
      <c r="E37" s="106">
        <f t="shared" si="2"/>
        <v>0</v>
      </c>
    </row>
    <row r="38" spans="1:5" ht="12.75">
      <c r="A38" s="110">
        <f t="shared" si="4"/>
        <v>26</v>
      </c>
      <c r="B38" s="104">
        <f t="shared" si="0"/>
        <v>0</v>
      </c>
      <c r="C38" s="104">
        <f t="shared" si="3"/>
        <v>0</v>
      </c>
      <c r="D38" s="104">
        <f t="shared" si="1"/>
        <v>0</v>
      </c>
      <c r="E38" s="106">
        <f t="shared" si="2"/>
        <v>0</v>
      </c>
    </row>
    <row r="39" spans="1:5" ht="12.75">
      <c r="A39" s="110">
        <f t="shared" si="4"/>
        <v>27</v>
      </c>
      <c r="B39" s="104">
        <f t="shared" si="0"/>
        <v>0</v>
      </c>
      <c r="C39" s="104">
        <f t="shared" si="3"/>
        <v>0</v>
      </c>
      <c r="D39" s="104">
        <f t="shared" si="1"/>
        <v>0</v>
      </c>
      <c r="E39" s="106">
        <f t="shared" si="2"/>
        <v>0</v>
      </c>
    </row>
    <row r="40" spans="1:5" ht="12.75">
      <c r="A40" s="110">
        <f t="shared" si="4"/>
        <v>28</v>
      </c>
      <c r="B40" s="104">
        <f t="shared" si="0"/>
        <v>0</v>
      </c>
      <c r="C40" s="104">
        <f t="shared" si="3"/>
        <v>0</v>
      </c>
      <c r="D40" s="104">
        <f t="shared" si="1"/>
        <v>0</v>
      </c>
      <c r="E40" s="106">
        <f t="shared" si="2"/>
        <v>0</v>
      </c>
    </row>
    <row r="41" spans="1:5" ht="12.75">
      <c r="A41" s="110">
        <f t="shared" si="4"/>
        <v>29</v>
      </c>
      <c r="B41" s="104">
        <f t="shared" si="0"/>
        <v>0</v>
      </c>
      <c r="C41" s="104">
        <f t="shared" si="3"/>
        <v>0</v>
      </c>
      <c r="D41" s="104">
        <f t="shared" si="1"/>
        <v>0</v>
      </c>
      <c r="E41" s="106">
        <f t="shared" si="2"/>
        <v>0</v>
      </c>
    </row>
    <row r="42" spans="1:5" ht="12.75">
      <c r="A42" s="110">
        <f t="shared" si="4"/>
        <v>30</v>
      </c>
      <c r="B42" s="104">
        <f t="shared" si="0"/>
        <v>0</v>
      </c>
      <c r="C42" s="104">
        <f t="shared" si="3"/>
        <v>0</v>
      </c>
      <c r="D42" s="104">
        <f t="shared" si="1"/>
        <v>0</v>
      </c>
      <c r="E42" s="106">
        <f t="shared" si="2"/>
        <v>0</v>
      </c>
    </row>
    <row r="43" spans="1:5" ht="12.75">
      <c r="A43" s="110">
        <f t="shared" si="4"/>
        <v>31</v>
      </c>
      <c r="B43" s="104">
        <f t="shared" si="0"/>
        <v>0</v>
      </c>
      <c r="C43" s="104">
        <f t="shared" si="3"/>
        <v>0</v>
      </c>
      <c r="D43" s="104">
        <f t="shared" si="1"/>
        <v>0</v>
      </c>
      <c r="E43" s="106">
        <f t="shared" si="2"/>
        <v>0</v>
      </c>
    </row>
    <row r="44" spans="1:5" ht="12.75">
      <c r="A44" s="110">
        <f t="shared" si="4"/>
        <v>32</v>
      </c>
      <c r="B44" s="104">
        <f t="shared" si="0"/>
        <v>0</v>
      </c>
      <c r="C44" s="104">
        <f t="shared" si="3"/>
        <v>0</v>
      </c>
      <c r="D44" s="104">
        <f t="shared" si="1"/>
        <v>0</v>
      </c>
      <c r="E44" s="106">
        <f t="shared" si="2"/>
        <v>0</v>
      </c>
    </row>
    <row r="45" spans="1:5" ht="12.75">
      <c r="A45" s="110">
        <f t="shared" si="4"/>
        <v>33</v>
      </c>
      <c r="B45" s="104">
        <f t="shared" si="0"/>
        <v>0</v>
      </c>
      <c r="C45" s="104">
        <f t="shared" si="3"/>
        <v>0</v>
      </c>
      <c r="D45" s="104">
        <f t="shared" si="1"/>
        <v>0</v>
      </c>
      <c r="E45" s="106">
        <f t="shared" si="2"/>
        <v>0</v>
      </c>
    </row>
    <row r="46" spans="1:5" ht="12.75">
      <c r="A46" s="110">
        <f t="shared" si="4"/>
        <v>34</v>
      </c>
      <c r="B46" s="104">
        <f t="shared" si="0"/>
        <v>0</v>
      </c>
      <c r="C46" s="104">
        <f t="shared" si="3"/>
        <v>0</v>
      </c>
      <c r="D46" s="104">
        <f t="shared" si="1"/>
        <v>0</v>
      </c>
      <c r="E46" s="106">
        <f t="shared" si="2"/>
        <v>0</v>
      </c>
    </row>
    <row r="47" spans="1:5" ht="12.75">
      <c r="A47" s="110">
        <f t="shared" si="4"/>
        <v>35</v>
      </c>
      <c r="B47" s="104">
        <f t="shared" si="0"/>
        <v>0</v>
      </c>
      <c r="C47" s="104">
        <f t="shared" si="3"/>
        <v>0</v>
      </c>
      <c r="D47" s="104">
        <f t="shared" si="1"/>
        <v>0</v>
      </c>
      <c r="E47" s="106">
        <f t="shared" si="2"/>
        <v>0</v>
      </c>
    </row>
    <row r="48" spans="1:5" ht="12.75">
      <c r="A48" s="110">
        <f t="shared" si="4"/>
        <v>36</v>
      </c>
      <c r="B48" s="104">
        <f t="shared" si="0"/>
        <v>0</v>
      </c>
      <c r="C48" s="104">
        <f t="shared" si="3"/>
        <v>0</v>
      </c>
      <c r="D48" s="104">
        <f t="shared" si="1"/>
        <v>0</v>
      </c>
      <c r="E48" s="106">
        <f t="shared" si="2"/>
        <v>0</v>
      </c>
    </row>
    <row r="49" spans="1:5" ht="12.75">
      <c r="A49" s="110">
        <f t="shared" si="4"/>
        <v>37</v>
      </c>
      <c r="B49" s="104">
        <f t="shared" si="0"/>
        <v>0</v>
      </c>
      <c r="C49" s="104">
        <f t="shared" si="3"/>
        <v>0</v>
      </c>
      <c r="D49" s="104">
        <f t="shared" si="1"/>
        <v>0</v>
      </c>
      <c r="E49" s="106">
        <f t="shared" si="2"/>
        <v>0</v>
      </c>
    </row>
    <row r="50" spans="1:5" ht="12.75">
      <c r="A50" s="110">
        <f t="shared" si="4"/>
        <v>38</v>
      </c>
      <c r="B50" s="104">
        <f t="shared" si="0"/>
        <v>0</v>
      </c>
      <c r="C50" s="104">
        <f t="shared" si="3"/>
        <v>0</v>
      </c>
      <c r="D50" s="104">
        <f t="shared" si="1"/>
        <v>0</v>
      </c>
      <c r="E50" s="106">
        <f t="shared" si="2"/>
        <v>0</v>
      </c>
    </row>
    <row r="51" spans="1:5" ht="12.75">
      <c r="A51" s="110">
        <f t="shared" si="4"/>
        <v>39</v>
      </c>
      <c r="B51" s="104">
        <f t="shared" si="0"/>
        <v>0</v>
      </c>
      <c r="C51" s="104">
        <f t="shared" si="3"/>
        <v>0</v>
      </c>
      <c r="D51" s="104">
        <f t="shared" si="1"/>
        <v>0</v>
      </c>
      <c r="E51" s="106">
        <f t="shared" si="2"/>
        <v>0</v>
      </c>
    </row>
    <row r="52" spans="1:5" ht="12.75">
      <c r="A52" s="110">
        <f t="shared" si="4"/>
        <v>40</v>
      </c>
      <c r="B52" s="104">
        <f t="shared" si="0"/>
        <v>0</v>
      </c>
      <c r="C52" s="104">
        <f t="shared" si="3"/>
        <v>0</v>
      </c>
      <c r="D52" s="104">
        <f t="shared" si="1"/>
        <v>0</v>
      </c>
      <c r="E52" s="106">
        <f t="shared" si="2"/>
        <v>0</v>
      </c>
    </row>
    <row r="53" spans="1:5" ht="12.75">
      <c r="A53" s="110">
        <f t="shared" si="4"/>
        <v>41</v>
      </c>
      <c r="B53" s="104">
        <f t="shared" si="0"/>
        <v>0</v>
      </c>
      <c r="C53" s="104">
        <f t="shared" si="3"/>
        <v>0</v>
      </c>
      <c r="D53" s="104">
        <f t="shared" si="1"/>
        <v>0</v>
      </c>
      <c r="E53" s="106">
        <f t="shared" si="2"/>
        <v>0</v>
      </c>
    </row>
    <row r="54" spans="1:5" ht="12.75">
      <c r="A54" s="110">
        <f t="shared" si="4"/>
        <v>42</v>
      </c>
      <c r="B54" s="104">
        <f t="shared" si="0"/>
        <v>0</v>
      </c>
      <c r="C54" s="104">
        <f t="shared" si="3"/>
        <v>0</v>
      </c>
      <c r="D54" s="104">
        <f t="shared" si="1"/>
        <v>0</v>
      </c>
      <c r="E54" s="106">
        <f t="shared" si="2"/>
        <v>0</v>
      </c>
    </row>
    <row r="55" spans="1:5" ht="12.75">
      <c r="A55" s="110">
        <f t="shared" si="4"/>
        <v>43</v>
      </c>
      <c r="B55" s="104">
        <f t="shared" si="0"/>
        <v>0</v>
      </c>
      <c r="C55" s="104">
        <f t="shared" si="3"/>
        <v>0</v>
      </c>
      <c r="D55" s="104">
        <f t="shared" si="1"/>
        <v>0</v>
      </c>
      <c r="E55" s="106">
        <f t="shared" si="2"/>
        <v>0</v>
      </c>
    </row>
    <row r="56" spans="1:5" ht="12.75">
      <c r="A56" s="110">
        <f t="shared" si="4"/>
        <v>44</v>
      </c>
      <c r="B56" s="104">
        <f t="shared" si="0"/>
        <v>0</v>
      </c>
      <c r="C56" s="104">
        <f t="shared" si="3"/>
        <v>0</v>
      </c>
      <c r="D56" s="104">
        <f t="shared" si="1"/>
        <v>0</v>
      </c>
      <c r="E56" s="106">
        <f t="shared" si="2"/>
        <v>0</v>
      </c>
    </row>
    <row r="57" spans="1:5" ht="12.75">
      <c r="A57" s="110">
        <f t="shared" si="4"/>
        <v>45</v>
      </c>
      <c r="B57" s="104">
        <f t="shared" si="0"/>
        <v>0</v>
      </c>
      <c r="C57" s="104">
        <f t="shared" si="3"/>
        <v>0</v>
      </c>
      <c r="D57" s="104">
        <f t="shared" si="1"/>
        <v>0</v>
      </c>
      <c r="E57" s="106">
        <f t="shared" si="2"/>
        <v>0</v>
      </c>
    </row>
    <row r="58" spans="1:5" ht="12.75">
      <c r="A58" s="110">
        <f t="shared" si="4"/>
        <v>46</v>
      </c>
      <c r="B58" s="104">
        <f t="shared" si="0"/>
        <v>0</v>
      </c>
      <c r="C58" s="104">
        <f t="shared" si="3"/>
        <v>0</v>
      </c>
      <c r="D58" s="104">
        <f t="shared" si="1"/>
        <v>0</v>
      </c>
      <c r="E58" s="106">
        <f t="shared" si="2"/>
        <v>0</v>
      </c>
    </row>
    <row r="59" spans="1:5" ht="12.75">
      <c r="A59" s="110">
        <f t="shared" si="4"/>
        <v>47</v>
      </c>
      <c r="B59" s="104">
        <f t="shared" si="0"/>
        <v>0</v>
      </c>
      <c r="C59" s="104">
        <f t="shared" si="3"/>
        <v>0</v>
      </c>
      <c r="D59" s="104">
        <f t="shared" si="1"/>
        <v>0</v>
      </c>
      <c r="E59" s="106">
        <f t="shared" si="2"/>
        <v>0</v>
      </c>
    </row>
    <row r="60" spans="1:5" ht="12.75">
      <c r="A60" s="110">
        <f t="shared" si="4"/>
        <v>48</v>
      </c>
      <c r="B60" s="104">
        <f t="shared" si="0"/>
        <v>0</v>
      </c>
      <c r="C60" s="104">
        <f t="shared" si="3"/>
        <v>0</v>
      </c>
      <c r="D60" s="104">
        <f t="shared" si="1"/>
        <v>0</v>
      </c>
      <c r="E60" s="106">
        <f t="shared" si="2"/>
        <v>0</v>
      </c>
    </row>
    <row r="61" spans="1:5" ht="12.75">
      <c r="A61" s="110">
        <f t="shared" si="4"/>
        <v>49</v>
      </c>
      <c r="B61" s="104">
        <f t="shared" si="0"/>
        <v>0</v>
      </c>
      <c r="C61" s="104">
        <f t="shared" si="3"/>
        <v>0</v>
      </c>
      <c r="D61" s="104">
        <f t="shared" si="1"/>
        <v>0</v>
      </c>
      <c r="E61" s="106">
        <f t="shared" si="2"/>
        <v>0</v>
      </c>
    </row>
    <row r="62" spans="1:5" ht="12.75">
      <c r="A62" s="110">
        <f t="shared" si="4"/>
        <v>50</v>
      </c>
      <c r="B62" s="104">
        <f t="shared" si="0"/>
        <v>0</v>
      </c>
      <c r="C62" s="104">
        <f t="shared" si="3"/>
        <v>0</v>
      </c>
      <c r="D62" s="104">
        <f t="shared" si="1"/>
        <v>0</v>
      </c>
      <c r="E62" s="106">
        <f t="shared" si="2"/>
        <v>0</v>
      </c>
    </row>
    <row r="63" spans="1:5" ht="12.75">
      <c r="A63" s="110">
        <f t="shared" si="4"/>
        <v>51</v>
      </c>
      <c r="B63" s="104">
        <f t="shared" si="0"/>
        <v>0</v>
      </c>
      <c r="C63" s="104">
        <f t="shared" si="3"/>
        <v>0</v>
      </c>
      <c r="D63" s="104">
        <f t="shared" si="1"/>
        <v>0</v>
      </c>
      <c r="E63" s="106">
        <f t="shared" si="2"/>
        <v>0</v>
      </c>
    </row>
    <row r="64" spans="1:5" ht="12.75">
      <c r="A64" s="110">
        <f t="shared" si="4"/>
        <v>52</v>
      </c>
      <c r="B64" s="104">
        <f t="shared" si="0"/>
        <v>0</v>
      </c>
      <c r="C64" s="104">
        <f t="shared" si="3"/>
        <v>0</v>
      </c>
      <c r="D64" s="104">
        <f t="shared" si="1"/>
        <v>0</v>
      </c>
      <c r="E64" s="106">
        <f t="shared" si="2"/>
        <v>0</v>
      </c>
    </row>
    <row r="65" spans="1:5" ht="12.75">
      <c r="A65" s="110">
        <f t="shared" si="4"/>
        <v>53</v>
      </c>
      <c r="B65" s="104">
        <f t="shared" si="0"/>
        <v>0</v>
      </c>
      <c r="C65" s="104">
        <f t="shared" si="3"/>
        <v>0</v>
      </c>
      <c r="D65" s="104">
        <f t="shared" si="1"/>
        <v>0</v>
      </c>
      <c r="E65" s="106">
        <f t="shared" si="2"/>
        <v>0</v>
      </c>
    </row>
    <row r="66" spans="1:5" ht="12.75">
      <c r="A66" s="110">
        <f t="shared" si="4"/>
        <v>54</v>
      </c>
      <c r="B66" s="104">
        <f t="shared" si="0"/>
        <v>0</v>
      </c>
      <c r="C66" s="104">
        <f t="shared" si="3"/>
        <v>0</v>
      </c>
      <c r="D66" s="104">
        <f t="shared" si="1"/>
        <v>0</v>
      </c>
      <c r="E66" s="106">
        <f t="shared" si="2"/>
        <v>0</v>
      </c>
    </row>
    <row r="67" spans="1:5" ht="12.75">
      <c r="A67" s="110">
        <f t="shared" si="4"/>
        <v>55</v>
      </c>
      <c r="B67" s="104">
        <f t="shared" si="0"/>
        <v>0</v>
      </c>
      <c r="C67" s="104">
        <f t="shared" si="3"/>
        <v>0</v>
      </c>
      <c r="D67" s="104">
        <f t="shared" si="1"/>
        <v>0</v>
      </c>
      <c r="E67" s="106">
        <f t="shared" si="2"/>
        <v>0</v>
      </c>
    </row>
    <row r="68" spans="1:5" ht="12.75">
      <c r="A68" s="110">
        <f t="shared" si="4"/>
        <v>56</v>
      </c>
      <c r="B68" s="104">
        <f t="shared" si="0"/>
        <v>0</v>
      </c>
      <c r="C68" s="104">
        <f t="shared" si="3"/>
        <v>0</v>
      </c>
      <c r="D68" s="104">
        <f t="shared" si="1"/>
        <v>0</v>
      </c>
      <c r="E68" s="106">
        <f t="shared" si="2"/>
        <v>0</v>
      </c>
    </row>
    <row r="69" spans="1:5" ht="12.75">
      <c r="A69" s="110">
        <f t="shared" si="4"/>
        <v>57</v>
      </c>
      <c r="B69" s="104">
        <f t="shared" si="0"/>
        <v>0</v>
      </c>
      <c r="C69" s="104">
        <f t="shared" si="3"/>
        <v>0</v>
      </c>
      <c r="D69" s="104">
        <f t="shared" si="1"/>
        <v>0</v>
      </c>
      <c r="E69" s="106">
        <f t="shared" si="2"/>
        <v>0</v>
      </c>
    </row>
    <row r="70" spans="1:5" ht="12.75">
      <c r="A70" s="110">
        <f t="shared" si="4"/>
        <v>58</v>
      </c>
      <c r="B70" s="104">
        <f t="shared" si="0"/>
        <v>0</v>
      </c>
      <c r="C70" s="104">
        <f t="shared" si="3"/>
        <v>0</v>
      </c>
      <c r="D70" s="104">
        <f t="shared" si="1"/>
        <v>0</v>
      </c>
      <c r="E70" s="106">
        <f t="shared" si="2"/>
        <v>0</v>
      </c>
    </row>
    <row r="71" spans="1:5" ht="12.75">
      <c r="A71" s="103">
        <f t="shared" si="4"/>
        <v>59</v>
      </c>
      <c r="B71" s="104">
        <f t="shared" si="0"/>
        <v>0</v>
      </c>
      <c r="C71" s="104">
        <f t="shared" si="3"/>
        <v>0</v>
      </c>
      <c r="D71" s="104">
        <f t="shared" si="1"/>
        <v>0</v>
      </c>
      <c r="E71" s="106">
        <f t="shared" si="2"/>
        <v>0</v>
      </c>
    </row>
    <row r="72" spans="1:5" ht="12.75">
      <c r="A72" s="103">
        <f t="shared" si="4"/>
        <v>60</v>
      </c>
      <c r="B72" s="104">
        <f t="shared" si="0"/>
        <v>0</v>
      </c>
      <c r="C72" s="104">
        <f t="shared" si="3"/>
        <v>0</v>
      </c>
      <c r="D72" s="104">
        <f t="shared" si="1"/>
        <v>0</v>
      </c>
      <c r="E72" s="106">
        <f t="shared" si="2"/>
        <v>0</v>
      </c>
    </row>
    <row r="73" spans="1:5" ht="12.75">
      <c r="A73" s="302" t="s">
        <v>14</v>
      </c>
      <c r="B73" s="302">
        <f>SUM(B13:B72)</f>
        <v>0</v>
      </c>
      <c r="C73" s="302">
        <f>SUM(C13:C72)</f>
        <v>0</v>
      </c>
      <c r="D73" s="302">
        <f t="shared" si="1"/>
        <v>0</v>
      </c>
      <c r="E73" s="302"/>
    </row>
  </sheetData>
  <printOptions horizontalCentered="1" verticalCentered="1"/>
  <pageMargins left="0.75" right="0.75" top="1" bottom="1" header="0" footer="0"/>
  <pageSetup fitToHeight="1" fitToWidth="1"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workbookViewId="0" topLeftCell="A10">
      <selection activeCell="A3" sqref="A3:G3"/>
    </sheetView>
  </sheetViews>
  <sheetFormatPr defaultColWidth="11.421875" defaultRowHeight="12.75"/>
  <cols>
    <col min="1" max="1" width="49.00390625" style="39" bestFit="1" customWidth="1"/>
    <col min="2" max="2" width="15.140625" style="39" customWidth="1"/>
    <col min="3" max="3" width="14.00390625" style="39" customWidth="1"/>
    <col min="4" max="4" width="14.140625" style="39" bestFit="1" customWidth="1"/>
    <col min="5" max="6" width="14.140625" style="39" customWidth="1"/>
    <col min="7" max="7" width="14.421875" style="39" bestFit="1" customWidth="1"/>
    <col min="8" max="16384" width="11.421875" style="39" customWidth="1"/>
  </cols>
  <sheetData>
    <row r="1" spans="1:8" ht="20.25" customHeight="1">
      <c r="A1" s="534"/>
      <c r="B1" s="534"/>
      <c r="C1" s="534"/>
      <c r="D1" s="534"/>
      <c r="E1" s="534"/>
      <c r="F1" s="534"/>
      <c r="G1" s="534"/>
      <c r="H1" s="119"/>
    </row>
    <row r="2" spans="1:8" ht="20.25" customHeight="1">
      <c r="A2" s="533"/>
      <c r="B2" s="533"/>
      <c r="C2" s="533"/>
      <c r="D2" s="533"/>
      <c r="E2" s="533"/>
      <c r="F2" s="533"/>
      <c r="G2" s="533"/>
      <c r="H2" s="119">
        <v>0.005</v>
      </c>
    </row>
    <row r="3" spans="1:7" ht="15.75">
      <c r="A3" s="532" t="s">
        <v>161</v>
      </c>
      <c r="B3" s="532"/>
      <c r="C3" s="532"/>
      <c r="D3" s="532"/>
      <c r="E3" s="532"/>
      <c r="F3" s="532"/>
      <c r="G3" s="532"/>
    </row>
    <row r="4" spans="1:7" ht="6" customHeight="1" thickBot="1">
      <c r="A4" s="182"/>
      <c r="B4" s="182"/>
      <c r="C4" s="182"/>
      <c r="D4" s="182"/>
      <c r="E4" s="182"/>
      <c r="F4" s="182"/>
      <c r="G4" s="182"/>
    </row>
    <row r="5" spans="1:7" s="81" customFormat="1" ht="15.75" thickBot="1">
      <c r="A5" s="227" t="s">
        <v>1</v>
      </c>
      <c r="B5" s="301" t="s">
        <v>219</v>
      </c>
      <c r="C5" s="300" t="str">
        <f>Ingresos!F31</f>
        <v>AÑO 1</v>
      </c>
      <c r="D5" s="301" t="str">
        <f>Ingresos!G31</f>
        <v>AÑO 2</v>
      </c>
      <c r="E5" s="301" t="str">
        <f>Ingresos!H31</f>
        <v>AÑO 3</v>
      </c>
      <c r="F5" s="301" t="str">
        <f>Ingresos!I31</f>
        <v>AÑO 4</v>
      </c>
      <c r="G5" s="301" t="str">
        <f>Ingresos!J31</f>
        <v>AÑO 5</v>
      </c>
    </row>
    <row r="6" spans="1:7" ht="12.75">
      <c r="A6" s="80"/>
      <c r="B6" s="80"/>
      <c r="C6" s="80"/>
      <c r="D6" s="49"/>
      <c r="E6" s="49"/>
      <c r="F6" s="49"/>
      <c r="G6" s="49"/>
    </row>
    <row r="7" spans="1:7" ht="12.75">
      <c r="A7" s="87" t="s">
        <v>159</v>
      </c>
      <c r="B7" s="87"/>
      <c r="C7" s="80">
        <f>Costos!F39</f>
        <v>6706.404</v>
      </c>
      <c r="D7" s="80">
        <f>Costos!G39</f>
        <v>6706.404</v>
      </c>
      <c r="E7" s="80">
        <f>Costos!H39</f>
        <v>6706.404</v>
      </c>
      <c r="F7" s="80">
        <f>Costos!I39</f>
        <v>6706.404</v>
      </c>
      <c r="G7" s="80">
        <f>Costos!J39</f>
        <v>6706.404</v>
      </c>
    </row>
    <row r="8" spans="1:7" ht="12.75">
      <c r="A8" s="87" t="s">
        <v>160</v>
      </c>
      <c r="B8" s="87"/>
      <c r="C8" s="80">
        <f>Costos!F40</f>
        <v>0</v>
      </c>
      <c r="D8" s="80">
        <f>Costos!G40</f>
        <v>0</v>
      </c>
      <c r="E8" s="80">
        <f>Costos!H40</f>
        <v>0</v>
      </c>
      <c r="F8" s="80">
        <f>Costos!I40</f>
        <v>0</v>
      </c>
      <c r="G8" s="80">
        <f>Costos!J40</f>
        <v>0</v>
      </c>
    </row>
    <row r="9" spans="1:7" ht="12.75">
      <c r="A9" s="80"/>
      <c r="B9" s="80"/>
      <c r="C9" s="80"/>
      <c r="D9" s="49"/>
      <c r="E9" s="49"/>
      <c r="F9" s="49"/>
      <c r="G9" s="49"/>
    </row>
    <row r="10" spans="1:7" ht="12.75">
      <c r="A10" s="84" t="s">
        <v>112</v>
      </c>
      <c r="B10" s="84"/>
      <c r="C10" s="80"/>
      <c r="D10" s="49"/>
      <c r="E10" s="49"/>
      <c r="F10" s="49"/>
      <c r="G10" s="49"/>
    </row>
    <row r="11" spans="1:7" ht="12.75">
      <c r="A11" s="80" t="str">
        <f>Ingresos!A32</f>
        <v>Baterías sanitarias</v>
      </c>
      <c r="B11" s="80"/>
      <c r="C11" s="80">
        <f>Ingresos!F32</f>
        <v>19008</v>
      </c>
      <c r="D11" s="49">
        <f>Ingresos!G32</f>
        <v>19958.4</v>
      </c>
      <c r="E11" s="49">
        <f>Ingresos!H32</f>
        <v>20956.32</v>
      </c>
      <c r="F11" s="49">
        <f>Ingresos!I32</f>
        <v>22004.136</v>
      </c>
      <c r="G11" s="49">
        <f>Ingresos!J32</f>
        <v>23104.3428</v>
      </c>
    </row>
    <row r="12" spans="1:7" ht="12.75">
      <c r="A12" s="80" t="str">
        <f>Ingresos!A33</f>
        <v>Duchas</v>
      </c>
      <c r="B12" s="80"/>
      <c r="C12" s="80">
        <f>Ingresos!F33</f>
        <v>11404.8</v>
      </c>
      <c r="D12" s="49">
        <f>Ingresos!G33</f>
        <v>11975.04</v>
      </c>
      <c r="E12" s="49">
        <f>Ingresos!H33</f>
        <v>12573.792</v>
      </c>
      <c r="F12" s="49">
        <f>Ingresos!I33</f>
        <v>13202.4816</v>
      </c>
      <c r="G12" s="49">
        <f>Ingresos!J33</f>
        <v>13862.605679999999</v>
      </c>
    </row>
    <row r="13" spans="1:7" ht="12.75">
      <c r="A13" s="80"/>
      <c r="B13" s="80"/>
      <c r="C13" s="80"/>
      <c r="D13" s="49"/>
      <c r="E13" s="49"/>
      <c r="F13" s="49"/>
      <c r="G13" s="49"/>
    </row>
    <row r="14" spans="1:7" s="82" customFormat="1" ht="12.75">
      <c r="A14" s="293" t="s">
        <v>122</v>
      </c>
      <c r="B14" s="293"/>
      <c r="C14" s="293">
        <f>SUM(C11:C13)</f>
        <v>30412.8</v>
      </c>
      <c r="D14" s="294">
        <f>SUM(D11:D13)</f>
        <v>31933.440000000002</v>
      </c>
      <c r="E14" s="294">
        <f>SUM(E11:E13)</f>
        <v>33530.112</v>
      </c>
      <c r="F14" s="294">
        <f>SUM(F11:F13)</f>
        <v>35206.6176</v>
      </c>
      <c r="G14" s="294">
        <f>SUM(G11:G13)</f>
        <v>36966.94848</v>
      </c>
    </row>
    <row r="15" spans="1:7" ht="12.75">
      <c r="A15" s="80"/>
      <c r="B15" s="80"/>
      <c r="C15" s="80"/>
      <c r="D15" s="49"/>
      <c r="E15" s="49"/>
      <c r="F15" s="49"/>
      <c r="G15" s="49"/>
    </row>
    <row r="16" spans="1:7" ht="12.75">
      <c r="A16" s="84" t="s">
        <v>111</v>
      </c>
      <c r="B16" s="84"/>
      <c r="C16" s="80"/>
      <c r="D16" s="49"/>
      <c r="E16" s="49"/>
      <c r="F16" s="49"/>
      <c r="G16" s="49"/>
    </row>
    <row r="17" spans="1:7" ht="12.75">
      <c r="A17" s="88" t="str">
        <f>Costos!A13</f>
        <v>COSTOS VARIABLES TOTALES</v>
      </c>
      <c r="B17" s="88"/>
      <c r="C17" s="80">
        <f>Costos!F19</f>
        <v>745.1136</v>
      </c>
      <c r="D17" s="49">
        <f>Costos!G19</f>
        <v>782.36928</v>
      </c>
      <c r="E17" s="49">
        <f>Costos!H19</f>
        <v>821.4877439999999</v>
      </c>
      <c r="F17" s="49">
        <f>Costos!I19</f>
        <v>862.5621312</v>
      </c>
      <c r="G17" s="49">
        <f>Costos!J19</f>
        <v>905.69023776</v>
      </c>
    </row>
    <row r="18" spans="1:7" ht="12.75">
      <c r="A18" s="88" t="str">
        <f>Costos!A22</f>
        <v>GASTOS ADMINISTRATIVOS  (personal)</v>
      </c>
      <c r="B18" s="88"/>
      <c r="C18" s="80">
        <f>Costos!F30</f>
        <v>9434.538199999999</v>
      </c>
      <c r="D18" s="49">
        <f>Costos!G30</f>
        <v>9811.919727999999</v>
      </c>
      <c r="E18" s="49">
        <f>Costos!H30</f>
        <v>10204.39651712</v>
      </c>
      <c r="F18" s="49">
        <f>Costos!I30</f>
        <v>10612.5723778048</v>
      </c>
      <c r="G18" s="49">
        <f>Costos!J30</f>
        <v>11037.07527291699</v>
      </c>
    </row>
    <row r="19" spans="1:7" ht="12.75">
      <c r="A19" s="88" t="str">
        <f>Costos!A33</f>
        <v>GASTOS GENERALES (administrativos)</v>
      </c>
      <c r="B19" s="88"/>
      <c r="C19" s="80">
        <f>Costos!F45</f>
        <v>9806.404</v>
      </c>
      <c r="D19" s="49">
        <f>Costos!G45</f>
        <v>9918.404</v>
      </c>
      <c r="E19" s="49">
        <f>Costos!H45</f>
        <v>10034.884</v>
      </c>
      <c r="F19" s="49">
        <f>Costos!I45</f>
        <v>10156.023200000001</v>
      </c>
      <c r="G19" s="49">
        <f>Costos!J45</f>
        <v>10282.007968</v>
      </c>
    </row>
    <row r="20" spans="1:7" ht="12.75">
      <c r="A20" s="88" t="str">
        <f>Costos!A48</f>
        <v>PAGO DE IMPUESTOS</v>
      </c>
      <c r="B20" s="88"/>
      <c r="C20" s="80">
        <f>Costos!B57</f>
        <v>300</v>
      </c>
      <c r="D20" s="49">
        <f>Costos!C57</f>
        <v>254</v>
      </c>
      <c r="E20" s="49">
        <f>Costos!D57</f>
        <v>258.15999999999997</v>
      </c>
      <c r="F20" s="49">
        <f>Costos!E57</f>
        <v>262.4864</v>
      </c>
      <c r="G20" s="49">
        <f>Costos!F57</f>
        <v>266.985856</v>
      </c>
    </row>
    <row r="21" spans="1:7" ht="12.75">
      <c r="A21" s="87" t="s">
        <v>198</v>
      </c>
      <c r="B21" s="87"/>
      <c r="C21" s="80">
        <f>Ingresos!F34*'Flujo de Caja'!$H$2</f>
        <v>152.064</v>
      </c>
      <c r="D21" s="49">
        <f>Ingresos!G34*'Flujo de Caja'!$H$2</f>
        <v>159.6672</v>
      </c>
      <c r="E21" s="49">
        <f>Ingresos!H34*'Flujo de Caja'!$H$2</f>
        <v>167.65056</v>
      </c>
      <c r="F21" s="49">
        <f>Ingresos!I34*'Flujo de Caja'!$H$2</f>
        <v>176.033088</v>
      </c>
      <c r="G21" s="49">
        <f>Ingresos!J34*'Flujo de Caja'!$H$2</f>
        <v>184.8347424</v>
      </c>
    </row>
    <row r="22" spans="1:7" ht="12.75">
      <c r="A22" s="114"/>
      <c r="B22" s="114"/>
      <c r="C22" s="80"/>
      <c r="D22" s="49"/>
      <c r="E22" s="49"/>
      <c r="F22" s="49"/>
      <c r="G22" s="49"/>
    </row>
    <row r="23" spans="1:7" ht="13.5" thickBot="1">
      <c r="A23" s="297" t="s">
        <v>123</v>
      </c>
      <c r="B23" s="297"/>
      <c r="C23" s="297">
        <f>SUM(C15:C22)</f>
        <v>20438.1198</v>
      </c>
      <c r="D23" s="298">
        <f>SUM(D15:D22)</f>
        <v>20926.360208000002</v>
      </c>
      <c r="E23" s="298">
        <f>SUM(E15:E22)</f>
        <v>21486.578821119998</v>
      </c>
      <c r="F23" s="298">
        <f>SUM(F15:F22)</f>
        <v>22069.677197004803</v>
      </c>
      <c r="G23" s="298">
        <f>SUM(G15:G22)</f>
        <v>22676.59407707699</v>
      </c>
    </row>
    <row r="24" spans="1:7" s="115" customFormat="1" ht="16.5" customHeight="1" thickBot="1">
      <c r="A24" s="299" t="s">
        <v>130</v>
      </c>
      <c r="B24" s="299"/>
      <c r="C24" s="299">
        <f>C14+C7+C8-C23</f>
        <v>16681.084199999998</v>
      </c>
      <c r="D24" s="299">
        <f>D14+D7+D8-D23</f>
        <v>17713.483792000003</v>
      </c>
      <c r="E24" s="299">
        <f>E14+E7+E8-E23</f>
        <v>18749.937178880005</v>
      </c>
      <c r="F24" s="299">
        <f>F14+F7+F8-F23</f>
        <v>19843.344402995197</v>
      </c>
      <c r="G24" s="299">
        <f>G14+G7+G8-G23</f>
        <v>20996.758402923013</v>
      </c>
    </row>
    <row r="25" spans="1:7" ht="12.75">
      <c r="A25" s="80"/>
      <c r="B25" s="80"/>
      <c r="C25" s="80"/>
      <c r="D25" s="49"/>
      <c r="E25" s="49"/>
      <c r="F25" s="49"/>
      <c r="G25" s="49"/>
    </row>
    <row r="26" spans="1:7" ht="12.75">
      <c r="A26" s="84" t="s">
        <v>124</v>
      </c>
      <c r="B26" s="84"/>
      <c r="C26" s="84"/>
      <c r="D26" s="49"/>
      <c r="E26" s="49"/>
      <c r="F26" s="49"/>
      <c r="G26" s="49"/>
    </row>
    <row r="27" spans="1:7" ht="12.75">
      <c r="A27" s="87" t="s">
        <v>259</v>
      </c>
      <c r="B27" s="434">
        <v>42226</v>
      </c>
      <c r="C27" s="101">
        <v>0</v>
      </c>
      <c r="D27" s="124"/>
      <c r="E27" s="49"/>
      <c r="F27" s="49"/>
      <c r="G27" s="49"/>
    </row>
    <row r="28" spans="1:7" ht="12.75">
      <c r="A28" s="80"/>
      <c r="B28" s="80"/>
      <c r="C28" s="80"/>
      <c r="D28" s="49"/>
      <c r="E28" s="49"/>
      <c r="F28" s="49"/>
      <c r="G28" s="49"/>
    </row>
    <row r="29" spans="1:7" ht="12.75">
      <c r="A29" s="295" t="s">
        <v>125</v>
      </c>
      <c r="B29" s="295">
        <f aca="true" t="shared" si="0" ref="B29:G29">SUM(B26:B28)</f>
        <v>42226</v>
      </c>
      <c r="C29" s="295">
        <f t="shared" si="0"/>
        <v>0</v>
      </c>
      <c r="D29" s="296">
        <f t="shared" si="0"/>
        <v>0</v>
      </c>
      <c r="E29" s="296">
        <f t="shared" si="0"/>
        <v>0</v>
      </c>
      <c r="F29" s="296">
        <f t="shared" si="0"/>
        <v>0</v>
      </c>
      <c r="G29" s="296">
        <f t="shared" si="0"/>
        <v>0</v>
      </c>
    </row>
    <row r="30" spans="1:7" ht="12.75">
      <c r="A30" s="80"/>
      <c r="B30" s="80"/>
      <c r="C30" s="80"/>
      <c r="D30" s="49"/>
      <c r="E30" s="49"/>
      <c r="F30" s="49"/>
      <c r="G30" s="49"/>
    </row>
    <row r="31" spans="1:7" ht="12.75">
      <c r="A31" s="84" t="s">
        <v>126</v>
      </c>
      <c r="B31" s="80"/>
      <c r="C31" s="80"/>
      <c r="D31" s="49"/>
      <c r="E31" s="49"/>
      <c r="F31" s="49"/>
      <c r="G31" s="49"/>
    </row>
    <row r="32" spans="1:7" ht="12.75">
      <c r="A32" s="88" t="s">
        <v>258</v>
      </c>
      <c r="B32" s="80">
        <v>42226</v>
      </c>
      <c r="C32" s="80">
        <f>'Activos fijos'!C19</f>
        <v>0</v>
      </c>
      <c r="D32" s="49"/>
      <c r="E32" s="49"/>
      <c r="F32" s="49"/>
      <c r="G32" s="49"/>
    </row>
    <row r="33" spans="1:7" ht="12.75">
      <c r="A33" s="84"/>
      <c r="B33" s="80"/>
      <c r="C33" s="80"/>
      <c r="D33" s="49"/>
      <c r="E33" s="49"/>
      <c r="F33" s="49"/>
      <c r="G33" s="49"/>
    </row>
    <row r="34" spans="1:7" ht="13.5" thickBot="1">
      <c r="A34" s="295" t="s">
        <v>127</v>
      </c>
      <c r="B34" s="295">
        <f>SUM(B30:B33)</f>
        <v>42226</v>
      </c>
      <c r="C34" s="295"/>
      <c r="D34" s="296">
        <f>SUM(D30:D33)</f>
        <v>0</v>
      </c>
      <c r="E34" s="296">
        <f>SUM(E30:E33)</f>
        <v>0</v>
      </c>
      <c r="F34" s="296">
        <f>SUM(F30:F33)</f>
        <v>0</v>
      </c>
      <c r="G34" s="296">
        <f>SUM(G30:G33)</f>
        <v>0</v>
      </c>
    </row>
    <row r="35" spans="1:7" s="83" customFormat="1" ht="24" customHeight="1" thickBot="1">
      <c r="A35" s="208" t="s">
        <v>128</v>
      </c>
      <c r="B35" s="435">
        <f aca="true" t="shared" si="1" ref="B35:G35">B29-B34</f>
        <v>0</v>
      </c>
      <c r="C35" s="292">
        <f t="shared" si="1"/>
        <v>0</v>
      </c>
      <c r="D35" s="292">
        <f t="shared" si="1"/>
        <v>0</v>
      </c>
      <c r="E35" s="292">
        <f t="shared" si="1"/>
        <v>0</v>
      </c>
      <c r="F35" s="292">
        <f t="shared" si="1"/>
        <v>0</v>
      </c>
      <c r="G35" s="292">
        <f t="shared" si="1"/>
        <v>0</v>
      </c>
    </row>
    <row r="36" spans="1:7" s="117" customFormat="1" ht="15">
      <c r="A36" s="116"/>
      <c r="B36" s="436"/>
      <c r="C36" s="123"/>
      <c r="D36" s="123"/>
      <c r="E36" s="123"/>
      <c r="F36" s="123"/>
      <c r="G36" s="123"/>
    </row>
    <row r="37" spans="1:8" s="117" customFormat="1" ht="15.75" thickBot="1">
      <c r="A37" s="290" t="s">
        <v>129</v>
      </c>
      <c r="B37" s="437">
        <f aca="true" t="shared" si="2" ref="B37:G37">B24+B35</f>
        <v>0</v>
      </c>
      <c r="C37" s="290">
        <f t="shared" si="2"/>
        <v>16681.084199999998</v>
      </c>
      <c r="D37" s="291">
        <f t="shared" si="2"/>
        <v>17713.483792000003</v>
      </c>
      <c r="E37" s="291">
        <f t="shared" si="2"/>
        <v>18749.937178880005</v>
      </c>
      <c r="F37" s="291">
        <f t="shared" si="2"/>
        <v>19843.344402995197</v>
      </c>
      <c r="G37" s="291">
        <f t="shared" si="2"/>
        <v>20996.758402923013</v>
      </c>
      <c r="H37" s="118"/>
    </row>
    <row r="42" ht="12.75">
      <c r="C42" s="75"/>
    </row>
    <row r="48" spans="4:7" ht="12.75">
      <c r="D48" s="98"/>
      <c r="E48" s="98"/>
      <c r="F48" s="98"/>
      <c r="G48" s="98"/>
    </row>
  </sheetData>
  <mergeCells count="3">
    <mergeCell ref="A2:G2"/>
    <mergeCell ref="A3:G3"/>
    <mergeCell ref="A1:G1"/>
  </mergeCells>
  <printOptions horizontalCentered="1" verticalCentered="1"/>
  <pageMargins left="0.75" right="0.75" top="0.45" bottom="0.18" header="0" footer="0"/>
  <pageSetup fitToHeight="1" fitToWidth="1" horizontalDpi="300" verticalDpi="3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J23"/>
  <sheetViews>
    <sheetView workbookViewId="0" topLeftCell="A1">
      <selection activeCell="C9" sqref="C9:C10"/>
    </sheetView>
  </sheetViews>
  <sheetFormatPr defaultColWidth="11.421875" defaultRowHeight="12.75"/>
  <cols>
    <col min="2" max="2" width="26.140625" style="0" bestFit="1" customWidth="1"/>
    <col min="3" max="3" width="18.7109375" style="0" customWidth="1"/>
  </cols>
  <sheetData>
    <row r="2" ht="13.5" thickBot="1"/>
    <row r="3" spans="2:3" ht="16.5" thickBot="1">
      <c r="B3" s="528" t="s">
        <v>267</v>
      </c>
      <c r="C3" s="529"/>
    </row>
    <row r="4" spans="2:10" ht="15">
      <c r="B4" s="438" t="s">
        <v>201</v>
      </c>
      <c r="C4" s="439">
        <f>(Costos!F30+Costos!F45+Costos!B57)/12/2</f>
        <v>814.2059249999999</v>
      </c>
      <c r="F4" s="446"/>
      <c r="G4" s="352"/>
      <c r="H4" s="352"/>
      <c r="I4" s="352"/>
      <c r="J4" s="352"/>
    </row>
    <row r="5" spans="2:10" ht="15">
      <c r="B5" s="337" t="s">
        <v>202</v>
      </c>
      <c r="C5" s="432">
        <f>(Costos!F17)/12</f>
        <v>31.046400000000002</v>
      </c>
      <c r="F5" s="352"/>
      <c r="G5" s="352"/>
      <c r="H5" s="352"/>
      <c r="I5" s="352"/>
      <c r="J5" s="352"/>
    </row>
    <row r="6" spans="2:10" ht="15">
      <c r="B6" s="337" t="s">
        <v>203</v>
      </c>
      <c r="C6" s="351">
        <v>0.25</v>
      </c>
      <c r="F6" s="352"/>
      <c r="G6" s="352"/>
      <c r="H6" s="352"/>
      <c r="I6" s="352"/>
      <c r="J6" s="352"/>
    </row>
    <row r="7" spans="2:10" ht="15">
      <c r="B7" s="337" t="s">
        <v>204</v>
      </c>
      <c r="C7" s="445">
        <f>+Costos!B3</f>
        <v>0.0049</v>
      </c>
      <c r="F7" s="352"/>
      <c r="G7" s="352"/>
      <c r="H7" s="352"/>
      <c r="I7" s="352"/>
      <c r="J7" s="352"/>
    </row>
    <row r="8" spans="2:10" ht="15.75" thickBot="1">
      <c r="B8" s="338"/>
      <c r="C8" s="444" t="s">
        <v>205</v>
      </c>
      <c r="F8" s="352"/>
      <c r="G8" s="352"/>
      <c r="H8" s="352"/>
      <c r="I8" s="352"/>
      <c r="J8" s="352"/>
    </row>
    <row r="9" spans="2:10" ht="15.75">
      <c r="B9" s="442" t="s">
        <v>206</v>
      </c>
      <c r="C9" s="530">
        <f>C4/(C6-C7)</f>
        <v>3321.933598531211</v>
      </c>
      <c r="F9" s="352"/>
      <c r="G9" s="352"/>
      <c r="H9" s="352"/>
      <c r="I9" s="352"/>
      <c r="J9" s="352"/>
    </row>
    <row r="10" spans="2:10" ht="15.75" thickBot="1">
      <c r="B10" s="377" t="s">
        <v>207</v>
      </c>
      <c r="C10" s="531"/>
      <c r="D10" t="s">
        <v>277</v>
      </c>
      <c r="E10" s="1"/>
      <c r="F10" s="516"/>
      <c r="G10" s="516"/>
      <c r="H10" s="516"/>
      <c r="I10" s="516"/>
      <c r="J10" s="516"/>
    </row>
    <row r="11" spans="5:10" ht="12.75">
      <c r="E11" s="441"/>
      <c r="F11" s="519"/>
      <c r="G11" s="519"/>
      <c r="H11" s="519"/>
      <c r="I11" s="519"/>
      <c r="J11" s="516"/>
    </row>
    <row r="12" spans="5:10" ht="12.75">
      <c r="E12" s="441"/>
      <c r="F12" s="519"/>
      <c r="G12" s="519"/>
      <c r="H12" s="519"/>
      <c r="I12" s="519"/>
      <c r="J12" s="516"/>
    </row>
    <row r="13" spans="5:10" ht="12.75">
      <c r="E13" s="441"/>
      <c r="F13" s="519"/>
      <c r="G13" s="519"/>
      <c r="H13" s="519"/>
      <c r="I13" s="519"/>
      <c r="J13" s="516"/>
    </row>
    <row r="14" spans="5:10" ht="12.75">
      <c r="E14" s="447"/>
      <c r="F14" s="520"/>
      <c r="G14" s="520"/>
      <c r="H14" s="520"/>
      <c r="I14" s="520"/>
      <c r="J14" s="516"/>
    </row>
    <row r="15" spans="6:10" ht="13.5" thickBot="1">
      <c r="F15" s="352"/>
      <c r="G15" s="352"/>
      <c r="H15" s="352"/>
      <c r="I15" s="352"/>
      <c r="J15" s="352"/>
    </row>
    <row r="16" spans="2:10" ht="16.5" thickBot="1">
      <c r="B16" s="528" t="s">
        <v>266</v>
      </c>
      <c r="C16" s="529"/>
      <c r="F16" s="352"/>
      <c r="G16" s="352"/>
      <c r="H16" s="352"/>
      <c r="I16" s="352"/>
      <c r="J16" s="352"/>
    </row>
    <row r="17" spans="2:10" ht="15">
      <c r="B17" s="438" t="s">
        <v>201</v>
      </c>
      <c r="C17" s="439">
        <f>(Costos!F30+Costos!F45+Costos!B57)/12/2</f>
        <v>814.2059249999999</v>
      </c>
      <c r="F17" s="352"/>
      <c r="G17" s="352"/>
      <c r="H17" s="352"/>
      <c r="I17" s="352"/>
      <c r="J17" s="352"/>
    </row>
    <row r="18" spans="2:10" ht="15">
      <c r="B18" s="337" t="s">
        <v>202</v>
      </c>
      <c r="C18" s="432">
        <f>C5</f>
        <v>31.046400000000002</v>
      </c>
      <c r="F18" s="352"/>
      <c r="G18" s="352"/>
      <c r="H18" s="352"/>
      <c r="I18" s="352"/>
      <c r="J18" s="352"/>
    </row>
    <row r="19" spans="2:10" ht="15">
      <c r="B19" s="337" t="s">
        <v>203</v>
      </c>
      <c r="C19" s="351">
        <v>0.15</v>
      </c>
      <c r="F19" s="352"/>
      <c r="G19" s="352"/>
      <c r="H19" s="352"/>
      <c r="I19" s="352"/>
      <c r="J19" s="352"/>
    </row>
    <row r="20" spans="2:10" ht="15">
      <c r="B20" s="337" t="s">
        <v>204</v>
      </c>
      <c r="C20" s="445">
        <f>+Costos!B3</f>
        <v>0.0049</v>
      </c>
      <c r="F20" s="352"/>
      <c r="G20" s="352"/>
      <c r="H20" s="352"/>
      <c r="I20" s="352"/>
      <c r="J20" s="352"/>
    </row>
    <row r="21" spans="2:10" ht="15.75" thickBot="1">
      <c r="B21" s="338"/>
      <c r="C21" s="339" t="s">
        <v>205</v>
      </c>
      <c r="F21" s="352"/>
      <c r="G21" s="352"/>
      <c r="H21" s="352"/>
      <c r="I21" s="352"/>
      <c r="J21" s="352"/>
    </row>
    <row r="22" spans="2:10" ht="15.75">
      <c r="B22" s="442" t="s">
        <v>206</v>
      </c>
      <c r="C22" s="530">
        <f>C17/(C19-C20)</f>
        <v>5611.34338387319</v>
      </c>
      <c r="F22" s="352"/>
      <c r="G22" s="352"/>
      <c r="H22" s="352"/>
      <c r="I22" s="352"/>
      <c r="J22" s="352"/>
    </row>
    <row r="23" spans="2:10" ht="15.75" thickBot="1">
      <c r="B23" s="377" t="s">
        <v>207</v>
      </c>
      <c r="C23" s="531"/>
      <c r="D23" t="s">
        <v>278</v>
      </c>
      <c r="F23" s="352"/>
      <c r="G23" s="352"/>
      <c r="H23" s="352"/>
      <c r="I23" s="352"/>
      <c r="J23" s="352"/>
    </row>
  </sheetData>
  <mergeCells count="4">
    <mergeCell ref="B3:C3"/>
    <mergeCell ref="B16:C16"/>
    <mergeCell ref="C9:C10"/>
    <mergeCell ref="C22:C23"/>
  </mergeCells>
  <printOptions horizontalCentered="1" verticalCentered="1"/>
  <pageMargins left="0.7874015748031497" right="0.7874015748031497" top="0.984251968503937" bottom="0.984251968503937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USER</dc:creator>
  <cp:keywords/>
  <dc:description/>
  <cp:lastModifiedBy>WINDONS XP</cp:lastModifiedBy>
  <cp:lastPrinted>2007-08-19T20:50:04Z</cp:lastPrinted>
  <dcterms:created xsi:type="dcterms:W3CDTF">2004-02-08T17:55:53Z</dcterms:created>
  <dcterms:modified xsi:type="dcterms:W3CDTF">2007-08-28T02:28:56Z</dcterms:modified>
  <cp:category/>
  <cp:version/>
  <cp:contentType/>
  <cp:contentStatus/>
</cp:coreProperties>
</file>