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9465" activeTab="0"/>
  </bookViews>
  <sheets>
    <sheet name="ANEXO17" sheetId="1" r:id="rId1"/>
    <sheet name="ANEXO18" sheetId="2" r:id="rId2"/>
    <sheet name="ANEXO19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<sst xmlns="http://schemas.openxmlformats.org/spreadsheetml/2006/main" count="304" uniqueCount="195">
  <si>
    <t>ANEXO 17</t>
  </si>
  <si>
    <t>FLUJOS DE CAJA ANUALES</t>
  </si>
  <si>
    <t>FLUJO DE CAJA ANUAL</t>
  </si>
  <si>
    <t>INGRESOS</t>
  </si>
  <si>
    <t>AÑO 0</t>
  </si>
  <si>
    <t>AÑO 1</t>
  </si>
  <si>
    <t>AÑO 2</t>
  </si>
  <si>
    <t>AÑO 3</t>
  </si>
  <si>
    <t>AÑO 4</t>
  </si>
  <si>
    <t>AÑO 5</t>
  </si>
  <si>
    <t>INVERSION INICIAL</t>
  </si>
  <si>
    <t>APORTE DE ACCIONISTAS</t>
  </si>
  <si>
    <t>SERVICIOS</t>
  </si>
  <si>
    <t>PVP</t>
  </si>
  <si>
    <t>VTAS</t>
  </si>
  <si>
    <t>TOTAL</t>
  </si>
  <si>
    <t>Tour de dos días</t>
  </si>
  <si>
    <t>Tour 1 semana</t>
  </si>
  <si>
    <t>Alquiler de Sleeping 2 días</t>
  </si>
  <si>
    <t>Alquiler de Sleeping 1 semana</t>
  </si>
  <si>
    <t>TOTALES</t>
  </si>
  <si>
    <t>IVA por Ventas</t>
  </si>
  <si>
    <t>TOTAL INGRESO DE EFECTIVO</t>
  </si>
  <si>
    <t>EGRESOS</t>
  </si>
  <si>
    <t>COSTOS VARIABLES</t>
  </si>
  <si>
    <t>IVA pagado en compra de servicios</t>
  </si>
  <si>
    <t>TOTAL COSTOS VARIABLES</t>
  </si>
  <si>
    <t>GASTOS DE SERVICIO
UTENSILIOS DE TRABAJO</t>
  </si>
  <si>
    <t>2 Extintores</t>
  </si>
  <si>
    <t>50 Sillas</t>
  </si>
  <si>
    <t>7 Mesas</t>
  </si>
  <si>
    <t>7 Parasoles</t>
  </si>
  <si>
    <t>1 Pizarrón Acrílico</t>
  </si>
  <si>
    <t>20 Carpas para 4 pax.</t>
  </si>
  <si>
    <t>50 Sleeping bags</t>
  </si>
  <si>
    <t>6 Hamacas</t>
  </si>
  <si>
    <t>1 Red de volleyball</t>
  </si>
  <si>
    <t>3 Balones de fútbol</t>
  </si>
  <si>
    <t xml:space="preserve">TOTAL </t>
  </si>
  <si>
    <t>Iva pagado en comp. Bienes/serv.</t>
  </si>
  <si>
    <t>TOTAL GASTOS DE SERVICIO</t>
  </si>
  <si>
    <t>GASTOS DE ADMINISTRACIÓN</t>
  </si>
  <si>
    <t>PERSONAL</t>
  </si>
  <si>
    <t xml:space="preserve">Sueldos </t>
  </si>
  <si>
    <t>Décimo Tercer Sueldo</t>
  </si>
  <si>
    <t>Décimo Cuarto Sueldo</t>
  </si>
  <si>
    <t>Vacaciones</t>
  </si>
  <si>
    <t>Fondo de Reserva</t>
  </si>
  <si>
    <t>Aporte Patronal</t>
  </si>
  <si>
    <t>Capacitación a Empleados</t>
  </si>
  <si>
    <t>TOTAL PERSONAL</t>
  </si>
  <si>
    <t>SERVICIOS PRESTADOS</t>
  </si>
  <si>
    <t xml:space="preserve">TOTAL SERVICIOS PRESTADOS </t>
  </si>
  <si>
    <t>Iva por compra de servicios</t>
  </si>
  <si>
    <t>OTROS GASTOS ADMINISTRATIVOS</t>
  </si>
  <si>
    <t>Publicidad</t>
  </si>
  <si>
    <t>Útiles de oficina</t>
  </si>
  <si>
    <t>Suministro de limpieza</t>
  </si>
  <si>
    <t>Recarga de Extintores</t>
  </si>
  <si>
    <t>TOTAL OTROS GASTOS ADMINISTRATIVOS</t>
  </si>
  <si>
    <t>TOTAL GASTOS DE ADMINISTRACIÓN</t>
  </si>
  <si>
    <t>GASTOS GENERALES</t>
  </si>
  <si>
    <t>Alquiler Terreno en la isla</t>
  </si>
  <si>
    <t>Mantenimiento de Instalaciones</t>
  </si>
  <si>
    <t xml:space="preserve">Agua </t>
  </si>
  <si>
    <t>Teléfono (1 línea)</t>
  </si>
  <si>
    <t>Membresia al Internet</t>
  </si>
  <si>
    <t>Depósito de Arriendo</t>
  </si>
  <si>
    <t>Afiliación a la Cámara</t>
  </si>
  <si>
    <t>Impuestos y Contribuciones</t>
  </si>
  <si>
    <t>TOTAL GASTOS GENERALES</t>
  </si>
  <si>
    <t>ACTIVOS FIJOS</t>
  </si>
  <si>
    <t>Construcción en 1750m2</t>
  </si>
  <si>
    <t>Computador personal tipo laptop</t>
  </si>
  <si>
    <t>Impresora Lexmark Z600</t>
  </si>
  <si>
    <t>Telefax</t>
  </si>
  <si>
    <t>Teléfono</t>
  </si>
  <si>
    <t xml:space="preserve">Escritorios </t>
  </si>
  <si>
    <t>Sillas</t>
  </si>
  <si>
    <t xml:space="preserve">Archivadores </t>
  </si>
  <si>
    <t>Línea Telefónica</t>
  </si>
  <si>
    <t>Iva por compra de Activos</t>
  </si>
  <si>
    <t>TOTAL ACTIVOS FIJOS</t>
  </si>
  <si>
    <t>GASTOS PREOPERATIVOS</t>
  </si>
  <si>
    <t>Plan de Negocios</t>
  </si>
  <si>
    <t>Constitución de compañía</t>
  </si>
  <si>
    <t>Registro en el M. de Turismo</t>
  </si>
  <si>
    <t>TOTAL GASTOS PREOPERATIVOS</t>
  </si>
  <si>
    <t>PAGOS Y DESEMBOLSOS</t>
  </si>
  <si>
    <t>15% Utilidad Trabajadores año anterior</t>
  </si>
  <si>
    <t xml:space="preserve">25% Impuesto a la Renta </t>
  </si>
  <si>
    <t>Utilidad de Accionistas año anterior</t>
  </si>
  <si>
    <t>Credito Tributario mes anterior (SRI)</t>
  </si>
  <si>
    <t>Pago del IVA al SRI</t>
  </si>
  <si>
    <t>TOTAL EGRESOS</t>
  </si>
  <si>
    <t>SALDO DE EFECTIVO</t>
  </si>
  <si>
    <t>1er año</t>
  </si>
  <si>
    <t>2do año</t>
  </si>
  <si>
    <t>3er año</t>
  </si>
  <si>
    <t>4to año</t>
  </si>
  <si>
    <t>5to año</t>
  </si>
  <si>
    <t>FLUJO GENERADO NETO</t>
  </si>
  <si>
    <t>FLUJO NETO ACUMULADO</t>
  </si>
  <si>
    <t>VAN</t>
  </si>
  <si>
    <t>TIR</t>
  </si>
  <si>
    <t>PERIODO DERECUPERACION DE CAPITAL : EL VALOR INVERTIDO - LOS FLUJOS DE EFECTO QUE PROVIENEN DE LAS OPERACIONES</t>
  </si>
  <si>
    <t>FLUJO AÑO 0</t>
  </si>
  <si>
    <t>FLUJO AÑO 1</t>
  </si>
  <si>
    <t>FLUJO AÑO 2</t>
  </si>
  <si>
    <t>FLUJO AÑO 3</t>
  </si>
  <si>
    <t>FLUJO AÑO 4</t>
  </si>
  <si>
    <t>FLUJO AÑO 5</t>
  </si>
  <si>
    <t>PRC</t>
  </si>
  <si>
    <t>2 AÑOS Y 2 MESES</t>
  </si>
  <si>
    <t>NOVIEMBRE</t>
  </si>
  <si>
    <t>FEBRERO</t>
  </si>
  <si>
    <t>MARZO</t>
  </si>
  <si>
    <t>ABRIL</t>
  </si>
  <si>
    <t>MAYO</t>
  </si>
  <si>
    <t>JUNIO</t>
  </si>
  <si>
    <t>JULIO</t>
  </si>
  <si>
    <t>AGOSTO</t>
  </si>
  <si>
    <t>vtas</t>
  </si>
  <si>
    <t>total</t>
  </si>
  <si>
    <t>Alquiler de Sleeping</t>
  </si>
  <si>
    <t>ANEXO 18</t>
  </si>
  <si>
    <t>ESTADO DE PÉRDIDA Y GANANCIAS (EN USD)</t>
  </si>
  <si>
    <t xml:space="preserve">ESTADO DE PERDIDAS Y GANACIAS PROYECTADO </t>
  </si>
  <si>
    <t>TOTAL INGRESOS</t>
  </si>
  <si>
    <t>COSTO DE SERVICIOS</t>
  </si>
  <si>
    <t>Alquiler de Sleeping dos días</t>
  </si>
  <si>
    <t>-</t>
  </si>
  <si>
    <t>TOTAL DE INGRESOS</t>
  </si>
  <si>
    <t>GASTOS DE SERVICIO 
UTENSILIOS DE TRABAJO</t>
  </si>
  <si>
    <t>Sueldos</t>
  </si>
  <si>
    <t>Capacitación</t>
  </si>
  <si>
    <t>Servicios Prestados</t>
  </si>
  <si>
    <t>TOTAL GASTOS DE PERSONAL</t>
  </si>
  <si>
    <t>Publicidad y Propaganda</t>
  </si>
  <si>
    <t>Útiles  de Oficina</t>
  </si>
  <si>
    <t>Suministros de Limpieza</t>
  </si>
  <si>
    <t>TOTAL OTROS GASTOS ADM.</t>
  </si>
  <si>
    <t>GASTOS VARIOS</t>
  </si>
  <si>
    <t>Mantenimiento de instalaciones</t>
  </si>
  <si>
    <t xml:space="preserve">Teléfono </t>
  </si>
  <si>
    <t>Registro en el Ministerio de Turismo</t>
  </si>
  <si>
    <t>TOTAL GASTOS VARIOS</t>
  </si>
  <si>
    <t>GASTOS FIJOS AMORTIZABLES</t>
  </si>
  <si>
    <t>Depreciación Instalaciones</t>
  </si>
  <si>
    <t>Depreciación Eq.Computación</t>
  </si>
  <si>
    <t>Depreciación Eq. De Oficina</t>
  </si>
  <si>
    <t>Depreciación Muebles y enseres</t>
  </si>
  <si>
    <t>Amortización pérdida</t>
  </si>
  <si>
    <t>Amortización Gastos de Costitución</t>
  </si>
  <si>
    <t>TOTAL GASTOS FIJOS AMORTIZABLES</t>
  </si>
  <si>
    <t>TOTAL DE EGRESOS</t>
  </si>
  <si>
    <t>UTILIDAD BRUTA DEL EJERCICIO</t>
  </si>
  <si>
    <t>15% utilid.trabajadores</t>
  </si>
  <si>
    <t>TOTAL UT. BRUTA</t>
  </si>
  <si>
    <t>10% Reserva Legal</t>
  </si>
  <si>
    <t>25% Impuesto a la Renta</t>
  </si>
  <si>
    <t>UTILIDAD NETA DEL EJERCICIO</t>
  </si>
  <si>
    <t>ANEXO 19</t>
  </si>
  <si>
    <t>BALANCE  GENERAL DE VIDA NUEVA</t>
  </si>
  <si>
    <t>BALANCE  GENERAL (EN USD)</t>
  </si>
  <si>
    <t>AL FINAL DEL 5TO AÑO DE OPERACIONES</t>
  </si>
  <si>
    <t>A C T I V O</t>
  </si>
  <si>
    <t>ACTIVO CIRCULANTE</t>
  </si>
  <si>
    <t>Caja</t>
  </si>
  <si>
    <t>Bancos</t>
  </si>
  <si>
    <t>TOTAL ACTIVO CIRCULANTE</t>
  </si>
  <si>
    <t>ACTIVO FIJO</t>
  </si>
  <si>
    <t>Equipo de Computaciòn</t>
  </si>
  <si>
    <t>Muebles y Enseres</t>
  </si>
  <si>
    <t>Equipos de Comunicación</t>
  </si>
  <si>
    <t>Depreciación Equip. Comunicación</t>
  </si>
  <si>
    <t>ACTIVO DIFERIDO</t>
  </si>
  <si>
    <t>Depósito en garantía por alquiler de terreno</t>
  </si>
  <si>
    <t>Gastos de Constituciòn</t>
  </si>
  <si>
    <t>Amortiz. Gastos de Constituc.</t>
  </si>
  <si>
    <t>TOTAL ACTIVO DIFERIDO</t>
  </si>
  <si>
    <t>TOTAL DEL ACTIVO</t>
  </si>
  <si>
    <t xml:space="preserve">P A S I V O </t>
  </si>
  <si>
    <t>PASIVO CIRCULANTE</t>
  </si>
  <si>
    <t>15% Part. de Trabajadores</t>
  </si>
  <si>
    <t xml:space="preserve">TOTAL PASIVO </t>
  </si>
  <si>
    <t xml:space="preserve">PATRIMONIO </t>
  </si>
  <si>
    <t>Capital Social</t>
  </si>
  <si>
    <t xml:space="preserve">10% Reserva Legal </t>
  </si>
  <si>
    <t>Dividendo de Accionistas</t>
  </si>
  <si>
    <t>TOTAL PATRIMONIO</t>
  </si>
  <si>
    <t>TOTAL PASIVO MAS PATRIMONIO</t>
  </si>
  <si>
    <t>A= P+P</t>
  </si>
  <si>
    <t>diferencia</t>
  </si>
  <si>
    <t>LIQUIDEZ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</si>
</sst>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[$$-409]#,##0.00"/>
    <numFmt numFmtId="178" formatCode="_(* #,##0.000_);_(* \(#,##0.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300A]\ #,##0.00;[Red][$$-300A]\ \-#,##0.00"/>
    <numFmt numFmtId="182" formatCode="_ * #,##0.0000000_ ;_ * \-#,##0.0000000_ ;_ * &quot;-&quot;???_ ;_ @_ "/>
    <numFmt numFmtId="183" formatCode="0.0%"/>
    <numFmt numFmtId="184" formatCode="_ &quot;$&quot;\ * #,##0_ ;_ &quot;$&quot;\ * \-#,##0_ ;_ &quot;$&quot;\ * &quot;-&quot;??_ ;_ @_ "/>
    <numFmt numFmtId="185" formatCode="#,##0.00_ ;\-#,##0.00\ "/>
    <numFmt numFmtId="186" formatCode="0.0000000000000000000000000000000000000"/>
    <numFmt numFmtId="187" formatCode="_(* #,##0.000000000000_);_(* \(#,##0.000000000000\);_(* &quot;-&quot;??_);_(@_)"/>
    <numFmt numFmtId="188" formatCode="_ * #,##0.0_ ;_ * \-#,##0.0_ ;_ * &quot;-&quot;??_ ;_ @_ "/>
    <numFmt numFmtId="189" formatCode="_ * #,##0_ ;_ * \-#,##0_ ;_ * &quot;-&quot;??_ ;_ @_ "/>
    <numFmt numFmtId="190" formatCode="_ &quot;$&quot;\ * #,##0.0_ ;_ &quot;$&quot;\ * \-#,##0.0_ ;_ &quot;$&quot;\ * &quot;-&quot;??_ ;_ @_ "/>
    <numFmt numFmtId="191" formatCode="_-* #,##0.000\ _€_-;\-* #,##0.000\ _€_-;_-* &quot;-&quot;??\ _€_-;_-@_-"/>
    <numFmt numFmtId="192" formatCode="#,##0;[Red]#,##0"/>
    <numFmt numFmtId="193" formatCode="0.000%"/>
    <numFmt numFmtId="194" formatCode="_ [$€-2]\ * #,##0.00_ ;_ [$€-2]\ * \-#,##0.00_ ;_ [$€-2]\ * &quot;-&quot;??_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sz val="10"/>
      <color indexed="41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b/>
      <sz val="15"/>
      <name val="Arial"/>
      <family val="2"/>
    </font>
    <font>
      <b/>
      <sz val="11"/>
      <name val="Arial"/>
      <family val="0"/>
    </font>
    <font>
      <sz val="8"/>
      <color indexed="10"/>
      <name val="Arial"/>
      <family val="2"/>
    </font>
    <font>
      <sz val="8"/>
      <color indexed="43"/>
      <name val="Arial"/>
      <family val="0"/>
    </font>
    <font>
      <sz val="13"/>
      <name val="Arial"/>
      <family val="0"/>
    </font>
    <font>
      <sz val="11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176" fontId="8" fillId="0" borderId="4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44" fontId="8" fillId="0" borderId="5" xfId="2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4" fontId="8" fillId="0" borderId="0" xfId="2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5" xfId="21" applyFont="1" applyBorder="1" applyAlignment="1">
      <alignment horizontal="center"/>
    </xf>
    <xf numFmtId="0" fontId="3" fillId="0" borderId="2" xfId="0" applyFont="1" applyFill="1" applyBorder="1" applyAlignment="1">
      <alignment/>
    </xf>
    <xf numFmtId="44" fontId="3" fillId="0" borderId="2" xfId="2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173" fontId="3" fillId="0" borderId="6" xfId="20" applyFont="1" applyFill="1" applyBorder="1" applyAlignment="1">
      <alignment/>
    </xf>
    <xf numFmtId="176" fontId="8" fillId="0" borderId="1" xfId="20" applyNumberFormat="1" applyFont="1" applyFill="1" applyBorder="1" applyAlignment="1">
      <alignment/>
    </xf>
    <xf numFmtId="173" fontId="8" fillId="0" borderId="1" xfId="20" applyFont="1" applyFill="1" applyBorder="1" applyAlignment="1">
      <alignment/>
    </xf>
    <xf numFmtId="176" fontId="8" fillId="0" borderId="1" xfId="20" applyNumberFormat="1" applyFont="1" applyFill="1" applyBorder="1" applyAlignment="1">
      <alignment horizontal="center"/>
    </xf>
    <xf numFmtId="173" fontId="8" fillId="0" borderId="1" xfId="2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76" fontId="3" fillId="0" borderId="2" xfId="20" applyNumberFormat="1" applyFont="1" applyFill="1" applyBorder="1" applyAlignment="1">
      <alignment/>
    </xf>
    <xf numFmtId="173" fontId="3" fillId="0" borderId="3" xfId="2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2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44" fontId="3" fillId="0" borderId="3" xfId="21" applyFont="1" applyBorder="1" applyAlignment="1">
      <alignment/>
    </xf>
    <xf numFmtId="172" fontId="3" fillId="0" borderId="3" xfId="0" applyNumberFormat="1" applyFont="1" applyFill="1" applyBorder="1" applyAlignment="1">
      <alignment/>
    </xf>
    <xf numFmtId="44" fontId="3" fillId="0" borderId="3" xfId="21" applyFont="1" applyFill="1" applyBorder="1" applyAlignment="1">
      <alignment/>
    </xf>
    <xf numFmtId="173" fontId="3" fillId="0" borderId="2" xfId="20" applyFont="1" applyFill="1" applyBorder="1" applyAlignment="1">
      <alignment/>
    </xf>
    <xf numFmtId="44" fontId="3" fillId="0" borderId="2" xfId="21" applyFont="1" applyBorder="1" applyAlignment="1">
      <alignment/>
    </xf>
    <xf numFmtId="172" fontId="3" fillId="0" borderId="2" xfId="0" applyNumberFormat="1" applyFont="1" applyFill="1" applyBorder="1" applyAlignment="1">
      <alignment/>
    </xf>
    <xf numFmtId="44" fontId="3" fillId="0" borderId="6" xfId="21" applyFont="1" applyFill="1" applyBorder="1" applyAlignment="1">
      <alignment/>
    </xf>
    <xf numFmtId="176" fontId="3" fillId="0" borderId="8" xfId="0" applyNumberFormat="1" applyFont="1" applyFill="1" applyBorder="1" applyAlignment="1">
      <alignment/>
    </xf>
    <xf numFmtId="180" fontId="3" fillId="0" borderId="6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44" fontId="3" fillId="0" borderId="6" xfId="21" applyFont="1" applyBorder="1" applyAlignment="1">
      <alignment/>
    </xf>
    <xf numFmtId="172" fontId="3" fillId="0" borderId="6" xfId="0" applyNumberFormat="1" applyFont="1" applyFill="1" applyBorder="1" applyAlignment="1">
      <alignment/>
    </xf>
    <xf numFmtId="176" fontId="8" fillId="0" borderId="2" xfId="2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44" fontId="8" fillId="0" borderId="2" xfId="21" applyFont="1" applyFill="1" applyBorder="1" applyAlignment="1">
      <alignment/>
    </xf>
    <xf numFmtId="44" fontId="8" fillId="0" borderId="3" xfId="21" applyFont="1" applyFill="1" applyBorder="1" applyAlignment="1">
      <alignment/>
    </xf>
    <xf numFmtId="0" fontId="8" fillId="0" borderId="5" xfId="0" applyFont="1" applyFill="1" applyBorder="1" applyAlignment="1">
      <alignment/>
    </xf>
    <xf numFmtId="44" fontId="8" fillId="0" borderId="4" xfId="21" applyFont="1" applyFill="1" applyBorder="1" applyAlignment="1">
      <alignment/>
    </xf>
    <xf numFmtId="0" fontId="8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172" fontId="8" fillId="0" borderId="2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176" fontId="9" fillId="0" borderId="2" xfId="2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71" fontId="3" fillId="0" borderId="2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172" fontId="7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76" fontId="7" fillId="2" borderId="0" xfId="0" applyNumberFormat="1" applyFont="1" applyFill="1" applyBorder="1" applyAlignment="1">
      <alignment/>
    </xf>
    <xf numFmtId="44" fontId="7" fillId="2" borderId="2" xfId="21" applyFont="1" applyFill="1" applyBorder="1" applyAlignment="1">
      <alignment/>
    </xf>
    <xf numFmtId="44" fontId="7" fillId="2" borderId="4" xfId="2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" xfId="0" applyFont="1" applyBorder="1" applyAlignment="1">
      <alignment/>
    </xf>
    <xf numFmtId="176" fontId="7" fillId="2" borderId="2" xfId="20" applyNumberFormat="1" applyFont="1" applyFill="1" applyBorder="1" applyAlignment="1">
      <alignment horizontal="center"/>
    </xf>
    <xf numFmtId="176" fontId="7" fillId="2" borderId="2" xfId="2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73" fontId="8" fillId="2" borderId="2" xfId="20" applyFont="1" applyFill="1" applyBorder="1" applyAlignment="1">
      <alignment/>
    </xf>
    <xf numFmtId="176" fontId="8" fillId="2" borderId="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176" fontId="8" fillId="0" borderId="2" xfId="2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2" xfId="2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" xfId="0" applyFont="1" applyBorder="1" applyAlignment="1">
      <alignment/>
    </xf>
    <xf numFmtId="176" fontId="3" fillId="0" borderId="2" xfId="0" applyNumberFormat="1" applyFont="1" applyFill="1" applyBorder="1" applyAlignment="1">
      <alignment/>
    </xf>
    <xf numFmtId="44" fontId="3" fillId="0" borderId="2" xfId="21" applyFont="1" applyFill="1" applyBorder="1" applyAlignment="1">
      <alignment/>
    </xf>
    <xf numFmtId="172" fontId="3" fillId="0" borderId="2" xfId="0" applyNumberFormat="1" applyFont="1" applyFill="1" applyBorder="1" applyAlignment="1">
      <alignment/>
    </xf>
    <xf numFmtId="44" fontId="3" fillId="0" borderId="5" xfId="2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173" fontId="3" fillId="0" borderId="2" xfId="20" applyFont="1" applyFill="1" applyBorder="1" applyAlignment="1">
      <alignment/>
    </xf>
    <xf numFmtId="173" fontId="3" fillId="0" borderId="5" xfId="20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44" fontId="8" fillId="0" borderId="5" xfId="21" applyFont="1" applyFill="1" applyBorder="1" applyAlignment="1">
      <alignment/>
    </xf>
    <xf numFmtId="44" fontId="8" fillId="0" borderId="2" xfId="21" applyFont="1" applyFill="1" applyBorder="1" applyAlignment="1">
      <alignment/>
    </xf>
    <xf numFmtId="44" fontId="8" fillId="0" borderId="4" xfId="21" applyFont="1" applyFill="1" applyBorder="1" applyAlignment="1">
      <alignment/>
    </xf>
    <xf numFmtId="173" fontId="8" fillId="0" borderId="4" xfId="20" applyFont="1" applyFill="1" applyBorder="1" applyAlignment="1">
      <alignment/>
    </xf>
    <xf numFmtId="176" fontId="8" fillId="2" borderId="2" xfId="2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6" fontId="8" fillId="0" borderId="2" xfId="20" applyNumberFormat="1" applyFont="1" applyFill="1" applyBorder="1" applyAlignment="1">
      <alignment horizontal="center"/>
    </xf>
    <xf numFmtId="176" fontId="8" fillId="0" borderId="0" xfId="20" applyNumberFormat="1" applyFont="1" applyFill="1" applyBorder="1" applyAlignment="1">
      <alignment horizontal="center"/>
    </xf>
    <xf numFmtId="176" fontId="3" fillId="0" borderId="0" xfId="20" applyNumberFormat="1" applyFont="1" applyFill="1" applyBorder="1" applyAlignment="1">
      <alignment/>
    </xf>
    <xf numFmtId="176" fontId="3" fillId="0" borderId="2" xfId="20" applyNumberFormat="1" applyFont="1" applyFill="1" applyBorder="1" applyAlignment="1">
      <alignment/>
    </xf>
    <xf numFmtId="176" fontId="3" fillId="0" borderId="5" xfId="20" applyNumberFormat="1" applyFont="1" applyFill="1" applyBorder="1" applyAlignment="1">
      <alignment/>
    </xf>
    <xf numFmtId="176" fontId="3" fillId="0" borderId="4" xfId="20" applyNumberFormat="1" applyFont="1" applyFill="1" applyBorder="1" applyAlignment="1">
      <alignment/>
    </xf>
    <xf numFmtId="176" fontId="8" fillId="0" borderId="2" xfId="20" applyNumberFormat="1" applyFont="1" applyFill="1" applyBorder="1" applyAlignment="1">
      <alignment wrapText="1"/>
    </xf>
    <xf numFmtId="172" fontId="3" fillId="0" borderId="2" xfId="23" applyFont="1" applyFill="1" applyBorder="1" applyAlignment="1">
      <alignment/>
    </xf>
    <xf numFmtId="176" fontId="8" fillId="0" borderId="5" xfId="20" applyNumberFormat="1" applyFont="1" applyFill="1" applyBorder="1" applyAlignment="1">
      <alignment horizontal="center"/>
    </xf>
    <xf numFmtId="172" fontId="3" fillId="0" borderId="4" xfId="23" applyFont="1" applyFill="1" applyBorder="1" applyAlignment="1">
      <alignment/>
    </xf>
    <xf numFmtId="172" fontId="3" fillId="0" borderId="0" xfId="23" applyFont="1" applyFill="1" applyBorder="1" applyAlignment="1">
      <alignment/>
    </xf>
    <xf numFmtId="172" fontId="3" fillId="0" borderId="5" xfId="23" applyFont="1" applyFill="1" applyBorder="1" applyAlignment="1">
      <alignment/>
    </xf>
    <xf numFmtId="172" fontId="3" fillId="0" borderId="2" xfId="23" applyFont="1" applyBorder="1" applyAlignment="1">
      <alignment/>
    </xf>
    <xf numFmtId="172" fontId="8" fillId="0" borderId="2" xfId="23" applyFont="1" applyFill="1" applyBorder="1" applyAlignment="1">
      <alignment/>
    </xf>
    <xf numFmtId="172" fontId="8" fillId="0" borderId="0" xfId="23" applyFont="1" applyFill="1" applyBorder="1" applyAlignment="1">
      <alignment/>
    </xf>
    <xf numFmtId="172" fontId="8" fillId="0" borderId="5" xfId="23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8" fillId="0" borderId="2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44" fontId="8" fillId="0" borderId="0" xfId="21" applyFont="1" applyFill="1" applyBorder="1" applyAlignment="1">
      <alignment/>
    </xf>
    <xf numFmtId="44" fontId="8" fillId="0" borderId="2" xfId="21" applyFont="1" applyBorder="1" applyAlignment="1">
      <alignment/>
    </xf>
    <xf numFmtId="0" fontId="10" fillId="2" borderId="2" xfId="0" applyFont="1" applyFill="1" applyBorder="1" applyAlignment="1">
      <alignment/>
    </xf>
    <xf numFmtId="44" fontId="8" fillId="2" borderId="2" xfId="21" applyFont="1" applyFill="1" applyBorder="1" applyAlignment="1">
      <alignment/>
    </xf>
    <xf numFmtId="44" fontId="3" fillId="2" borderId="2" xfId="21" applyFont="1" applyFill="1" applyBorder="1" applyAlignment="1">
      <alignment/>
    </xf>
    <xf numFmtId="44" fontId="3" fillId="2" borderId="0" xfId="21" applyFont="1" applyFill="1" applyBorder="1" applyAlignment="1">
      <alignment/>
    </xf>
    <xf numFmtId="44" fontId="3" fillId="2" borderId="5" xfId="21" applyFont="1" applyFill="1" applyBorder="1" applyAlignment="1">
      <alignment/>
    </xf>
    <xf numFmtId="44" fontId="8" fillId="2" borderId="4" xfId="21" applyFont="1" applyFill="1" applyBorder="1" applyAlignment="1">
      <alignment/>
    </xf>
    <xf numFmtId="0" fontId="3" fillId="0" borderId="2" xfId="0" applyFont="1" applyBorder="1" applyAlignment="1">
      <alignment/>
    </xf>
    <xf numFmtId="173" fontId="3" fillId="0" borderId="2" xfId="20" applyFont="1" applyFill="1" applyBorder="1" applyAlignment="1">
      <alignment horizontal="left"/>
    </xf>
    <xf numFmtId="173" fontId="3" fillId="0" borderId="0" xfId="20" applyFont="1" applyFill="1" applyBorder="1" applyAlignment="1">
      <alignment horizontal="left"/>
    </xf>
    <xf numFmtId="173" fontId="3" fillId="0" borderId="5" xfId="20" applyFont="1" applyFill="1" applyBorder="1" applyAlignment="1">
      <alignment horizontal="left"/>
    </xf>
    <xf numFmtId="173" fontId="3" fillId="0" borderId="4" xfId="20" applyFont="1" applyFill="1" applyBorder="1" applyAlignment="1">
      <alignment/>
    </xf>
    <xf numFmtId="44" fontId="3" fillId="0" borderId="2" xfId="21" applyFont="1" applyFill="1" applyBorder="1" applyAlignment="1">
      <alignment horizontal="left"/>
    </xf>
    <xf numFmtId="44" fontId="3" fillId="0" borderId="0" xfId="21" applyFont="1" applyFill="1" applyBorder="1" applyAlignment="1">
      <alignment horizontal="left"/>
    </xf>
    <xf numFmtId="44" fontId="3" fillId="0" borderId="5" xfId="21" applyFont="1" applyFill="1" applyBorder="1" applyAlignment="1">
      <alignment horizontal="left"/>
    </xf>
    <xf numFmtId="44" fontId="3" fillId="0" borderId="4" xfId="21" applyFont="1" applyFill="1" applyBorder="1" applyAlignment="1">
      <alignment/>
    </xf>
    <xf numFmtId="173" fontId="8" fillId="0" borderId="2" xfId="20" applyFont="1" applyFill="1" applyBorder="1" applyAlignment="1">
      <alignment horizontal="left"/>
    </xf>
    <xf numFmtId="173" fontId="8" fillId="0" borderId="0" xfId="20" applyFont="1" applyFill="1" applyBorder="1" applyAlignment="1">
      <alignment horizontal="left"/>
    </xf>
    <xf numFmtId="44" fontId="8" fillId="0" borderId="2" xfId="21" applyFont="1" applyFill="1" applyBorder="1" applyAlignment="1">
      <alignment horizontal="left"/>
    </xf>
    <xf numFmtId="44" fontId="8" fillId="0" borderId="0" xfId="21" applyFont="1" applyFill="1" applyBorder="1" applyAlignment="1">
      <alignment horizontal="left"/>
    </xf>
    <xf numFmtId="44" fontId="8" fillId="0" borderId="5" xfId="21" applyFont="1" applyFill="1" applyBorder="1" applyAlignment="1">
      <alignment horizontal="left"/>
    </xf>
    <xf numFmtId="173" fontId="0" fillId="0" borderId="2" xfId="20" applyFont="1" applyFill="1" applyBorder="1" applyAlignment="1">
      <alignment/>
    </xf>
    <xf numFmtId="173" fontId="3" fillId="0" borderId="0" xfId="20" applyFont="1" applyFill="1" applyBorder="1" applyAlignment="1">
      <alignment/>
    </xf>
    <xf numFmtId="44" fontId="3" fillId="0" borderId="0" xfId="21" applyFont="1" applyFill="1" applyBorder="1" applyAlignment="1">
      <alignment/>
    </xf>
    <xf numFmtId="44" fontId="3" fillId="0" borderId="5" xfId="21" applyFont="1" applyBorder="1" applyAlignment="1">
      <alignment/>
    </xf>
    <xf numFmtId="44" fontId="3" fillId="0" borderId="0" xfId="21" applyFont="1" applyBorder="1" applyAlignment="1">
      <alignment/>
    </xf>
    <xf numFmtId="44" fontId="3" fillId="0" borderId="4" xfId="21" applyFont="1" applyBorder="1" applyAlignment="1">
      <alignment/>
    </xf>
    <xf numFmtId="44" fontId="3" fillId="0" borderId="2" xfId="21" applyFont="1" applyBorder="1" applyAlignment="1">
      <alignment/>
    </xf>
    <xf numFmtId="44" fontId="3" fillId="0" borderId="0" xfId="21" applyFont="1" applyAlignment="1">
      <alignment/>
    </xf>
    <xf numFmtId="172" fontId="8" fillId="0" borderId="2" xfId="23" applyNumberFormat="1" applyFont="1" applyFill="1" applyBorder="1" applyAlignment="1">
      <alignment/>
    </xf>
    <xf numFmtId="172" fontId="8" fillId="0" borderId="4" xfId="23" applyNumberFormat="1" applyFont="1" applyFill="1" applyBorder="1" applyAlignment="1">
      <alignment/>
    </xf>
    <xf numFmtId="172" fontId="3" fillId="0" borderId="2" xfId="23" applyNumberFormat="1" applyFont="1" applyFill="1" applyBorder="1" applyAlignment="1">
      <alignment/>
    </xf>
    <xf numFmtId="172" fontId="3" fillId="0" borderId="4" xfId="23" applyNumberFormat="1" applyFont="1" applyBorder="1" applyAlignment="1">
      <alignment/>
    </xf>
    <xf numFmtId="173" fontId="9" fillId="0" borderId="2" xfId="20" applyFont="1" applyFill="1" applyBorder="1" applyAlignment="1">
      <alignment/>
    </xf>
    <xf numFmtId="173" fontId="9" fillId="0" borderId="0" xfId="20" applyFont="1" applyFill="1" applyBorder="1" applyAlignment="1">
      <alignment/>
    </xf>
    <xf numFmtId="173" fontId="3" fillId="0" borderId="0" xfId="20" applyFont="1" applyFill="1" applyBorder="1" applyAlignment="1">
      <alignment/>
    </xf>
    <xf numFmtId="173" fontId="11" fillId="0" borderId="2" xfId="20" applyFont="1" applyFill="1" applyBorder="1" applyAlignment="1">
      <alignment/>
    </xf>
    <xf numFmtId="173" fontId="3" fillId="0" borderId="5" xfId="20" applyFont="1" applyBorder="1" applyAlignment="1">
      <alignment/>
    </xf>
    <xf numFmtId="173" fontId="3" fillId="0" borderId="0" xfId="20" applyFont="1" applyBorder="1" applyAlignment="1">
      <alignment/>
    </xf>
    <xf numFmtId="173" fontId="8" fillId="0" borderId="4" xfId="20" applyFont="1" applyBorder="1" applyAlignment="1">
      <alignment/>
    </xf>
    <xf numFmtId="173" fontId="3" fillId="0" borderId="2" xfId="20" applyFont="1" applyBorder="1" applyAlignment="1">
      <alignment/>
    </xf>
    <xf numFmtId="0" fontId="0" fillId="0" borderId="0" xfId="0" applyFill="1" applyAlignment="1">
      <alignment/>
    </xf>
    <xf numFmtId="173" fontId="0" fillId="2" borderId="2" xfId="20" applyFont="1" applyFill="1" applyBorder="1" applyAlignment="1">
      <alignment/>
    </xf>
    <xf numFmtId="173" fontId="3" fillId="2" borderId="0" xfId="20" applyFont="1" applyFill="1" applyBorder="1" applyAlignment="1">
      <alignment/>
    </xf>
    <xf numFmtId="44" fontId="8" fillId="2" borderId="0" xfId="21" applyFont="1" applyFill="1" applyBorder="1" applyAlignment="1">
      <alignment/>
    </xf>
    <xf numFmtId="44" fontId="8" fillId="2" borderId="5" xfId="21" applyFont="1" applyFill="1" applyBorder="1" applyAlignment="1">
      <alignment/>
    </xf>
    <xf numFmtId="173" fontId="3" fillId="0" borderId="4" xfId="20" applyFont="1" applyBorder="1" applyAlignment="1">
      <alignment/>
    </xf>
    <xf numFmtId="44" fontId="0" fillId="0" borderId="0" xfId="21" applyAlignment="1">
      <alignment/>
    </xf>
    <xf numFmtId="44" fontId="0" fillId="0" borderId="5" xfId="21" applyBorder="1" applyAlignment="1">
      <alignment/>
    </xf>
    <xf numFmtId="173" fontId="12" fillId="2" borderId="2" xfId="20" applyFont="1" applyFill="1" applyBorder="1" applyAlignment="1">
      <alignment/>
    </xf>
    <xf numFmtId="173" fontId="8" fillId="2" borderId="0" xfId="20" applyFont="1" applyFill="1" applyBorder="1" applyAlignment="1">
      <alignment/>
    </xf>
    <xf numFmtId="176" fontId="0" fillId="0" borderId="2" xfId="20" applyNumberFormat="1" applyFont="1" applyFill="1" applyBorder="1" applyAlignment="1">
      <alignment/>
    </xf>
    <xf numFmtId="44" fontId="9" fillId="0" borderId="2" xfId="21" applyFont="1" applyBorder="1" applyAlignment="1">
      <alignment/>
    </xf>
    <xf numFmtId="44" fontId="8" fillId="0" borderId="4" xfId="21" applyFont="1" applyBorder="1" applyAlignment="1">
      <alignment/>
    </xf>
    <xf numFmtId="44" fontId="8" fillId="0" borderId="5" xfId="21" applyFont="1" applyBorder="1" applyAlignment="1">
      <alignment/>
    </xf>
    <xf numFmtId="44" fontId="8" fillId="0" borderId="0" xfId="21" applyFont="1" applyBorder="1" applyAlignment="1">
      <alignment/>
    </xf>
    <xf numFmtId="173" fontId="8" fillId="0" borderId="2" xfId="20" applyFont="1" applyFill="1" applyBorder="1" applyAlignment="1">
      <alignment/>
    </xf>
    <xf numFmtId="44" fontId="3" fillId="0" borderId="0" xfId="21" applyFont="1" applyFill="1" applyBorder="1" applyAlignment="1">
      <alignment/>
    </xf>
    <xf numFmtId="44" fontId="3" fillId="0" borderId="5" xfId="21" applyFont="1" applyBorder="1" applyAlignment="1">
      <alignment/>
    </xf>
    <xf numFmtId="44" fontId="3" fillId="0" borderId="0" xfId="21" applyFont="1" applyBorder="1" applyAlignment="1">
      <alignment/>
    </xf>
    <xf numFmtId="0" fontId="8" fillId="0" borderId="0" xfId="0" applyFont="1" applyFill="1" applyBorder="1" applyAlignment="1">
      <alignment/>
    </xf>
    <xf numFmtId="44" fontId="8" fillId="0" borderId="0" xfId="21" applyFont="1" applyFill="1" applyBorder="1" applyAlignment="1">
      <alignment/>
    </xf>
    <xf numFmtId="44" fontId="8" fillId="0" borderId="5" xfId="21" applyFont="1" applyBorder="1" applyAlignment="1">
      <alignment/>
    </xf>
    <xf numFmtId="44" fontId="8" fillId="0" borderId="0" xfId="21" applyFont="1" applyBorder="1" applyAlignment="1">
      <alignment/>
    </xf>
    <xf numFmtId="44" fontId="8" fillId="0" borderId="2" xfId="21" applyFont="1" applyBorder="1" applyAlignment="1">
      <alignment/>
    </xf>
    <xf numFmtId="0" fontId="7" fillId="2" borderId="2" xfId="0" applyFont="1" applyFill="1" applyBorder="1" applyAlignment="1">
      <alignment/>
    </xf>
    <xf numFmtId="44" fontId="7" fillId="2" borderId="2" xfId="2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4" fontId="0" fillId="2" borderId="2" xfId="21" applyFont="1" applyFill="1" applyBorder="1" applyAlignment="1">
      <alignment/>
    </xf>
    <xf numFmtId="44" fontId="0" fillId="2" borderId="0" xfId="21" applyFont="1" applyFill="1" applyBorder="1" applyAlignment="1">
      <alignment/>
    </xf>
    <xf numFmtId="44" fontId="7" fillId="2" borderId="4" xfId="21" applyFont="1" applyFill="1" applyBorder="1" applyAlignment="1">
      <alignment/>
    </xf>
    <xf numFmtId="44" fontId="0" fillId="2" borderId="5" xfId="21" applyFont="1" applyFill="1" applyBorder="1" applyAlignment="1">
      <alignment/>
    </xf>
    <xf numFmtId="0" fontId="7" fillId="3" borderId="1" xfId="0" applyFont="1" applyFill="1" applyBorder="1" applyAlignment="1">
      <alignment/>
    </xf>
    <xf numFmtId="44" fontId="7" fillId="3" borderId="1" xfId="2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44" fontId="0" fillId="3" borderId="1" xfId="21" applyFont="1" applyFill="1" applyBorder="1" applyAlignment="1">
      <alignment/>
    </xf>
    <xf numFmtId="44" fontId="0" fillId="3" borderId="11" xfId="21" applyFont="1" applyFill="1" applyBorder="1" applyAlignment="1">
      <alignment/>
    </xf>
    <xf numFmtId="44" fontId="7" fillId="3" borderId="12" xfId="21" applyFont="1" applyFill="1" applyBorder="1" applyAlignment="1">
      <alignment/>
    </xf>
    <xf numFmtId="44" fontId="0" fillId="3" borderId="10" xfId="2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7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9" fontId="0" fillId="0" borderId="0" xfId="24" applyAlignment="1">
      <alignment/>
    </xf>
    <xf numFmtId="184" fontId="0" fillId="0" borderId="0" xfId="0" applyNumberFormat="1" applyAlignment="1">
      <alignment/>
    </xf>
    <xf numFmtId="0" fontId="14" fillId="0" borderId="0" xfId="0" applyFont="1" applyAlignment="1">
      <alignment/>
    </xf>
    <xf numFmtId="44" fontId="14" fillId="0" borderId="0" xfId="0" applyNumberFormat="1" applyFont="1" applyAlignment="1">
      <alignment/>
    </xf>
    <xf numFmtId="171" fontId="14" fillId="0" borderId="0" xfId="0" applyNumberFormat="1" applyFont="1" applyAlignment="1">
      <alignment/>
    </xf>
    <xf numFmtId="0" fontId="0" fillId="4" borderId="0" xfId="0" applyFill="1" applyAlignment="1">
      <alignment/>
    </xf>
    <xf numFmtId="183" fontId="0" fillId="4" borderId="0" xfId="24" applyNumberFormat="1" applyFill="1" applyAlignment="1">
      <alignment/>
    </xf>
    <xf numFmtId="181" fontId="0" fillId="4" borderId="0" xfId="0" applyNumberFormat="1" applyFill="1" applyAlignment="1">
      <alignment/>
    </xf>
    <xf numFmtId="8" fontId="0" fillId="0" borderId="0" xfId="0" applyNumberFormat="1" applyAlignment="1">
      <alignment/>
    </xf>
    <xf numFmtId="9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0" fillId="0" borderId="1" xfId="0" applyBorder="1" applyAlignment="1">
      <alignment horizontal="center"/>
    </xf>
    <xf numFmtId="18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85" fontId="0" fillId="0" borderId="0" xfId="0" applyNumberForma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76" fontId="8" fillId="0" borderId="0" xfId="20" applyNumberFormat="1" applyFont="1" applyBorder="1" applyAlignment="1">
      <alignment/>
    </xf>
    <xf numFmtId="176" fontId="3" fillId="0" borderId="1" xfId="20" applyNumberFormat="1" applyFont="1" applyBorder="1" applyAlignment="1">
      <alignment horizontal="center"/>
    </xf>
    <xf numFmtId="173" fontId="3" fillId="0" borderId="1" xfId="20" applyFont="1" applyBorder="1" applyAlignment="1">
      <alignment horizontal="center"/>
    </xf>
    <xf numFmtId="0" fontId="3" fillId="0" borderId="1" xfId="0" applyFont="1" applyBorder="1" applyAlignment="1">
      <alignment/>
    </xf>
    <xf numFmtId="176" fontId="3" fillId="0" borderId="8" xfId="20" applyNumberFormat="1" applyFont="1" applyBorder="1" applyAlignment="1">
      <alignment/>
    </xf>
    <xf numFmtId="176" fontId="3" fillId="0" borderId="1" xfId="20" applyNumberFormat="1" applyFont="1" applyBorder="1" applyAlignment="1">
      <alignment/>
    </xf>
    <xf numFmtId="173" fontId="3" fillId="0" borderId="1" xfId="20" applyFont="1" applyBorder="1" applyAlignment="1">
      <alignment/>
    </xf>
    <xf numFmtId="176" fontId="3" fillId="0" borderId="11" xfId="20" applyNumberFormat="1" applyFont="1" applyBorder="1" applyAlignment="1">
      <alignment/>
    </xf>
    <xf numFmtId="176" fontId="3" fillId="0" borderId="13" xfId="20" applyNumberFormat="1" applyFont="1" applyBorder="1" applyAlignment="1">
      <alignment/>
    </xf>
    <xf numFmtId="176" fontId="3" fillId="0" borderId="3" xfId="20" applyNumberFormat="1" applyFont="1" applyBorder="1" applyAlignment="1">
      <alignment/>
    </xf>
    <xf numFmtId="173" fontId="3" fillId="0" borderId="3" xfId="20" applyFont="1" applyBorder="1" applyAlignment="1">
      <alignment/>
    </xf>
    <xf numFmtId="0" fontId="3" fillId="0" borderId="3" xfId="0" applyFont="1" applyBorder="1" applyAlignment="1">
      <alignment/>
    </xf>
    <xf numFmtId="176" fontId="8" fillId="0" borderId="1" xfId="0" applyNumberFormat="1" applyFont="1" applyBorder="1" applyAlignment="1">
      <alignment/>
    </xf>
    <xf numFmtId="173" fontId="8" fillId="0" borderId="1" xfId="20" applyFont="1" applyBorder="1" applyAlignment="1">
      <alignment/>
    </xf>
    <xf numFmtId="0" fontId="8" fillId="0" borderId="1" xfId="0" applyFont="1" applyBorder="1" applyAlignment="1">
      <alignment/>
    </xf>
    <xf numFmtId="173" fontId="3" fillId="0" borderId="0" xfId="20" applyFont="1" applyAlignment="1">
      <alignment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6" fontId="6" fillId="0" borderId="4" xfId="20" applyNumberFormat="1" applyFont="1" applyFill="1" applyBorder="1" applyAlignment="1">
      <alignment/>
    </xf>
    <xf numFmtId="176" fontId="6" fillId="0" borderId="3" xfId="20" applyNumberFormat="1" applyFont="1" applyFill="1" applyBorder="1" applyAlignment="1">
      <alignment horizontal="center"/>
    </xf>
    <xf numFmtId="173" fontId="6" fillId="0" borderId="5" xfId="20" applyFont="1" applyFill="1" applyBorder="1" applyAlignment="1">
      <alignment horizontal="center"/>
    </xf>
    <xf numFmtId="176" fontId="6" fillId="0" borderId="0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4" xfId="2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6" fontId="18" fillId="0" borderId="4" xfId="20" applyNumberFormat="1" applyFont="1" applyFill="1" applyBorder="1" applyAlignment="1">
      <alignment/>
    </xf>
    <xf numFmtId="172" fontId="18" fillId="0" borderId="2" xfId="0" applyNumberFormat="1" applyFont="1" applyFill="1" applyBorder="1" applyAlignment="1">
      <alignment/>
    </xf>
    <xf numFmtId="176" fontId="18" fillId="0" borderId="2" xfId="20" applyNumberFormat="1" applyFont="1" applyFill="1" applyBorder="1" applyAlignment="1">
      <alignment/>
    </xf>
    <xf numFmtId="172" fontId="18" fillId="0" borderId="5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6" fontId="18" fillId="0" borderId="2" xfId="0" applyNumberFormat="1" applyFont="1" applyFill="1" applyBorder="1" applyAlignment="1">
      <alignment horizontal="right"/>
    </xf>
    <xf numFmtId="44" fontId="18" fillId="0" borderId="4" xfId="21" applyFont="1" applyFill="1" applyBorder="1" applyAlignment="1">
      <alignment/>
    </xf>
    <xf numFmtId="0" fontId="18" fillId="0" borderId="2" xfId="0" applyFont="1" applyFill="1" applyBorder="1" applyAlignment="1">
      <alignment/>
    </xf>
    <xf numFmtId="44" fontId="18" fillId="0" borderId="0" xfId="21" applyFont="1" applyFill="1" applyBorder="1" applyAlignment="1">
      <alignment/>
    </xf>
    <xf numFmtId="176" fontId="18" fillId="0" borderId="6" xfId="2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172" fontId="18" fillId="0" borderId="8" xfId="0" applyNumberFormat="1" applyFont="1" applyFill="1" applyBorder="1" applyAlignment="1">
      <alignment/>
    </xf>
    <xf numFmtId="176" fontId="18" fillId="0" borderId="6" xfId="0" applyNumberFormat="1" applyFont="1" applyFill="1" applyBorder="1" applyAlignment="1">
      <alignment horizontal="right"/>
    </xf>
    <xf numFmtId="44" fontId="18" fillId="0" borderId="9" xfId="21" applyFont="1" applyFill="1" applyBorder="1" applyAlignment="1">
      <alignment/>
    </xf>
    <xf numFmtId="0" fontId="18" fillId="0" borderId="6" xfId="0" applyFont="1" applyFill="1" applyBorder="1" applyAlignment="1">
      <alignment/>
    </xf>
    <xf numFmtId="176" fontId="6" fillId="0" borderId="4" xfId="2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172" fontId="6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3" fontId="18" fillId="0" borderId="5" xfId="20" applyFont="1" applyFill="1" applyBorder="1" applyAlignment="1">
      <alignment/>
    </xf>
    <xf numFmtId="0" fontId="18" fillId="0" borderId="5" xfId="0" applyFont="1" applyFill="1" applyBorder="1" applyAlignment="1">
      <alignment/>
    </xf>
    <xf numFmtId="176" fontId="12" fillId="0" borderId="4" xfId="20" applyNumberFormat="1" applyFont="1" applyFill="1" applyBorder="1" applyAlignment="1">
      <alignment/>
    </xf>
    <xf numFmtId="173" fontId="6" fillId="0" borderId="5" xfId="2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176" fontId="18" fillId="0" borderId="4" xfId="20" applyNumberFormat="1" applyFont="1" applyFill="1" applyBorder="1" applyAlignment="1">
      <alignment/>
    </xf>
    <xf numFmtId="173" fontId="18" fillId="0" borderId="0" xfId="20" applyFont="1" applyFill="1" applyBorder="1" applyAlignment="1">
      <alignment/>
    </xf>
    <xf numFmtId="173" fontId="18" fillId="0" borderId="4" xfId="2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173" fontId="18" fillId="0" borderId="8" xfId="20" applyFont="1" applyFill="1" applyBorder="1" applyAlignment="1">
      <alignment/>
    </xf>
    <xf numFmtId="173" fontId="18" fillId="0" borderId="9" xfId="20" applyFont="1" applyFill="1" applyBorder="1" applyAlignment="1">
      <alignment/>
    </xf>
    <xf numFmtId="2" fontId="18" fillId="0" borderId="8" xfId="0" applyNumberFormat="1" applyFont="1" applyFill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173" fontId="6" fillId="0" borderId="0" xfId="20" applyFont="1" applyFill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9" fillId="3" borderId="4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172" fontId="6" fillId="3" borderId="5" xfId="0" applyNumberFormat="1" applyFont="1" applyFill="1" applyBorder="1" applyAlignment="1">
      <alignment/>
    </xf>
    <xf numFmtId="173" fontId="6" fillId="3" borderId="0" xfId="20" applyFont="1" applyFill="1" applyBorder="1" applyAlignment="1">
      <alignment/>
    </xf>
    <xf numFmtId="172" fontId="6" fillId="3" borderId="0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6" fillId="0" borderId="4" xfId="0" applyFont="1" applyFill="1" applyBorder="1" applyAlignment="1">
      <alignment horizontal="center"/>
    </xf>
    <xf numFmtId="176" fontId="20" fillId="0" borderId="4" xfId="20" applyNumberFormat="1" applyFont="1" applyFill="1" applyBorder="1" applyAlignment="1">
      <alignment horizontal="left" wrapText="1"/>
    </xf>
    <xf numFmtId="176" fontId="6" fillId="0" borderId="0" xfId="20" applyNumberFormat="1" applyFont="1" applyFill="1" applyBorder="1" applyAlignment="1">
      <alignment horizontal="left"/>
    </xf>
    <xf numFmtId="176" fontId="6" fillId="0" borderId="5" xfId="20" applyNumberFormat="1" applyFont="1" applyFill="1" applyBorder="1" applyAlignment="1">
      <alignment horizontal="center"/>
    </xf>
    <xf numFmtId="176" fontId="18" fillId="0" borderId="0" xfId="20" applyNumberFormat="1" applyFont="1" applyFill="1" applyBorder="1" applyAlignment="1">
      <alignment/>
    </xf>
    <xf numFmtId="176" fontId="18" fillId="0" borderId="5" xfId="20" applyNumberFormat="1" applyFont="1" applyFill="1" applyBorder="1" applyAlignment="1">
      <alignment/>
    </xf>
    <xf numFmtId="176" fontId="18" fillId="0" borderId="4" xfId="20" applyNumberFormat="1" applyFont="1" applyBorder="1" applyAlignment="1">
      <alignment/>
    </xf>
    <xf numFmtId="176" fontId="18" fillId="0" borderId="4" xfId="20" applyNumberFormat="1" applyFont="1" applyBorder="1" applyAlignment="1">
      <alignment/>
    </xf>
    <xf numFmtId="176" fontId="18" fillId="0" borderId="2" xfId="20" applyNumberFormat="1" applyFont="1" applyFill="1" applyBorder="1" applyAlignment="1">
      <alignment horizontal="left"/>
    </xf>
    <xf numFmtId="44" fontId="18" fillId="0" borderId="5" xfId="21" applyFont="1" applyFill="1" applyBorder="1" applyAlignment="1">
      <alignment horizontal="center"/>
    </xf>
    <xf numFmtId="44" fontId="18" fillId="0" borderId="5" xfId="21" applyFont="1" applyFill="1" applyBorder="1" applyAlignment="1">
      <alignment/>
    </xf>
    <xf numFmtId="172" fontId="18" fillId="0" borderId="5" xfId="23" applyFont="1" applyBorder="1" applyAlignment="1">
      <alignment/>
    </xf>
    <xf numFmtId="176" fontId="18" fillId="0" borderId="2" xfId="20" applyNumberFormat="1" applyFont="1" applyBorder="1" applyAlignment="1">
      <alignment/>
    </xf>
    <xf numFmtId="176" fontId="3" fillId="0" borderId="0" xfId="20" applyNumberFormat="1" applyFont="1" applyBorder="1" applyAlignment="1">
      <alignment/>
    </xf>
    <xf numFmtId="173" fontId="18" fillId="0" borderId="0" xfId="20" applyFont="1" applyBorder="1" applyAlignment="1">
      <alignment/>
    </xf>
    <xf numFmtId="172" fontId="18" fillId="0" borderId="0" xfId="23" applyFont="1" applyBorder="1" applyAlignment="1">
      <alignment/>
    </xf>
    <xf numFmtId="172" fontId="18" fillId="0" borderId="4" xfId="23" applyFont="1" applyBorder="1" applyAlignment="1">
      <alignment/>
    </xf>
    <xf numFmtId="176" fontId="18" fillId="0" borderId="2" xfId="20" applyNumberFormat="1" applyFont="1" applyBorder="1" applyAlignment="1">
      <alignment horizontal="center"/>
    </xf>
    <xf numFmtId="176" fontId="20" fillId="2" borderId="4" xfId="20" applyNumberFormat="1" applyFont="1" applyFill="1" applyBorder="1" applyAlignment="1">
      <alignment/>
    </xf>
    <xf numFmtId="176" fontId="12" fillId="2" borderId="4" xfId="2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72" fontId="6" fillId="2" borderId="2" xfId="23" applyFont="1" applyFill="1" applyBorder="1" applyAlignment="1">
      <alignment/>
    </xf>
    <xf numFmtId="172" fontId="6" fillId="2" borderId="0" xfId="23" applyFont="1" applyFill="1" applyBorder="1" applyAlignment="1">
      <alignment/>
    </xf>
    <xf numFmtId="172" fontId="6" fillId="2" borderId="5" xfId="23" applyFont="1" applyFill="1" applyBorder="1" applyAlignment="1">
      <alignment/>
    </xf>
    <xf numFmtId="172" fontId="6" fillId="2" borderId="4" xfId="23" applyFont="1" applyFill="1" applyBorder="1" applyAlignment="1">
      <alignment/>
    </xf>
    <xf numFmtId="176" fontId="8" fillId="0" borderId="0" xfId="20" applyNumberFormat="1" applyFont="1" applyFill="1" applyBorder="1" applyAlignment="1">
      <alignment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/>
    </xf>
    <xf numFmtId="173" fontId="18" fillId="0" borderId="5" xfId="20" applyFont="1" applyBorder="1" applyAlignment="1">
      <alignment/>
    </xf>
    <xf numFmtId="0" fontId="18" fillId="0" borderId="5" xfId="0" applyFont="1" applyBorder="1" applyAlignment="1">
      <alignment/>
    </xf>
    <xf numFmtId="0" fontId="3" fillId="0" borderId="0" xfId="0" applyFont="1" applyAlignment="1">
      <alignment/>
    </xf>
    <xf numFmtId="176" fontId="20" fillId="0" borderId="4" xfId="20" applyNumberFormat="1" applyFont="1" applyFill="1" applyBorder="1" applyAlignment="1">
      <alignment/>
    </xf>
    <xf numFmtId="173" fontId="20" fillId="0" borderId="4" xfId="20" applyFont="1" applyFill="1" applyBorder="1" applyAlignment="1">
      <alignment/>
    </xf>
    <xf numFmtId="173" fontId="6" fillId="0" borderId="4" xfId="20" applyFont="1" applyFill="1" applyBorder="1" applyAlignment="1">
      <alignment/>
    </xf>
    <xf numFmtId="173" fontId="18" fillId="0" borderId="0" xfId="20" applyFont="1" applyFill="1" applyBorder="1" applyAlignment="1">
      <alignment horizontal="left"/>
    </xf>
    <xf numFmtId="172" fontId="18" fillId="0" borderId="5" xfId="23" applyNumberFormat="1" applyFont="1" applyBorder="1" applyAlignment="1">
      <alignment/>
    </xf>
    <xf numFmtId="172" fontId="18" fillId="0" borderId="0" xfId="23" applyNumberFormat="1" applyFont="1" applyBorder="1" applyAlignment="1">
      <alignment/>
    </xf>
    <xf numFmtId="173" fontId="18" fillId="0" borderId="4" xfId="20" applyFont="1" applyFill="1" applyBorder="1" applyAlignment="1">
      <alignment horizontal="left"/>
    </xf>
    <xf numFmtId="173" fontId="18" fillId="0" borderId="4" xfId="20" applyFont="1" applyFill="1" applyBorder="1" applyAlignment="1">
      <alignment/>
    </xf>
    <xf numFmtId="172" fontId="18" fillId="0" borderId="0" xfId="23" applyNumberFormat="1" applyFont="1" applyFill="1" applyBorder="1" applyAlignment="1">
      <alignment/>
    </xf>
    <xf numFmtId="173" fontId="20" fillId="2" borderId="4" xfId="20" applyFont="1" applyFill="1" applyBorder="1" applyAlignment="1">
      <alignment/>
    </xf>
    <xf numFmtId="173" fontId="6" fillId="2" borderId="4" xfId="20" applyFont="1" applyFill="1" applyBorder="1" applyAlignment="1">
      <alignment/>
    </xf>
    <xf numFmtId="173" fontId="6" fillId="2" borderId="0" xfId="20" applyFont="1" applyFill="1" applyBorder="1" applyAlignment="1">
      <alignment horizontal="left"/>
    </xf>
    <xf numFmtId="172" fontId="6" fillId="2" borderId="5" xfId="23" applyNumberFormat="1" applyFont="1" applyFill="1" applyBorder="1" applyAlignment="1">
      <alignment/>
    </xf>
    <xf numFmtId="172" fontId="6" fillId="2" borderId="0" xfId="23" applyNumberFormat="1" applyFont="1" applyFill="1" applyBorder="1" applyAlignment="1">
      <alignment/>
    </xf>
    <xf numFmtId="173" fontId="18" fillId="2" borderId="4" xfId="20" applyFont="1" applyFill="1" applyBorder="1" applyAlignment="1">
      <alignment horizontal="left"/>
    </xf>
    <xf numFmtId="173" fontId="18" fillId="2" borderId="0" xfId="20" applyFont="1" applyFill="1" applyBorder="1" applyAlignment="1">
      <alignment horizontal="left"/>
    </xf>
    <xf numFmtId="173" fontId="6" fillId="2" borderId="4" xfId="20" applyFont="1" applyFill="1" applyBorder="1" applyAlignment="1">
      <alignment horizontal="left"/>
    </xf>
    <xf numFmtId="173" fontId="6" fillId="0" borderId="4" xfId="20" applyFont="1" applyFill="1" applyBorder="1" applyAlignment="1">
      <alignment/>
    </xf>
    <xf numFmtId="173" fontId="6" fillId="0" borderId="0" xfId="20" applyFont="1" applyFill="1" applyBorder="1" applyAlignment="1">
      <alignment horizontal="left"/>
    </xf>
    <xf numFmtId="173" fontId="6" fillId="0" borderId="4" xfId="20" applyFont="1" applyFill="1" applyBorder="1" applyAlignment="1">
      <alignment horizontal="left"/>
    </xf>
    <xf numFmtId="173" fontId="3" fillId="0" borderId="0" xfId="20" applyFont="1" applyFill="1" applyAlignment="1">
      <alignment/>
    </xf>
    <xf numFmtId="173" fontId="3" fillId="0" borderId="0" xfId="20" applyFont="1" applyAlignment="1">
      <alignment/>
    </xf>
    <xf numFmtId="173" fontId="20" fillId="0" borderId="4" xfId="20" applyFont="1" applyFill="1" applyBorder="1" applyAlignment="1">
      <alignment/>
    </xf>
    <xf numFmtId="172" fontId="6" fillId="2" borderId="5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18" fillId="0" borderId="4" xfId="23" applyNumberFormat="1" applyFont="1" applyBorder="1" applyAlignment="1">
      <alignment/>
    </xf>
    <xf numFmtId="176" fontId="20" fillId="0" borderId="4" xfId="20" applyNumberFormat="1" applyFont="1" applyFill="1" applyBorder="1" applyAlignment="1">
      <alignment/>
    </xf>
    <xf numFmtId="172" fontId="6" fillId="0" borderId="5" xfId="23" applyNumberFormat="1" applyFont="1" applyBorder="1" applyAlignment="1">
      <alignment/>
    </xf>
    <xf numFmtId="172" fontId="6" fillId="0" borderId="0" xfId="23" applyNumberFormat="1" applyFont="1" applyBorder="1" applyAlignment="1">
      <alignment/>
    </xf>
    <xf numFmtId="0" fontId="21" fillId="0" borderId="0" xfId="0" applyFont="1" applyBorder="1" applyAlignment="1">
      <alignment/>
    </xf>
    <xf numFmtId="172" fontId="2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6" fillId="0" borderId="4" xfId="0" applyNumberFormat="1" applyFont="1" applyFill="1" applyBorder="1" applyAlignment="1">
      <alignment/>
    </xf>
    <xf numFmtId="176" fontId="12" fillId="0" borderId="4" xfId="20" applyNumberFormat="1" applyFont="1" applyFill="1" applyBorder="1" applyAlignment="1">
      <alignment/>
    </xf>
    <xf numFmtId="176" fontId="20" fillId="2" borderId="4" xfId="2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172" fontId="6" fillId="2" borderId="4" xfId="0" applyNumberFormat="1" applyFont="1" applyFill="1" applyBorder="1" applyAlignment="1">
      <alignment/>
    </xf>
    <xf numFmtId="171" fontId="18" fillId="0" borderId="5" xfId="20" applyNumberFormat="1" applyFont="1" applyBorder="1" applyAlignment="1">
      <alignment/>
    </xf>
    <xf numFmtId="0" fontId="18" fillId="0" borderId="0" xfId="0" applyFont="1" applyAlignment="1">
      <alignment/>
    </xf>
    <xf numFmtId="0" fontId="19" fillId="3" borderId="4" xfId="0" applyFont="1" applyFill="1" applyBorder="1" applyAlignment="1">
      <alignment/>
    </xf>
    <xf numFmtId="44" fontId="6" fillId="3" borderId="5" xfId="21" applyFont="1" applyFill="1" applyBorder="1" applyAlignment="1">
      <alignment/>
    </xf>
    <xf numFmtId="44" fontId="6" fillId="3" borderId="0" xfId="21" applyFont="1" applyFill="1" applyBorder="1" applyAlignment="1">
      <alignment/>
    </xf>
    <xf numFmtId="44" fontId="6" fillId="3" borderId="4" xfId="2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44" fontId="6" fillId="0" borderId="5" xfId="21" applyFont="1" applyBorder="1" applyAlignment="1">
      <alignment/>
    </xf>
    <xf numFmtId="44" fontId="6" fillId="0" borderId="0" xfId="21" applyFont="1" applyBorder="1" applyAlignment="1">
      <alignment/>
    </xf>
    <xf numFmtId="44" fontId="6" fillId="0" borderId="4" xfId="2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4" fontId="18" fillId="0" borderId="5" xfId="21" applyFont="1" applyBorder="1" applyAlignment="1">
      <alignment/>
    </xf>
    <xf numFmtId="44" fontId="18" fillId="0" borderId="0" xfId="21" applyFont="1" applyBorder="1" applyAlignment="1">
      <alignment/>
    </xf>
    <xf numFmtId="44" fontId="18" fillId="0" borderId="4" xfId="21" applyFont="1" applyBorder="1" applyAlignment="1">
      <alignment/>
    </xf>
    <xf numFmtId="173" fontId="18" fillId="0" borderId="0" xfId="0" applyNumberFormat="1" applyFont="1" applyAlignment="1">
      <alignment/>
    </xf>
    <xf numFmtId="0" fontId="17" fillId="5" borderId="12" xfId="0" applyFont="1" applyFill="1" applyBorder="1" applyAlignment="1">
      <alignment/>
    </xf>
    <xf numFmtId="44" fontId="22" fillId="5" borderId="12" xfId="0" applyNumberFormat="1" applyFont="1" applyFill="1" applyBorder="1" applyAlignment="1">
      <alignment/>
    </xf>
    <xf numFmtId="0" fontId="23" fillId="5" borderId="11" xfId="0" applyFont="1" applyFill="1" applyBorder="1" applyAlignment="1">
      <alignment/>
    </xf>
    <xf numFmtId="44" fontId="23" fillId="5" borderId="10" xfId="21" applyFont="1" applyFill="1" applyBorder="1" applyAlignment="1">
      <alignment/>
    </xf>
    <xf numFmtId="44" fontId="23" fillId="5" borderId="11" xfId="21" applyFont="1" applyFill="1" applyBorder="1" applyAlignment="1">
      <alignment/>
    </xf>
    <xf numFmtId="44" fontId="17" fillId="5" borderId="11" xfId="21" applyFont="1" applyFill="1" applyBorder="1" applyAlignment="1">
      <alignment/>
    </xf>
    <xf numFmtId="44" fontId="17" fillId="5" borderId="12" xfId="21" applyFont="1" applyFill="1" applyBorder="1" applyAlignment="1">
      <alignment/>
    </xf>
    <xf numFmtId="44" fontId="17" fillId="5" borderId="10" xfId="2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5" fontId="23" fillId="0" borderId="0" xfId="20" applyNumberFormat="1" applyFont="1" applyFill="1" applyBorder="1" applyAlignment="1">
      <alignment/>
    </xf>
    <xf numFmtId="173" fontId="17" fillId="0" borderId="0" xfId="20" applyFont="1" applyFill="1" applyBorder="1" applyAlignment="1">
      <alignment/>
    </xf>
    <xf numFmtId="0" fontId="24" fillId="0" borderId="0" xfId="0" applyFont="1" applyBorder="1" applyAlignment="1">
      <alignment/>
    </xf>
    <xf numFmtId="173" fontId="24" fillId="0" borderId="0" xfId="2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10" fontId="24" fillId="0" borderId="0" xfId="24" applyNumberFormat="1" applyFont="1" applyBorder="1" applyAlignment="1">
      <alignment/>
    </xf>
    <xf numFmtId="0" fontId="24" fillId="0" borderId="0" xfId="0" applyFont="1" applyAlignment="1">
      <alignment/>
    </xf>
    <xf numFmtId="10" fontId="24" fillId="0" borderId="0" xfId="24" applyNumberFormat="1" applyFont="1" applyAlignment="1">
      <alignment/>
    </xf>
    <xf numFmtId="171" fontId="24" fillId="0" borderId="0" xfId="0" applyNumberFormat="1" applyFont="1" applyAlignment="1">
      <alignment/>
    </xf>
    <xf numFmtId="173" fontId="24" fillId="0" borderId="0" xfId="20" applyFont="1" applyAlignment="1">
      <alignment/>
    </xf>
    <xf numFmtId="173" fontId="24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173" fontId="18" fillId="0" borderId="0" xfId="2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3" fontId="15" fillId="0" borderId="0" xfId="20" applyFont="1" applyAlignment="1">
      <alignment/>
    </xf>
    <xf numFmtId="0" fontId="0" fillId="0" borderId="4" xfId="0" applyBorder="1" applyAlignment="1">
      <alignment/>
    </xf>
    <xf numFmtId="173" fontId="0" fillId="0" borderId="0" xfId="20" applyBorder="1" applyAlignment="1">
      <alignment/>
    </xf>
    <xf numFmtId="173" fontId="0" fillId="0" borderId="5" xfId="20" applyBorder="1" applyAlignment="1">
      <alignment/>
    </xf>
    <xf numFmtId="173" fontId="0" fillId="0" borderId="0" xfId="20" applyAlignment="1">
      <alignment/>
    </xf>
    <xf numFmtId="0" fontId="25" fillId="0" borderId="4" xfId="0" applyFont="1" applyBorder="1" applyAlignment="1">
      <alignment/>
    </xf>
    <xf numFmtId="173" fontId="7" fillId="0" borderId="0" xfId="20" applyFont="1" applyBorder="1" applyAlignment="1">
      <alignment/>
    </xf>
    <xf numFmtId="173" fontId="7" fillId="0" borderId="5" xfId="20" applyFont="1" applyBorder="1" applyAlignment="1">
      <alignment/>
    </xf>
    <xf numFmtId="173" fontId="7" fillId="0" borderId="0" xfId="20" applyFont="1" applyAlignment="1">
      <alignment/>
    </xf>
    <xf numFmtId="0" fontId="7" fillId="0" borderId="4" xfId="0" applyFont="1" applyBorder="1" applyAlignment="1">
      <alignment/>
    </xf>
    <xf numFmtId="0" fontId="26" fillId="0" borderId="4" xfId="0" applyFont="1" applyBorder="1" applyAlignment="1">
      <alignment/>
    </xf>
    <xf numFmtId="0" fontId="0" fillId="0" borderId="4" xfId="0" applyFont="1" applyBorder="1" applyAlignment="1">
      <alignment/>
    </xf>
    <xf numFmtId="44" fontId="0" fillId="0" borderId="0" xfId="21" applyBorder="1" applyAlignment="1">
      <alignment/>
    </xf>
    <xf numFmtId="0" fontId="0" fillId="0" borderId="4" xfId="0" applyFont="1" applyFill="1" applyBorder="1" applyAlignment="1">
      <alignment/>
    </xf>
    <xf numFmtId="44" fontId="0" fillId="0" borderId="8" xfId="21" applyFill="1" applyBorder="1" applyAlignment="1">
      <alignment/>
    </xf>
    <xf numFmtId="44" fontId="0" fillId="0" borderId="14" xfId="21" applyBorder="1" applyAlignment="1">
      <alignment/>
    </xf>
    <xf numFmtId="0" fontId="7" fillId="0" borderId="4" xfId="0" applyFont="1" applyFill="1" applyBorder="1" applyAlignment="1">
      <alignment/>
    </xf>
    <xf numFmtId="44" fontId="0" fillId="0" borderId="0" xfId="21" applyFill="1" applyBorder="1" applyAlignment="1">
      <alignment/>
    </xf>
    <xf numFmtId="44" fontId="7" fillId="0" borderId="5" xfId="21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21" applyFont="1" applyBorder="1" applyAlignment="1">
      <alignment/>
    </xf>
    <xf numFmtId="44" fontId="0" fillId="0" borderId="5" xfId="21" applyFont="1" applyBorder="1" applyAlignment="1">
      <alignment/>
    </xf>
    <xf numFmtId="173" fontId="0" fillId="0" borderId="0" xfId="20" applyFont="1" applyBorder="1" applyAlignment="1">
      <alignment/>
    </xf>
    <xf numFmtId="44" fontId="0" fillId="0" borderId="0" xfId="21" applyNumberFormat="1" applyFont="1" applyBorder="1" applyAlignment="1">
      <alignment/>
    </xf>
    <xf numFmtId="44" fontId="0" fillId="0" borderId="8" xfId="21" applyFont="1" applyBorder="1" applyAlignment="1">
      <alignment/>
    </xf>
    <xf numFmtId="44" fontId="0" fillId="0" borderId="14" xfId="21" applyFont="1" applyBorder="1" applyAlignment="1">
      <alignment/>
    </xf>
    <xf numFmtId="44" fontId="7" fillId="0" borderId="0" xfId="21" applyFont="1" applyBorder="1" applyAlignment="1">
      <alignment/>
    </xf>
    <xf numFmtId="176" fontId="0" fillId="0" borderId="4" xfId="20" applyNumberFormat="1" applyFont="1" applyFill="1" applyBorder="1" applyAlignment="1">
      <alignment/>
    </xf>
    <xf numFmtId="44" fontId="0" fillId="0" borderId="8" xfId="21" applyBorder="1" applyAlignment="1">
      <alignment/>
    </xf>
    <xf numFmtId="176" fontId="7" fillId="0" borderId="4" xfId="20" applyNumberFormat="1" applyFont="1" applyFill="1" applyBorder="1" applyAlignment="1">
      <alignment/>
    </xf>
    <xf numFmtId="44" fontId="6" fillId="0" borderId="15" xfId="21" applyFont="1" applyBorder="1" applyAlignment="1">
      <alignment/>
    </xf>
    <xf numFmtId="187" fontId="0" fillId="0" borderId="0" xfId="20" applyNumberFormat="1" applyAlignment="1">
      <alignment/>
    </xf>
    <xf numFmtId="186" fontId="7" fillId="0" borderId="0" xfId="0" applyNumberFormat="1" applyFont="1" applyAlignment="1">
      <alignment/>
    </xf>
    <xf numFmtId="176" fontId="6" fillId="0" borderId="0" xfId="20" applyNumberFormat="1" applyFont="1" applyFill="1" applyBorder="1" applyAlignment="1">
      <alignment/>
    </xf>
    <xf numFmtId="44" fontId="6" fillId="0" borderId="0" xfId="21" applyFont="1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27" fillId="0" borderId="0" xfId="0" applyFont="1" applyAlignment="1">
      <alignment/>
    </xf>
    <xf numFmtId="18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TESIS ESPOL PROY TURISTICO 14 JUNIO" xfId="20"/>
    <cellStyle name="Currency" xfId="21"/>
    <cellStyle name="Currency [0]" xfId="22"/>
    <cellStyle name="Moneda_TESIS ESPOL PROY TURISTICO 14 JUNIO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y%202\TESIS\1%20Sustentaci&#243;n\Primera%20sustentaci&#243;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aty%202\TESIS\1%20Sustentaci&#243;n\TESIS%20ESPOL%20PROY%20TURISTICO%2015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 &amp; G PROYECTADO18 (2)"/>
      <sheetName val="PRECIO"/>
      <sheetName val="P &amp; G PRECIO"/>
      <sheetName val="CLIENTES"/>
      <sheetName val="P &amp; G clientes"/>
      <sheetName val="GASTOS"/>
      <sheetName val="P &amp; G gastos"/>
      <sheetName val="Sueldos"/>
      <sheetName val="Desglose Gastos"/>
      <sheetName val="Ingresos"/>
      <sheetName val="Costos 1"/>
      <sheetName val="Costos 2"/>
      <sheetName val="Costos 3"/>
      <sheetName val="Costos 4"/>
      <sheetName val="Costos 5"/>
      <sheetName val="FLUJO 1 "/>
      <sheetName val="FLUJO 2"/>
      <sheetName val="FLUJO 3"/>
      <sheetName val="FLUJO 4"/>
      <sheetName val="FLUJO 5"/>
      <sheetName val="ANEXO9"/>
      <sheetName val="ANEXO10"/>
      <sheetName val="ANEXO11"/>
      <sheetName val="ANEXO12"/>
      <sheetName val="ANEXO13"/>
      <sheetName val="ANEXO14"/>
      <sheetName val="ANEXO15"/>
      <sheetName val="Hoja1"/>
      <sheetName val="PROYECCIÓN INGRESOS"/>
      <sheetName val="FLUJO DE CAJA"/>
      <sheetName val="ANEXO 16OK"/>
      <sheetName val="FLUJOS ANUALES17"/>
      <sheetName val="P &amp; G PROYECTADO18"/>
      <sheetName val="punto de eq"/>
      <sheetName val="BALANCE19"/>
    </sheetNames>
    <sheetDataSet>
      <sheetData sheetId="15">
        <row r="16">
          <cell r="B16">
            <v>31000</v>
          </cell>
        </row>
        <row r="19">
          <cell r="C19">
            <v>50</v>
          </cell>
          <cell r="AC19">
            <v>480</v>
          </cell>
        </row>
        <row r="20">
          <cell r="C20">
            <v>130</v>
          </cell>
          <cell r="AC20">
            <v>300</v>
          </cell>
        </row>
        <row r="21">
          <cell r="C21">
            <v>3</v>
          </cell>
          <cell r="AC21">
            <v>240</v>
          </cell>
        </row>
        <row r="22">
          <cell r="C22">
            <v>6</v>
          </cell>
          <cell r="AC22">
            <v>150</v>
          </cell>
        </row>
        <row r="31">
          <cell r="C31">
            <v>29.913333333333334</v>
          </cell>
        </row>
        <row r="32">
          <cell r="C32">
            <v>65.60333333333334</v>
          </cell>
        </row>
        <row r="33">
          <cell r="C33">
            <v>0</v>
          </cell>
        </row>
        <row r="34">
          <cell r="C34">
            <v>0</v>
          </cell>
        </row>
        <row r="43">
          <cell r="AD43">
            <v>84</v>
          </cell>
        </row>
        <row r="44">
          <cell r="AD44">
            <v>317.7</v>
          </cell>
        </row>
        <row r="45">
          <cell r="AD45">
            <v>277.16</v>
          </cell>
        </row>
        <row r="46">
          <cell r="AD46">
            <v>174.07</v>
          </cell>
        </row>
        <row r="47">
          <cell r="AD47">
            <v>17.86</v>
          </cell>
        </row>
        <row r="48">
          <cell r="AD48">
            <v>1913.7599999999998</v>
          </cell>
        </row>
        <row r="49">
          <cell r="AD49">
            <v>1856.6999999999998</v>
          </cell>
        </row>
        <row r="50">
          <cell r="AD50">
            <v>98.22999999999999</v>
          </cell>
        </row>
        <row r="51">
          <cell r="AD51">
            <v>70</v>
          </cell>
        </row>
        <row r="52">
          <cell r="AD52">
            <v>133.95</v>
          </cell>
        </row>
        <row r="61">
          <cell r="AD61">
            <v>10740</v>
          </cell>
        </row>
        <row r="62">
          <cell r="AD62">
            <v>223.75</v>
          </cell>
        </row>
        <row r="63">
          <cell r="AD63">
            <v>466.6666666666667</v>
          </cell>
        </row>
        <row r="64">
          <cell r="AD64">
            <v>447.5</v>
          </cell>
        </row>
        <row r="66">
          <cell r="AD66">
            <v>1304.9099999999999</v>
          </cell>
        </row>
        <row r="70">
          <cell r="AD70">
            <v>1500</v>
          </cell>
        </row>
        <row r="71">
          <cell r="AD71">
            <v>1500</v>
          </cell>
        </row>
        <row r="72">
          <cell r="AD72">
            <v>1800</v>
          </cell>
        </row>
        <row r="73">
          <cell r="AD73">
            <v>4320</v>
          </cell>
        </row>
        <row r="74">
          <cell r="AD74">
            <v>1000</v>
          </cell>
        </row>
        <row r="83">
          <cell r="AD83">
            <v>2640</v>
          </cell>
        </row>
        <row r="84">
          <cell r="AD84">
            <v>360</v>
          </cell>
        </row>
        <row r="85">
          <cell r="AD85">
            <v>200</v>
          </cell>
        </row>
        <row r="86">
          <cell r="AD86">
            <v>450</v>
          </cell>
        </row>
        <row r="87">
          <cell r="AD87">
            <v>480</v>
          </cell>
        </row>
        <row r="88">
          <cell r="AD88">
            <v>520.7199999999999</v>
          </cell>
        </row>
        <row r="89">
          <cell r="AD89">
            <v>240</v>
          </cell>
        </row>
        <row r="90">
          <cell r="AD90">
            <v>278.20000000000005</v>
          </cell>
        </row>
        <row r="91">
          <cell r="AD91">
            <v>6000</v>
          </cell>
        </row>
        <row r="92">
          <cell r="E92">
            <v>220</v>
          </cell>
          <cell r="AD92">
            <v>220</v>
          </cell>
        </row>
        <row r="93">
          <cell r="AD93">
            <v>500</v>
          </cell>
        </row>
        <row r="94">
          <cell r="AD94">
            <v>840</v>
          </cell>
        </row>
        <row r="95">
          <cell r="AD95">
            <v>183.38464</v>
          </cell>
        </row>
        <row r="99">
          <cell r="AD99">
            <v>8929</v>
          </cell>
        </row>
        <row r="100">
          <cell r="AD100">
            <v>857.18</v>
          </cell>
        </row>
        <row r="101">
          <cell r="AD101">
            <v>142.86</v>
          </cell>
        </row>
        <row r="102">
          <cell r="AD102">
            <v>62.5</v>
          </cell>
        </row>
        <row r="103">
          <cell r="AD103">
            <v>17.86</v>
          </cell>
        </row>
        <row r="104">
          <cell r="AD104">
            <v>300</v>
          </cell>
        </row>
        <row r="105">
          <cell r="AD105">
            <v>109.8</v>
          </cell>
        </row>
        <row r="106">
          <cell r="AD106">
            <v>174.12</v>
          </cell>
        </row>
        <row r="107">
          <cell r="AD107">
            <v>99</v>
          </cell>
        </row>
        <row r="108">
          <cell r="AD108">
            <v>10692.320000000002</v>
          </cell>
        </row>
        <row r="110">
          <cell r="AD110">
            <v>1283.0784</v>
          </cell>
        </row>
        <row r="112">
          <cell r="AD112">
            <v>11975.398400000002</v>
          </cell>
        </row>
        <row r="115">
          <cell r="B115">
            <v>3000</v>
          </cell>
        </row>
        <row r="116">
          <cell r="B116">
            <v>300</v>
          </cell>
        </row>
        <row r="117">
          <cell r="B117">
            <v>184</v>
          </cell>
        </row>
        <row r="118">
          <cell r="B118">
            <v>200</v>
          </cell>
        </row>
        <row r="127">
          <cell r="AD127">
            <v>578.9819999999995</v>
          </cell>
        </row>
        <row r="131">
          <cell r="B131">
            <v>27316</v>
          </cell>
        </row>
      </sheetData>
      <sheetData sheetId="16">
        <row r="16">
          <cell r="C16">
            <v>61</v>
          </cell>
          <cell r="AB16">
            <v>810</v>
          </cell>
        </row>
        <row r="17">
          <cell r="C17">
            <v>150</v>
          </cell>
          <cell r="AB17">
            <v>420</v>
          </cell>
        </row>
        <row r="18">
          <cell r="C18">
            <v>3.5</v>
          </cell>
          <cell r="AB18">
            <v>405</v>
          </cell>
        </row>
        <row r="19">
          <cell r="C19">
            <v>7</v>
          </cell>
          <cell r="AB19">
            <v>210</v>
          </cell>
        </row>
        <row r="28">
          <cell r="C28">
            <v>33.182766666666666</v>
          </cell>
        </row>
        <row r="29">
          <cell r="C29">
            <v>72.19626666666666</v>
          </cell>
        </row>
        <row r="30">
          <cell r="C30">
            <v>0</v>
          </cell>
        </row>
        <row r="31">
          <cell r="C31">
            <v>0</v>
          </cell>
        </row>
        <row r="39">
          <cell r="AC39">
            <v>326.81798999999995</v>
          </cell>
        </row>
        <row r="40">
          <cell r="AC40">
            <v>285.11449200000004</v>
          </cell>
        </row>
        <row r="41">
          <cell r="AC41">
            <v>179.065809</v>
          </cell>
        </row>
        <row r="42">
          <cell r="AC42">
            <v>18.372581999999998</v>
          </cell>
        </row>
        <row r="43">
          <cell r="AC43">
            <v>1968.6849119999997</v>
          </cell>
        </row>
        <row r="44">
          <cell r="AC44">
            <v>1909.98729</v>
          </cell>
        </row>
        <row r="45">
          <cell r="AC45">
            <v>101.04920099999998</v>
          </cell>
        </row>
        <row r="46">
          <cell r="AC46">
            <v>72.009</v>
          </cell>
        </row>
        <row r="47">
          <cell r="AC47">
            <v>137.79436499999997</v>
          </cell>
        </row>
        <row r="56">
          <cell r="AC56">
            <v>11384.400000000001</v>
          </cell>
        </row>
        <row r="57">
          <cell r="AC57">
            <v>908.4250000000001</v>
          </cell>
        </row>
        <row r="58">
          <cell r="AC58">
            <v>800</v>
          </cell>
        </row>
        <row r="59">
          <cell r="AC59">
            <v>474.3500000000001</v>
          </cell>
        </row>
        <row r="60">
          <cell r="AC60">
            <v>0</v>
          </cell>
        </row>
        <row r="61">
          <cell r="AC61">
            <v>1383.2045999999998</v>
          </cell>
        </row>
        <row r="65">
          <cell r="AC65">
            <v>1890</v>
          </cell>
        </row>
        <row r="66">
          <cell r="AC66">
            <v>1890</v>
          </cell>
        </row>
        <row r="67">
          <cell r="AC67">
            <v>2268</v>
          </cell>
        </row>
        <row r="68">
          <cell r="AC68">
            <v>4579.2</v>
          </cell>
        </row>
        <row r="69">
          <cell r="AC69">
            <v>1100</v>
          </cell>
        </row>
        <row r="78">
          <cell r="AC78">
            <v>2880</v>
          </cell>
        </row>
        <row r="79">
          <cell r="AC79">
            <v>480</v>
          </cell>
        </row>
        <row r="80">
          <cell r="AC80">
            <v>400</v>
          </cell>
        </row>
        <row r="81">
          <cell r="AC81">
            <v>636</v>
          </cell>
        </row>
        <row r="82">
          <cell r="AC82">
            <v>600</v>
          </cell>
        </row>
        <row r="83">
          <cell r="AC83">
            <v>696</v>
          </cell>
        </row>
        <row r="84">
          <cell r="AC84">
            <v>246.88800000000006</v>
          </cell>
        </row>
        <row r="85">
          <cell r="AC85">
            <v>286.18434</v>
          </cell>
        </row>
        <row r="86">
          <cell r="AC86">
            <v>5000</v>
          </cell>
        </row>
        <row r="87">
          <cell r="AC87">
            <v>1080</v>
          </cell>
        </row>
        <row r="88">
          <cell r="AC88">
            <v>210</v>
          </cell>
        </row>
        <row r="89">
          <cell r="AC89">
            <v>188.03404</v>
          </cell>
        </row>
        <row r="90">
          <cell r="AC90">
            <v>30</v>
          </cell>
        </row>
        <row r="101">
          <cell r="AC101">
            <v>4964.51176308</v>
          </cell>
        </row>
      </sheetData>
      <sheetData sheetId="17">
        <row r="18">
          <cell r="C18">
            <v>64</v>
          </cell>
          <cell r="AB18">
            <v>990</v>
          </cell>
        </row>
        <row r="19">
          <cell r="C19">
            <v>158</v>
          </cell>
          <cell r="AB19">
            <v>540</v>
          </cell>
        </row>
        <row r="20">
          <cell r="C20">
            <v>4</v>
          </cell>
          <cell r="AB20">
            <v>495</v>
          </cell>
        </row>
        <row r="21">
          <cell r="C21">
            <v>8</v>
          </cell>
          <cell r="AB21">
            <v>270</v>
          </cell>
        </row>
        <row r="30">
          <cell r="C30">
            <v>36.29467107</v>
          </cell>
        </row>
        <row r="31">
          <cell r="C31">
            <v>78.35578952</v>
          </cell>
        </row>
        <row r="32">
          <cell r="C32">
            <v>0</v>
          </cell>
        </row>
        <row r="33">
          <cell r="C33">
            <v>0</v>
          </cell>
        </row>
        <row r="41">
          <cell r="AC41">
            <v>336.197666313</v>
          </cell>
        </row>
        <row r="42">
          <cell r="AC42">
            <v>293.2972779204</v>
          </cell>
        </row>
        <row r="43">
          <cell r="AC43">
            <v>184.20499771829998</v>
          </cell>
        </row>
        <row r="44">
          <cell r="AC44">
            <v>18.8998751034</v>
          </cell>
        </row>
        <row r="45">
          <cell r="AC45">
            <v>2025.1861689744</v>
          </cell>
        </row>
        <row r="46">
          <cell r="AC46">
            <v>1964.803925223</v>
          </cell>
        </row>
        <row r="47">
          <cell r="AC47">
            <v>103.94931306870001</v>
          </cell>
        </row>
        <row r="48">
          <cell r="AC48">
            <v>74.0756583</v>
          </cell>
        </row>
        <row r="49">
          <cell r="AC49">
            <v>141.7490632755</v>
          </cell>
        </row>
        <row r="58">
          <cell r="AC58">
            <v>12067.464</v>
          </cell>
        </row>
        <row r="59">
          <cell r="AC59">
            <v>962.9304999999999</v>
          </cell>
        </row>
        <row r="60">
          <cell r="AC60">
            <v>800</v>
          </cell>
        </row>
        <row r="61">
          <cell r="AC61">
            <v>502.811</v>
          </cell>
        </row>
        <row r="62">
          <cell r="AC62">
            <v>790.5833333333334</v>
          </cell>
        </row>
        <row r="63">
          <cell r="AC63">
            <v>1466.196876</v>
          </cell>
        </row>
        <row r="67">
          <cell r="AC67">
            <v>2003.3999999999996</v>
          </cell>
        </row>
        <row r="68">
          <cell r="AC68">
            <v>2003.3999999999996</v>
          </cell>
        </row>
        <row r="69">
          <cell r="AC69">
            <v>2404.0800000000004</v>
          </cell>
        </row>
        <row r="70">
          <cell r="AC70">
            <v>4853.952</v>
          </cell>
        </row>
        <row r="71">
          <cell r="AC71">
            <v>1200</v>
          </cell>
        </row>
        <row r="80">
          <cell r="AC80">
            <v>3120</v>
          </cell>
        </row>
        <row r="81">
          <cell r="AC81">
            <v>600</v>
          </cell>
        </row>
        <row r="82">
          <cell r="AC82">
            <v>500</v>
          </cell>
        </row>
        <row r="83">
          <cell r="AC83">
            <v>960</v>
          </cell>
        </row>
        <row r="84">
          <cell r="AC84">
            <v>1080</v>
          </cell>
        </row>
        <row r="85">
          <cell r="AC85">
            <v>780</v>
          </cell>
        </row>
        <row r="86">
          <cell r="AC86">
            <v>253.97368559999998</v>
          </cell>
        </row>
        <row r="87">
          <cell r="AC87">
            <v>319.1</v>
          </cell>
        </row>
        <row r="88">
          <cell r="AC88">
            <v>4000</v>
          </cell>
        </row>
        <row r="89">
          <cell r="AC89">
            <v>1320</v>
          </cell>
        </row>
        <row r="90">
          <cell r="AC90">
            <v>220</v>
          </cell>
        </row>
        <row r="91">
          <cell r="AC91">
            <v>193.05687777999998</v>
          </cell>
        </row>
        <row r="92">
          <cell r="AC92">
            <v>36</v>
          </cell>
        </row>
        <row r="100">
          <cell r="AC100">
            <v>14.399999999999999</v>
          </cell>
        </row>
        <row r="106">
          <cell r="S106">
            <v>1264.5986328499996</v>
          </cell>
        </row>
        <row r="107">
          <cell r="S107">
            <v>1791.5147298708328</v>
          </cell>
        </row>
        <row r="112">
          <cell r="AC112">
            <v>9877.987765201227</v>
          </cell>
        </row>
        <row r="117">
          <cell r="AC117">
            <v>43553.88779090249</v>
          </cell>
        </row>
      </sheetData>
      <sheetData sheetId="18">
        <row r="18">
          <cell r="C18">
            <v>67</v>
          </cell>
          <cell r="AB18">
            <v>1230</v>
          </cell>
        </row>
        <row r="19">
          <cell r="C19">
            <v>166</v>
          </cell>
          <cell r="AB19">
            <v>720</v>
          </cell>
        </row>
        <row r="20">
          <cell r="C20">
            <v>4.5</v>
          </cell>
          <cell r="AB20">
            <v>615</v>
          </cell>
        </row>
        <row r="21">
          <cell r="C21">
            <v>9</v>
          </cell>
          <cell r="AB21">
            <v>360</v>
          </cell>
        </row>
        <row r="30">
          <cell r="C30">
            <v>41.809117463042334</v>
          </cell>
        </row>
        <row r="31">
          <cell r="C31">
            <v>88.37209101255733</v>
          </cell>
        </row>
        <row r="32">
          <cell r="C32">
            <v>0</v>
          </cell>
        </row>
        <row r="33">
          <cell r="C33">
            <v>0</v>
          </cell>
        </row>
        <row r="41">
          <cell r="AC41">
            <v>345.84653933618307</v>
          </cell>
        </row>
        <row r="42">
          <cell r="AC42">
            <v>301.71490979671546</v>
          </cell>
        </row>
        <row r="43">
          <cell r="AC43">
            <v>189.4916811528152</v>
          </cell>
        </row>
        <row r="44">
          <cell r="AC44">
            <v>19.44230151886758</v>
          </cell>
        </row>
        <row r="45">
          <cell r="AC45">
            <v>2083.3090120239654</v>
          </cell>
        </row>
        <row r="46">
          <cell r="AC46">
            <v>2021.1937978769001</v>
          </cell>
        </row>
        <row r="47">
          <cell r="AC47">
            <v>106.9326583537717</v>
          </cell>
        </row>
        <row r="48">
          <cell r="AC48">
            <v>76.20162969321</v>
          </cell>
        </row>
        <row r="49">
          <cell r="AC49">
            <v>145.81726139150686</v>
          </cell>
        </row>
        <row r="58">
          <cell r="Y58">
            <v>1065.9593200000002</v>
          </cell>
          <cell r="AA58">
            <v>1065.9593200000002</v>
          </cell>
          <cell r="AC58">
            <v>12791.511840000001</v>
          </cell>
        </row>
        <row r="59">
          <cell r="AC59">
            <v>1020.7063300000003</v>
          </cell>
        </row>
        <row r="60">
          <cell r="AC60">
            <v>800</v>
          </cell>
        </row>
        <row r="61">
          <cell r="AC61">
            <v>532.9796600000001</v>
          </cell>
        </row>
        <row r="62">
          <cell r="AC62">
            <v>996.1350000000001</v>
          </cell>
        </row>
        <row r="63">
          <cell r="AC63">
            <v>1554.16868856</v>
          </cell>
        </row>
        <row r="67">
          <cell r="AC67">
            <v>2123.604</v>
          </cell>
        </row>
        <row r="68">
          <cell r="AC68">
            <v>2123.604</v>
          </cell>
        </row>
        <row r="69">
          <cell r="AC69">
            <v>4449.456</v>
          </cell>
        </row>
        <row r="70">
          <cell r="AC70">
            <v>5145.189120000002</v>
          </cell>
        </row>
        <row r="71">
          <cell r="AC71">
            <v>1300</v>
          </cell>
        </row>
        <row r="80">
          <cell r="AC80">
            <v>3360</v>
          </cell>
        </row>
        <row r="81">
          <cell r="AC81">
            <v>720</v>
          </cell>
        </row>
        <row r="82">
          <cell r="AC82">
            <v>600</v>
          </cell>
        </row>
        <row r="83">
          <cell r="AC83">
            <v>1200</v>
          </cell>
        </row>
        <row r="84">
          <cell r="AC84">
            <v>1320</v>
          </cell>
        </row>
        <row r="85">
          <cell r="AC85">
            <v>1080</v>
          </cell>
        </row>
        <row r="86">
          <cell r="AC86">
            <v>261.26273037672007</v>
          </cell>
        </row>
        <row r="87">
          <cell r="AC87">
            <v>420</v>
          </cell>
        </row>
        <row r="88">
          <cell r="AC88">
            <v>4000</v>
          </cell>
        </row>
        <row r="89">
          <cell r="E89">
            <v>75</v>
          </cell>
        </row>
        <row r="90">
          <cell r="AC90">
            <v>1560</v>
          </cell>
        </row>
        <row r="91">
          <cell r="AC91">
            <v>230</v>
          </cell>
        </row>
        <row r="92">
          <cell r="AC92">
            <v>200.098423004286</v>
          </cell>
        </row>
        <row r="93">
          <cell r="AC93">
            <v>40</v>
          </cell>
        </row>
        <row r="99">
          <cell r="AC99">
            <v>900</v>
          </cell>
        </row>
        <row r="100">
          <cell r="AC100">
            <v>160.72</v>
          </cell>
        </row>
        <row r="103">
          <cell r="AC103">
            <v>127.2864</v>
          </cell>
        </row>
        <row r="108">
          <cell r="S108">
            <v>3368.8941131934944</v>
          </cell>
        </row>
        <row r="109">
          <cell r="S109">
            <v>4772.599993690784</v>
          </cell>
        </row>
        <row r="112">
          <cell r="AC112">
            <v>8567.022849632725</v>
          </cell>
        </row>
        <row r="114">
          <cell r="AC114">
            <v>16708.516956517007</v>
          </cell>
        </row>
      </sheetData>
      <sheetData sheetId="19">
        <row r="18">
          <cell r="C18">
            <v>70</v>
          </cell>
          <cell r="AB18">
            <v>1470</v>
          </cell>
        </row>
        <row r="19">
          <cell r="C19">
            <v>174</v>
          </cell>
          <cell r="AB19">
            <v>960</v>
          </cell>
        </row>
        <row r="20">
          <cell r="C20">
            <v>5</v>
          </cell>
          <cell r="AB20">
            <v>735</v>
          </cell>
        </row>
        <row r="21">
          <cell r="C21">
            <v>10</v>
          </cell>
          <cell r="AB21">
            <v>480</v>
          </cell>
        </row>
        <row r="30">
          <cell r="C30">
            <v>45.07617880089832</v>
          </cell>
        </row>
        <row r="31">
          <cell r="C31">
            <v>95.79536569128439</v>
          </cell>
        </row>
        <row r="32">
          <cell r="C32">
            <v>0</v>
          </cell>
        </row>
        <row r="33">
          <cell r="C33">
            <v>0</v>
          </cell>
        </row>
        <row r="58">
          <cell r="E58">
            <v>1136.23</v>
          </cell>
          <cell r="G58">
            <v>1136.23</v>
          </cell>
          <cell r="I58">
            <v>1136.23</v>
          </cell>
          <cell r="K58">
            <v>1136.23</v>
          </cell>
          <cell r="M58">
            <v>1136.23</v>
          </cell>
          <cell r="O58">
            <v>1136.23</v>
          </cell>
          <cell r="Q58">
            <v>1136.23</v>
          </cell>
          <cell r="S58">
            <v>1136.23</v>
          </cell>
          <cell r="U58">
            <v>1136.23</v>
          </cell>
          <cell r="W58">
            <v>1136.23</v>
          </cell>
          <cell r="Y58">
            <v>1136.23</v>
          </cell>
          <cell r="AA58">
            <v>1136.23</v>
          </cell>
          <cell r="AC58">
            <v>13634.759999999997</v>
          </cell>
        </row>
        <row r="59">
          <cell r="AC59">
            <v>1083.52699</v>
          </cell>
        </row>
        <row r="60">
          <cell r="AC60">
            <v>800</v>
          </cell>
        </row>
        <row r="61">
          <cell r="AC61">
            <v>568.115</v>
          </cell>
        </row>
        <row r="62">
          <cell r="AC62">
            <v>1055.9031000000002</v>
          </cell>
        </row>
        <row r="63">
          <cell r="AC63">
            <v>1656.6233399999994</v>
          </cell>
        </row>
        <row r="67">
          <cell r="A67" t="str">
            <v>Servicio de Limpieza</v>
          </cell>
          <cell r="AC67">
            <v>2251.0202400000003</v>
          </cell>
        </row>
        <row r="68">
          <cell r="A68" t="str">
            <v>Salvavidas</v>
          </cell>
          <cell r="AC68">
            <v>2251.0202400000003</v>
          </cell>
        </row>
        <row r="69">
          <cell r="A69" t="str">
            <v>Socorrista</v>
          </cell>
          <cell r="AC69">
            <v>5096.649600000002</v>
          </cell>
        </row>
        <row r="70">
          <cell r="A70" t="str">
            <v>Movilización de vendedores</v>
          </cell>
          <cell r="AC70">
            <v>5453.900467200001</v>
          </cell>
        </row>
        <row r="71">
          <cell r="A71" t="str">
            <v>Asesoría Legal</v>
          </cell>
          <cell r="AC71">
            <v>1400</v>
          </cell>
        </row>
        <row r="80">
          <cell r="AC80">
            <v>3600</v>
          </cell>
        </row>
        <row r="81">
          <cell r="A81" t="str">
            <v>Contribución Comuna Cauchiche</v>
          </cell>
          <cell r="AC81">
            <v>840</v>
          </cell>
        </row>
        <row r="82">
          <cell r="AC82">
            <v>950</v>
          </cell>
        </row>
        <row r="83">
          <cell r="AC83">
            <v>1440</v>
          </cell>
        </row>
        <row r="84">
          <cell r="AC84">
            <v>1560</v>
          </cell>
        </row>
        <row r="85">
          <cell r="AC85">
            <v>1320</v>
          </cell>
        </row>
        <row r="86">
          <cell r="AC86">
            <v>268.76097073853185</v>
          </cell>
        </row>
        <row r="87">
          <cell r="AC87">
            <v>480</v>
          </cell>
        </row>
        <row r="88">
          <cell r="AC88">
            <v>4000</v>
          </cell>
        </row>
        <row r="89">
          <cell r="A89" t="str">
            <v>Logística de control de Vendedores</v>
          </cell>
          <cell r="AC89">
            <v>1800</v>
          </cell>
        </row>
        <row r="90">
          <cell r="AC90">
            <v>240</v>
          </cell>
        </row>
        <row r="91">
          <cell r="AC91">
            <v>205.15973524850898</v>
          </cell>
        </row>
        <row r="92">
          <cell r="AC92">
            <v>45</v>
          </cell>
        </row>
        <row r="98">
          <cell r="S98">
            <v>5291.339640749755</v>
          </cell>
        </row>
        <row r="99">
          <cell r="S99">
            <v>7496.064491062152</v>
          </cell>
        </row>
        <row r="102">
          <cell r="AC102">
            <v>11795.412504203601</v>
          </cell>
        </row>
        <row r="104">
          <cell r="AC104">
            <v>24582.816636015512</v>
          </cell>
        </row>
      </sheetData>
      <sheetData sheetId="20">
        <row r="10">
          <cell r="C10">
            <v>8929</v>
          </cell>
          <cell r="E10">
            <v>595.2666666666667</v>
          </cell>
          <cell r="F10">
            <v>595.2666666666667</v>
          </cell>
          <cell r="G10">
            <v>595.2666666666667</v>
          </cell>
          <cell r="H10">
            <v>595.2666666666667</v>
          </cell>
          <cell r="I10">
            <v>595.2666666666667</v>
          </cell>
          <cell r="J10">
            <v>2976.333333333333</v>
          </cell>
        </row>
        <row r="12">
          <cell r="C12">
            <v>857.18</v>
          </cell>
          <cell r="E12">
            <v>285.72666666666663</v>
          </cell>
          <cell r="G12">
            <v>285.72666666666663</v>
          </cell>
          <cell r="J12">
            <v>857.1799999999998</v>
          </cell>
        </row>
        <row r="13">
          <cell r="C13">
            <v>142.86</v>
          </cell>
          <cell r="E13">
            <v>47.620000000000005</v>
          </cell>
          <cell r="G13">
            <v>47.620000000000005</v>
          </cell>
          <cell r="J13">
            <v>142.86</v>
          </cell>
        </row>
        <row r="14">
          <cell r="C14">
            <v>900</v>
          </cell>
          <cell r="H14">
            <v>300</v>
          </cell>
          <cell r="I14">
            <v>300</v>
          </cell>
          <cell r="J14">
            <v>600</v>
          </cell>
        </row>
        <row r="15">
          <cell r="C15">
            <v>160.72</v>
          </cell>
          <cell r="H15">
            <v>53.57333333333333</v>
          </cell>
          <cell r="I15">
            <v>53.57333333333333</v>
          </cell>
          <cell r="J15">
            <v>107.14666666666666</v>
          </cell>
        </row>
        <row r="17">
          <cell r="C17">
            <v>62.5</v>
          </cell>
          <cell r="E17">
            <v>6.25</v>
          </cell>
          <cell r="F17">
            <v>6.25</v>
          </cell>
          <cell r="G17">
            <v>6.25</v>
          </cell>
          <cell r="H17">
            <v>6.25</v>
          </cell>
          <cell r="I17">
            <v>6.25</v>
          </cell>
          <cell r="J17">
            <v>31.25</v>
          </cell>
        </row>
        <row r="18">
          <cell r="C18">
            <v>17.86</v>
          </cell>
          <cell r="E18">
            <v>1.786</v>
          </cell>
          <cell r="F18">
            <v>1.786</v>
          </cell>
          <cell r="G18">
            <v>1.786</v>
          </cell>
          <cell r="H18">
            <v>1.786</v>
          </cell>
          <cell r="I18">
            <v>1.786</v>
          </cell>
          <cell r="J18">
            <v>8.93</v>
          </cell>
        </row>
        <row r="19">
          <cell r="C19">
            <v>99</v>
          </cell>
          <cell r="E19">
            <v>9.9</v>
          </cell>
          <cell r="F19">
            <v>9.9</v>
          </cell>
          <cell r="G19">
            <v>9.9</v>
          </cell>
          <cell r="H19">
            <v>9.9</v>
          </cell>
          <cell r="I19">
            <v>9.9</v>
          </cell>
          <cell r="J19">
            <v>49.5</v>
          </cell>
        </row>
        <row r="20">
          <cell r="C20">
            <v>120</v>
          </cell>
          <cell r="G20">
            <v>12</v>
          </cell>
          <cell r="H20">
            <v>12</v>
          </cell>
          <cell r="I20">
            <v>12</v>
          </cell>
          <cell r="J20">
            <v>36</v>
          </cell>
        </row>
        <row r="22">
          <cell r="C22">
            <v>300</v>
          </cell>
          <cell r="E22">
            <v>30</v>
          </cell>
          <cell r="F22">
            <v>30</v>
          </cell>
          <cell r="G22">
            <v>30</v>
          </cell>
          <cell r="H22">
            <v>30</v>
          </cell>
          <cell r="I22">
            <v>30</v>
          </cell>
          <cell r="J22">
            <v>150</v>
          </cell>
        </row>
        <row r="23">
          <cell r="C23">
            <v>109.8</v>
          </cell>
          <cell r="E23">
            <v>10.98</v>
          </cell>
          <cell r="F23">
            <v>10.98</v>
          </cell>
          <cell r="G23">
            <v>10.98</v>
          </cell>
          <cell r="H23">
            <v>10.98</v>
          </cell>
          <cell r="I23">
            <v>10.98</v>
          </cell>
          <cell r="J23">
            <v>54.900000000000006</v>
          </cell>
        </row>
        <row r="24">
          <cell r="C24">
            <v>174.12</v>
          </cell>
          <cell r="E24">
            <v>17.412</v>
          </cell>
          <cell r="F24">
            <v>17.412</v>
          </cell>
          <cell r="G24">
            <v>17.412</v>
          </cell>
          <cell r="H24">
            <v>17.412</v>
          </cell>
          <cell r="I24">
            <v>17.412</v>
          </cell>
          <cell r="J24">
            <v>87.06</v>
          </cell>
        </row>
      </sheetData>
      <sheetData sheetId="31">
        <row r="8">
          <cell r="B8">
            <v>31000</v>
          </cell>
        </row>
        <row r="11">
          <cell r="C11">
            <v>50</v>
          </cell>
          <cell r="D11">
            <v>480</v>
          </cell>
          <cell r="E11">
            <v>24000</v>
          </cell>
          <cell r="F11">
            <v>61</v>
          </cell>
          <cell r="G11">
            <v>810</v>
          </cell>
          <cell r="H11">
            <v>49410</v>
          </cell>
          <cell r="I11">
            <v>64</v>
          </cell>
          <cell r="J11">
            <v>990</v>
          </cell>
          <cell r="K11">
            <v>63360</v>
          </cell>
          <cell r="L11">
            <v>67</v>
          </cell>
          <cell r="M11">
            <v>1230</v>
          </cell>
          <cell r="N11">
            <v>82410</v>
          </cell>
          <cell r="O11">
            <v>70</v>
          </cell>
          <cell r="P11">
            <v>1470</v>
          </cell>
          <cell r="Q11">
            <v>102900</v>
          </cell>
        </row>
        <row r="12">
          <cell r="C12">
            <v>130</v>
          </cell>
          <cell r="D12">
            <v>300</v>
          </cell>
          <cell r="E12">
            <v>39000</v>
          </cell>
          <cell r="F12">
            <v>150</v>
          </cell>
          <cell r="G12">
            <v>420</v>
          </cell>
          <cell r="H12">
            <v>63000</v>
          </cell>
          <cell r="I12">
            <v>158</v>
          </cell>
          <cell r="J12">
            <v>540</v>
          </cell>
          <cell r="K12">
            <v>85320</v>
          </cell>
          <cell r="L12">
            <v>166</v>
          </cell>
          <cell r="M12">
            <v>720</v>
          </cell>
          <cell r="N12">
            <v>119520</v>
          </cell>
          <cell r="O12">
            <v>174</v>
          </cell>
          <cell r="P12">
            <v>960</v>
          </cell>
          <cell r="Q12">
            <v>167040</v>
          </cell>
        </row>
        <row r="13">
          <cell r="C13">
            <v>3</v>
          </cell>
          <cell r="D13">
            <v>240</v>
          </cell>
          <cell r="E13">
            <v>720</v>
          </cell>
          <cell r="F13">
            <v>3.5</v>
          </cell>
          <cell r="G13">
            <v>405</v>
          </cell>
          <cell r="H13">
            <v>1417.5</v>
          </cell>
          <cell r="I13">
            <v>4</v>
          </cell>
          <cell r="J13">
            <v>495</v>
          </cell>
          <cell r="K13">
            <v>1980</v>
          </cell>
          <cell r="L13">
            <v>4.5</v>
          </cell>
          <cell r="M13">
            <v>615</v>
          </cell>
          <cell r="N13">
            <v>2767.5</v>
          </cell>
          <cell r="O13">
            <v>5</v>
          </cell>
          <cell r="P13">
            <v>735</v>
          </cell>
          <cell r="Q13">
            <v>3675</v>
          </cell>
        </row>
        <row r="14">
          <cell r="C14">
            <v>6</v>
          </cell>
          <cell r="D14">
            <v>150</v>
          </cell>
          <cell r="E14">
            <v>900</v>
          </cell>
          <cell r="F14">
            <v>7</v>
          </cell>
          <cell r="G14">
            <v>210</v>
          </cell>
          <cell r="H14">
            <v>1470</v>
          </cell>
          <cell r="I14">
            <v>8</v>
          </cell>
          <cell r="J14">
            <v>270</v>
          </cell>
          <cell r="K14">
            <v>2160</v>
          </cell>
          <cell r="L14">
            <v>9</v>
          </cell>
          <cell r="M14">
            <v>360</v>
          </cell>
          <cell r="N14">
            <v>3240</v>
          </cell>
          <cell r="O14">
            <v>10</v>
          </cell>
          <cell r="P14">
            <v>480</v>
          </cell>
          <cell r="Q14">
            <v>4800</v>
          </cell>
        </row>
        <row r="23">
          <cell r="C23">
            <v>29.913333333333334</v>
          </cell>
          <cell r="D23">
            <v>480</v>
          </cell>
          <cell r="E23">
            <v>14358.4</v>
          </cell>
          <cell r="F23">
            <v>33.182766666666666</v>
          </cell>
          <cell r="G23">
            <v>810</v>
          </cell>
          <cell r="H23">
            <v>26878.041</v>
          </cell>
          <cell r="I23">
            <v>36.29467107</v>
          </cell>
          <cell r="J23">
            <v>990</v>
          </cell>
          <cell r="K23">
            <v>35931.7243593</v>
          </cell>
          <cell r="L23">
            <v>41.809117463042334</v>
          </cell>
          <cell r="M23">
            <v>1230</v>
          </cell>
          <cell r="N23">
            <v>51425.21447954207</v>
          </cell>
          <cell r="O23">
            <v>45.07617880089832</v>
          </cell>
          <cell r="P23">
            <v>1470</v>
          </cell>
          <cell r="Q23">
            <v>66261.98283732052</v>
          </cell>
        </row>
        <row r="24">
          <cell r="C24">
            <v>65.60333333333334</v>
          </cell>
          <cell r="D24">
            <v>300</v>
          </cell>
          <cell r="E24">
            <v>19681</v>
          </cell>
          <cell r="F24">
            <v>72.19626666666666</v>
          </cell>
          <cell r="G24">
            <v>420</v>
          </cell>
          <cell r="H24">
            <v>30322.431999999997</v>
          </cell>
          <cell r="I24">
            <v>78.35578952</v>
          </cell>
          <cell r="J24">
            <v>540</v>
          </cell>
          <cell r="K24">
            <v>42312.1263408</v>
          </cell>
          <cell r="L24">
            <v>88.37209101255733</v>
          </cell>
          <cell r="M24">
            <v>720</v>
          </cell>
          <cell r="N24">
            <v>63627.90552904128</v>
          </cell>
          <cell r="O24">
            <v>95.79536569128439</v>
          </cell>
          <cell r="P24">
            <v>960</v>
          </cell>
          <cell r="Q24">
            <v>91963.55106363301</v>
          </cell>
        </row>
        <row r="25">
          <cell r="C25">
            <v>0</v>
          </cell>
          <cell r="D25">
            <v>240</v>
          </cell>
          <cell r="E25">
            <v>0</v>
          </cell>
          <cell r="F25">
            <v>0</v>
          </cell>
          <cell r="G25">
            <v>405</v>
          </cell>
          <cell r="H25">
            <v>0</v>
          </cell>
          <cell r="I25">
            <v>0</v>
          </cell>
          <cell r="J25">
            <v>495</v>
          </cell>
          <cell r="M25">
            <v>615</v>
          </cell>
          <cell r="N25">
            <v>0</v>
          </cell>
          <cell r="O25">
            <v>0</v>
          </cell>
          <cell r="P25">
            <v>735</v>
          </cell>
          <cell r="Q25">
            <v>0</v>
          </cell>
        </row>
        <row r="26">
          <cell r="C26">
            <v>0</v>
          </cell>
          <cell r="D26">
            <v>150</v>
          </cell>
          <cell r="E26">
            <v>0</v>
          </cell>
          <cell r="F26">
            <v>0</v>
          </cell>
          <cell r="G26">
            <v>210</v>
          </cell>
          <cell r="H26">
            <v>0</v>
          </cell>
          <cell r="I26">
            <v>0</v>
          </cell>
          <cell r="J26">
            <v>270</v>
          </cell>
          <cell r="M26">
            <v>360</v>
          </cell>
          <cell r="N26">
            <v>0</v>
          </cell>
          <cell r="O26">
            <v>0</v>
          </cell>
          <cell r="P26">
            <v>480</v>
          </cell>
          <cell r="Q26">
            <v>0</v>
          </cell>
        </row>
        <row r="34">
          <cell r="E34">
            <v>84</v>
          </cell>
        </row>
        <row r="35">
          <cell r="E35">
            <v>317.7</v>
          </cell>
          <cell r="H35">
            <v>326.81798999999995</v>
          </cell>
          <cell r="K35">
            <v>336.197666313</v>
          </cell>
          <cell r="N35">
            <v>345.84653933618307</v>
          </cell>
          <cell r="Q35">
            <v>355.7723350151315</v>
          </cell>
        </row>
        <row r="36">
          <cell r="E36">
            <v>277.16</v>
          </cell>
          <cell r="H36">
            <v>285.11449200000004</v>
          </cell>
          <cell r="K36">
            <v>293.2972779204</v>
          </cell>
          <cell r="N36">
            <v>301.71490979671546</v>
          </cell>
          <cell r="Q36">
            <v>310.3741277078812</v>
          </cell>
        </row>
        <row r="37">
          <cell r="E37">
            <v>174.07</v>
          </cell>
          <cell r="H37">
            <v>179.065809</v>
          </cell>
          <cell r="K37">
            <v>184.20499771829998</v>
          </cell>
          <cell r="N37">
            <v>189.4916811528152</v>
          </cell>
          <cell r="Q37">
            <v>194.930092401901</v>
          </cell>
        </row>
        <row r="38">
          <cell r="E38">
            <v>17.86</v>
          </cell>
          <cell r="H38">
            <v>18.372581999999998</v>
          </cell>
          <cell r="K38">
            <v>18.8998751034</v>
          </cell>
          <cell r="N38">
            <v>19.44230151886758</v>
          </cell>
          <cell r="Q38">
            <v>20.00029557245908</v>
          </cell>
        </row>
        <row r="39">
          <cell r="E39">
            <v>1913.7599999999998</v>
          </cell>
          <cell r="H39">
            <v>1968.6849119999997</v>
          </cell>
          <cell r="K39">
            <v>2025.1861689744</v>
          </cell>
          <cell r="N39">
            <v>2083.3090120239654</v>
          </cell>
          <cell r="Q39">
            <v>2143.099980669053</v>
          </cell>
        </row>
        <row r="40">
          <cell r="E40">
            <v>1856.6999999999998</v>
          </cell>
          <cell r="H40">
            <v>1909.98729</v>
          </cell>
          <cell r="K40">
            <v>1964.803925223</v>
          </cell>
          <cell r="N40">
            <v>2021.1937978769001</v>
          </cell>
          <cell r="Q40">
            <v>2079.2020598759673</v>
          </cell>
        </row>
        <row r="41">
          <cell r="E41">
            <v>98.22999999999999</v>
          </cell>
          <cell r="H41">
            <v>101.04920099999998</v>
          </cell>
          <cell r="K41">
            <v>103.94931306870001</v>
          </cell>
          <cell r="N41">
            <v>106.9326583537717</v>
          </cell>
          <cell r="Q41">
            <v>110.00162564852494</v>
          </cell>
        </row>
        <row r="42">
          <cell r="E42">
            <v>70</v>
          </cell>
          <cell r="H42">
            <v>72.009</v>
          </cell>
          <cell r="K42">
            <v>74.0756583</v>
          </cell>
          <cell r="N42">
            <v>76.20162969321</v>
          </cell>
          <cell r="Q42">
            <v>78.38861646540512</v>
          </cell>
        </row>
        <row r="43">
          <cell r="E43">
            <v>133.95</v>
          </cell>
          <cell r="H43">
            <v>137.79436499999997</v>
          </cell>
          <cell r="K43">
            <v>141.7490632755</v>
          </cell>
          <cell r="N43">
            <v>145.81726139150686</v>
          </cell>
          <cell r="Q43">
            <v>150.0022167934431</v>
          </cell>
        </row>
        <row r="52">
          <cell r="E52">
            <v>10740</v>
          </cell>
          <cell r="H52">
            <v>11384.400000000001</v>
          </cell>
          <cell r="K52">
            <v>12067.464</v>
          </cell>
          <cell r="N52">
            <v>12791.511840000001</v>
          </cell>
          <cell r="Q52">
            <v>13634.759999999997</v>
          </cell>
        </row>
        <row r="56">
          <cell r="E56">
            <v>0</v>
          </cell>
        </row>
        <row r="57">
          <cell r="E57">
            <v>1304.9099999999999</v>
          </cell>
          <cell r="H57">
            <v>1383.2045999999998</v>
          </cell>
          <cell r="K57">
            <v>1466.196876</v>
          </cell>
          <cell r="Q57">
            <v>1656.6233399999994</v>
          </cell>
        </row>
        <row r="58">
          <cell r="E58">
            <v>500</v>
          </cell>
          <cell r="N58">
            <v>75</v>
          </cell>
        </row>
        <row r="59">
          <cell r="A59" t="str">
            <v>Logística de control de Vendedores</v>
          </cell>
          <cell r="E59">
            <v>840</v>
          </cell>
          <cell r="H59">
            <v>1080</v>
          </cell>
          <cell r="K59">
            <v>1320</v>
          </cell>
          <cell r="N59">
            <v>1560</v>
          </cell>
          <cell r="Q59">
            <v>1800</v>
          </cell>
        </row>
        <row r="68">
          <cell r="E68">
            <v>10120</v>
          </cell>
          <cell r="H68">
            <v>11727.2</v>
          </cell>
          <cell r="K68">
            <v>12464.831999999999</v>
          </cell>
          <cell r="N68">
            <v>15141.853120000003</v>
          </cell>
          <cell r="Q68">
            <v>16452.5905472</v>
          </cell>
        </row>
        <row r="73">
          <cell r="E73">
            <v>6000</v>
          </cell>
          <cell r="H73">
            <v>5000</v>
          </cell>
          <cell r="K73">
            <v>4000</v>
          </cell>
          <cell r="N73">
            <v>4000</v>
          </cell>
          <cell r="Q73">
            <v>4000</v>
          </cell>
        </row>
        <row r="74">
          <cell r="E74">
            <v>278.20000000000005</v>
          </cell>
          <cell r="H74">
            <v>286.18434</v>
          </cell>
          <cell r="K74">
            <v>319.1</v>
          </cell>
          <cell r="N74">
            <v>420</v>
          </cell>
          <cell r="Q74">
            <v>480</v>
          </cell>
        </row>
        <row r="75">
          <cell r="E75">
            <v>520.7199999999999</v>
          </cell>
          <cell r="H75">
            <v>696</v>
          </cell>
          <cell r="K75">
            <v>780</v>
          </cell>
          <cell r="N75">
            <v>1080</v>
          </cell>
          <cell r="Q75">
            <v>1320</v>
          </cell>
        </row>
        <row r="76">
          <cell r="H76">
            <v>30</v>
          </cell>
          <cell r="K76">
            <v>36</v>
          </cell>
          <cell r="N76">
            <v>40</v>
          </cell>
          <cell r="Q76">
            <v>45</v>
          </cell>
        </row>
        <row r="83">
          <cell r="E83">
            <v>2640</v>
          </cell>
          <cell r="H83">
            <v>2880</v>
          </cell>
          <cell r="K83">
            <v>3120</v>
          </cell>
          <cell r="N83">
            <v>3360</v>
          </cell>
          <cell r="Q83">
            <v>3600</v>
          </cell>
        </row>
        <row r="84">
          <cell r="A84" t="str">
            <v>Contribución Comuna Cauchiche</v>
          </cell>
          <cell r="E84">
            <v>360</v>
          </cell>
          <cell r="H84">
            <v>480</v>
          </cell>
          <cell r="K84">
            <v>600</v>
          </cell>
          <cell r="N84">
            <v>720</v>
          </cell>
          <cell r="Q84">
            <v>840</v>
          </cell>
        </row>
        <row r="85">
          <cell r="E85">
            <v>200</v>
          </cell>
          <cell r="H85">
            <v>400</v>
          </cell>
          <cell r="K85">
            <v>500</v>
          </cell>
          <cell r="N85">
            <v>600</v>
          </cell>
          <cell r="Q85">
            <v>950</v>
          </cell>
        </row>
        <row r="86">
          <cell r="E86">
            <v>450</v>
          </cell>
          <cell r="H86">
            <v>636</v>
          </cell>
          <cell r="K86">
            <v>960</v>
          </cell>
          <cell r="N86">
            <v>1200</v>
          </cell>
          <cell r="Q86">
            <v>1440</v>
          </cell>
        </row>
        <row r="87">
          <cell r="E87">
            <v>480</v>
          </cell>
          <cell r="H87">
            <v>600</v>
          </cell>
          <cell r="K87">
            <v>1080</v>
          </cell>
          <cell r="N87">
            <v>1320</v>
          </cell>
          <cell r="Q87">
            <v>1560</v>
          </cell>
        </row>
        <row r="88">
          <cell r="E88">
            <v>240</v>
          </cell>
          <cell r="H88">
            <v>246.88800000000006</v>
          </cell>
          <cell r="K88">
            <v>253.97368559999998</v>
          </cell>
          <cell r="N88">
            <v>261.26273037672007</v>
          </cell>
          <cell r="Q88">
            <v>268.76097073853185</v>
          </cell>
        </row>
        <row r="90">
          <cell r="H90">
            <v>210</v>
          </cell>
          <cell r="K90">
            <v>220</v>
          </cell>
          <cell r="N90">
            <v>230</v>
          </cell>
          <cell r="Q90">
            <v>240</v>
          </cell>
        </row>
        <row r="91">
          <cell r="E91">
            <v>183.38464</v>
          </cell>
          <cell r="H91">
            <v>188.03404</v>
          </cell>
          <cell r="K91">
            <v>193.05687777999998</v>
          </cell>
          <cell r="N91">
            <v>200.098423004286</v>
          </cell>
          <cell r="Q91">
            <v>205.15973524850898</v>
          </cell>
        </row>
        <row r="112">
          <cell r="B112">
            <v>300</v>
          </cell>
        </row>
        <row r="128">
          <cell r="Q128">
            <v>124002.23902624764</v>
          </cell>
        </row>
      </sheetData>
      <sheetData sheetId="32">
        <row r="88">
          <cell r="D88">
            <v>300</v>
          </cell>
        </row>
        <row r="97">
          <cell r="P97">
            <v>8747.127849356448</v>
          </cell>
        </row>
        <row r="100">
          <cell r="G100">
            <v>716.6058919483331</v>
          </cell>
          <cell r="J100">
            <v>1909.0399974763136</v>
          </cell>
          <cell r="M100">
            <v>2998.425796424861</v>
          </cell>
          <cell r="P100">
            <v>4956.705781301988</v>
          </cell>
        </row>
        <row r="101">
          <cell r="P101">
            <v>12391.76445325497</v>
          </cell>
        </row>
        <row r="103">
          <cell r="G103">
            <v>4657.9382976641655</v>
          </cell>
          <cell r="J103">
            <v>12408.75998359604</v>
          </cell>
          <cell r="M103">
            <v>19489.767676761596</v>
          </cell>
          <cell r="P103">
            <v>32218.587578462924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r."/>
      <sheetName val="FLUJO EFECTIVO  PROYECTADO "/>
      <sheetName val="Act.Fijos"/>
      <sheetName val="FLUJO MENSUAL ANO 1"/>
      <sheetName val="FlUJO 2 AÑO"/>
      <sheetName val="FLUJO 3 AÑO"/>
      <sheetName val="FLUJO 4 AÑO"/>
      <sheetName val="FLUJO 5 AÑO"/>
      <sheetName val="Deprec."/>
      <sheetName val="Supuestos"/>
      <sheetName val="p y g  2006 Y PROYECTADO"/>
      <sheetName val="BALANCE"/>
      <sheetName val="FLUJO EFECTIVO  PROYECTADO  (2)"/>
      <sheetName val="Ingresos"/>
      <sheetName val="Balance al año 5"/>
      <sheetName val="Costos"/>
      <sheetName val="Desglose"/>
      <sheetName val="T. Mercado "/>
      <sheetName val="T. Amort."/>
      <sheetName val="VAN"/>
      <sheetName val="Punto Equil."/>
      <sheetName val="PRC"/>
      <sheetName val="Flujo de Caja"/>
      <sheetName val="Balance de p y g"/>
      <sheetName val="ADMINISTRATIVODS"/>
      <sheetName val="Tour Zona Loja-Sur"/>
      <sheetName val="Tour Loja"/>
      <sheetName val="Tour Loja Caro"/>
      <sheetName val="Tour Baños"/>
    </sheetNames>
    <sheetDataSet>
      <sheetData sheetId="1">
        <row r="6">
          <cell r="H6">
            <v>120</v>
          </cell>
          <cell r="N6">
            <v>60</v>
          </cell>
          <cell r="Q6">
            <v>120</v>
          </cell>
          <cell r="S6">
            <v>60</v>
          </cell>
          <cell r="U6">
            <v>60</v>
          </cell>
          <cell r="W6">
            <v>120</v>
          </cell>
          <cell r="Y6">
            <v>120</v>
          </cell>
          <cell r="AA6">
            <v>30</v>
          </cell>
        </row>
        <row r="7">
          <cell r="H7">
            <v>120</v>
          </cell>
          <cell r="N7">
            <v>0</v>
          </cell>
          <cell r="Q7">
            <v>120</v>
          </cell>
          <cell r="S7">
            <v>0</v>
          </cell>
          <cell r="U7">
            <v>0</v>
          </cell>
          <cell r="W7">
            <v>120</v>
          </cell>
          <cell r="Y7">
            <v>0</v>
          </cell>
          <cell r="AA7">
            <v>0</v>
          </cell>
        </row>
        <row r="42">
          <cell r="H42">
            <v>40</v>
          </cell>
        </row>
        <row r="43">
          <cell r="H43">
            <v>6</v>
          </cell>
        </row>
        <row r="44">
          <cell r="H44">
            <v>6</v>
          </cell>
        </row>
        <row r="45">
          <cell r="H45">
            <v>0</v>
          </cell>
        </row>
        <row r="46">
          <cell r="H46">
            <v>16</v>
          </cell>
        </row>
        <row r="47">
          <cell r="H47">
            <v>40</v>
          </cell>
        </row>
        <row r="48">
          <cell r="H48">
            <v>5</v>
          </cell>
        </row>
        <row r="49">
          <cell r="H49">
            <v>1</v>
          </cell>
        </row>
        <row r="50">
          <cell r="H5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workbookViewId="0" topLeftCell="A1">
      <selection activeCell="A1" sqref="A1:Q1"/>
    </sheetView>
  </sheetViews>
  <sheetFormatPr defaultColWidth="11.421875" defaultRowHeight="12.75"/>
  <cols>
    <col min="1" max="1" width="34.140625" style="0" customWidth="1"/>
    <col min="2" max="2" width="16.28125" style="0" customWidth="1"/>
    <col min="3" max="3" width="0.13671875" style="0" hidden="1" customWidth="1"/>
    <col min="4" max="4" width="7.00390625" style="0" hidden="1" customWidth="1"/>
    <col min="5" max="5" width="12.28125" style="0" customWidth="1"/>
    <col min="6" max="6" width="0.13671875" style="0" customWidth="1"/>
    <col min="7" max="7" width="7.7109375" style="0" hidden="1" customWidth="1"/>
    <col min="8" max="8" width="12.8515625" style="0" bestFit="1" customWidth="1"/>
    <col min="9" max="9" width="0.13671875" style="0" customWidth="1"/>
    <col min="10" max="10" width="5.8515625" style="0" hidden="1" customWidth="1"/>
    <col min="11" max="11" width="13.421875" style="0" customWidth="1"/>
    <col min="12" max="12" width="0.13671875" style="0" customWidth="1"/>
    <col min="13" max="13" width="6.00390625" style="0" hidden="1" customWidth="1"/>
    <col min="14" max="14" width="12.8515625" style="0" customWidth="1"/>
    <col min="15" max="15" width="0.13671875" style="0" customWidth="1"/>
    <col min="16" max="16" width="6.00390625" style="0" hidden="1" customWidth="1"/>
    <col min="17" max="17" width="12.57421875" style="0" customWidth="1"/>
  </cols>
  <sheetData>
    <row r="1" spans="1:17" ht="20.25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</row>
    <row r="2" ht="24.75" customHeight="1"/>
    <row r="3" spans="1:17" ht="18">
      <c r="A3" s="481" t="s">
        <v>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</row>
    <row r="4" ht="44.25" customHeight="1"/>
    <row r="5" spans="1:17" ht="15.75">
      <c r="A5" s="482" t="s">
        <v>2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4"/>
    </row>
    <row r="6" spans="1:17" ht="12.75">
      <c r="A6" s="2" t="s">
        <v>3</v>
      </c>
      <c r="B6" s="3" t="s">
        <v>4</v>
      </c>
      <c r="C6" s="487" t="s">
        <v>5</v>
      </c>
      <c r="D6" s="488"/>
      <c r="E6" s="486"/>
      <c r="F6" s="486" t="s">
        <v>6</v>
      </c>
      <c r="G6" s="485"/>
      <c r="H6" s="485"/>
      <c r="I6" s="485" t="s">
        <v>7</v>
      </c>
      <c r="J6" s="485"/>
      <c r="K6" s="485"/>
      <c r="L6" s="485" t="s">
        <v>8</v>
      </c>
      <c r="M6" s="485"/>
      <c r="N6" s="485"/>
      <c r="O6" s="485" t="s">
        <v>9</v>
      </c>
      <c r="P6" s="485"/>
      <c r="Q6" s="485"/>
    </row>
    <row r="7" spans="1:17" ht="12.75">
      <c r="A7" s="4" t="s">
        <v>10</v>
      </c>
      <c r="B7" s="5"/>
      <c r="C7" s="6"/>
      <c r="D7" s="7"/>
      <c r="E7" s="8">
        <f>'[1]FLUJO 1 '!B131</f>
        <v>27316</v>
      </c>
      <c r="F7" s="9"/>
      <c r="G7" s="10"/>
      <c r="H7" s="8">
        <f>E128</f>
        <v>6045.718693333314</v>
      </c>
      <c r="I7" s="10"/>
      <c r="J7" s="10"/>
      <c r="K7" s="11">
        <f>H128</f>
        <v>19733.16407233331</v>
      </c>
      <c r="L7" s="12"/>
      <c r="M7" s="13"/>
      <c r="N7" s="14">
        <f>'[1]FLUJO 3'!AC117</f>
        <v>43553.88779090249</v>
      </c>
      <c r="O7" s="12"/>
      <c r="P7" s="13"/>
      <c r="Q7" s="14">
        <f>N128</f>
        <v>74042.38809234992</v>
      </c>
    </row>
    <row r="8" spans="1:17" ht="12.75">
      <c r="A8" s="15" t="s">
        <v>11</v>
      </c>
      <c r="B8" s="16">
        <f>'[1]FLUJO 1 '!B16</f>
        <v>31000</v>
      </c>
      <c r="C8" s="17"/>
      <c r="D8" s="18"/>
      <c r="E8" s="19"/>
      <c r="F8" s="17"/>
      <c r="G8" s="18"/>
      <c r="H8" s="19"/>
      <c r="I8" s="20"/>
      <c r="J8" s="18"/>
      <c r="K8" s="18"/>
      <c r="L8" s="21"/>
      <c r="M8" s="22"/>
      <c r="N8" s="23"/>
      <c r="O8" s="21"/>
      <c r="P8" s="22"/>
      <c r="Q8" s="23"/>
    </row>
    <row r="9" spans="1:17" ht="12.75">
      <c r="A9" s="24"/>
      <c r="B9" s="25"/>
      <c r="C9" s="17"/>
      <c r="D9" s="18"/>
      <c r="E9" s="19"/>
      <c r="F9" s="17"/>
      <c r="G9" s="18"/>
      <c r="H9" s="19"/>
      <c r="I9" s="18"/>
      <c r="J9" s="18"/>
      <c r="K9" s="18"/>
      <c r="L9" s="21"/>
      <c r="M9" s="22"/>
      <c r="N9" s="23"/>
      <c r="O9" s="21"/>
      <c r="P9" s="22"/>
      <c r="Q9" s="23"/>
    </row>
    <row r="10" spans="1:17" ht="12.75">
      <c r="A10" s="26" t="s">
        <v>12</v>
      </c>
      <c r="B10" s="27"/>
      <c r="C10" s="28" t="s">
        <v>13</v>
      </c>
      <c r="D10" s="28" t="s">
        <v>14</v>
      </c>
      <c r="E10" s="29" t="s">
        <v>15</v>
      </c>
      <c r="F10" s="28" t="s">
        <v>13</v>
      </c>
      <c r="G10" s="30" t="s">
        <v>14</v>
      </c>
      <c r="H10" s="30" t="s">
        <v>15</v>
      </c>
      <c r="I10" s="28" t="s">
        <v>13</v>
      </c>
      <c r="J10" s="30" t="s">
        <v>14</v>
      </c>
      <c r="K10" s="30" t="s">
        <v>15</v>
      </c>
      <c r="L10" s="30" t="s">
        <v>13</v>
      </c>
      <c r="M10" s="30" t="s">
        <v>14</v>
      </c>
      <c r="N10" s="30" t="s">
        <v>15</v>
      </c>
      <c r="O10" s="30" t="s">
        <v>13</v>
      </c>
      <c r="P10" s="31" t="s">
        <v>14</v>
      </c>
      <c r="Q10" s="31" t="s">
        <v>15</v>
      </c>
    </row>
    <row r="11" spans="1:17" ht="12.75">
      <c r="A11" s="32" t="s">
        <v>16</v>
      </c>
      <c r="B11" s="33"/>
      <c r="C11" s="16">
        <f>'[1]FLUJO 1 '!C19</f>
        <v>50</v>
      </c>
      <c r="D11" s="34">
        <f>'[1]FLUJO 1 '!AC19</f>
        <v>480</v>
      </c>
      <c r="E11" s="35">
        <f>D11*C11</f>
        <v>24000</v>
      </c>
      <c r="F11" s="16">
        <f>'[1]FLUJO 2'!C16</f>
        <v>61</v>
      </c>
      <c r="G11" s="34">
        <f>'[1]FLUJO 2'!AB16</f>
        <v>810</v>
      </c>
      <c r="H11" s="36">
        <f>G11*F11</f>
        <v>49410</v>
      </c>
      <c r="I11" s="16">
        <f>'[1]FLUJO 3'!C18</f>
        <v>64</v>
      </c>
      <c r="J11" s="34">
        <f>'[1]FLUJO 3'!AB18</f>
        <v>990</v>
      </c>
      <c r="K11" s="37">
        <f>J11*I11</f>
        <v>63360</v>
      </c>
      <c r="L11" s="38">
        <f>'[1]FLUJO 4'!C18</f>
        <v>67</v>
      </c>
      <c r="M11" s="34">
        <f>'[1]FLUJO 4'!AB18</f>
        <v>1230</v>
      </c>
      <c r="N11" s="39">
        <f>M11*L11</f>
        <v>82410</v>
      </c>
      <c r="O11" s="40">
        <f>'[1]FLUJO 5'!C18</f>
        <v>70</v>
      </c>
      <c r="P11" s="34">
        <f>'[1]FLUJO 5'!AB18</f>
        <v>1470</v>
      </c>
      <c r="Q11" s="39">
        <f>P11*O11</f>
        <v>102900</v>
      </c>
    </row>
    <row r="12" spans="1:17" ht="12.75">
      <c r="A12" s="32" t="s">
        <v>17</v>
      </c>
      <c r="B12" s="41"/>
      <c r="C12" s="16">
        <f>'[1]FLUJO 1 '!C20</f>
        <v>130</v>
      </c>
      <c r="D12" s="34">
        <f>'[1]FLUJO 1 '!AC20</f>
        <v>300</v>
      </c>
      <c r="E12" s="35">
        <f>D12*C12</f>
        <v>39000</v>
      </c>
      <c r="F12" s="16">
        <f>'[1]FLUJO 2'!C17</f>
        <v>150</v>
      </c>
      <c r="G12" s="34">
        <f>'[1]FLUJO 2'!AB17</f>
        <v>420</v>
      </c>
      <c r="H12" s="36">
        <f>G12*F12</f>
        <v>63000</v>
      </c>
      <c r="I12" s="16">
        <f>'[1]FLUJO 3'!C19</f>
        <v>158</v>
      </c>
      <c r="J12" s="34">
        <f>'[1]FLUJO 3'!AB19</f>
        <v>540</v>
      </c>
      <c r="K12" s="36">
        <f>J12*I12</f>
        <v>85320</v>
      </c>
      <c r="L12" s="42">
        <f>'[1]FLUJO 4'!C19</f>
        <v>166</v>
      </c>
      <c r="M12" s="34">
        <f>'[1]FLUJO 4'!AB19</f>
        <v>720</v>
      </c>
      <c r="N12" s="36">
        <f>M12*L12</f>
        <v>119520</v>
      </c>
      <c r="O12" s="16">
        <f>'[1]FLUJO 5'!C19</f>
        <v>174</v>
      </c>
      <c r="P12" s="34">
        <f>'[1]FLUJO 5'!AB19</f>
        <v>960</v>
      </c>
      <c r="Q12" s="43">
        <f>P12*O12</f>
        <v>167040</v>
      </c>
    </row>
    <row r="13" spans="1:17" ht="12.75">
      <c r="A13" s="32" t="s">
        <v>18</v>
      </c>
      <c r="B13" s="32"/>
      <c r="C13" s="16">
        <f>'[1]FLUJO 1 '!C21</f>
        <v>3</v>
      </c>
      <c r="D13" s="34">
        <f>'[1]FLUJO 1 '!AC21</f>
        <v>240</v>
      </c>
      <c r="E13" s="35">
        <f>D13*C13</f>
        <v>720</v>
      </c>
      <c r="F13" s="16">
        <f>'[1]FLUJO 2'!C18</f>
        <v>3.5</v>
      </c>
      <c r="G13" s="34">
        <f>'[1]FLUJO 2'!AB18</f>
        <v>405</v>
      </c>
      <c r="H13" s="36">
        <f>G13*F13</f>
        <v>1417.5</v>
      </c>
      <c r="I13" s="16">
        <f>'[1]FLUJO 3'!C20</f>
        <v>4</v>
      </c>
      <c r="J13" s="34">
        <f>'[1]FLUJO 3'!AB20</f>
        <v>495</v>
      </c>
      <c r="K13" s="36">
        <f>J13*I13</f>
        <v>1980</v>
      </c>
      <c r="L13" s="42">
        <f>'[1]FLUJO 4'!C20</f>
        <v>4.5</v>
      </c>
      <c r="M13" s="34">
        <f>'[1]FLUJO 4'!AB20</f>
        <v>615</v>
      </c>
      <c r="N13" s="36">
        <f>M13*L13</f>
        <v>2767.5</v>
      </c>
      <c r="O13" s="16">
        <f>'[1]FLUJO 5'!C20</f>
        <v>5</v>
      </c>
      <c r="P13" s="34">
        <f>'[1]FLUJO 5'!AB20</f>
        <v>735</v>
      </c>
      <c r="Q13" s="43">
        <f>P13*O13</f>
        <v>3675</v>
      </c>
    </row>
    <row r="14" spans="1:17" ht="12.75">
      <c r="A14" s="32" t="s">
        <v>19</v>
      </c>
      <c r="B14" s="32"/>
      <c r="C14" s="44">
        <f>'[1]FLUJO 1 '!C22</f>
        <v>6</v>
      </c>
      <c r="D14" s="45">
        <f>'[1]FLUJO 1 '!AC22</f>
        <v>150</v>
      </c>
      <c r="E14" s="46">
        <f>D14*C14</f>
        <v>900</v>
      </c>
      <c r="F14" s="44">
        <f>'[1]FLUJO 2'!C19</f>
        <v>7</v>
      </c>
      <c r="G14" s="45">
        <f>'[1]FLUJO 2'!AB19</f>
        <v>210</v>
      </c>
      <c r="H14" s="47">
        <f>G14*F14</f>
        <v>1470</v>
      </c>
      <c r="I14" s="44">
        <f>'[1]FLUJO 3'!C21</f>
        <v>8</v>
      </c>
      <c r="J14" s="45">
        <f>'[1]FLUJO 3'!AB21</f>
        <v>270</v>
      </c>
      <c r="K14" s="47">
        <f>J14*I14</f>
        <v>2160</v>
      </c>
      <c r="L14" s="48">
        <f>'[1]FLUJO 4'!C21</f>
        <v>9</v>
      </c>
      <c r="M14" s="45">
        <f>'[1]FLUJO 4'!AB21</f>
        <v>360</v>
      </c>
      <c r="N14" s="47">
        <f>M14*L14</f>
        <v>3240</v>
      </c>
      <c r="O14" s="44">
        <f>'[1]FLUJO 5'!C21</f>
        <v>10</v>
      </c>
      <c r="P14" s="45">
        <f>'[1]FLUJO 5'!AB21</f>
        <v>480</v>
      </c>
      <c r="Q14" s="49">
        <f>P14*O14</f>
        <v>4800</v>
      </c>
    </row>
    <row r="15" spans="1:17" ht="12.75">
      <c r="A15" s="50" t="s">
        <v>20</v>
      </c>
      <c r="B15" s="50"/>
      <c r="C15" s="51"/>
      <c r="D15" s="34">
        <f>SUM(D11:D14)</f>
        <v>1170</v>
      </c>
      <c r="E15" s="52">
        <f>SUM(E11:E14)</f>
        <v>64620</v>
      </c>
      <c r="F15" s="51"/>
      <c r="G15" s="34">
        <f>SUM(G11:G14)</f>
        <v>1845</v>
      </c>
      <c r="H15" s="53">
        <f>SUM(H11:H14)</f>
        <v>115297.5</v>
      </c>
      <c r="I15" s="54"/>
      <c r="J15" s="34">
        <f>SUM(J11:J14)</f>
        <v>2295</v>
      </c>
      <c r="K15" s="55">
        <f>SUM(K11:K14)</f>
        <v>152820</v>
      </c>
      <c r="L15" s="56"/>
      <c r="M15" s="34">
        <f>SUM(M11:M14)</f>
        <v>2925</v>
      </c>
      <c r="N15" s="55">
        <f>SUM(N11:N14)</f>
        <v>207937.5</v>
      </c>
      <c r="O15" s="51"/>
      <c r="P15" s="34">
        <f>SUM(P11:P14)</f>
        <v>3645</v>
      </c>
      <c r="Q15" s="52">
        <f>SUM(Q11:Q14)</f>
        <v>278415</v>
      </c>
    </row>
    <row r="16" spans="1:17" ht="12.75">
      <c r="A16" s="50"/>
      <c r="B16" s="50"/>
      <c r="C16" s="51"/>
      <c r="D16" s="57"/>
      <c r="E16" s="58"/>
      <c r="F16" s="51"/>
      <c r="G16" s="57"/>
      <c r="H16" s="58"/>
      <c r="I16" s="54"/>
      <c r="J16" s="57"/>
      <c r="K16" s="59"/>
      <c r="L16" s="56"/>
      <c r="M16" s="57"/>
      <c r="N16" s="58"/>
      <c r="O16" s="51"/>
      <c r="P16" s="57"/>
      <c r="Q16" s="58"/>
    </row>
    <row r="17" spans="1:17" ht="12.75">
      <c r="A17" s="60" t="s">
        <v>21</v>
      </c>
      <c r="B17" s="50"/>
      <c r="C17" s="51"/>
      <c r="D17" s="57"/>
      <c r="E17" s="58">
        <f>+E15*12%</f>
        <v>7754.4</v>
      </c>
      <c r="F17" s="51"/>
      <c r="G17" s="34"/>
      <c r="H17" s="58">
        <f>+H15*12%</f>
        <v>13835.699999999999</v>
      </c>
      <c r="I17" s="54"/>
      <c r="J17" s="34"/>
      <c r="K17" s="59">
        <f>+K15*12%</f>
        <v>18338.399999999998</v>
      </c>
      <c r="L17" s="51"/>
      <c r="M17" s="57"/>
      <c r="N17" s="58">
        <f>+N15*12%</f>
        <v>24952.5</v>
      </c>
      <c r="O17" s="51"/>
      <c r="P17" s="61"/>
      <c r="Q17" s="58">
        <f>+Q15*12%</f>
        <v>33409.799999999996</v>
      </c>
    </row>
    <row r="18" spans="1:17" ht="12.75">
      <c r="A18" s="62"/>
      <c r="B18" s="62"/>
      <c r="C18" s="62"/>
      <c r="D18" s="34"/>
      <c r="E18" s="41"/>
      <c r="F18" s="62"/>
      <c r="G18" s="34"/>
      <c r="H18" s="63"/>
      <c r="I18" s="64"/>
      <c r="J18" s="34"/>
      <c r="K18" s="65"/>
      <c r="L18" s="62"/>
      <c r="M18" s="57"/>
      <c r="N18" s="62"/>
      <c r="O18" s="62"/>
      <c r="P18" s="57"/>
      <c r="Q18" s="62"/>
    </row>
    <row r="19" spans="1:17" ht="12.75">
      <c r="A19" s="66" t="s">
        <v>22</v>
      </c>
      <c r="B19" s="67">
        <f>+B8</f>
        <v>31000</v>
      </c>
      <c r="C19" s="68"/>
      <c r="D19" s="69"/>
      <c r="E19" s="70">
        <f>+E17+E15+E7</f>
        <v>99690.4</v>
      </c>
      <c r="F19" s="68"/>
      <c r="G19" s="69"/>
      <c r="H19" s="71">
        <f>+H17+H15+H7</f>
        <v>135178.9186933333</v>
      </c>
      <c r="I19" s="71"/>
      <c r="J19" s="71"/>
      <c r="K19" s="71">
        <f>+K17+K15+K7</f>
        <v>190891.5640723333</v>
      </c>
      <c r="L19" s="71"/>
      <c r="M19" s="71"/>
      <c r="N19" s="71">
        <f>+N17+N15+N7</f>
        <v>276443.8877909025</v>
      </c>
      <c r="O19" s="71"/>
      <c r="P19" s="71"/>
      <c r="Q19" s="70">
        <f>+Q17+Q15+Q7</f>
        <v>385867.1880923499</v>
      </c>
    </row>
    <row r="20" spans="1:17" ht="12.75">
      <c r="A20" s="62"/>
      <c r="B20" s="62"/>
      <c r="C20" s="15"/>
      <c r="D20" s="34"/>
      <c r="E20" s="41"/>
      <c r="F20" s="15"/>
      <c r="G20" s="34"/>
      <c r="H20" s="63"/>
      <c r="I20" s="72"/>
      <c r="J20" s="57"/>
      <c r="K20" s="65"/>
      <c r="L20" s="73"/>
      <c r="M20" s="57"/>
      <c r="N20" s="62"/>
      <c r="O20" s="15"/>
      <c r="P20" s="57"/>
      <c r="Q20" s="62"/>
    </row>
    <row r="21" spans="1:17" ht="12.75">
      <c r="A21" s="74" t="s">
        <v>23</v>
      </c>
      <c r="B21" s="75"/>
      <c r="C21" s="66"/>
      <c r="D21" s="76"/>
      <c r="E21" s="77"/>
      <c r="F21" s="66"/>
      <c r="G21" s="78"/>
      <c r="H21" s="66"/>
      <c r="I21" s="79"/>
      <c r="J21" s="76"/>
      <c r="K21" s="80"/>
      <c r="L21" s="66"/>
      <c r="M21" s="76"/>
      <c r="N21" s="66"/>
      <c r="O21" s="66"/>
      <c r="P21" s="76"/>
      <c r="Q21" s="66"/>
    </row>
    <row r="22" spans="1:17" ht="12.75">
      <c r="A22" s="81" t="s">
        <v>24</v>
      </c>
      <c r="B22" s="81"/>
      <c r="C22" s="82"/>
      <c r="D22" s="83"/>
      <c r="E22" s="84"/>
      <c r="F22" s="82"/>
      <c r="G22" s="83"/>
      <c r="H22" s="82"/>
      <c r="I22" s="85"/>
      <c r="J22" s="83"/>
      <c r="K22" s="86"/>
      <c r="L22" s="87"/>
      <c r="M22" s="83"/>
      <c r="N22" s="82"/>
      <c r="O22" s="82"/>
      <c r="P22" s="83"/>
      <c r="Q22" s="82"/>
    </row>
    <row r="23" spans="1:17" ht="12.75">
      <c r="A23" s="88" t="s">
        <v>16</v>
      </c>
      <c r="B23" s="62"/>
      <c r="C23" s="89">
        <f>'[1]FLUJO 1 '!C31</f>
        <v>29.913333333333334</v>
      </c>
      <c r="D23" s="34">
        <f>D11</f>
        <v>480</v>
      </c>
      <c r="E23" s="90">
        <f>D23*C23</f>
        <v>14358.4</v>
      </c>
      <c r="F23" s="89">
        <f>'[1]FLUJO 2'!C28</f>
        <v>33.182766666666666</v>
      </c>
      <c r="G23" s="34">
        <f>+G11</f>
        <v>810</v>
      </c>
      <c r="H23" s="90">
        <f>+G23*F23</f>
        <v>26878.041</v>
      </c>
      <c r="I23" s="91">
        <f>'[1]FLUJO 3'!C30</f>
        <v>36.29467107</v>
      </c>
      <c r="J23" s="34">
        <f>+J11</f>
        <v>990</v>
      </c>
      <c r="K23" s="92">
        <f>J23*I23</f>
        <v>35931.7243593</v>
      </c>
      <c r="L23" s="89">
        <f>'[1]FLUJO 4'!C30</f>
        <v>41.809117463042334</v>
      </c>
      <c r="M23" s="34">
        <f>+M11</f>
        <v>1230</v>
      </c>
      <c r="N23" s="90">
        <f>M23*L23</f>
        <v>51425.21447954207</v>
      </c>
      <c r="O23" s="89">
        <f>'[1]FLUJO 5'!C30</f>
        <v>45.07617880089832</v>
      </c>
      <c r="P23" s="34">
        <f>+P11</f>
        <v>1470</v>
      </c>
      <c r="Q23" s="90">
        <f>P23*O23</f>
        <v>66261.98283732052</v>
      </c>
    </row>
    <row r="24" spans="1:17" ht="12.75">
      <c r="A24" s="32" t="s">
        <v>17</v>
      </c>
      <c r="B24" s="32"/>
      <c r="C24" s="89">
        <f>'[1]FLUJO 1 '!C32</f>
        <v>65.60333333333334</v>
      </c>
      <c r="D24" s="34">
        <f>D12</f>
        <v>300</v>
      </c>
      <c r="E24" s="90">
        <f>D24*C24</f>
        <v>19681</v>
      </c>
      <c r="F24" s="89">
        <f>'[1]FLUJO 2'!C29</f>
        <v>72.19626666666666</v>
      </c>
      <c r="G24" s="34">
        <f>+G12</f>
        <v>420</v>
      </c>
      <c r="H24" s="90">
        <f>+G24*F24</f>
        <v>30322.431999999997</v>
      </c>
      <c r="I24" s="91">
        <f>'[1]FLUJO 3'!C31</f>
        <v>78.35578952</v>
      </c>
      <c r="J24" s="34">
        <f>+J12</f>
        <v>540</v>
      </c>
      <c r="K24" s="92">
        <f>J24*I24</f>
        <v>42312.1263408</v>
      </c>
      <c r="L24" s="89">
        <f>'[1]FLUJO 4'!C31</f>
        <v>88.37209101255733</v>
      </c>
      <c r="M24" s="34">
        <f>+M12</f>
        <v>720</v>
      </c>
      <c r="N24" s="90">
        <f>M24*L24</f>
        <v>63627.90552904128</v>
      </c>
      <c r="O24" s="89">
        <f>'[1]FLUJO 5'!C31</f>
        <v>95.79536569128439</v>
      </c>
      <c r="P24" s="34">
        <f>+P12</f>
        <v>960</v>
      </c>
      <c r="Q24" s="90">
        <f>P24*O24</f>
        <v>91963.55106363301</v>
      </c>
    </row>
    <row r="25" spans="1:17" ht="12.75">
      <c r="A25" s="62" t="s">
        <v>18</v>
      </c>
      <c r="B25" s="62"/>
      <c r="C25" s="93">
        <f>'[1]FLUJO 1 '!C33</f>
        <v>0</v>
      </c>
      <c r="D25" s="34">
        <f>D13</f>
        <v>240</v>
      </c>
      <c r="E25" s="90">
        <f>D25*C25</f>
        <v>0</v>
      </c>
      <c r="F25" s="93">
        <f>'[1]FLUJO 2'!C30</f>
        <v>0</v>
      </c>
      <c r="G25" s="34">
        <f>+G13</f>
        <v>405</v>
      </c>
      <c r="H25" s="90">
        <f>+G25*F25</f>
        <v>0</v>
      </c>
      <c r="I25" s="94">
        <f>'[1]FLUJO 3'!C32</f>
        <v>0</v>
      </c>
      <c r="J25" s="34">
        <f>+J13</f>
        <v>495</v>
      </c>
      <c r="K25" s="92">
        <f>J25*I25</f>
        <v>0</v>
      </c>
      <c r="L25" s="95">
        <f>'[1]FLUJO 4'!C32</f>
        <v>0</v>
      </c>
      <c r="M25" s="34">
        <f>+M13</f>
        <v>615</v>
      </c>
      <c r="N25" s="90">
        <f>M25*L25</f>
        <v>0</v>
      </c>
      <c r="O25" s="93">
        <f>'[1]FLUJO 5'!C32</f>
        <v>0</v>
      </c>
      <c r="P25" s="34">
        <f>+P13</f>
        <v>735</v>
      </c>
      <c r="Q25" s="90">
        <f>P25*O25</f>
        <v>0</v>
      </c>
    </row>
    <row r="26" spans="1:17" ht="12.75">
      <c r="A26" s="62" t="s">
        <v>19</v>
      </c>
      <c r="B26" s="62"/>
      <c r="C26" s="93">
        <f>'[1]FLUJO 1 '!C34</f>
        <v>0</v>
      </c>
      <c r="D26" s="34">
        <f>D14</f>
        <v>150</v>
      </c>
      <c r="E26" s="90">
        <f>D26*C26</f>
        <v>0</v>
      </c>
      <c r="F26" s="93">
        <f>'[1]FLUJO 2'!C31</f>
        <v>0</v>
      </c>
      <c r="G26" s="34">
        <f>+G14</f>
        <v>210</v>
      </c>
      <c r="H26" s="90">
        <f>+G26*F26</f>
        <v>0</v>
      </c>
      <c r="I26" s="94">
        <f>'[1]FLUJO 3'!C33</f>
        <v>0</v>
      </c>
      <c r="J26" s="34">
        <f>+J14</f>
        <v>270</v>
      </c>
      <c r="K26" s="92">
        <f>J26*I26</f>
        <v>0</v>
      </c>
      <c r="L26" s="95">
        <f>'[1]FLUJO 4'!C33</f>
        <v>0</v>
      </c>
      <c r="M26" s="34">
        <f>+M14</f>
        <v>360</v>
      </c>
      <c r="N26" s="90">
        <f>M26*L26</f>
        <v>0</v>
      </c>
      <c r="O26" s="93">
        <f>'[1]FLUJO 5'!C33</f>
        <v>0</v>
      </c>
      <c r="P26" s="34">
        <f>+P14</f>
        <v>480</v>
      </c>
      <c r="Q26" s="90">
        <f>P26*O26</f>
        <v>0</v>
      </c>
    </row>
    <row r="27" spans="1:17" ht="12.75">
      <c r="A27" s="50" t="s">
        <v>20</v>
      </c>
      <c r="B27" s="62"/>
      <c r="C27" s="82"/>
      <c r="D27" s="96">
        <f>SUM(D23:D26)</f>
        <v>1170</v>
      </c>
      <c r="E27" s="97">
        <f>SUM(E23:E26)</f>
        <v>34039.4</v>
      </c>
      <c r="F27" s="84"/>
      <c r="G27" s="96">
        <f>SUM(G23:G26)</f>
        <v>1845</v>
      </c>
      <c r="H27" s="98">
        <f>SUM(H23:H26)</f>
        <v>57200.473</v>
      </c>
      <c r="I27" s="82"/>
      <c r="J27" s="96">
        <f>SUM(J23:J26)</f>
        <v>2295</v>
      </c>
      <c r="K27" s="98">
        <f>SUM(K23:K26)</f>
        <v>78243.85070010001</v>
      </c>
      <c r="L27" s="82"/>
      <c r="M27" s="96">
        <f>SUM(M23:M26)</f>
        <v>2925</v>
      </c>
      <c r="N27" s="98">
        <f>SUM(N23:N26)</f>
        <v>115053.12000858336</v>
      </c>
      <c r="O27" s="82"/>
      <c r="P27" s="96">
        <f>SUM(P23:P26)</f>
        <v>3645</v>
      </c>
      <c r="Q27" s="97">
        <f>SUM(Q23:Q26)</f>
        <v>158225.53390095354</v>
      </c>
    </row>
    <row r="28" spans="1:17" ht="12.75">
      <c r="A28" s="62"/>
      <c r="B28" s="62"/>
      <c r="C28" s="15"/>
      <c r="D28" s="57"/>
      <c r="E28" s="98"/>
      <c r="F28" s="62"/>
      <c r="G28" s="57"/>
      <c r="H28" s="98"/>
      <c r="I28" s="64"/>
      <c r="J28" s="57"/>
      <c r="K28" s="99"/>
      <c r="L28" s="15"/>
      <c r="M28" s="57"/>
      <c r="N28" s="98"/>
      <c r="O28" s="15"/>
      <c r="P28" s="57"/>
      <c r="Q28" s="84">
        <f>(+Q25/1.12)*0.12</f>
        <v>0</v>
      </c>
    </row>
    <row r="29" spans="1:17" ht="12.75">
      <c r="A29" s="60" t="s">
        <v>25</v>
      </c>
      <c r="B29" s="81"/>
      <c r="C29" s="62"/>
      <c r="D29" s="57"/>
      <c r="E29" s="98">
        <f>E27*0.12</f>
        <v>4084.728</v>
      </c>
      <c r="F29" s="62"/>
      <c r="G29" s="57"/>
      <c r="H29" s="99">
        <f>H27*0.12</f>
        <v>6864.0567599999995</v>
      </c>
      <c r="I29" s="64"/>
      <c r="J29" s="57"/>
      <c r="K29" s="99">
        <f>K27*0.12</f>
        <v>9389.262084012002</v>
      </c>
      <c r="L29" s="15"/>
      <c r="M29" s="57"/>
      <c r="N29" s="99">
        <f>N27*0.12</f>
        <v>13806.374401030002</v>
      </c>
      <c r="O29" s="15"/>
      <c r="P29" s="57"/>
      <c r="Q29" s="98">
        <f>Q27*0.12</f>
        <v>18987.064068114425</v>
      </c>
    </row>
    <row r="30" spans="1:17" ht="12.75">
      <c r="A30" s="81"/>
      <c r="B30" s="81"/>
      <c r="C30" s="62"/>
      <c r="D30" s="57"/>
      <c r="E30" s="98"/>
      <c r="F30" s="62"/>
      <c r="G30" s="57"/>
      <c r="H30" s="84"/>
      <c r="I30" s="64"/>
      <c r="J30" s="57"/>
      <c r="K30" s="100"/>
      <c r="L30" s="73"/>
      <c r="M30" s="57"/>
      <c r="N30" s="84"/>
      <c r="O30" s="15"/>
      <c r="P30" s="57"/>
      <c r="Q30" s="84">
        <f>+Q28+Q25</f>
        <v>0</v>
      </c>
    </row>
    <row r="31" spans="1:17" ht="12.75">
      <c r="A31" s="101" t="s">
        <v>26</v>
      </c>
      <c r="B31" s="101"/>
      <c r="C31" s="102"/>
      <c r="D31" s="103"/>
      <c r="E31" s="70">
        <f>E27+E29</f>
        <v>38124.128000000004</v>
      </c>
      <c r="F31" s="104"/>
      <c r="G31" s="105"/>
      <c r="H31" s="70">
        <f>H27+H29</f>
        <v>64064.52976</v>
      </c>
      <c r="I31" s="106"/>
      <c r="J31" s="105"/>
      <c r="K31" s="71">
        <f>K27+K29</f>
        <v>87633.11278411202</v>
      </c>
      <c r="L31" s="104"/>
      <c r="M31" s="105"/>
      <c r="N31" s="70">
        <f>N27+N29</f>
        <v>128859.49440961335</v>
      </c>
      <c r="O31" s="104"/>
      <c r="P31" s="105"/>
      <c r="Q31" s="70">
        <f>Q27+Q29</f>
        <v>177212.59796906795</v>
      </c>
    </row>
    <row r="32" spans="1:17" ht="12.75">
      <c r="A32" s="81"/>
      <c r="B32" s="81"/>
      <c r="C32" s="107"/>
      <c r="D32" s="108"/>
      <c r="E32" s="107"/>
      <c r="F32" s="107"/>
      <c r="G32" s="109"/>
      <c r="H32" s="110"/>
      <c r="I32" s="111"/>
      <c r="J32" s="109"/>
      <c r="K32" s="112"/>
      <c r="L32" s="110"/>
      <c r="M32" s="109"/>
      <c r="N32" s="110"/>
      <c r="O32" s="110"/>
      <c r="P32" s="109"/>
      <c r="Q32" s="110"/>
    </row>
    <row r="33" spans="1:17" ht="22.5">
      <c r="A33" s="113" t="s">
        <v>27</v>
      </c>
      <c r="B33" s="81"/>
      <c r="C33" s="107"/>
      <c r="D33" s="108"/>
      <c r="E33" s="114"/>
      <c r="F33" s="107"/>
      <c r="G33" s="108"/>
      <c r="H33" s="114"/>
      <c r="I33" s="115"/>
      <c r="J33" s="108"/>
      <c r="K33" s="116"/>
      <c r="L33" s="107"/>
      <c r="M33" s="108"/>
      <c r="N33" s="114"/>
      <c r="O33" s="107"/>
      <c r="P33" s="108"/>
      <c r="Q33" s="114"/>
    </row>
    <row r="34" spans="1:17" ht="12.75">
      <c r="A34" s="110" t="s">
        <v>28</v>
      </c>
      <c r="B34" s="81"/>
      <c r="C34" s="107"/>
      <c r="D34" s="108"/>
      <c r="E34" s="114">
        <f>'[1]FLUJO 1 '!AD43</f>
        <v>84</v>
      </c>
      <c r="F34" s="107"/>
      <c r="G34" s="108"/>
      <c r="H34" s="114"/>
      <c r="I34" s="115"/>
      <c r="J34" s="108"/>
      <c r="K34" s="116"/>
      <c r="L34" s="107"/>
      <c r="M34" s="108"/>
      <c r="N34" s="114"/>
      <c r="O34" s="107"/>
      <c r="P34" s="108"/>
      <c r="Q34" s="114"/>
    </row>
    <row r="35" spans="1:17" ht="12.75">
      <c r="A35" s="110" t="s">
        <v>29</v>
      </c>
      <c r="B35" s="110"/>
      <c r="C35" s="114"/>
      <c r="D35" s="117"/>
      <c r="E35" s="114">
        <f>'[1]FLUJO 1 '!AD44</f>
        <v>317.7</v>
      </c>
      <c r="F35" s="93"/>
      <c r="G35" s="117"/>
      <c r="H35" s="114">
        <f>'[1]FLUJO 2'!AC39</f>
        <v>326.81798999999995</v>
      </c>
      <c r="I35" s="118"/>
      <c r="J35" s="117"/>
      <c r="K35" s="116">
        <f>'[1]FLUJO 3'!AC41</f>
        <v>336.197666313</v>
      </c>
      <c r="L35" s="119"/>
      <c r="M35" s="117"/>
      <c r="N35" s="114">
        <f>'[1]FLUJO 4'!AC41</f>
        <v>345.84653933618307</v>
      </c>
      <c r="O35" s="114"/>
      <c r="P35" s="117"/>
      <c r="Q35" s="114">
        <f aca="true" t="shared" si="0" ref="Q35:Q43">+N35*1.0287</f>
        <v>355.7723350151315</v>
      </c>
    </row>
    <row r="36" spans="1:17" ht="12.75">
      <c r="A36" s="110" t="s">
        <v>30</v>
      </c>
      <c r="B36" s="110"/>
      <c r="C36" s="114"/>
      <c r="D36" s="117"/>
      <c r="E36" s="114">
        <f>'[1]FLUJO 1 '!AD45</f>
        <v>277.16</v>
      </c>
      <c r="F36" s="114"/>
      <c r="G36" s="117"/>
      <c r="H36" s="114">
        <f>'[1]FLUJO 2'!AC40</f>
        <v>285.11449200000004</v>
      </c>
      <c r="I36" s="118"/>
      <c r="J36" s="117"/>
      <c r="K36" s="116">
        <f>'[1]FLUJO 3'!AC42</f>
        <v>293.2972779204</v>
      </c>
      <c r="L36" s="119"/>
      <c r="M36" s="117"/>
      <c r="N36" s="114">
        <f>'[1]FLUJO 4'!AC42</f>
        <v>301.71490979671546</v>
      </c>
      <c r="O36" s="114"/>
      <c r="P36" s="117"/>
      <c r="Q36" s="114">
        <f t="shared" si="0"/>
        <v>310.3741277078812</v>
      </c>
    </row>
    <row r="37" spans="1:17" ht="12.75">
      <c r="A37" s="110" t="s">
        <v>31</v>
      </c>
      <c r="B37" s="110"/>
      <c r="C37" s="114"/>
      <c r="D37" s="117"/>
      <c r="E37" s="114">
        <f>'[1]FLUJO 1 '!AD46</f>
        <v>174.07</v>
      </c>
      <c r="F37" s="114"/>
      <c r="G37" s="117"/>
      <c r="H37" s="114">
        <f>'[1]FLUJO 2'!AC41</f>
        <v>179.065809</v>
      </c>
      <c r="I37" s="118"/>
      <c r="J37" s="117"/>
      <c r="K37" s="116">
        <f>'[1]FLUJO 3'!AC43</f>
        <v>184.20499771829998</v>
      </c>
      <c r="L37" s="119"/>
      <c r="M37" s="117"/>
      <c r="N37" s="114">
        <f>'[1]FLUJO 4'!AC43</f>
        <v>189.4916811528152</v>
      </c>
      <c r="O37" s="114"/>
      <c r="P37" s="117"/>
      <c r="Q37" s="114">
        <f t="shared" si="0"/>
        <v>194.930092401901</v>
      </c>
    </row>
    <row r="38" spans="1:17" ht="12.75">
      <c r="A38" s="110" t="s">
        <v>32</v>
      </c>
      <c r="B38" s="110"/>
      <c r="C38" s="114"/>
      <c r="D38" s="117"/>
      <c r="E38" s="114">
        <f>'[1]FLUJO 1 '!AD47</f>
        <v>17.86</v>
      </c>
      <c r="F38" s="114"/>
      <c r="G38" s="117"/>
      <c r="H38" s="114">
        <f>'[1]FLUJO 2'!AC42</f>
        <v>18.372581999999998</v>
      </c>
      <c r="I38" s="118"/>
      <c r="J38" s="117"/>
      <c r="K38" s="116">
        <f>'[1]FLUJO 3'!AC44</f>
        <v>18.8998751034</v>
      </c>
      <c r="L38" s="119"/>
      <c r="M38" s="117"/>
      <c r="N38" s="114">
        <f>'[1]FLUJO 4'!AC44</f>
        <v>19.44230151886758</v>
      </c>
      <c r="O38" s="114"/>
      <c r="P38" s="117"/>
      <c r="Q38" s="114">
        <f t="shared" si="0"/>
        <v>20.00029557245908</v>
      </c>
    </row>
    <row r="39" spans="1:17" ht="12.75">
      <c r="A39" s="110" t="s">
        <v>33</v>
      </c>
      <c r="B39" s="110"/>
      <c r="C39" s="114"/>
      <c r="D39" s="117"/>
      <c r="E39" s="114">
        <f>'[1]FLUJO 1 '!AD48</f>
        <v>1913.7599999999998</v>
      </c>
      <c r="F39" s="114"/>
      <c r="G39" s="117"/>
      <c r="H39" s="114">
        <f>'[1]FLUJO 2'!AC43</f>
        <v>1968.6849119999997</v>
      </c>
      <c r="I39" s="118"/>
      <c r="J39" s="117"/>
      <c r="K39" s="116">
        <f>'[1]FLUJO 3'!AC45</f>
        <v>2025.1861689744</v>
      </c>
      <c r="L39" s="119"/>
      <c r="M39" s="117"/>
      <c r="N39" s="114">
        <f>'[1]FLUJO 4'!AC45</f>
        <v>2083.3090120239654</v>
      </c>
      <c r="O39" s="114"/>
      <c r="P39" s="117"/>
      <c r="Q39" s="114">
        <f t="shared" si="0"/>
        <v>2143.099980669053</v>
      </c>
    </row>
    <row r="40" spans="1:17" ht="12.75">
      <c r="A40" s="110" t="s">
        <v>34</v>
      </c>
      <c r="B40" s="110"/>
      <c r="C40" s="114"/>
      <c r="D40" s="117"/>
      <c r="E40" s="114">
        <f>'[1]FLUJO 1 '!AD49</f>
        <v>1856.6999999999998</v>
      </c>
      <c r="F40" s="114"/>
      <c r="G40" s="117"/>
      <c r="H40" s="114">
        <f>'[1]FLUJO 2'!AC44</f>
        <v>1909.98729</v>
      </c>
      <c r="I40" s="118"/>
      <c r="J40" s="117"/>
      <c r="K40" s="116">
        <f>'[1]FLUJO 3'!AC46</f>
        <v>1964.803925223</v>
      </c>
      <c r="L40" s="119"/>
      <c r="M40" s="117"/>
      <c r="N40" s="114">
        <f>'[1]FLUJO 4'!AC46</f>
        <v>2021.1937978769001</v>
      </c>
      <c r="O40" s="114"/>
      <c r="P40" s="117"/>
      <c r="Q40" s="114">
        <f t="shared" si="0"/>
        <v>2079.2020598759673</v>
      </c>
    </row>
    <row r="41" spans="1:17" ht="12.75">
      <c r="A41" s="110" t="s">
        <v>35</v>
      </c>
      <c r="B41" s="110"/>
      <c r="C41" s="114"/>
      <c r="D41" s="117"/>
      <c r="E41" s="114">
        <f>'[1]FLUJO 1 '!AD50</f>
        <v>98.22999999999999</v>
      </c>
      <c r="F41" s="114"/>
      <c r="G41" s="117"/>
      <c r="H41" s="114">
        <f>'[1]FLUJO 2'!AC45</f>
        <v>101.04920099999998</v>
      </c>
      <c r="I41" s="118"/>
      <c r="J41" s="117"/>
      <c r="K41" s="116">
        <f>'[1]FLUJO 3'!AC47</f>
        <v>103.94931306870001</v>
      </c>
      <c r="L41" s="119"/>
      <c r="M41" s="117"/>
      <c r="N41" s="114">
        <f>'[1]FLUJO 4'!AC47</f>
        <v>106.9326583537717</v>
      </c>
      <c r="O41" s="114"/>
      <c r="P41" s="117"/>
      <c r="Q41" s="114">
        <f t="shared" si="0"/>
        <v>110.00162564852494</v>
      </c>
    </row>
    <row r="42" spans="1:17" ht="12.75">
      <c r="A42" s="110" t="s">
        <v>36</v>
      </c>
      <c r="B42" s="110"/>
      <c r="C42" s="114"/>
      <c r="D42" s="117"/>
      <c r="E42" s="114">
        <f>'[1]FLUJO 1 '!AD51</f>
        <v>70</v>
      </c>
      <c r="F42" s="114"/>
      <c r="G42" s="117"/>
      <c r="H42" s="114">
        <f>'[1]FLUJO 2'!AC46</f>
        <v>72.009</v>
      </c>
      <c r="I42" s="118"/>
      <c r="J42" s="117"/>
      <c r="K42" s="116">
        <f>'[1]FLUJO 3'!AC48</f>
        <v>74.0756583</v>
      </c>
      <c r="L42" s="119"/>
      <c r="M42" s="117"/>
      <c r="N42" s="114">
        <f>'[1]FLUJO 4'!AC48</f>
        <v>76.20162969321</v>
      </c>
      <c r="O42" s="114"/>
      <c r="P42" s="117"/>
      <c r="Q42" s="114">
        <f t="shared" si="0"/>
        <v>78.38861646540512</v>
      </c>
    </row>
    <row r="43" spans="1:17" ht="12.75">
      <c r="A43" s="110" t="s">
        <v>37</v>
      </c>
      <c r="B43" s="110"/>
      <c r="C43" s="120"/>
      <c r="D43" s="121"/>
      <c r="E43" s="114">
        <f>'[1]FLUJO 1 '!AD52</f>
        <v>133.95</v>
      </c>
      <c r="F43" s="120"/>
      <c r="G43" s="121"/>
      <c r="H43" s="114">
        <f>'[1]FLUJO 2'!AC47</f>
        <v>137.79436499999997</v>
      </c>
      <c r="I43" s="122"/>
      <c r="J43" s="121"/>
      <c r="K43" s="116">
        <f>'[1]FLUJO 3'!AC49</f>
        <v>141.7490632755</v>
      </c>
      <c r="L43" s="120"/>
      <c r="M43" s="121"/>
      <c r="N43" s="114">
        <f>'[1]FLUJO 4'!AC49</f>
        <v>145.81726139150686</v>
      </c>
      <c r="O43" s="120"/>
      <c r="P43" s="121"/>
      <c r="Q43" s="114">
        <f t="shared" si="0"/>
        <v>150.0022167934431</v>
      </c>
    </row>
    <row r="44" spans="1:17" ht="12.75">
      <c r="A44" s="81" t="s">
        <v>38</v>
      </c>
      <c r="B44" s="60"/>
      <c r="C44" s="15"/>
      <c r="D44" s="123"/>
      <c r="E44" s="120">
        <f>SUM(E34:E43)</f>
        <v>4943.429999999999</v>
      </c>
      <c r="F44" s="15"/>
      <c r="G44" s="123"/>
      <c r="H44" s="124">
        <f>SUM(H35:H43)</f>
        <v>4998.895640999999</v>
      </c>
      <c r="I44" s="72"/>
      <c r="J44" s="123"/>
      <c r="K44" s="125">
        <f>SUM(K35:K43)</f>
        <v>5142.3639458967</v>
      </c>
      <c r="L44" s="73"/>
      <c r="M44" s="123"/>
      <c r="N44" s="124">
        <f>SUM(N35:N43)</f>
        <v>5289.949791143935</v>
      </c>
      <c r="O44" s="82"/>
      <c r="P44" s="83"/>
      <c r="Q44" s="124">
        <f>SUM(Q35:Q43)</f>
        <v>5441.7713501497665</v>
      </c>
    </row>
    <row r="45" spans="1:17" ht="12.75">
      <c r="A45" s="15"/>
      <c r="B45" s="15"/>
      <c r="C45" s="82"/>
      <c r="D45" s="83"/>
      <c r="E45" s="82"/>
      <c r="F45" s="82"/>
      <c r="G45" s="83"/>
      <c r="H45" s="84"/>
      <c r="I45" s="85"/>
      <c r="J45" s="83"/>
      <c r="K45" s="100"/>
      <c r="L45" s="87"/>
      <c r="M45" s="83"/>
      <c r="N45" s="84"/>
      <c r="O45" s="82"/>
      <c r="P45" s="83"/>
      <c r="Q45" s="84"/>
    </row>
    <row r="46" spans="1:17" ht="12.75">
      <c r="A46" s="126" t="s">
        <v>39</v>
      </c>
      <c r="B46" s="82"/>
      <c r="C46" s="82"/>
      <c r="D46" s="83"/>
      <c r="E46" s="98">
        <f>E44*0.12</f>
        <v>593.2115999999999</v>
      </c>
      <c r="F46" s="98"/>
      <c r="G46" s="127"/>
      <c r="H46" s="98">
        <f>H44*0.12</f>
        <v>599.8674769199998</v>
      </c>
      <c r="I46" s="97"/>
      <c r="J46" s="127"/>
      <c r="K46" s="99">
        <f>K44*0.12</f>
        <v>617.083673507604</v>
      </c>
      <c r="L46" s="128"/>
      <c r="M46" s="127"/>
      <c r="N46" s="98">
        <f>N44*0.12</f>
        <v>634.7939749372722</v>
      </c>
      <c r="O46" s="98"/>
      <c r="P46" s="127"/>
      <c r="Q46" s="98">
        <f>Q44*0.12</f>
        <v>653.012562017972</v>
      </c>
    </row>
    <row r="47" spans="1:17" ht="12.75">
      <c r="A47" s="82"/>
      <c r="B47" s="82"/>
      <c r="C47" s="82"/>
      <c r="D47" s="83"/>
      <c r="E47" s="98"/>
      <c r="F47" s="98"/>
      <c r="G47" s="127"/>
      <c r="H47" s="98"/>
      <c r="I47" s="97"/>
      <c r="J47" s="127"/>
      <c r="K47" s="99"/>
      <c r="L47" s="128"/>
      <c r="M47" s="127"/>
      <c r="N47" s="98"/>
      <c r="O47" s="98"/>
      <c r="P47" s="127"/>
      <c r="Q47" s="98"/>
    </row>
    <row r="48" spans="1:17" ht="12.75">
      <c r="A48" s="66" t="s">
        <v>40</v>
      </c>
      <c r="B48" s="129"/>
      <c r="C48" s="102"/>
      <c r="D48" s="103"/>
      <c r="E48" s="130">
        <f>E44+E46</f>
        <v>5536.641599999999</v>
      </c>
      <c r="F48" s="131"/>
      <c r="G48" s="132"/>
      <c r="H48" s="130">
        <f>H46+H44</f>
        <v>5598.763117919999</v>
      </c>
      <c r="I48" s="133"/>
      <c r="J48" s="132"/>
      <c r="K48" s="134">
        <f>K46+K44</f>
        <v>5759.447619404304</v>
      </c>
      <c r="L48" s="131"/>
      <c r="M48" s="132"/>
      <c r="N48" s="130">
        <f>N46+N44</f>
        <v>5924.743766081207</v>
      </c>
      <c r="O48" s="131"/>
      <c r="P48" s="132"/>
      <c r="Q48" s="130">
        <f>Q46+Q44</f>
        <v>6094.783912167739</v>
      </c>
    </row>
    <row r="49" spans="1:17" ht="12.75">
      <c r="A49" s="15"/>
      <c r="B49" s="15"/>
      <c r="C49" s="62"/>
      <c r="D49" s="57"/>
      <c r="E49" s="41"/>
      <c r="F49" s="62"/>
      <c r="G49" s="57"/>
      <c r="H49" s="62"/>
      <c r="I49" s="64"/>
      <c r="J49" s="57"/>
      <c r="K49" s="65"/>
      <c r="L49" s="135"/>
      <c r="M49" s="57"/>
      <c r="N49" s="62"/>
      <c r="O49" s="62"/>
      <c r="P49" s="57"/>
      <c r="Q49" s="62"/>
    </row>
    <row r="50" spans="1:17" ht="12.75">
      <c r="A50" s="81" t="s">
        <v>41</v>
      </c>
      <c r="B50" s="81"/>
      <c r="C50" s="62"/>
      <c r="D50" s="57"/>
      <c r="E50" s="41"/>
      <c r="F50" s="62"/>
      <c r="G50" s="57"/>
      <c r="H50" s="62"/>
      <c r="I50" s="64"/>
      <c r="J50" s="57"/>
      <c r="K50" s="65"/>
      <c r="L50" s="135"/>
      <c r="M50" s="57"/>
      <c r="N50" s="62"/>
      <c r="O50" s="62"/>
      <c r="P50" s="57"/>
      <c r="Q50" s="62"/>
    </row>
    <row r="51" spans="1:17" ht="12.75">
      <c r="A51" s="81" t="s">
        <v>42</v>
      </c>
      <c r="B51" s="81"/>
      <c r="C51" s="136"/>
      <c r="D51" s="137"/>
      <c r="E51" s="93"/>
      <c r="F51" s="136"/>
      <c r="G51" s="137"/>
      <c r="H51" s="93"/>
      <c r="I51" s="138"/>
      <c r="J51" s="137"/>
      <c r="K51" s="139"/>
      <c r="L51" s="136"/>
      <c r="M51" s="137"/>
      <c r="N51" s="93"/>
      <c r="O51" s="136"/>
      <c r="P51" s="137"/>
      <c r="Q51" s="93"/>
    </row>
    <row r="52" spans="1:17" ht="12.75">
      <c r="A52" s="93" t="s">
        <v>43</v>
      </c>
      <c r="B52" s="93"/>
      <c r="C52" s="136"/>
      <c r="D52" s="137"/>
      <c r="E52" s="89">
        <f>'[1]FLUJO 1 '!AD61</f>
        <v>10740</v>
      </c>
      <c r="F52" s="140"/>
      <c r="G52" s="141"/>
      <c r="H52" s="89">
        <f>'[1]FLUJO 2'!AC56</f>
        <v>11384.400000000001</v>
      </c>
      <c r="I52" s="142"/>
      <c r="J52" s="141"/>
      <c r="K52" s="143">
        <f>'[1]FLUJO 3'!AC58</f>
        <v>12067.464</v>
      </c>
      <c r="L52" s="140"/>
      <c r="M52" s="141"/>
      <c r="N52" s="89">
        <f>'[1]FLUJO 4'!AC58</f>
        <v>12791.511840000001</v>
      </c>
      <c r="O52" s="140"/>
      <c r="P52" s="141"/>
      <c r="Q52" s="89">
        <f>'[1]FLUJO 5'!AC58</f>
        <v>13634.759999999997</v>
      </c>
    </row>
    <row r="53" spans="1:17" ht="12.75">
      <c r="A53" s="93" t="s">
        <v>44</v>
      </c>
      <c r="B53" s="93"/>
      <c r="C53" s="136"/>
      <c r="D53" s="137"/>
      <c r="E53" s="89">
        <f>'[1]FLUJO 1 '!AD62</f>
        <v>223.75</v>
      </c>
      <c r="F53" s="140"/>
      <c r="G53" s="141"/>
      <c r="H53" s="89">
        <f>'[1]FLUJO 2'!AC57</f>
        <v>908.4250000000001</v>
      </c>
      <c r="I53" s="142"/>
      <c r="J53" s="141"/>
      <c r="K53" s="143">
        <f>'[1]FLUJO 3'!AC59</f>
        <v>962.9304999999999</v>
      </c>
      <c r="L53" s="140"/>
      <c r="M53" s="141"/>
      <c r="N53" s="89">
        <f>'[1]FLUJO 4'!AC59</f>
        <v>1020.7063300000003</v>
      </c>
      <c r="O53" s="140"/>
      <c r="P53" s="141"/>
      <c r="Q53" s="89">
        <f>'[1]FLUJO 5'!AC59</f>
        <v>1083.52699</v>
      </c>
    </row>
    <row r="54" spans="1:17" ht="12.75">
      <c r="A54" s="93" t="s">
        <v>45</v>
      </c>
      <c r="B54" s="93"/>
      <c r="C54" s="136"/>
      <c r="D54" s="137"/>
      <c r="E54" s="89">
        <f>'[1]FLUJO 1 '!AD63</f>
        <v>466.6666666666667</v>
      </c>
      <c r="F54" s="140"/>
      <c r="G54" s="141"/>
      <c r="H54" s="89">
        <f>'[1]FLUJO 2'!AC58</f>
        <v>800</v>
      </c>
      <c r="I54" s="142"/>
      <c r="J54" s="141"/>
      <c r="K54" s="143">
        <f>'[1]FLUJO 3'!AC60</f>
        <v>800</v>
      </c>
      <c r="L54" s="140"/>
      <c r="M54" s="141"/>
      <c r="N54" s="89">
        <f>'[1]FLUJO 4'!AC60</f>
        <v>800</v>
      </c>
      <c r="O54" s="140"/>
      <c r="P54" s="141"/>
      <c r="Q54" s="89">
        <f>'[1]FLUJO 5'!AC60</f>
        <v>800</v>
      </c>
    </row>
    <row r="55" spans="1:17" ht="12.75">
      <c r="A55" s="93" t="s">
        <v>46</v>
      </c>
      <c r="B55" s="93"/>
      <c r="C55" s="136"/>
      <c r="D55" s="137"/>
      <c r="E55" s="89">
        <f>'[1]FLUJO 1 '!AD64</f>
        <v>447.5</v>
      </c>
      <c r="F55" s="140"/>
      <c r="G55" s="141"/>
      <c r="H55" s="89">
        <f>'[1]FLUJO 2'!AC59</f>
        <v>474.3500000000001</v>
      </c>
      <c r="I55" s="142"/>
      <c r="J55" s="141"/>
      <c r="K55" s="143">
        <f>'[1]FLUJO 3'!AC61</f>
        <v>502.811</v>
      </c>
      <c r="L55" s="140"/>
      <c r="M55" s="141"/>
      <c r="N55" s="89">
        <f>'[1]FLUJO 4'!AC61</f>
        <v>532.9796600000001</v>
      </c>
      <c r="O55" s="140"/>
      <c r="P55" s="141"/>
      <c r="Q55" s="89">
        <f>'[1]FLUJO 5'!AC61</f>
        <v>568.115</v>
      </c>
    </row>
    <row r="56" spans="1:17" ht="12.75">
      <c r="A56" s="93" t="s">
        <v>47</v>
      </c>
      <c r="B56" s="93"/>
      <c r="C56" s="136"/>
      <c r="D56" s="137"/>
      <c r="E56" s="89">
        <f>'[1]FLUJO 1 '!AD65</f>
        <v>0</v>
      </c>
      <c r="F56" s="140"/>
      <c r="G56" s="141"/>
      <c r="H56" s="89">
        <f>'[1]FLUJO 2'!AC60</f>
        <v>0</v>
      </c>
      <c r="I56" s="142"/>
      <c r="J56" s="141"/>
      <c r="K56" s="143">
        <f>'[1]FLUJO 3'!AC62</f>
        <v>790.5833333333334</v>
      </c>
      <c r="L56" s="140"/>
      <c r="M56" s="141"/>
      <c r="N56" s="89">
        <f>'[1]FLUJO 4'!AC62</f>
        <v>996.1350000000001</v>
      </c>
      <c r="O56" s="140"/>
      <c r="P56" s="141"/>
      <c r="Q56" s="89">
        <f>'[1]FLUJO 5'!AC62</f>
        <v>1055.9031000000002</v>
      </c>
    </row>
    <row r="57" spans="1:17" ht="12.75">
      <c r="A57" s="93" t="s">
        <v>48</v>
      </c>
      <c r="B57" s="93"/>
      <c r="C57" s="144"/>
      <c r="D57" s="145"/>
      <c r="E57" s="89">
        <f>'[1]FLUJO 1 '!AD66</f>
        <v>1304.9099999999999</v>
      </c>
      <c r="F57" s="146"/>
      <c r="G57" s="147"/>
      <c r="H57" s="89">
        <f>'[1]FLUJO 2'!AC61</f>
        <v>1383.2045999999998</v>
      </c>
      <c r="I57" s="148"/>
      <c r="J57" s="147"/>
      <c r="K57" s="143">
        <f>'[1]FLUJO 3'!AC63</f>
        <v>1466.196876</v>
      </c>
      <c r="L57" s="146"/>
      <c r="M57" s="147"/>
      <c r="N57" s="89">
        <f>'[1]FLUJO 4'!AC63</f>
        <v>1554.16868856</v>
      </c>
      <c r="O57" s="146"/>
      <c r="P57" s="147"/>
      <c r="Q57" s="89">
        <f>'[1]FLUJO 5'!AC63</f>
        <v>1656.6233399999994</v>
      </c>
    </row>
    <row r="58" spans="1:17" ht="12.75">
      <c r="A58" s="93" t="s">
        <v>49</v>
      </c>
      <c r="B58" s="149"/>
      <c r="C58" s="41"/>
      <c r="D58" s="150"/>
      <c r="E58" s="89">
        <f>'[1]FLUJO 1 '!AD93</f>
        <v>500</v>
      </c>
      <c r="F58" s="89"/>
      <c r="G58" s="151"/>
      <c r="H58" s="89"/>
      <c r="I58" s="152"/>
      <c r="J58" s="153"/>
      <c r="K58" s="154"/>
      <c r="L58" s="155"/>
      <c r="M58" s="155"/>
      <c r="N58" s="156">
        <f>'[1]FLUJO 4'!E89</f>
        <v>75</v>
      </c>
      <c r="O58" s="155"/>
      <c r="P58" s="153"/>
      <c r="Q58" s="89"/>
    </row>
    <row r="59" spans="1:17" ht="12.75">
      <c r="A59" s="93" t="str">
        <f>'[1]FLUJO 5'!A89</f>
        <v>Logística de control de Vendedores</v>
      </c>
      <c r="B59" s="149"/>
      <c r="C59" s="139"/>
      <c r="D59" s="93"/>
      <c r="E59" s="89">
        <f>'[1]FLUJO 1 '!AD94</f>
        <v>840</v>
      </c>
      <c r="F59" s="89"/>
      <c r="G59" s="151"/>
      <c r="H59" s="89">
        <f>'[1]FLUJO 2'!AC87</f>
        <v>1080</v>
      </c>
      <c r="I59" s="152"/>
      <c r="J59" s="153"/>
      <c r="K59" s="154">
        <f>'[1]FLUJO 3'!AC89</f>
        <v>1320</v>
      </c>
      <c r="L59" s="155"/>
      <c r="M59" s="153"/>
      <c r="N59" s="89">
        <f>'[1]FLUJO 4'!AC90</f>
        <v>1560</v>
      </c>
      <c r="O59" s="155"/>
      <c r="P59" s="153"/>
      <c r="Q59" s="89">
        <f>'[1]FLUJO 5'!AC89</f>
        <v>1800</v>
      </c>
    </row>
    <row r="60" spans="1:17" ht="12.75">
      <c r="A60" s="84" t="s">
        <v>50</v>
      </c>
      <c r="B60" s="93"/>
      <c r="C60" s="136"/>
      <c r="D60" s="137"/>
      <c r="E60" s="157">
        <f>SUM(E52:E59)</f>
        <v>14522.826666666666</v>
      </c>
      <c r="F60" s="136"/>
      <c r="G60" s="137"/>
      <c r="H60" s="158">
        <f>SUM(H52:H59)</f>
        <v>16030.3796</v>
      </c>
      <c r="I60" s="138"/>
      <c r="J60" s="137"/>
      <c r="K60" s="158">
        <f>SUM(K52:K59)</f>
        <v>17909.985709333334</v>
      </c>
      <c r="L60" s="136"/>
      <c r="M60" s="137"/>
      <c r="N60" s="158">
        <f>SUM(N52:N59)</f>
        <v>19330.501518560002</v>
      </c>
      <c r="O60" s="136"/>
      <c r="P60" s="137"/>
      <c r="Q60" s="157">
        <f>SUM(Q52:Q59)</f>
        <v>20598.928429999996</v>
      </c>
    </row>
    <row r="61" spans="1:17" ht="12.75">
      <c r="A61" s="93"/>
      <c r="B61" s="93"/>
      <c r="C61" s="136"/>
      <c r="D61" s="137"/>
      <c r="E61" s="159"/>
      <c r="F61" s="136"/>
      <c r="G61" s="137"/>
      <c r="H61" s="159"/>
      <c r="I61" s="138"/>
      <c r="J61" s="137"/>
      <c r="K61" s="160"/>
      <c r="L61" s="136"/>
      <c r="M61" s="137"/>
      <c r="N61" s="159"/>
      <c r="O61" s="136"/>
      <c r="P61" s="137"/>
      <c r="Q61" s="159"/>
    </row>
    <row r="62" spans="1:17" ht="12.75">
      <c r="A62" s="84" t="s">
        <v>51</v>
      </c>
      <c r="B62" s="93"/>
      <c r="C62" s="136"/>
      <c r="D62" s="137"/>
      <c r="E62" s="159"/>
      <c r="F62" s="136"/>
      <c r="G62" s="137"/>
      <c r="H62" s="159"/>
      <c r="I62" s="138"/>
      <c r="J62" s="137"/>
      <c r="K62" s="160"/>
      <c r="L62" s="136"/>
      <c r="M62" s="137"/>
      <c r="N62" s="159"/>
      <c r="O62" s="136"/>
      <c r="P62" s="137"/>
      <c r="Q62" s="159"/>
    </row>
    <row r="63" spans="1:17" ht="12.75">
      <c r="A63" s="93" t="str">
        <f>'[1]FLUJO 5'!A67</f>
        <v>Servicio de Limpieza</v>
      </c>
      <c r="B63" s="93"/>
      <c r="C63" s="136"/>
      <c r="D63" s="137"/>
      <c r="E63" s="89">
        <f>'[1]FLUJO 1 '!AD70</f>
        <v>1500</v>
      </c>
      <c r="F63" s="140"/>
      <c r="G63" s="141"/>
      <c r="H63" s="89">
        <f>'[1]FLUJO 2'!AC65</f>
        <v>1890</v>
      </c>
      <c r="I63" s="142"/>
      <c r="J63" s="141"/>
      <c r="K63" s="154">
        <f>'[1]FLUJO 3'!AC67</f>
        <v>2003.3999999999996</v>
      </c>
      <c r="L63" s="140"/>
      <c r="M63" s="141"/>
      <c r="N63" s="155">
        <f>'[1]FLUJO 4'!AC67</f>
        <v>2123.604</v>
      </c>
      <c r="O63" s="140"/>
      <c r="P63" s="141"/>
      <c r="Q63" s="155">
        <f>'[1]FLUJO 5'!AC67</f>
        <v>2251.0202400000003</v>
      </c>
    </row>
    <row r="64" spans="1:17" ht="12.75">
      <c r="A64" s="93" t="str">
        <f>'[1]FLUJO 5'!A68</f>
        <v>Salvavidas</v>
      </c>
      <c r="B64" s="161"/>
      <c r="C64" s="136"/>
      <c r="D64" s="137"/>
      <c r="E64" s="89">
        <f>'[1]FLUJO 1 '!AD71</f>
        <v>1500</v>
      </c>
      <c r="F64" s="140"/>
      <c r="G64" s="141"/>
      <c r="H64" s="89">
        <f>'[1]FLUJO 2'!AC66</f>
        <v>1890</v>
      </c>
      <c r="I64" s="142"/>
      <c r="J64" s="141"/>
      <c r="K64" s="154">
        <f>'[1]FLUJO 3'!AC68</f>
        <v>2003.3999999999996</v>
      </c>
      <c r="L64" s="140"/>
      <c r="M64" s="141"/>
      <c r="N64" s="155">
        <f>'[1]FLUJO 4'!AC68</f>
        <v>2123.604</v>
      </c>
      <c r="O64" s="140"/>
      <c r="P64" s="141"/>
      <c r="Q64" s="155">
        <f>'[1]FLUJO 5'!AC68</f>
        <v>2251.0202400000003</v>
      </c>
    </row>
    <row r="65" spans="1:17" ht="12.75">
      <c r="A65" s="93" t="str">
        <f>'[1]FLUJO 5'!A69</f>
        <v>Socorrista</v>
      </c>
      <c r="B65" s="161"/>
      <c r="C65" s="144"/>
      <c r="D65" s="145"/>
      <c r="E65" s="89">
        <f>'[1]FLUJO 1 '!AD72</f>
        <v>1800</v>
      </c>
      <c r="F65" s="146"/>
      <c r="G65" s="147"/>
      <c r="H65" s="89">
        <f>'[1]FLUJO 2'!AC67</f>
        <v>2268</v>
      </c>
      <c r="I65" s="148"/>
      <c r="J65" s="147"/>
      <c r="K65" s="154">
        <f>'[1]FLUJO 3'!AC69</f>
        <v>2404.0800000000004</v>
      </c>
      <c r="L65" s="146"/>
      <c r="M65" s="147"/>
      <c r="N65" s="155">
        <f>'[1]FLUJO 4'!AC69</f>
        <v>4449.456</v>
      </c>
      <c r="O65" s="146"/>
      <c r="P65" s="147"/>
      <c r="Q65" s="155">
        <f>'[1]FLUJO 5'!AC69</f>
        <v>5096.649600000002</v>
      </c>
    </row>
    <row r="66" spans="1:17" ht="12.75">
      <c r="A66" s="93" t="str">
        <f>'[1]FLUJO 5'!A70</f>
        <v>Movilización de vendedores</v>
      </c>
      <c r="B66" s="161"/>
      <c r="C66" s="144"/>
      <c r="D66" s="145"/>
      <c r="E66" s="89">
        <f>'[1]FLUJO 1 '!AD73</f>
        <v>4320</v>
      </c>
      <c r="F66" s="146"/>
      <c r="G66" s="147"/>
      <c r="H66" s="89">
        <f>'[1]FLUJO 2'!AC68</f>
        <v>4579.2</v>
      </c>
      <c r="I66" s="148"/>
      <c r="J66" s="147"/>
      <c r="K66" s="154">
        <f>'[1]FLUJO 3'!AC70</f>
        <v>4853.952</v>
      </c>
      <c r="L66" s="146"/>
      <c r="M66" s="147"/>
      <c r="N66" s="155">
        <f>'[1]FLUJO 4'!AC70</f>
        <v>5145.189120000002</v>
      </c>
      <c r="O66" s="146"/>
      <c r="P66" s="147"/>
      <c r="Q66" s="155">
        <f>'[1]FLUJO 5'!AC70</f>
        <v>5453.900467200001</v>
      </c>
    </row>
    <row r="67" spans="1:17" ht="12.75">
      <c r="A67" s="93" t="str">
        <f>'[1]FLUJO 5'!A71</f>
        <v>Asesoría Legal</v>
      </c>
      <c r="B67" s="161"/>
      <c r="C67" s="144"/>
      <c r="D67" s="145"/>
      <c r="E67" s="89">
        <f>'[1]FLUJO 1 '!AD74</f>
        <v>1000</v>
      </c>
      <c r="F67" s="146"/>
      <c r="G67" s="147"/>
      <c r="H67" s="89">
        <f>'[1]FLUJO 2'!AC69</f>
        <v>1100</v>
      </c>
      <c r="I67" s="148"/>
      <c r="J67" s="147"/>
      <c r="K67" s="154">
        <f>'[1]FLUJO 3'!AC71</f>
        <v>1200</v>
      </c>
      <c r="L67" s="146"/>
      <c r="M67" s="147"/>
      <c r="N67" s="155">
        <f>'[1]FLUJO 4'!AC71</f>
        <v>1300</v>
      </c>
      <c r="O67" s="146"/>
      <c r="P67" s="147"/>
      <c r="Q67" s="155">
        <f>'[1]FLUJO 5'!AC71</f>
        <v>1400</v>
      </c>
    </row>
    <row r="68" spans="1:17" ht="12.75">
      <c r="A68" s="84" t="s">
        <v>52</v>
      </c>
      <c r="B68" s="93"/>
      <c r="C68" s="144"/>
      <c r="D68" s="145"/>
      <c r="E68" s="98">
        <f>SUM(E63:E67)</f>
        <v>10120</v>
      </c>
      <c r="F68" s="146"/>
      <c r="G68" s="147"/>
      <c r="H68" s="98">
        <f>SUM(H63:H67)</f>
        <v>11727.2</v>
      </c>
      <c r="I68" s="148"/>
      <c r="J68" s="147"/>
      <c r="K68" s="99">
        <f>SUM(K63:K67)</f>
        <v>12464.831999999999</v>
      </c>
      <c r="L68" s="146"/>
      <c r="M68" s="147"/>
      <c r="N68" s="98">
        <f>SUM(N63:N67)</f>
        <v>15141.853120000003</v>
      </c>
      <c r="O68" s="146"/>
      <c r="P68" s="147"/>
      <c r="Q68" s="98">
        <f>SUM(Q63:Q67)</f>
        <v>16452.5905472</v>
      </c>
    </row>
    <row r="69" spans="1:17" ht="12.75">
      <c r="A69" s="93"/>
      <c r="B69" s="93"/>
      <c r="C69" s="144"/>
      <c r="D69" s="145"/>
      <c r="E69" s="98"/>
      <c r="F69" s="146"/>
      <c r="G69" s="147"/>
      <c r="H69" s="98"/>
      <c r="I69" s="148"/>
      <c r="J69" s="147"/>
      <c r="K69" s="99"/>
      <c r="L69" s="146"/>
      <c r="M69" s="147"/>
      <c r="N69" s="98"/>
      <c r="O69" s="146"/>
      <c r="P69" s="147"/>
      <c r="Q69" s="98"/>
    </row>
    <row r="70" spans="1:17" ht="12.75">
      <c r="A70" s="161" t="s">
        <v>53</v>
      </c>
      <c r="B70" s="93"/>
      <c r="C70" s="144"/>
      <c r="D70" s="145"/>
      <c r="E70" s="98">
        <f>E68*0.12</f>
        <v>1214.3999999999999</v>
      </c>
      <c r="F70" s="146"/>
      <c r="G70" s="147"/>
      <c r="H70" s="98">
        <f>H68*0.12</f>
        <v>1407.2640000000001</v>
      </c>
      <c r="I70" s="148"/>
      <c r="J70" s="147"/>
      <c r="K70" s="99">
        <f>K68*0.12</f>
        <v>1495.7798399999997</v>
      </c>
      <c r="L70" s="146"/>
      <c r="M70" s="147"/>
      <c r="N70" s="98">
        <f>N68*0.12</f>
        <v>1817.0223744000004</v>
      </c>
      <c r="O70" s="146"/>
      <c r="P70" s="147"/>
      <c r="Q70" s="98">
        <f>Q68*0.12</f>
        <v>1974.3108656640002</v>
      </c>
    </row>
    <row r="71" spans="1:17" ht="12.75">
      <c r="A71" s="162"/>
      <c r="B71" s="163"/>
      <c r="C71" s="145"/>
      <c r="D71" s="145"/>
      <c r="E71" s="127"/>
      <c r="F71" s="147"/>
      <c r="G71" s="147"/>
      <c r="H71" s="127"/>
      <c r="I71" s="147"/>
      <c r="J71" s="147"/>
      <c r="K71" s="127"/>
      <c r="L71" s="147"/>
      <c r="M71" s="147"/>
      <c r="N71" s="127"/>
      <c r="O71" s="147"/>
      <c r="P71" s="147"/>
      <c r="Q71" s="127"/>
    </row>
    <row r="72" spans="1:17" ht="12.75">
      <c r="A72" s="84" t="s">
        <v>54</v>
      </c>
      <c r="B72" s="164"/>
      <c r="C72" s="94"/>
      <c r="D72" s="163"/>
      <c r="E72" s="84"/>
      <c r="F72" s="93"/>
      <c r="G72" s="163"/>
      <c r="H72" s="84"/>
      <c r="I72" s="165"/>
      <c r="J72" s="166"/>
      <c r="K72" s="167"/>
      <c r="L72" s="168"/>
      <c r="M72" s="163"/>
      <c r="N72" s="84"/>
      <c r="O72" s="93"/>
      <c r="P72" s="163"/>
      <c r="Q72" s="84"/>
    </row>
    <row r="73" spans="1:17" ht="12.75">
      <c r="A73" s="149" t="s">
        <v>55</v>
      </c>
      <c r="B73" s="149"/>
      <c r="C73" s="94"/>
      <c r="D73" s="163"/>
      <c r="E73" s="89">
        <f>'[1]FLUJO 1 '!AD91</f>
        <v>6000</v>
      </c>
      <c r="F73" s="89"/>
      <c r="G73" s="151"/>
      <c r="H73" s="89">
        <f>'[1]FLUJO 2'!AC86</f>
        <v>5000</v>
      </c>
      <c r="I73" s="152"/>
      <c r="J73" s="153"/>
      <c r="K73" s="154">
        <f>'[1]FLUJO 3'!AC88</f>
        <v>4000</v>
      </c>
      <c r="L73" s="155"/>
      <c r="M73" s="153"/>
      <c r="N73" s="89">
        <f>'[1]FLUJO 4'!AC88</f>
        <v>4000</v>
      </c>
      <c r="O73" s="155"/>
      <c r="P73" s="153"/>
      <c r="Q73" s="89">
        <f>'[1]FLUJO 5'!AC88</f>
        <v>4000</v>
      </c>
    </row>
    <row r="74" spans="1:17" ht="12.75">
      <c r="A74" s="149" t="s">
        <v>56</v>
      </c>
      <c r="B74" s="149"/>
      <c r="C74" s="94"/>
      <c r="D74" s="163"/>
      <c r="E74" s="89">
        <f>'[1]FLUJO 1 '!AD90</f>
        <v>278.20000000000005</v>
      </c>
      <c r="F74" s="89"/>
      <c r="G74" s="151"/>
      <c r="H74" s="89">
        <f>'[1]FLUJO 2'!AC85</f>
        <v>286.18434</v>
      </c>
      <c r="I74" s="152"/>
      <c r="J74" s="153"/>
      <c r="K74" s="154">
        <f>'[1]FLUJO 3'!AC87</f>
        <v>319.1</v>
      </c>
      <c r="L74" s="155"/>
      <c r="M74" s="153"/>
      <c r="N74" s="89">
        <f>'[1]FLUJO 4'!AC87</f>
        <v>420</v>
      </c>
      <c r="O74" s="155"/>
      <c r="P74" s="153"/>
      <c r="Q74" s="89">
        <f>'[1]FLUJO 5'!AC87</f>
        <v>480</v>
      </c>
    </row>
    <row r="75" spans="1:17" ht="12.75">
      <c r="A75" s="149" t="s">
        <v>57</v>
      </c>
      <c r="B75" s="149"/>
      <c r="C75" s="94"/>
      <c r="D75" s="163"/>
      <c r="E75" s="89">
        <f>'[1]FLUJO 1 '!AD88</f>
        <v>520.7199999999999</v>
      </c>
      <c r="F75" s="89"/>
      <c r="G75" s="151"/>
      <c r="H75" s="89">
        <f>'[1]FLUJO 2'!AC83</f>
        <v>696</v>
      </c>
      <c r="I75" s="152"/>
      <c r="J75" s="153"/>
      <c r="K75" s="154">
        <f>'[1]FLUJO 3'!AC85</f>
        <v>780</v>
      </c>
      <c r="L75" s="155"/>
      <c r="M75" s="153"/>
      <c r="N75" s="89">
        <f>'[1]FLUJO 4'!AC85</f>
        <v>1080</v>
      </c>
      <c r="O75" s="155"/>
      <c r="P75" s="153"/>
      <c r="Q75" s="89">
        <f>'[1]FLUJO 5'!AC85</f>
        <v>1320</v>
      </c>
    </row>
    <row r="76" spans="1:17" ht="12.75">
      <c r="A76" s="149" t="s">
        <v>58</v>
      </c>
      <c r="B76" s="149"/>
      <c r="C76" s="150"/>
      <c r="D76" s="41"/>
      <c r="E76" s="89"/>
      <c r="F76" s="98"/>
      <c r="G76" s="127"/>
      <c r="H76" s="89">
        <f>'[1]FLUJO 2'!AC90</f>
        <v>30</v>
      </c>
      <c r="I76" s="97"/>
      <c r="J76" s="127"/>
      <c r="K76" s="154">
        <f>'[1]FLUJO 3'!AC92</f>
        <v>36</v>
      </c>
      <c r="L76" s="98"/>
      <c r="M76" s="127"/>
      <c r="N76" s="89">
        <f>'[1]FLUJO 4'!AC93</f>
        <v>40</v>
      </c>
      <c r="O76" s="98"/>
      <c r="P76" s="127"/>
      <c r="Q76" s="89">
        <f>'[1]FLUJO 5'!AC92</f>
        <v>45</v>
      </c>
    </row>
    <row r="77" spans="1:17" s="169" customFormat="1" ht="12.75">
      <c r="A77" s="84" t="s">
        <v>59</v>
      </c>
      <c r="B77" s="149"/>
      <c r="C77" s="150"/>
      <c r="D77" s="150"/>
      <c r="E77" s="98">
        <f>SUM(E73:E76)</f>
        <v>6798.92</v>
      </c>
      <c r="F77" s="98"/>
      <c r="G77" s="127"/>
      <c r="H77" s="99">
        <f>SUM(H73:H76)</f>
        <v>6012.18434</v>
      </c>
      <c r="I77" s="97"/>
      <c r="J77" s="127"/>
      <c r="K77" s="99">
        <f>SUM(K73:K76)</f>
        <v>5135.1</v>
      </c>
      <c r="L77" s="98"/>
      <c r="M77" s="127"/>
      <c r="N77" s="99">
        <f>SUM(N73:N76)</f>
        <v>5540</v>
      </c>
      <c r="O77" s="98"/>
      <c r="P77" s="127"/>
      <c r="Q77" s="98">
        <f>SUM(Q73:Q76)</f>
        <v>5845</v>
      </c>
    </row>
    <row r="78" spans="1:17" s="169" customFormat="1" ht="12.75">
      <c r="A78" s="84"/>
      <c r="B78" s="149"/>
      <c r="C78" s="150"/>
      <c r="D78" s="150"/>
      <c r="E78" s="98"/>
      <c r="F78" s="98"/>
      <c r="G78" s="127"/>
      <c r="H78" s="99"/>
      <c r="I78" s="97"/>
      <c r="J78" s="127"/>
      <c r="K78" s="99"/>
      <c r="L78" s="98"/>
      <c r="M78" s="127"/>
      <c r="N78" s="99"/>
      <c r="O78" s="98"/>
      <c r="P78" s="127"/>
      <c r="Q78" s="98"/>
    </row>
    <row r="79" spans="1:17" s="169" customFormat="1" ht="12.75">
      <c r="A79" s="77" t="s">
        <v>60</v>
      </c>
      <c r="B79" s="170"/>
      <c r="C79" s="171"/>
      <c r="D79" s="171"/>
      <c r="E79" s="130">
        <f>E60+E68+E70+E77</f>
        <v>32656.146666666667</v>
      </c>
      <c r="F79" s="130"/>
      <c r="G79" s="172"/>
      <c r="H79" s="134">
        <f>H60+H68+H70+H77</f>
        <v>35177.02794</v>
      </c>
      <c r="I79" s="173"/>
      <c r="J79" s="172"/>
      <c r="K79" s="134">
        <f>K60+K68+K70+K77</f>
        <v>37005.69754933333</v>
      </c>
      <c r="L79" s="130"/>
      <c r="M79" s="172"/>
      <c r="N79" s="134">
        <f>N60+N68+N70+N77</f>
        <v>41829.37701296001</v>
      </c>
      <c r="O79" s="130"/>
      <c r="P79" s="172"/>
      <c r="Q79" s="130">
        <f>Q60+Q68+Q70+Q77</f>
        <v>44870.829842864005</v>
      </c>
    </row>
    <row r="80" spans="1:17" s="169" customFormat="1" ht="12.75">
      <c r="A80" s="84"/>
      <c r="B80" s="149"/>
      <c r="C80" s="150"/>
      <c r="D80" s="150"/>
      <c r="E80" s="98"/>
      <c r="F80" s="98"/>
      <c r="G80" s="127"/>
      <c r="H80" s="99"/>
      <c r="I80" s="97"/>
      <c r="J80" s="127"/>
      <c r="K80" s="99"/>
      <c r="L80" s="98"/>
      <c r="M80" s="127"/>
      <c r="N80" s="99"/>
      <c r="O80" s="98"/>
      <c r="P80" s="127"/>
      <c r="Q80" s="98"/>
    </row>
    <row r="81" spans="1:17" ht="12.75">
      <c r="A81" s="93"/>
      <c r="B81" s="93"/>
      <c r="C81" s="94"/>
      <c r="D81" s="163"/>
      <c r="E81" s="93"/>
      <c r="F81" s="93"/>
      <c r="G81" s="163"/>
      <c r="H81" s="93"/>
      <c r="I81" s="165"/>
      <c r="J81" s="166"/>
      <c r="K81" s="174"/>
      <c r="L81" s="168"/>
      <c r="M81" s="163"/>
      <c r="N81" s="93"/>
      <c r="O81" s="93"/>
      <c r="P81" s="163"/>
      <c r="Q81" s="93"/>
    </row>
    <row r="82" spans="1:17" ht="12.75">
      <c r="A82" s="84" t="s">
        <v>61</v>
      </c>
      <c r="B82" s="84"/>
      <c r="C82" s="94"/>
      <c r="D82" s="163"/>
      <c r="E82" s="93"/>
      <c r="F82" s="93"/>
      <c r="G82" s="163"/>
      <c r="H82" s="93"/>
      <c r="I82" s="165"/>
      <c r="J82" s="166"/>
      <c r="K82" s="174"/>
      <c r="L82" s="168"/>
      <c r="M82" s="163"/>
      <c r="N82" s="93"/>
      <c r="O82" s="93"/>
      <c r="P82" s="163"/>
      <c r="Q82" s="93"/>
    </row>
    <row r="83" spans="1:17" ht="12.75">
      <c r="A83" s="149" t="s">
        <v>62</v>
      </c>
      <c r="B83" s="149"/>
      <c r="C83" s="94"/>
      <c r="D83" s="163"/>
      <c r="E83" s="89">
        <f>'[1]FLUJO 1 '!AD83</f>
        <v>2640</v>
      </c>
      <c r="F83" s="89"/>
      <c r="G83" s="151"/>
      <c r="H83" s="89">
        <f>'[1]FLUJO 2'!AC78</f>
        <v>2880</v>
      </c>
      <c r="I83" s="152"/>
      <c r="J83" s="153"/>
      <c r="K83" s="154">
        <f>'[1]FLUJO 3'!AC80</f>
        <v>3120</v>
      </c>
      <c r="L83" s="155"/>
      <c r="M83" s="151"/>
      <c r="N83" s="89">
        <f>'[1]FLUJO 4'!AC80</f>
        <v>3360</v>
      </c>
      <c r="O83" s="89"/>
      <c r="P83" s="151"/>
      <c r="Q83" s="89">
        <f>'[1]FLUJO 5'!AC80</f>
        <v>3600</v>
      </c>
    </row>
    <row r="84" spans="1:17" ht="12.75">
      <c r="A84" s="149" t="str">
        <f>'[1]FLUJO 5'!A81</f>
        <v>Contribución Comuna Cauchiche</v>
      </c>
      <c r="B84" s="149"/>
      <c r="C84" s="94"/>
      <c r="D84" s="163"/>
      <c r="E84" s="89">
        <f>'[1]FLUJO 1 '!AD84</f>
        <v>360</v>
      </c>
      <c r="F84" s="89"/>
      <c r="G84" s="151"/>
      <c r="H84" s="89">
        <f>'[1]FLUJO 2'!AC79</f>
        <v>480</v>
      </c>
      <c r="I84" s="152"/>
      <c r="J84" s="153"/>
      <c r="K84" s="154">
        <f>'[1]FLUJO 3'!AC81</f>
        <v>600</v>
      </c>
      <c r="L84" s="155"/>
      <c r="M84" s="151"/>
      <c r="N84" s="89">
        <f>'[1]FLUJO 4'!AC81</f>
        <v>720</v>
      </c>
      <c r="O84" s="89"/>
      <c r="P84" s="151"/>
      <c r="Q84" s="89">
        <f>'[1]FLUJO 5'!AC81</f>
        <v>840</v>
      </c>
    </row>
    <row r="85" spans="1:17" ht="12.75">
      <c r="A85" s="149" t="s">
        <v>63</v>
      </c>
      <c r="B85" s="149"/>
      <c r="C85" s="94"/>
      <c r="D85" s="163"/>
      <c r="E85" s="89">
        <f>'[1]FLUJO 1 '!AD85</f>
        <v>200</v>
      </c>
      <c r="F85" s="89"/>
      <c r="G85" s="151"/>
      <c r="H85" s="89">
        <f>'[1]FLUJO 2'!AC80</f>
        <v>400</v>
      </c>
      <c r="I85" s="152"/>
      <c r="J85" s="153"/>
      <c r="K85" s="154">
        <f>'[1]FLUJO 3'!AC82</f>
        <v>500</v>
      </c>
      <c r="L85" s="155"/>
      <c r="M85" s="151"/>
      <c r="N85" s="89">
        <f>'[1]FLUJO 4'!AC82</f>
        <v>600</v>
      </c>
      <c r="O85" s="89"/>
      <c r="P85" s="151"/>
      <c r="Q85" s="89">
        <f>'[1]FLUJO 5'!AC82</f>
        <v>950</v>
      </c>
    </row>
    <row r="86" spans="1:17" ht="12.75">
      <c r="A86" s="149" t="s">
        <v>64</v>
      </c>
      <c r="B86" s="149"/>
      <c r="C86" s="94"/>
      <c r="D86" s="163"/>
      <c r="E86" s="89">
        <f>'[1]FLUJO 1 '!AD86</f>
        <v>450</v>
      </c>
      <c r="F86" s="89"/>
      <c r="G86" s="151"/>
      <c r="H86" s="89">
        <f>'[1]FLUJO 2'!AC81</f>
        <v>636</v>
      </c>
      <c r="I86" s="152"/>
      <c r="J86" s="153"/>
      <c r="K86" s="154">
        <f>'[1]FLUJO 3'!AC83</f>
        <v>960</v>
      </c>
      <c r="L86" s="155"/>
      <c r="M86" s="151"/>
      <c r="N86" s="89">
        <f>'[1]FLUJO 4'!AC83</f>
        <v>1200</v>
      </c>
      <c r="O86" s="89"/>
      <c r="P86" s="151"/>
      <c r="Q86" s="89">
        <f>'[1]FLUJO 5'!AC83</f>
        <v>1440</v>
      </c>
    </row>
    <row r="87" spans="1:17" ht="12.75">
      <c r="A87" s="149" t="s">
        <v>65</v>
      </c>
      <c r="B87" s="149"/>
      <c r="C87" s="94"/>
      <c r="D87" s="163"/>
      <c r="E87" s="89">
        <f>'[1]FLUJO 1 '!AD87</f>
        <v>480</v>
      </c>
      <c r="F87" s="89"/>
      <c r="G87" s="151"/>
      <c r="H87" s="89">
        <f>'[1]FLUJO 2'!AC82</f>
        <v>600</v>
      </c>
      <c r="I87" s="152"/>
      <c r="J87" s="153"/>
      <c r="K87" s="154">
        <f>'[1]FLUJO 3'!AC84</f>
        <v>1080</v>
      </c>
      <c r="L87" s="155"/>
      <c r="M87" s="151"/>
      <c r="N87" s="89">
        <f>'[1]FLUJO 4'!AC84</f>
        <v>1320</v>
      </c>
      <c r="O87" s="89"/>
      <c r="P87" s="151"/>
      <c r="Q87" s="89">
        <f>'[1]FLUJO 5'!AC84</f>
        <v>1560</v>
      </c>
    </row>
    <row r="88" spans="1:17" ht="12.75">
      <c r="A88" s="149" t="s">
        <v>66</v>
      </c>
      <c r="B88" s="149"/>
      <c r="C88" s="94"/>
      <c r="D88" s="163"/>
      <c r="E88" s="89">
        <f>'[1]FLUJO 1 '!AD89</f>
        <v>240</v>
      </c>
      <c r="F88" s="89"/>
      <c r="G88" s="151"/>
      <c r="H88" s="89">
        <f>'[1]FLUJO 2'!AC84</f>
        <v>246.88800000000006</v>
      </c>
      <c r="I88" s="152"/>
      <c r="J88" s="153"/>
      <c r="K88" s="154">
        <f>'[1]FLUJO 3'!AC86</f>
        <v>253.97368559999998</v>
      </c>
      <c r="L88" s="155"/>
      <c r="M88" s="153"/>
      <c r="N88" s="89">
        <f>'[1]FLUJO 4'!AC86</f>
        <v>261.26273037672007</v>
      </c>
      <c r="O88" s="155"/>
      <c r="P88" s="153"/>
      <c r="Q88" s="89">
        <f>'[1]FLUJO 5'!AC86</f>
        <v>268.76097073853185</v>
      </c>
    </row>
    <row r="89" spans="1:17" ht="12.75">
      <c r="A89" s="149" t="s">
        <v>67</v>
      </c>
      <c r="B89" s="149"/>
      <c r="C89" s="94"/>
      <c r="D89" s="163"/>
      <c r="E89" s="89">
        <f>'[1]FLUJO 1 '!AD92</f>
        <v>220</v>
      </c>
      <c r="F89" s="89"/>
      <c r="G89" s="151"/>
      <c r="H89" s="89"/>
      <c r="I89" s="152"/>
      <c r="J89" s="155"/>
      <c r="K89" s="175"/>
      <c r="L89" s="155"/>
      <c r="M89" s="155"/>
      <c r="N89" s="175"/>
      <c r="O89" s="155"/>
      <c r="P89" s="153"/>
      <c r="Q89" s="176"/>
    </row>
    <row r="90" spans="1:17" ht="12.75">
      <c r="A90" s="149" t="s">
        <v>68</v>
      </c>
      <c r="B90" s="149"/>
      <c r="C90" s="150"/>
      <c r="D90" s="41"/>
      <c r="E90" s="89"/>
      <c r="F90" s="98"/>
      <c r="G90" s="127"/>
      <c r="H90" s="89">
        <f>'[1]FLUJO 2'!AC88</f>
        <v>210</v>
      </c>
      <c r="I90" s="97"/>
      <c r="J90" s="127"/>
      <c r="K90" s="154">
        <f>'[1]FLUJO 3'!AC90</f>
        <v>220</v>
      </c>
      <c r="L90" s="98"/>
      <c r="M90" s="127"/>
      <c r="N90" s="89">
        <f>'[1]FLUJO 4'!AC91</f>
        <v>230</v>
      </c>
      <c r="O90" s="98"/>
      <c r="P90" s="127"/>
      <c r="Q90" s="89">
        <f>'[1]FLUJO 5'!AC90</f>
        <v>240</v>
      </c>
    </row>
    <row r="91" spans="1:17" ht="12.75">
      <c r="A91" s="149" t="s">
        <v>69</v>
      </c>
      <c r="B91" s="149"/>
      <c r="C91" s="150"/>
      <c r="D91" s="41"/>
      <c r="E91" s="89">
        <f>'[1]FLUJO 1 '!AD95</f>
        <v>183.38464</v>
      </c>
      <c r="F91" s="98"/>
      <c r="G91" s="127"/>
      <c r="H91" s="89">
        <f>'[1]FLUJO 2'!AC89</f>
        <v>188.03404</v>
      </c>
      <c r="I91" s="97"/>
      <c r="J91" s="127"/>
      <c r="K91" s="154">
        <f>'[1]FLUJO 3'!AC91</f>
        <v>193.05687777999998</v>
      </c>
      <c r="L91" s="98"/>
      <c r="M91" s="127"/>
      <c r="N91" s="89">
        <f>'[1]FLUJO 4'!AC92</f>
        <v>200.098423004286</v>
      </c>
      <c r="O91" s="98"/>
      <c r="P91" s="127"/>
      <c r="Q91" s="89">
        <f>'[1]FLUJO 5'!AC91</f>
        <v>205.15973524850898</v>
      </c>
    </row>
    <row r="92" spans="1:17" ht="12.75" customHeight="1">
      <c r="A92" s="77" t="s">
        <v>70</v>
      </c>
      <c r="B92" s="177"/>
      <c r="C92" s="178"/>
      <c r="D92" s="77"/>
      <c r="E92" s="130">
        <f>SUM(E83:E91)</f>
        <v>4773.38464</v>
      </c>
      <c r="F92" s="130"/>
      <c r="G92" s="130"/>
      <c r="H92" s="130">
        <f>SUM(H83:H91)</f>
        <v>5640.9220399999995</v>
      </c>
      <c r="I92" s="130"/>
      <c r="J92" s="130"/>
      <c r="K92" s="130">
        <f>SUM(K83:K91)</f>
        <v>6927.03056338</v>
      </c>
      <c r="L92" s="130"/>
      <c r="M92" s="130"/>
      <c r="N92" s="130">
        <f>SUM(N83:N91)</f>
        <v>7891.361153381006</v>
      </c>
      <c r="O92" s="130"/>
      <c r="P92" s="130"/>
      <c r="Q92" s="130">
        <f>SUM(Q83:Q91)</f>
        <v>9103.920705987042</v>
      </c>
    </row>
    <row r="93" spans="1:17" ht="12.75">
      <c r="A93" s="149"/>
      <c r="B93" s="149"/>
      <c r="C93" s="163"/>
      <c r="D93" s="93"/>
      <c r="E93" s="89"/>
      <c r="F93" s="89"/>
      <c r="G93" s="151"/>
      <c r="H93" s="89"/>
      <c r="I93" s="152"/>
      <c r="J93" s="153"/>
      <c r="K93" s="154"/>
      <c r="L93" s="155"/>
      <c r="M93" s="153"/>
      <c r="N93" s="155"/>
      <c r="O93" s="155"/>
      <c r="P93" s="153"/>
      <c r="Q93" s="155"/>
    </row>
    <row r="94" spans="1:17" ht="12.75">
      <c r="A94" s="84" t="s">
        <v>71</v>
      </c>
      <c r="B94" s="93"/>
      <c r="C94" s="163"/>
      <c r="D94" s="93"/>
      <c r="E94" s="89"/>
      <c r="F94" s="89"/>
      <c r="G94" s="151"/>
      <c r="H94" s="89"/>
      <c r="I94" s="152"/>
      <c r="J94" s="153"/>
      <c r="K94" s="154"/>
      <c r="L94" s="155"/>
      <c r="M94" s="153"/>
      <c r="N94" s="155"/>
      <c r="O94" s="155"/>
      <c r="P94" s="153"/>
      <c r="Q94" s="155"/>
    </row>
    <row r="95" spans="1:17" ht="12.75">
      <c r="A95" s="149" t="s">
        <v>72</v>
      </c>
      <c r="B95" s="93"/>
      <c r="C95" s="163"/>
      <c r="D95" s="93"/>
      <c r="E95" s="89">
        <f>'[1]FLUJO 1 '!AD99</f>
        <v>8929</v>
      </c>
      <c r="F95" s="89"/>
      <c r="G95" s="151"/>
      <c r="H95" s="89"/>
      <c r="I95" s="152"/>
      <c r="J95" s="153"/>
      <c r="K95" s="154"/>
      <c r="L95" s="155"/>
      <c r="M95" s="153"/>
      <c r="N95" s="155"/>
      <c r="O95" s="155"/>
      <c r="P95" s="153"/>
      <c r="Q95" s="155"/>
    </row>
    <row r="96" spans="1:17" ht="12.75">
      <c r="A96" s="149" t="s">
        <v>73</v>
      </c>
      <c r="B96" s="93"/>
      <c r="C96" s="94"/>
      <c r="D96" s="163"/>
      <c r="E96" s="89">
        <f>'[1]FLUJO 1 '!AD100</f>
        <v>857.18</v>
      </c>
      <c r="F96" s="89"/>
      <c r="G96" s="151"/>
      <c r="H96" s="89"/>
      <c r="I96" s="152"/>
      <c r="J96" s="153"/>
      <c r="K96" s="154"/>
      <c r="L96" s="155"/>
      <c r="M96" s="153"/>
      <c r="N96" s="155">
        <f>'[1]FLUJO 4'!AC99</f>
        <v>900</v>
      </c>
      <c r="O96" s="155"/>
      <c r="P96" s="153"/>
      <c r="Q96" s="155"/>
    </row>
    <row r="97" spans="1:17" ht="12.75">
      <c r="A97" s="149" t="s">
        <v>74</v>
      </c>
      <c r="B97" s="93"/>
      <c r="C97" s="94"/>
      <c r="D97" s="163"/>
      <c r="E97" s="89">
        <f>'[1]FLUJO 1 '!AD101</f>
        <v>142.86</v>
      </c>
      <c r="F97" s="89"/>
      <c r="G97" s="151"/>
      <c r="H97" s="89"/>
      <c r="I97" s="152"/>
      <c r="J97" s="153"/>
      <c r="K97" s="154"/>
      <c r="L97" s="155"/>
      <c r="M97" s="153"/>
      <c r="N97" s="155">
        <f>'[1]FLUJO 4'!AC100</f>
        <v>160.72</v>
      </c>
      <c r="O97" s="155"/>
      <c r="P97" s="153"/>
      <c r="Q97" s="155"/>
    </row>
    <row r="98" spans="1:17" ht="12.75">
      <c r="A98" s="149" t="s">
        <v>75</v>
      </c>
      <c r="B98" s="93"/>
      <c r="C98" s="94"/>
      <c r="D98" s="163"/>
      <c r="E98" s="89">
        <f>'[1]FLUJO 1 '!AD102</f>
        <v>62.5</v>
      </c>
      <c r="F98" s="89"/>
      <c r="G98" s="151"/>
      <c r="H98" s="89"/>
      <c r="I98" s="152"/>
      <c r="J98" s="153"/>
      <c r="K98" s="154"/>
      <c r="L98" s="155"/>
      <c r="M98" s="153"/>
      <c r="N98" s="128"/>
      <c r="O98" s="155"/>
      <c r="P98" s="153"/>
      <c r="Q98" s="155"/>
    </row>
    <row r="99" spans="1:17" ht="12.75">
      <c r="A99" s="179" t="s">
        <v>76</v>
      </c>
      <c r="B99" s="93"/>
      <c r="C99" s="72"/>
      <c r="D99" s="123"/>
      <c r="E99" s="89">
        <f>'[1]FLUJO 1 '!AD103</f>
        <v>17.86</v>
      </c>
      <c r="F99" s="89"/>
      <c r="G99" s="151"/>
      <c r="H99" s="89"/>
      <c r="I99" s="152"/>
      <c r="J99" s="153"/>
      <c r="K99" s="154"/>
      <c r="L99" s="155"/>
      <c r="M99" s="153"/>
      <c r="N99" s="155"/>
      <c r="O99" s="155"/>
      <c r="P99" s="153"/>
      <c r="Q99" s="155"/>
    </row>
    <row r="100" spans="1:17" ht="12.75">
      <c r="A100" s="179" t="s">
        <v>77</v>
      </c>
      <c r="B100" s="93"/>
      <c r="C100" s="72"/>
      <c r="D100" s="123"/>
      <c r="E100" s="89">
        <f>'[1]FLUJO 1 '!AD104</f>
        <v>300</v>
      </c>
      <c r="F100" s="89"/>
      <c r="G100" s="151"/>
      <c r="H100" s="89"/>
      <c r="I100" s="152"/>
      <c r="J100" s="153"/>
      <c r="K100" s="154"/>
      <c r="L100" s="155"/>
      <c r="M100" s="153"/>
      <c r="N100" s="180"/>
      <c r="O100" s="155"/>
      <c r="P100" s="153"/>
      <c r="Q100" s="155"/>
    </row>
    <row r="101" spans="1:17" ht="12.75">
      <c r="A101" s="179" t="s">
        <v>78</v>
      </c>
      <c r="B101" s="93"/>
      <c r="C101" s="72"/>
      <c r="D101" s="123"/>
      <c r="E101" s="89">
        <f>'[1]FLUJO 1 '!AD105</f>
        <v>109.8</v>
      </c>
      <c r="F101" s="89"/>
      <c r="G101" s="151"/>
      <c r="H101" s="89"/>
      <c r="I101" s="152"/>
      <c r="J101" s="153"/>
      <c r="K101" s="154"/>
      <c r="L101" s="155"/>
      <c r="M101" s="153"/>
      <c r="N101" s="155"/>
      <c r="O101" s="155"/>
      <c r="P101" s="153"/>
      <c r="Q101" s="155"/>
    </row>
    <row r="102" spans="1:17" ht="12.75">
      <c r="A102" s="179" t="s">
        <v>79</v>
      </c>
      <c r="B102" s="93"/>
      <c r="C102" s="72"/>
      <c r="D102" s="123"/>
      <c r="E102" s="89">
        <f>'[1]FLUJO 1 '!AD106</f>
        <v>174.12</v>
      </c>
      <c r="F102" s="89"/>
      <c r="G102" s="151"/>
      <c r="H102" s="89"/>
      <c r="I102" s="152"/>
      <c r="J102" s="153"/>
      <c r="K102" s="154"/>
      <c r="L102" s="155"/>
      <c r="M102" s="153"/>
      <c r="N102" s="155"/>
      <c r="O102" s="155"/>
      <c r="P102" s="153"/>
      <c r="Q102" s="155"/>
    </row>
    <row r="103" spans="1:17" ht="12.75">
      <c r="A103" s="179" t="s">
        <v>80</v>
      </c>
      <c r="B103" s="93"/>
      <c r="C103" s="72"/>
      <c r="D103" s="123"/>
      <c r="E103" s="89">
        <f>'[1]FLUJO 1 '!AD107</f>
        <v>99</v>
      </c>
      <c r="F103" s="89"/>
      <c r="G103" s="151"/>
      <c r="H103" s="89"/>
      <c r="I103" s="152"/>
      <c r="J103" s="153"/>
      <c r="K103" s="154">
        <v>120</v>
      </c>
      <c r="L103" s="155"/>
      <c r="M103" s="153"/>
      <c r="N103" s="155"/>
      <c r="O103" s="155"/>
      <c r="P103" s="153"/>
      <c r="Q103" s="155"/>
    </row>
    <row r="104" spans="1:17" ht="12.75">
      <c r="A104" s="84" t="s">
        <v>38</v>
      </c>
      <c r="B104" s="93"/>
      <c r="C104" s="72"/>
      <c r="D104" s="123"/>
      <c r="E104" s="98">
        <f>'[1]FLUJO 1 '!AD108</f>
        <v>10692.320000000002</v>
      </c>
      <c r="F104" s="89"/>
      <c r="G104" s="151"/>
      <c r="H104" s="89"/>
      <c r="I104" s="152"/>
      <c r="J104" s="153"/>
      <c r="K104" s="181">
        <f>SUM(K96:K103)</f>
        <v>120</v>
      </c>
      <c r="L104" s="155"/>
      <c r="M104" s="153"/>
      <c r="N104" s="128">
        <f>SUM(N95:N103)</f>
        <v>1060.72</v>
      </c>
      <c r="O104" s="155"/>
      <c r="P104" s="153"/>
      <c r="Q104" s="155"/>
    </row>
    <row r="105" spans="1:17" ht="12.75">
      <c r="A105" s="179"/>
      <c r="B105" s="93"/>
      <c r="C105" s="72"/>
      <c r="D105" s="123"/>
      <c r="E105" s="98"/>
      <c r="F105" s="89"/>
      <c r="G105" s="151"/>
      <c r="H105" s="89"/>
      <c r="I105" s="152"/>
      <c r="J105" s="153"/>
      <c r="K105" s="154"/>
      <c r="L105" s="155"/>
      <c r="M105" s="153"/>
      <c r="N105" s="155"/>
      <c r="O105" s="155"/>
      <c r="P105" s="153"/>
      <c r="Q105" s="155"/>
    </row>
    <row r="106" spans="1:17" ht="12.75">
      <c r="A106" s="161" t="s">
        <v>81</v>
      </c>
      <c r="B106" s="93"/>
      <c r="C106" s="72"/>
      <c r="D106" s="123"/>
      <c r="E106" s="98">
        <f>'[1]FLUJO 1 '!AD110</f>
        <v>1283.0784</v>
      </c>
      <c r="F106" s="89"/>
      <c r="G106" s="151"/>
      <c r="H106" s="89"/>
      <c r="I106" s="152"/>
      <c r="J106" s="153"/>
      <c r="K106" s="181">
        <f>'[1]FLUJO 3'!AC100</f>
        <v>14.399999999999999</v>
      </c>
      <c r="L106" s="155"/>
      <c r="M106" s="153"/>
      <c r="N106" s="128">
        <f>'[1]FLUJO 4'!AC103</f>
        <v>127.2864</v>
      </c>
      <c r="O106" s="155"/>
      <c r="P106" s="153"/>
      <c r="Q106" s="155"/>
    </row>
    <row r="107" spans="1:17" ht="12.75">
      <c r="A107" s="161"/>
      <c r="B107" s="93"/>
      <c r="C107" s="72"/>
      <c r="D107" s="123"/>
      <c r="E107" s="89"/>
      <c r="F107" s="89"/>
      <c r="G107" s="151"/>
      <c r="H107" s="89"/>
      <c r="I107" s="152"/>
      <c r="J107" s="153"/>
      <c r="K107" s="154"/>
      <c r="L107" s="155"/>
      <c r="M107" s="153"/>
      <c r="N107" s="155"/>
      <c r="O107" s="155"/>
      <c r="P107" s="153"/>
      <c r="Q107" s="155"/>
    </row>
    <row r="108" spans="1:17" ht="12.75">
      <c r="A108" s="84" t="s">
        <v>82</v>
      </c>
      <c r="B108" s="93"/>
      <c r="C108" s="72"/>
      <c r="D108" s="123"/>
      <c r="E108" s="98">
        <f>'[1]FLUJO 1 '!AD112</f>
        <v>11975.398400000002</v>
      </c>
      <c r="F108" s="89"/>
      <c r="G108" s="151"/>
      <c r="H108" s="89"/>
      <c r="I108" s="91"/>
      <c r="J108" s="151"/>
      <c r="K108" s="99">
        <f>K104+K106</f>
        <v>134.4</v>
      </c>
      <c r="L108" s="89"/>
      <c r="M108" s="151"/>
      <c r="N108" s="99">
        <f>N104+N106</f>
        <v>1188.0064</v>
      </c>
      <c r="O108" s="89"/>
      <c r="P108" s="89"/>
      <c r="Q108" s="89"/>
    </row>
    <row r="109" spans="1:17" ht="12.75">
      <c r="A109" s="110"/>
      <c r="B109" s="84"/>
      <c r="C109" s="72"/>
      <c r="D109" s="123"/>
      <c r="E109" s="89"/>
      <c r="F109" s="89"/>
      <c r="G109" s="151"/>
      <c r="H109" s="89"/>
      <c r="I109" s="152"/>
      <c r="J109" s="153"/>
      <c r="K109" s="154"/>
      <c r="L109" s="155"/>
      <c r="M109" s="153"/>
      <c r="N109" s="155"/>
      <c r="O109" s="155"/>
      <c r="P109" s="153"/>
      <c r="Q109" s="155"/>
    </row>
    <row r="110" spans="1:17" ht="12.75">
      <c r="A110" s="81" t="s">
        <v>83</v>
      </c>
      <c r="B110" s="93"/>
      <c r="C110" s="72"/>
      <c r="D110" s="123"/>
      <c r="E110" s="89"/>
      <c r="F110" s="89"/>
      <c r="G110" s="151"/>
      <c r="H110" s="89"/>
      <c r="I110" s="152"/>
      <c r="J110" s="153"/>
      <c r="K110" s="154"/>
      <c r="L110" s="155"/>
      <c r="M110" s="153"/>
      <c r="N110" s="155"/>
      <c r="O110" s="155"/>
      <c r="P110" s="153"/>
      <c r="Q110" s="155"/>
    </row>
    <row r="111" spans="1:17" ht="12.75">
      <c r="A111" s="179" t="s">
        <v>84</v>
      </c>
      <c r="B111" s="16">
        <f>'[1]FLUJO 1 '!B115</f>
        <v>3000</v>
      </c>
      <c r="C111" s="72"/>
      <c r="D111" s="123"/>
      <c r="E111" s="89"/>
      <c r="F111" s="89"/>
      <c r="G111" s="151"/>
      <c r="H111" s="89"/>
      <c r="I111" s="152"/>
      <c r="J111" s="153"/>
      <c r="K111" s="154"/>
      <c r="L111" s="155"/>
      <c r="M111" s="153"/>
      <c r="N111" s="155"/>
      <c r="O111" s="155"/>
      <c r="P111" s="153"/>
      <c r="Q111" s="155"/>
    </row>
    <row r="112" spans="1:17" ht="12.75">
      <c r="A112" s="179" t="s">
        <v>85</v>
      </c>
      <c r="B112" s="16">
        <f>'[1]FLUJO 1 '!B116</f>
        <v>300</v>
      </c>
      <c r="C112" s="72"/>
      <c r="D112" s="123"/>
      <c r="E112" s="89"/>
      <c r="F112" s="89"/>
      <c r="G112" s="151"/>
      <c r="H112" s="89"/>
      <c r="I112" s="152"/>
      <c r="J112" s="153"/>
      <c r="K112" s="154"/>
      <c r="L112" s="155"/>
      <c r="M112" s="153"/>
      <c r="N112" s="155"/>
      <c r="O112" s="155"/>
      <c r="P112" s="153"/>
      <c r="Q112" s="155"/>
    </row>
    <row r="113" spans="1:17" ht="12.75">
      <c r="A113" s="179" t="s">
        <v>86</v>
      </c>
      <c r="B113" s="16">
        <f>+'[1]FLUJO 1 '!B117</f>
        <v>184</v>
      </c>
      <c r="C113" s="72"/>
      <c r="D113" s="123"/>
      <c r="E113" s="89"/>
      <c r="F113" s="89"/>
      <c r="G113" s="151"/>
      <c r="H113" s="89"/>
      <c r="I113" s="152"/>
      <c r="J113" s="153"/>
      <c r="K113" s="154"/>
      <c r="L113" s="155"/>
      <c r="M113" s="153"/>
      <c r="N113" s="155"/>
      <c r="O113" s="155"/>
      <c r="P113" s="153"/>
      <c r="Q113" s="155"/>
    </row>
    <row r="114" spans="1:17" ht="12.75">
      <c r="A114" s="179" t="s">
        <v>68</v>
      </c>
      <c r="B114" s="16">
        <f>+'[1]FLUJO 1 '!B118</f>
        <v>200</v>
      </c>
      <c r="C114" s="72"/>
      <c r="D114" s="123"/>
      <c r="E114" s="89"/>
      <c r="F114" s="89"/>
      <c r="G114" s="151"/>
      <c r="H114" s="89"/>
      <c r="I114" s="152"/>
      <c r="J114" s="153"/>
      <c r="K114" s="154"/>
      <c r="L114" s="155"/>
      <c r="M114" s="153"/>
      <c r="N114" s="155"/>
      <c r="O114" s="155"/>
      <c r="P114" s="153"/>
      <c r="Q114" s="155"/>
    </row>
    <row r="115" spans="1:17" ht="12.75">
      <c r="A115" s="81" t="s">
        <v>87</v>
      </c>
      <c r="B115" s="98">
        <f>SUM(B111:B114)</f>
        <v>3684</v>
      </c>
      <c r="C115" s="72"/>
      <c r="D115" s="123"/>
      <c r="E115" s="89"/>
      <c r="F115" s="89"/>
      <c r="G115" s="151"/>
      <c r="H115" s="89"/>
      <c r="I115" s="152"/>
      <c r="J115" s="153"/>
      <c r="K115" s="154"/>
      <c r="L115" s="155"/>
      <c r="M115" s="153"/>
      <c r="N115" s="155"/>
      <c r="O115" s="155"/>
      <c r="P115" s="153"/>
      <c r="Q115" s="155"/>
    </row>
    <row r="116" spans="1:17" ht="12.75">
      <c r="A116" s="32"/>
      <c r="B116" s="98"/>
      <c r="C116" s="72"/>
      <c r="D116" s="123"/>
      <c r="E116" s="89"/>
      <c r="F116" s="89"/>
      <c r="G116" s="151"/>
      <c r="H116" s="89"/>
      <c r="I116" s="152"/>
      <c r="J116" s="153"/>
      <c r="K116" s="154"/>
      <c r="L116" s="155"/>
      <c r="M116" s="153"/>
      <c r="N116" s="155"/>
      <c r="O116" s="155"/>
      <c r="P116" s="153"/>
      <c r="Q116" s="155"/>
    </row>
    <row r="117" spans="1:17" ht="12.75">
      <c r="A117" s="81" t="s">
        <v>88</v>
      </c>
      <c r="B117" s="84"/>
      <c r="C117" s="72"/>
      <c r="D117" s="123"/>
      <c r="E117" s="89"/>
      <c r="F117" s="89"/>
      <c r="G117" s="151"/>
      <c r="H117" s="89"/>
      <c r="I117" s="152"/>
      <c r="J117" s="153"/>
      <c r="K117" s="154"/>
      <c r="L117" s="155"/>
      <c r="M117" s="153"/>
      <c r="N117" s="155"/>
      <c r="O117" s="155"/>
      <c r="P117" s="153"/>
      <c r="Q117" s="155"/>
    </row>
    <row r="118" spans="1:17" ht="12.75">
      <c r="A118" s="179" t="s">
        <v>89</v>
      </c>
      <c r="B118" s="84"/>
      <c r="C118" s="72"/>
      <c r="D118" s="123"/>
      <c r="E118" s="89"/>
      <c r="F118" s="89"/>
      <c r="G118" s="151"/>
      <c r="H118" s="89"/>
      <c r="I118" s="152"/>
      <c r="J118" s="153"/>
      <c r="K118" s="154">
        <f>'[1]FLUJO 3'!S106</f>
        <v>1264.5986328499996</v>
      </c>
      <c r="L118" s="155"/>
      <c r="M118" s="153"/>
      <c r="N118" s="155">
        <f>'[1]FLUJO 4'!S108</f>
        <v>3368.8941131934944</v>
      </c>
      <c r="O118" s="155"/>
      <c r="P118" s="153"/>
      <c r="Q118" s="155">
        <f>'[1]FLUJO 5'!S98</f>
        <v>5291.339640749755</v>
      </c>
    </row>
    <row r="119" spans="1:17" ht="12.75">
      <c r="A119" s="179" t="s">
        <v>90</v>
      </c>
      <c r="B119" s="84"/>
      <c r="C119" s="72"/>
      <c r="D119" s="123"/>
      <c r="E119" s="89"/>
      <c r="F119" s="89"/>
      <c r="G119" s="151"/>
      <c r="H119" s="89"/>
      <c r="I119" s="152"/>
      <c r="J119" s="153"/>
      <c r="K119" s="154">
        <f>'[1]FLUJO 3'!S107</f>
        <v>1791.5147298708328</v>
      </c>
      <c r="L119" s="155"/>
      <c r="M119" s="153"/>
      <c r="N119" s="155">
        <f>'[1]FLUJO 4'!S109</f>
        <v>4772.599993690784</v>
      </c>
      <c r="O119" s="155"/>
      <c r="P119" s="153"/>
      <c r="Q119" s="155">
        <f>'[1]FLUJO 5'!S99</f>
        <v>7496.064491062152</v>
      </c>
    </row>
    <row r="120" spans="1:17" ht="12.75">
      <c r="A120" s="179" t="s">
        <v>91</v>
      </c>
      <c r="B120" s="84"/>
      <c r="C120" s="72"/>
      <c r="D120" s="123"/>
      <c r="E120" s="89"/>
      <c r="F120" s="89"/>
      <c r="G120" s="151"/>
      <c r="H120" s="89"/>
      <c r="I120" s="152"/>
      <c r="J120" s="153"/>
      <c r="K120" s="154">
        <f>'[1]FLUJO 3'!S108</f>
        <v>0</v>
      </c>
      <c r="L120" s="155"/>
      <c r="M120" s="153"/>
      <c r="N120" s="155">
        <f>'[1]FLUJO 4'!S110</f>
        <v>0</v>
      </c>
      <c r="O120" s="155"/>
      <c r="P120" s="153"/>
      <c r="Q120" s="155">
        <f>'[1]FLUJO 5'!S100</f>
        <v>0</v>
      </c>
    </row>
    <row r="121" spans="1:17" ht="12.75">
      <c r="A121" s="179" t="s">
        <v>92</v>
      </c>
      <c r="B121" s="84"/>
      <c r="C121" s="85"/>
      <c r="D121" s="83"/>
      <c r="E121" s="98"/>
      <c r="F121" s="98"/>
      <c r="G121" s="127"/>
      <c r="H121" s="98"/>
      <c r="I121" s="182"/>
      <c r="J121" s="183"/>
      <c r="K121" s="99"/>
      <c r="L121" s="128"/>
      <c r="M121" s="183"/>
      <c r="N121" s="99"/>
      <c r="O121" s="128"/>
      <c r="P121" s="183"/>
      <c r="Q121" s="98"/>
    </row>
    <row r="122" spans="1:17" ht="12.75">
      <c r="A122" s="179" t="s">
        <v>93</v>
      </c>
      <c r="B122" s="84"/>
      <c r="C122" s="72"/>
      <c r="D122" s="123"/>
      <c r="E122" s="98">
        <f>'[1]FLUJO 1 '!AD127</f>
        <v>578.9819999999995</v>
      </c>
      <c r="F122" s="89"/>
      <c r="G122" s="151"/>
      <c r="H122" s="98">
        <f>'[1]FLUJO 2'!AC101</f>
        <v>4964.51176308</v>
      </c>
      <c r="I122" s="152"/>
      <c r="J122" s="153"/>
      <c r="K122" s="99">
        <f>K124-K120-K119-K118</f>
        <v>6821.8744024803955</v>
      </c>
      <c r="L122" s="155"/>
      <c r="M122" s="153"/>
      <c r="N122" s="99">
        <f>'[1]FLUJO 4'!AC112</f>
        <v>8567.022849632725</v>
      </c>
      <c r="O122" s="155"/>
      <c r="P122" s="153"/>
      <c r="Q122" s="98">
        <f>'[1]FLUJO 5'!AC102</f>
        <v>11795.412504203601</v>
      </c>
    </row>
    <row r="123" spans="1:17" ht="12.75">
      <c r="A123" s="32"/>
      <c r="B123" s="184"/>
      <c r="C123" s="64"/>
      <c r="D123" s="57"/>
      <c r="E123" s="52"/>
      <c r="F123" s="16"/>
      <c r="G123" s="185"/>
      <c r="H123" s="52"/>
      <c r="I123" s="186"/>
      <c r="J123" s="187"/>
      <c r="K123" s="55"/>
      <c r="L123" s="42"/>
      <c r="M123" s="187"/>
      <c r="N123" s="55"/>
      <c r="O123" s="42"/>
      <c r="P123" s="187"/>
      <c r="Q123" s="52"/>
    </row>
    <row r="124" spans="1:17" ht="12.75">
      <c r="A124" s="50" t="s">
        <v>88</v>
      </c>
      <c r="B124" s="184"/>
      <c r="C124" s="54"/>
      <c r="D124" s="188"/>
      <c r="E124" s="52">
        <f>SUM(E118:E122)</f>
        <v>578.9819999999995</v>
      </c>
      <c r="F124" s="52"/>
      <c r="G124" s="189"/>
      <c r="H124" s="52">
        <f>SUM(H118:H123)</f>
        <v>4964.51176308</v>
      </c>
      <c r="I124" s="190"/>
      <c r="J124" s="191"/>
      <c r="K124" s="55">
        <f>'[1]FLUJO 3'!AC112</f>
        <v>9877.987765201227</v>
      </c>
      <c r="L124" s="192"/>
      <c r="M124" s="191"/>
      <c r="N124" s="55">
        <f>'[1]FLUJO 4'!AC114</f>
        <v>16708.516956517007</v>
      </c>
      <c r="O124" s="192"/>
      <c r="P124" s="191"/>
      <c r="Q124" s="52">
        <f>'[1]FLUJO 5'!AC104</f>
        <v>24582.816636015512</v>
      </c>
    </row>
    <row r="125" spans="1:17" ht="12.75">
      <c r="A125" s="32"/>
      <c r="B125" s="184"/>
      <c r="C125" s="54"/>
      <c r="D125" s="188"/>
      <c r="E125" s="52"/>
      <c r="F125" s="52"/>
      <c r="G125" s="189"/>
      <c r="H125" s="52"/>
      <c r="I125" s="190"/>
      <c r="J125" s="191"/>
      <c r="K125" s="55"/>
      <c r="L125" s="192"/>
      <c r="M125" s="191"/>
      <c r="N125" s="55"/>
      <c r="O125" s="192"/>
      <c r="P125" s="191"/>
      <c r="Q125" s="52"/>
    </row>
    <row r="126" spans="1:17" ht="12.75">
      <c r="A126" s="193" t="s">
        <v>94</v>
      </c>
      <c r="B126" s="194">
        <f>+B92+B64+B44+B25+B115+B109</f>
        <v>3684</v>
      </c>
      <c r="C126" s="195"/>
      <c r="D126" s="196"/>
      <c r="E126" s="194">
        <f>E31+E48+E79+E92+E108+E124</f>
        <v>93644.68130666668</v>
      </c>
      <c r="F126" s="197"/>
      <c r="G126" s="198"/>
      <c r="H126" s="199">
        <f>H31+H48+H79+H92+H108+H124</f>
        <v>115445.754621</v>
      </c>
      <c r="I126" s="200"/>
      <c r="J126" s="198"/>
      <c r="K126" s="199">
        <f>K31+K48+K79+K92+K108+K124</f>
        <v>147337.67628143087</v>
      </c>
      <c r="L126" s="197"/>
      <c r="M126" s="198"/>
      <c r="N126" s="199">
        <f>N31+N48+N79+N92+N108+N124</f>
        <v>202401.4996985526</v>
      </c>
      <c r="O126" s="197"/>
      <c r="P126" s="198"/>
      <c r="Q126" s="194">
        <f>Q31+Q48+Q79+Q92+Q108+Q124</f>
        <v>261864.94906610227</v>
      </c>
    </row>
    <row r="127" spans="1:17" ht="12.75">
      <c r="A127" s="62"/>
      <c r="B127" s="62"/>
      <c r="C127" s="64"/>
      <c r="D127" s="57"/>
      <c r="E127" s="52"/>
      <c r="F127" s="16"/>
      <c r="G127" s="185"/>
      <c r="H127" s="52"/>
      <c r="I127" s="186"/>
      <c r="J127" s="187"/>
      <c r="K127" s="55"/>
      <c r="L127" s="42"/>
      <c r="M127" s="187"/>
      <c r="N127" s="55"/>
      <c r="O127" s="42"/>
      <c r="P127" s="187"/>
      <c r="Q127" s="52"/>
    </row>
    <row r="128" spans="1:17" ht="12.75">
      <c r="A128" s="201" t="s">
        <v>95</v>
      </c>
      <c r="B128" s="202">
        <f>+B8-B126</f>
        <v>27316</v>
      </c>
      <c r="C128" s="203">
        <v>-31000</v>
      </c>
      <c r="D128" s="204"/>
      <c r="E128" s="202">
        <f>E19-E126</f>
        <v>6045.718693333314</v>
      </c>
      <c r="F128" s="205"/>
      <c r="G128" s="206"/>
      <c r="H128" s="207">
        <f>H19-H126</f>
        <v>19733.16407233331</v>
      </c>
      <c r="I128" s="208"/>
      <c r="J128" s="206"/>
      <c r="K128" s="207">
        <f>K19-K126</f>
        <v>43553.88779090243</v>
      </c>
      <c r="L128" s="205"/>
      <c r="M128" s="206"/>
      <c r="N128" s="207">
        <f>N19-N126</f>
        <v>74042.38809234992</v>
      </c>
      <c r="O128" s="205"/>
      <c r="P128" s="206"/>
      <c r="Q128" s="202">
        <f>Q19-Q126</f>
        <v>124002.23902624764</v>
      </c>
    </row>
    <row r="129" spans="1:17" ht="12.75">
      <c r="A129" s="57"/>
      <c r="B129" s="57"/>
      <c r="C129" s="209"/>
      <c r="D129" s="209"/>
      <c r="E129" s="209"/>
      <c r="F129" s="209"/>
      <c r="G129" s="209"/>
      <c r="H129" s="209"/>
      <c r="I129" s="210"/>
      <c r="J129" s="210"/>
      <c r="K129" s="210"/>
      <c r="Q129" s="211"/>
    </row>
    <row r="130" spans="1:17" ht="12.75">
      <c r="A130" s="57"/>
      <c r="B130" s="212"/>
      <c r="C130" s="209"/>
      <c r="D130" s="209"/>
      <c r="E130" s="213" t="s">
        <v>96</v>
      </c>
      <c r="F130" s="214"/>
      <c r="G130" s="214"/>
      <c r="H130" s="213" t="s">
        <v>97</v>
      </c>
      <c r="I130" s="215"/>
      <c r="J130" s="215"/>
      <c r="K130" s="216" t="s">
        <v>98</v>
      </c>
      <c r="L130" s="217"/>
      <c r="M130" s="217"/>
      <c r="N130" s="218" t="s">
        <v>99</v>
      </c>
      <c r="O130" s="217"/>
      <c r="P130" s="217"/>
      <c r="Q130" s="218" t="s">
        <v>100</v>
      </c>
    </row>
    <row r="131" ht="12.75">
      <c r="C131" s="219"/>
    </row>
    <row r="132" ht="220.5" customHeight="1">
      <c r="K132" s="220"/>
    </row>
    <row r="133" ht="12.75">
      <c r="K133" s="220"/>
    </row>
    <row r="134" spans="1:17" ht="12.75">
      <c r="A134" t="s">
        <v>101</v>
      </c>
      <c r="B134" s="221"/>
      <c r="C134" s="222">
        <f>-B8</f>
        <v>-31000</v>
      </c>
      <c r="E134" s="220">
        <f>E15+E17-E126</f>
        <v>-21270.281306666686</v>
      </c>
      <c r="H134" s="220">
        <f>H15+H17-H126</f>
        <v>13687.445378999997</v>
      </c>
      <c r="K134" s="220">
        <f>K15+K17-K126</f>
        <v>23820.72371856912</v>
      </c>
      <c r="N134" s="220">
        <f>N15+N17-N126</f>
        <v>30488.500301447406</v>
      </c>
      <c r="Q134" s="220">
        <f>Q15+Q17-Q126</f>
        <v>49959.85093389772</v>
      </c>
    </row>
    <row r="135" spans="1:17" ht="12.75">
      <c r="A135" s="223" t="s">
        <v>102</v>
      </c>
      <c r="B135" s="224"/>
      <c r="C135" s="223"/>
      <c r="D135" s="223"/>
      <c r="E135" s="224">
        <f>E134</f>
        <v>-21270.281306666686</v>
      </c>
      <c r="F135" s="223"/>
      <c r="G135" s="223"/>
      <c r="H135" s="225">
        <f>H134+E135</f>
        <v>-7582.835927666689</v>
      </c>
      <c r="I135" s="223"/>
      <c r="J135" s="223"/>
      <c r="K135" s="225">
        <f>K134+H135</f>
        <v>16237.88779090243</v>
      </c>
      <c r="L135" s="223"/>
      <c r="M135" s="223"/>
      <c r="N135" s="225">
        <f>N134+K135</f>
        <v>46726.38809234984</v>
      </c>
      <c r="O135" s="223"/>
      <c r="P135" s="223"/>
      <c r="Q135" s="225">
        <f>Q134+N135</f>
        <v>96686.23902624755</v>
      </c>
    </row>
    <row r="137" spans="1:5" ht="12.75">
      <c r="A137" s="226" t="s">
        <v>103</v>
      </c>
      <c r="B137" s="227">
        <v>0.052</v>
      </c>
      <c r="C137" s="228">
        <f>NPV(B137,E134:Q134)+C134</f>
        <v>45275.883025717514</v>
      </c>
      <c r="E137" s="229">
        <v>2470</v>
      </c>
    </row>
    <row r="138" spans="1:14" ht="12.75">
      <c r="A138" s="226" t="s">
        <v>104</v>
      </c>
      <c r="B138" s="230"/>
      <c r="C138" s="231">
        <f>IRR(C134:Q134)</f>
        <v>0.2637071500946648</v>
      </c>
      <c r="E138" s="219"/>
      <c r="N138" s="220">
        <f>Q134/12</f>
        <v>4163.320911158143</v>
      </c>
    </row>
    <row r="139" ht="12.75">
      <c r="C139" s="222"/>
    </row>
    <row r="141" ht="12.75">
      <c r="A141" t="s">
        <v>105</v>
      </c>
    </row>
    <row r="144" spans="1:5" ht="12.75">
      <c r="A144" s="232" t="s">
        <v>106</v>
      </c>
      <c r="B144" s="233">
        <f>C134</f>
        <v>-31000</v>
      </c>
      <c r="C144" s="222">
        <f>B144</f>
        <v>-31000</v>
      </c>
      <c r="E144" s="211"/>
    </row>
    <row r="145" spans="1:5" ht="12.75">
      <c r="A145" s="232" t="s">
        <v>107</v>
      </c>
      <c r="B145" s="234">
        <f>E128</f>
        <v>6045.718693333314</v>
      </c>
      <c r="C145" s="211">
        <f>C144+B145</f>
        <v>-24954.281306666686</v>
      </c>
      <c r="E145" s="211"/>
    </row>
    <row r="146" spans="1:5" ht="12.75">
      <c r="A146" s="232" t="s">
        <v>108</v>
      </c>
      <c r="B146" s="234">
        <f>H128</f>
        <v>19733.16407233331</v>
      </c>
      <c r="C146" s="211">
        <f>C145+B146</f>
        <v>-5221.117234333375</v>
      </c>
      <c r="E146" s="211"/>
    </row>
    <row r="147" spans="1:3" ht="12.75">
      <c r="A147" s="232" t="s">
        <v>109</v>
      </c>
      <c r="B147" s="234">
        <f>K128</f>
        <v>43553.88779090243</v>
      </c>
      <c r="C147" s="211">
        <f>C146+B147</f>
        <v>38332.770556569056</v>
      </c>
    </row>
    <row r="148" spans="1:3" ht="12.75">
      <c r="A148" s="232" t="s">
        <v>110</v>
      </c>
      <c r="B148" s="234">
        <f>N128</f>
        <v>74042.38809234992</v>
      </c>
      <c r="C148" s="211">
        <f>C147+B148</f>
        <v>112375.15864891898</v>
      </c>
    </row>
    <row r="149" spans="1:3" ht="12.75">
      <c r="A149" s="232" t="s">
        <v>111</v>
      </c>
      <c r="B149" s="234">
        <f>Q128</f>
        <v>124002.23902624764</v>
      </c>
      <c r="C149" s="220">
        <f>C148+B149</f>
        <v>236377.3976751666</v>
      </c>
    </row>
    <row r="152" spans="1:2" ht="12.75">
      <c r="A152" s="235" t="s">
        <v>112</v>
      </c>
      <c r="B152" s="236">
        <f>3-1+(-C146/B147)</f>
        <v>2.119877179722724</v>
      </c>
    </row>
    <row r="153" ht="12.75">
      <c r="B153" t="s">
        <v>113</v>
      </c>
    </row>
  </sheetData>
  <mergeCells count="8">
    <mergeCell ref="A1:Q1"/>
    <mergeCell ref="A3:Q3"/>
    <mergeCell ref="A5:Q5"/>
    <mergeCell ref="L6:N6"/>
    <mergeCell ref="O6:Q6"/>
    <mergeCell ref="F6:H6"/>
    <mergeCell ref="I6:K6"/>
    <mergeCell ref="C6:E6"/>
  </mergeCells>
  <printOptions/>
  <pageMargins left="1.23" right="0.5" top="1.05" bottom="1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8"/>
  <sheetViews>
    <sheetView zoomScale="90" zoomScaleNormal="90" workbookViewId="0" topLeftCell="A9">
      <selection activeCell="Q24" sqref="Q24"/>
    </sheetView>
  </sheetViews>
  <sheetFormatPr defaultColWidth="11.421875" defaultRowHeight="12.75"/>
  <cols>
    <col min="1" max="1" width="40.00390625" style="238" customWidth="1"/>
    <col min="2" max="2" width="0.13671875" style="238" customWidth="1"/>
    <col min="3" max="3" width="10.140625" style="238" hidden="1" customWidth="1"/>
    <col min="4" max="4" width="15.28125" style="255" bestFit="1" customWidth="1"/>
    <col min="5" max="5" width="0.13671875" style="238" customWidth="1"/>
    <col min="6" max="6" width="8.8515625" style="238" hidden="1" customWidth="1"/>
    <col min="7" max="7" width="15.7109375" style="238" bestFit="1" customWidth="1"/>
    <col min="8" max="8" width="0.13671875" style="238" customWidth="1"/>
    <col min="9" max="9" width="10.28125" style="238" hidden="1" customWidth="1"/>
    <col min="10" max="10" width="16.00390625" style="238" bestFit="1" customWidth="1"/>
    <col min="11" max="11" width="0.13671875" style="238" customWidth="1"/>
    <col min="12" max="12" width="8.421875" style="238" hidden="1" customWidth="1"/>
    <col min="13" max="13" width="16.00390625" style="238" bestFit="1" customWidth="1"/>
    <col min="14" max="14" width="0.13671875" style="238" customWidth="1"/>
    <col min="15" max="15" width="8.421875" style="238" hidden="1" customWidth="1"/>
    <col min="16" max="16" width="16.00390625" style="238" bestFit="1" customWidth="1"/>
    <col min="17" max="17" width="5.140625" style="238" customWidth="1"/>
    <col min="18" max="18" width="12.8515625" style="238" bestFit="1" customWidth="1"/>
    <col min="19" max="16384" width="11.421875" style="238" customWidth="1"/>
  </cols>
  <sheetData>
    <row r="1" spans="1:17" ht="11.25" customHeight="1" hidden="1">
      <c r="A1" s="237"/>
      <c r="C1" s="239" t="s">
        <v>114</v>
      </c>
      <c r="D1" s="489" t="s">
        <v>115</v>
      </c>
      <c r="E1" s="489"/>
      <c r="F1" s="489" t="s">
        <v>116</v>
      </c>
      <c r="G1" s="489"/>
      <c r="H1" s="489" t="s">
        <v>117</v>
      </c>
      <c r="I1" s="489"/>
      <c r="J1" s="489" t="s">
        <v>118</v>
      </c>
      <c r="K1" s="489"/>
      <c r="L1" s="489" t="s">
        <v>119</v>
      </c>
      <c r="M1" s="489"/>
      <c r="N1" s="489" t="s">
        <v>120</v>
      </c>
      <c r="O1" s="489"/>
      <c r="P1" s="489" t="s">
        <v>121</v>
      </c>
      <c r="Q1" s="489"/>
    </row>
    <row r="2" spans="1:17" ht="26.25" hidden="1">
      <c r="A2" s="237" t="s">
        <v>12</v>
      </c>
      <c r="B2" s="240"/>
      <c r="C2" s="241" t="s">
        <v>122</v>
      </c>
      <c r="D2" s="242" t="s">
        <v>122</v>
      </c>
      <c r="E2" s="243" t="s">
        <v>123</v>
      </c>
      <c r="F2" s="243" t="s">
        <v>122</v>
      </c>
      <c r="G2" s="243" t="s">
        <v>123</v>
      </c>
      <c r="H2" s="243" t="s">
        <v>122</v>
      </c>
      <c r="I2" s="243" t="s">
        <v>123</v>
      </c>
      <c r="J2" s="243" t="s">
        <v>122</v>
      </c>
      <c r="K2" s="243" t="s">
        <v>123</v>
      </c>
      <c r="L2" s="243" t="s">
        <v>122</v>
      </c>
      <c r="M2" s="243" t="s">
        <v>123</v>
      </c>
      <c r="N2" s="243" t="s">
        <v>122</v>
      </c>
      <c r="O2" s="243" t="s">
        <v>123</v>
      </c>
      <c r="P2" s="243" t="s">
        <v>122</v>
      </c>
      <c r="Q2" s="243" t="s">
        <v>123</v>
      </c>
    </row>
    <row r="3" spans="1:17" ht="26.25" hidden="1">
      <c r="A3" s="237" t="s">
        <v>16</v>
      </c>
      <c r="B3" s="244"/>
      <c r="C3" s="245">
        <f>'[2]FLUJO EFECTIVO  PROYECTADO '!H6</f>
        <v>120</v>
      </c>
      <c r="D3" s="246">
        <f>'[2]FLUJO EFECTIVO  PROYECTADO '!N6</f>
        <v>60</v>
      </c>
      <c r="E3" s="243" t="e">
        <f>D3*#REF!</f>
        <v>#REF!</v>
      </c>
      <c r="F3" s="245">
        <f>'[2]FLUJO EFECTIVO  PROYECTADO '!Q6</f>
        <v>120</v>
      </c>
      <c r="G3" s="243" t="e">
        <f>F3*#REF!</f>
        <v>#REF!</v>
      </c>
      <c r="H3" s="245">
        <f>'[2]FLUJO EFECTIVO  PROYECTADO '!S6</f>
        <v>60</v>
      </c>
      <c r="I3" s="243" t="e">
        <f>H3*#REF!</f>
        <v>#REF!</v>
      </c>
      <c r="J3" s="245">
        <f>'[2]FLUJO EFECTIVO  PROYECTADO '!U6</f>
        <v>60</v>
      </c>
      <c r="K3" s="243" t="e">
        <f>J3*#REF!</f>
        <v>#REF!</v>
      </c>
      <c r="L3" s="245">
        <f>'[2]FLUJO EFECTIVO  PROYECTADO '!W6</f>
        <v>120</v>
      </c>
      <c r="M3" s="243" t="e">
        <f>L3*#REF!</f>
        <v>#REF!</v>
      </c>
      <c r="N3" s="245">
        <f>'[2]FLUJO EFECTIVO  PROYECTADO '!Y6</f>
        <v>120</v>
      </c>
      <c r="O3" s="243" t="e">
        <f>N3*#REF!</f>
        <v>#REF!</v>
      </c>
      <c r="P3" s="245">
        <f>'[2]FLUJO EFECTIVO  PROYECTADO '!AA6</f>
        <v>30</v>
      </c>
      <c r="Q3" s="243" t="e">
        <f>P3*#REF!</f>
        <v>#REF!</v>
      </c>
    </row>
    <row r="4" spans="1:17" ht="26.25" hidden="1">
      <c r="A4" s="237" t="s">
        <v>17</v>
      </c>
      <c r="B4" s="247"/>
      <c r="C4" s="245">
        <f>'[2]FLUJO EFECTIVO  PROYECTADO '!H7</f>
        <v>120</v>
      </c>
      <c r="D4" s="246">
        <f>'[2]FLUJO EFECTIVO  PROYECTADO '!N7</f>
        <v>0</v>
      </c>
      <c r="E4" s="243" t="e">
        <f>D4*#REF!</f>
        <v>#REF!</v>
      </c>
      <c r="F4" s="245">
        <f>'[2]FLUJO EFECTIVO  PROYECTADO '!Q7</f>
        <v>120</v>
      </c>
      <c r="G4" s="243" t="e">
        <f>F4*#REF!</f>
        <v>#REF!</v>
      </c>
      <c r="H4" s="245">
        <f>'[2]FLUJO EFECTIVO  PROYECTADO '!S7</f>
        <v>0</v>
      </c>
      <c r="I4" s="243" t="e">
        <f>H4*#REF!</f>
        <v>#REF!</v>
      </c>
      <c r="J4" s="245">
        <f>'[2]FLUJO EFECTIVO  PROYECTADO '!U7</f>
        <v>0</v>
      </c>
      <c r="K4" s="243" t="e">
        <f>J4*#REF!</f>
        <v>#REF!</v>
      </c>
      <c r="L4" s="245">
        <f>'[2]FLUJO EFECTIVO  PROYECTADO '!W7</f>
        <v>120</v>
      </c>
      <c r="M4" s="243" t="e">
        <f>L4*#REF!</f>
        <v>#REF!</v>
      </c>
      <c r="N4" s="245">
        <f>'[2]FLUJO EFECTIVO  PROYECTADO '!Y7</f>
        <v>0</v>
      </c>
      <c r="O4" s="243" t="e">
        <f>N4*#REF!</f>
        <v>#REF!</v>
      </c>
      <c r="P4" s="245">
        <f>'[2]FLUJO EFECTIVO  PROYECTADO '!AA7</f>
        <v>0</v>
      </c>
      <c r="Q4" s="243" t="e">
        <f>P4*#REF!</f>
        <v>#REF!</v>
      </c>
    </row>
    <row r="5" spans="1:17" ht="26.25" hidden="1">
      <c r="A5" s="237" t="s">
        <v>124</v>
      </c>
      <c r="B5" s="248"/>
      <c r="C5" s="249">
        <f>SUM(C3:C4)*0.5</f>
        <v>120</v>
      </c>
      <c r="D5" s="250">
        <f>SUM(D3:D4)*0.5</f>
        <v>30</v>
      </c>
      <c r="E5" s="251" t="e">
        <f>D5*#REF!</f>
        <v>#REF!</v>
      </c>
      <c r="F5" s="249">
        <f>SUM(F3:F4)*0.5</f>
        <v>120</v>
      </c>
      <c r="G5" s="251" t="e">
        <f>F5*#REF!</f>
        <v>#REF!</v>
      </c>
      <c r="H5" s="249">
        <f>SUM(H3:H4)*0.5</f>
        <v>30</v>
      </c>
      <c r="I5" s="251" t="e">
        <f>H5*#REF!</f>
        <v>#REF!</v>
      </c>
      <c r="J5" s="249">
        <f>SUM(J3:J4)*0.5</f>
        <v>30</v>
      </c>
      <c r="K5" s="251" t="e">
        <f>J5*#REF!</f>
        <v>#REF!</v>
      </c>
      <c r="L5" s="249">
        <f>SUM(L3:L4)*0.5</f>
        <v>120</v>
      </c>
      <c r="M5" s="251" t="e">
        <f>L5*#REF!</f>
        <v>#REF!</v>
      </c>
      <c r="N5" s="249">
        <f>SUM(N3:N4)*0.5</f>
        <v>60</v>
      </c>
      <c r="O5" s="251" t="e">
        <f>N5*#REF!</f>
        <v>#REF!</v>
      </c>
      <c r="P5" s="249">
        <f>SUM(P3:P4)*0.5</f>
        <v>15</v>
      </c>
      <c r="Q5" s="251" t="e">
        <f>P5*#REF!</f>
        <v>#REF!</v>
      </c>
    </row>
    <row r="6" spans="1:17" ht="26.25" hidden="1">
      <c r="A6" s="237" t="s">
        <v>20</v>
      </c>
      <c r="B6" s="26"/>
      <c r="C6" s="252">
        <f aca="true" t="shared" si="0" ref="C6:Q6">SUM(C3:C5)</f>
        <v>360</v>
      </c>
      <c r="D6" s="253">
        <f t="shared" si="0"/>
        <v>90</v>
      </c>
      <c r="E6" s="254" t="e">
        <f t="shared" si="0"/>
        <v>#REF!</v>
      </c>
      <c r="F6" s="252">
        <f t="shared" si="0"/>
        <v>360</v>
      </c>
      <c r="G6" s="254" t="e">
        <f t="shared" si="0"/>
        <v>#REF!</v>
      </c>
      <c r="H6" s="252">
        <f t="shared" si="0"/>
        <v>90</v>
      </c>
      <c r="I6" s="254" t="e">
        <f t="shared" si="0"/>
        <v>#REF!</v>
      </c>
      <c r="J6" s="252">
        <f t="shared" si="0"/>
        <v>90</v>
      </c>
      <c r="K6" s="254" t="e">
        <f t="shared" si="0"/>
        <v>#REF!</v>
      </c>
      <c r="L6" s="252">
        <f t="shared" si="0"/>
        <v>360</v>
      </c>
      <c r="M6" s="254" t="e">
        <f t="shared" si="0"/>
        <v>#REF!</v>
      </c>
      <c r="N6" s="252">
        <f t="shared" si="0"/>
        <v>180</v>
      </c>
      <c r="O6" s="254" t="e">
        <f t="shared" si="0"/>
        <v>#REF!</v>
      </c>
      <c r="P6" s="252">
        <f t="shared" si="0"/>
        <v>45</v>
      </c>
      <c r="Q6" s="254" t="e">
        <f t="shared" si="0"/>
        <v>#REF!</v>
      </c>
    </row>
    <row r="7" ht="26.25" hidden="1">
      <c r="A7" s="237"/>
    </row>
    <row r="8" ht="26.25" hidden="1">
      <c r="A8" s="237"/>
    </row>
    <row r="9" spans="1:16" ht="27" customHeight="1">
      <c r="A9" s="480" t="s">
        <v>125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</row>
    <row r="10" spans="1:16" ht="20.2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6" ht="18">
      <c r="A11" s="481" t="s">
        <v>126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</row>
    <row r="12" spans="1:16" ht="22.5" customHeight="1">
      <c r="A12" s="490"/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</row>
    <row r="13" spans="1:16" s="237" customFormat="1" ht="26.25">
      <c r="A13" s="494" t="s">
        <v>127</v>
      </c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6"/>
    </row>
    <row r="14" spans="1:16" s="258" customFormat="1" ht="20.25">
      <c r="A14" s="257" t="s">
        <v>3</v>
      </c>
      <c r="B14" s="491" t="s">
        <v>5</v>
      </c>
      <c r="C14" s="492"/>
      <c r="D14" s="493"/>
      <c r="E14" s="492" t="s">
        <v>6</v>
      </c>
      <c r="F14" s="492"/>
      <c r="G14" s="492"/>
      <c r="H14" s="491" t="s">
        <v>7</v>
      </c>
      <c r="I14" s="492"/>
      <c r="J14" s="493"/>
      <c r="K14" s="492" t="s">
        <v>8</v>
      </c>
      <c r="L14" s="492"/>
      <c r="M14" s="492"/>
      <c r="N14" s="491" t="s">
        <v>9</v>
      </c>
      <c r="O14" s="492"/>
      <c r="P14" s="493"/>
    </row>
    <row r="15" spans="1:16" s="258" customFormat="1" ht="17.25" customHeight="1">
      <c r="A15" s="257"/>
      <c r="B15" s="259"/>
      <c r="C15" s="260"/>
      <c r="D15" s="261"/>
      <c r="E15" s="260"/>
      <c r="F15" s="260"/>
      <c r="G15" s="260"/>
      <c r="H15" s="259"/>
      <c r="I15" s="260"/>
      <c r="J15" s="261"/>
      <c r="K15" s="260"/>
      <c r="L15" s="260"/>
      <c r="M15" s="260"/>
      <c r="N15" s="259"/>
      <c r="O15" s="260"/>
      <c r="P15" s="261"/>
    </row>
    <row r="16" spans="1:16" s="57" customFormat="1" ht="17.25" customHeight="1">
      <c r="A16" s="262" t="s">
        <v>12</v>
      </c>
      <c r="B16" s="263" t="s">
        <v>13</v>
      </c>
      <c r="C16" s="263" t="s">
        <v>14</v>
      </c>
      <c r="D16" s="264" t="s">
        <v>15</v>
      </c>
      <c r="E16" s="265" t="s">
        <v>13</v>
      </c>
      <c r="F16" s="263" t="s">
        <v>14</v>
      </c>
      <c r="G16" s="266" t="s">
        <v>15</v>
      </c>
      <c r="H16" s="267" t="s">
        <v>13</v>
      </c>
      <c r="I16" s="268" t="s">
        <v>14</v>
      </c>
      <c r="J16" s="269" t="s">
        <v>15</v>
      </c>
      <c r="K16" s="266" t="s">
        <v>13</v>
      </c>
      <c r="L16" s="268" t="str">
        <f>I16</f>
        <v>VTAS</v>
      </c>
      <c r="M16" s="266" t="str">
        <f>J16</f>
        <v>TOTAL</v>
      </c>
      <c r="N16" s="270" t="s">
        <v>13</v>
      </c>
      <c r="O16" s="268" t="str">
        <f>L16</f>
        <v>VTAS</v>
      </c>
      <c r="P16" s="269" t="str">
        <f>M16</f>
        <v>TOTAL</v>
      </c>
    </row>
    <row r="17" spans="1:16" s="57" customFormat="1" ht="17.25" customHeight="1">
      <c r="A17" s="271" t="s">
        <v>16</v>
      </c>
      <c r="B17" s="272">
        <f>'[1]FLUJOS ANUALES17'!C11</f>
        <v>50</v>
      </c>
      <c r="C17" s="273">
        <f>'[1]FLUJOS ANUALES17'!D11</f>
        <v>480</v>
      </c>
      <c r="D17" s="274">
        <f>'[1]FLUJOS ANUALES17'!E11</f>
        <v>24000</v>
      </c>
      <c r="E17" s="275">
        <f>'[1]FLUJOS ANUALES17'!F11</f>
        <v>61</v>
      </c>
      <c r="F17" s="276">
        <f>'[1]FLUJOS ANUALES17'!G11</f>
        <v>810</v>
      </c>
      <c r="G17" s="275">
        <f>'[1]FLUJOS ANUALES17'!H11</f>
        <v>49410</v>
      </c>
      <c r="H17" s="277">
        <f>'[1]FLUJOS ANUALES17'!I11</f>
        <v>64</v>
      </c>
      <c r="I17" s="278">
        <f>'[1]FLUJOS ANUALES17'!J11</f>
        <v>990</v>
      </c>
      <c r="J17" s="274">
        <f>'[1]FLUJOS ANUALES17'!K11</f>
        <v>63360</v>
      </c>
      <c r="K17" s="279">
        <f>'[1]FLUJOS ANUALES17'!L11</f>
        <v>67</v>
      </c>
      <c r="L17" s="278">
        <f>'[1]FLUJOS ANUALES17'!M11</f>
        <v>1230</v>
      </c>
      <c r="M17" s="275">
        <f>'[1]FLUJOS ANUALES17'!N11</f>
        <v>82410</v>
      </c>
      <c r="N17" s="277">
        <f>'[1]FLUJOS ANUALES17'!O11</f>
        <v>70</v>
      </c>
      <c r="O17" s="278">
        <f>'[1]FLUJOS ANUALES17'!P11</f>
        <v>1470</v>
      </c>
      <c r="P17" s="274">
        <f>'[1]FLUJOS ANUALES17'!Q11</f>
        <v>102900</v>
      </c>
    </row>
    <row r="18" spans="1:16" s="57" customFormat="1" ht="17.25" customHeight="1">
      <c r="A18" s="271" t="s">
        <v>17</v>
      </c>
      <c r="B18" s="272">
        <f>'[1]FLUJOS ANUALES17'!C12</f>
        <v>130</v>
      </c>
      <c r="C18" s="273">
        <f>'[1]FLUJOS ANUALES17'!D12</f>
        <v>300</v>
      </c>
      <c r="D18" s="274">
        <f>'[1]FLUJOS ANUALES17'!E12</f>
        <v>39000</v>
      </c>
      <c r="E18" s="275">
        <f>'[1]FLUJOS ANUALES17'!F12</f>
        <v>150</v>
      </c>
      <c r="F18" s="276">
        <f>'[1]FLUJOS ANUALES17'!G12</f>
        <v>420</v>
      </c>
      <c r="G18" s="275">
        <f>'[1]FLUJOS ANUALES17'!H12</f>
        <v>63000</v>
      </c>
      <c r="H18" s="277">
        <f>'[1]FLUJOS ANUALES17'!I12</f>
        <v>158</v>
      </c>
      <c r="I18" s="278">
        <f>'[1]FLUJOS ANUALES17'!J12</f>
        <v>540</v>
      </c>
      <c r="J18" s="274">
        <f>'[1]FLUJOS ANUALES17'!K12</f>
        <v>85320</v>
      </c>
      <c r="K18" s="279">
        <f>'[1]FLUJOS ANUALES17'!L12</f>
        <v>166</v>
      </c>
      <c r="L18" s="278">
        <f>'[1]FLUJOS ANUALES17'!M12</f>
        <v>720</v>
      </c>
      <c r="M18" s="275">
        <f>'[1]FLUJOS ANUALES17'!N12</f>
        <v>119520</v>
      </c>
      <c r="N18" s="277">
        <f>'[1]FLUJOS ANUALES17'!O12</f>
        <v>174</v>
      </c>
      <c r="O18" s="278">
        <f>'[1]FLUJOS ANUALES17'!P12</f>
        <v>960</v>
      </c>
      <c r="P18" s="274">
        <f>'[1]FLUJOS ANUALES17'!Q12</f>
        <v>167040</v>
      </c>
    </row>
    <row r="19" spans="1:16" s="57" customFormat="1" ht="17.25" customHeight="1">
      <c r="A19" s="271" t="s">
        <v>18</v>
      </c>
      <c r="B19" s="272">
        <f>'[1]FLUJOS ANUALES17'!C13</f>
        <v>3</v>
      </c>
      <c r="C19" s="273">
        <f>'[1]FLUJOS ANUALES17'!D13</f>
        <v>240</v>
      </c>
      <c r="D19" s="274">
        <f>'[1]FLUJOS ANUALES17'!E13</f>
        <v>720</v>
      </c>
      <c r="E19" s="275">
        <f>'[1]FLUJOS ANUALES17'!F13</f>
        <v>3.5</v>
      </c>
      <c r="F19" s="276">
        <f>'[1]FLUJOS ANUALES17'!G13</f>
        <v>405</v>
      </c>
      <c r="G19" s="275">
        <f>'[1]FLUJOS ANUALES17'!H13</f>
        <v>1417.5</v>
      </c>
      <c r="H19" s="277">
        <f>'[1]FLUJOS ANUALES17'!I13</f>
        <v>4</v>
      </c>
      <c r="I19" s="278">
        <f>'[1]FLUJOS ANUALES17'!J13</f>
        <v>495</v>
      </c>
      <c r="J19" s="274">
        <f>'[1]FLUJOS ANUALES17'!K13</f>
        <v>1980</v>
      </c>
      <c r="K19" s="279">
        <f>'[1]FLUJOS ANUALES17'!L13</f>
        <v>4.5</v>
      </c>
      <c r="L19" s="278">
        <f>'[1]FLUJOS ANUALES17'!M13</f>
        <v>615</v>
      </c>
      <c r="M19" s="275">
        <f>'[1]FLUJOS ANUALES17'!N13</f>
        <v>2767.5</v>
      </c>
      <c r="N19" s="277">
        <f>'[1]FLUJOS ANUALES17'!O13</f>
        <v>5</v>
      </c>
      <c r="O19" s="278">
        <f>'[1]FLUJOS ANUALES17'!P13</f>
        <v>735</v>
      </c>
      <c r="P19" s="274">
        <f>'[1]FLUJOS ANUALES17'!Q13</f>
        <v>3675</v>
      </c>
    </row>
    <row r="20" spans="1:16" s="57" customFormat="1" ht="17.25" customHeight="1">
      <c r="A20" s="271" t="s">
        <v>19</v>
      </c>
      <c r="B20" s="272">
        <f>'[1]FLUJOS ANUALES17'!C14</f>
        <v>6</v>
      </c>
      <c r="C20" s="280">
        <f>'[1]FLUJOS ANUALES17'!D14</f>
        <v>150</v>
      </c>
      <c r="D20" s="281">
        <f>'[1]FLUJOS ANUALES17'!E14</f>
        <v>900</v>
      </c>
      <c r="E20" s="282">
        <f>'[1]FLUJOS ANUALES17'!F14</f>
        <v>7</v>
      </c>
      <c r="F20" s="283">
        <f>'[1]FLUJOS ANUALES17'!G14</f>
        <v>210</v>
      </c>
      <c r="G20" s="282">
        <f>'[1]FLUJOS ANUALES17'!H14</f>
        <v>1470</v>
      </c>
      <c r="H20" s="284">
        <f>'[1]FLUJOS ANUALES17'!I14</f>
        <v>8</v>
      </c>
      <c r="I20" s="285">
        <f>'[1]FLUJOS ANUALES17'!J14</f>
        <v>270</v>
      </c>
      <c r="J20" s="281">
        <f>'[1]FLUJOS ANUALES17'!K14</f>
        <v>2160</v>
      </c>
      <c r="K20" s="279">
        <f>'[1]FLUJOS ANUALES17'!L14</f>
        <v>9</v>
      </c>
      <c r="L20" s="285">
        <f>'[1]FLUJOS ANUALES17'!M14</f>
        <v>360</v>
      </c>
      <c r="M20" s="282">
        <f>'[1]FLUJOS ANUALES17'!N14</f>
        <v>3240</v>
      </c>
      <c r="N20" s="277">
        <f>'[1]FLUJOS ANUALES17'!O14</f>
        <v>10</v>
      </c>
      <c r="O20" s="285">
        <f>'[1]FLUJOS ANUALES17'!P14</f>
        <v>480</v>
      </c>
      <c r="P20" s="281">
        <f>'[1]FLUJOS ANUALES17'!Q14</f>
        <v>4800</v>
      </c>
    </row>
    <row r="21" spans="1:16" s="57" customFormat="1" ht="17.25" customHeight="1">
      <c r="A21" s="262" t="s">
        <v>128</v>
      </c>
      <c r="B21" s="286"/>
      <c r="C21" s="287">
        <f>SUM(C17:C20)</f>
        <v>1170</v>
      </c>
      <c r="D21" s="288">
        <f>SUM(D17:D20)</f>
        <v>64620</v>
      </c>
      <c r="E21" s="289"/>
      <c r="F21" s="287">
        <f>SUM(F17:F20)</f>
        <v>1845</v>
      </c>
      <c r="G21" s="290">
        <f>SUM(G17:G20)</f>
        <v>115297.5</v>
      </c>
      <c r="H21" s="291"/>
      <c r="I21" s="287">
        <f>SUM(I17:I20)</f>
        <v>2295</v>
      </c>
      <c r="J21" s="288">
        <f>SUM(J17:J20)</f>
        <v>152820</v>
      </c>
      <c r="K21" s="289"/>
      <c r="L21" s="287">
        <f>SUM(L17:L20)</f>
        <v>2925</v>
      </c>
      <c r="M21" s="290">
        <f>SUM(M17:M20)</f>
        <v>207937.5</v>
      </c>
      <c r="N21" s="291"/>
      <c r="O21" s="287">
        <f>SUM(O17:O20)</f>
        <v>3645</v>
      </c>
      <c r="P21" s="288">
        <f>SUM(P17:P20)</f>
        <v>278415</v>
      </c>
    </row>
    <row r="22" spans="1:16" s="57" customFormat="1" ht="17.25" customHeight="1">
      <c r="A22" s="292"/>
      <c r="B22" s="293"/>
      <c r="C22" s="294"/>
      <c r="D22" s="295"/>
      <c r="E22" s="294"/>
      <c r="F22" s="294"/>
      <c r="G22" s="294"/>
      <c r="H22" s="293"/>
      <c r="I22" s="294">
        <f>1845*1.25</f>
        <v>2306.25</v>
      </c>
      <c r="J22" s="296"/>
      <c r="K22" s="294"/>
      <c r="L22" s="294"/>
      <c r="M22" s="294"/>
      <c r="N22" s="293"/>
      <c r="O22" s="294"/>
      <c r="P22" s="296"/>
    </row>
    <row r="23" spans="1:16" s="83" customFormat="1" ht="17.25" customHeight="1">
      <c r="A23" s="297" t="s">
        <v>24</v>
      </c>
      <c r="B23" s="286"/>
      <c r="C23" s="289"/>
      <c r="D23" s="298"/>
      <c r="E23" s="289"/>
      <c r="F23" s="289"/>
      <c r="G23" s="289"/>
      <c r="H23" s="291"/>
      <c r="I23" s="299"/>
      <c r="J23" s="300"/>
      <c r="K23" s="289"/>
      <c r="L23" s="289"/>
      <c r="M23" s="289"/>
      <c r="N23" s="291"/>
      <c r="O23" s="289"/>
      <c r="P23" s="300"/>
    </row>
    <row r="24" spans="1:16" s="83" customFormat="1" ht="17.25" customHeight="1">
      <c r="A24" s="262" t="s">
        <v>129</v>
      </c>
      <c r="B24" s="286"/>
      <c r="C24" s="289"/>
      <c r="D24" s="298"/>
      <c r="E24" s="289"/>
      <c r="F24" s="289"/>
      <c r="G24" s="289"/>
      <c r="H24" s="291"/>
      <c r="I24" s="289"/>
      <c r="J24" s="300"/>
      <c r="K24" s="289"/>
      <c r="L24" s="289"/>
      <c r="M24" s="289"/>
      <c r="N24" s="291"/>
      <c r="O24" s="289"/>
      <c r="P24" s="300"/>
    </row>
    <row r="25" spans="1:16" s="57" customFormat="1" ht="17.25" customHeight="1">
      <c r="A25" s="271" t="s">
        <v>16</v>
      </c>
      <c r="B25" s="277">
        <f>'[1]FLUJOS ANUALES17'!C23</f>
        <v>29.913333333333334</v>
      </c>
      <c r="C25" s="273">
        <f>'[1]FLUJOS ANUALES17'!D23</f>
        <v>480</v>
      </c>
      <c r="D25" s="274">
        <f>'[1]FLUJOS ANUALES17'!E23</f>
        <v>14358.4</v>
      </c>
      <c r="E25" s="279">
        <f>'[1]FLUJOS ANUALES17'!F23</f>
        <v>33.182766666666666</v>
      </c>
      <c r="F25" s="278">
        <f>'[1]FLUJOS ANUALES17'!G23</f>
        <v>810</v>
      </c>
      <c r="G25" s="275">
        <f>'[1]FLUJOS ANUALES17'!H23</f>
        <v>26878.041</v>
      </c>
      <c r="H25" s="277">
        <f>'[1]FLUJOS ANUALES17'!I23</f>
        <v>36.29467107</v>
      </c>
      <c r="I25" s="278">
        <f>'[1]FLUJOS ANUALES17'!J23</f>
        <v>990</v>
      </c>
      <c r="J25" s="274">
        <f>'[1]FLUJOS ANUALES17'!K23</f>
        <v>35931.7243593</v>
      </c>
      <c r="K25" s="279">
        <f>'[1]FLUJOS ANUALES17'!L23</f>
        <v>41.809117463042334</v>
      </c>
      <c r="L25" s="278">
        <f>'[1]FLUJOS ANUALES17'!M23</f>
        <v>1230</v>
      </c>
      <c r="M25" s="275">
        <f>'[1]FLUJOS ANUALES17'!N23</f>
        <v>51425.21447954207</v>
      </c>
      <c r="N25" s="277">
        <f>'[1]FLUJOS ANUALES17'!O23</f>
        <v>45.07617880089832</v>
      </c>
      <c r="O25" s="278">
        <f>'[1]FLUJOS ANUALES17'!P23</f>
        <v>1470</v>
      </c>
      <c r="P25" s="274">
        <f>'[1]FLUJOS ANUALES17'!Q23</f>
        <v>66261.98283732052</v>
      </c>
    </row>
    <row r="26" spans="1:16" s="57" customFormat="1" ht="17.25" customHeight="1">
      <c r="A26" s="271" t="s">
        <v>17</v>
      </c>
      <c r="B26" s="277">
        <f>'[1]FLUJOS ANUALES17'!C24</f>
        <v>65.60333333333334</v>
      </c>
      <c r="C26" s="273">
        <f>'[1]FLUJOS ANUALES17'!D24</f>
        <v>300</v>
      </c>
      <c r="D26" s="274">
        <f>'[1]FLUJOS ANUALES17'!E24</f>
        <v>19681</v>
      </c>
      <c r="E26" s="279">
        <f>'[1]FLUJOS ANUALES17'!F24</f>
        <v>72.19626666666666</v>
      </c>
      <c r="F26" s="278">
        <f>'[1]FLUJOS ANUALES17'!G24</f>
        <v>420</v>
      </c>
      <c r="G26" s="275">
        <f>'[1]FLUJOS ANUALES17'!H24</f>
        <v>30322.431999999997</v>
      </c>
      <c r="H26" s="277">
        <f>'[1]FLUJOS ANUALES17'!I24</f>
        <v>78.35578952</v>
      </c>
      <c r="I26" s="278">
        <f>'[1]FLUJOS ANUALES17'!J24</f>
        <v>540</v>
      </c>
      <c r="J26" s="274">
        <f>'[1]FLUJOS ANUALES17'!K24</f>
        <v>42312.1263408</v>
      </c>
      <c r="K26" s="279">
        <f>'[1]FLUJOS ANUALES17'!L24</f>
        <v>88.37209101255733</v>
      </c>
      <c r="L26" s="278">
        <f>'[1]FLUJOS ANUALES17'!M24</f>
        <v>720</v>
      </c>
      <c r="M26" s="275">
        <f>'[1]FLUJOS ANUALES17'!N24</f>
        <v>63627.90552904128</v>
      </c>
      <c r="N26" s="277">
        <f>'[1]FLUJOS ANUALES17'!O24</f>
        <v>95.79536569128439</v>
      </c>
      <c r="O26" s="278">
        <f>'[1]FLUJOS ANUALES17'!P24</f>
        <v>960</v>
      </c>
      <c r="P26" s="274">
        <f>'[1]FLUJOS ANUALES17'!Q24</f>
        <v>91963.55106363301</v>
      </c>
    </row>
    <row r="27" spans="1:16" s="57" customFormat="1" ht="17.25" customHeight="1">
      <c r="A27" s="271" t="s">
        <v>130</v>
      </c>
      <c r="B27" s="301">
        <f>'[1]FLUJOS ANUALES17'!C25</f>
        <v>0</v>
      </c>
      <c r="C27" s="273">
        <f>'[1]FLUJOS ANUALES17'!D25</f>
        <v>240</v>
      </c>
      <c r="D27" s="274">
        <f>'[1]FLUJOS ANUALES17'!E25</f>
        <v>0</v>
      </c>
      <c r="E27" s="302">
        <f>'[1]FLUJOS ANUALES17'!F25</f>
        <v>0</v>
      </c>
      <c r="F27" s="278">
        <f>'[1]FLUJOS ANUALES17'!G25</f>
        <v>405</v>
      </c>
      <c r="G27" s="275">
        <f>'[1]FLUJOS ANUALES17'!H25</f>
        <v>0</v>
      </c>
      <c r="H27" s="303">
        <f>'[1]FLUJOS ANUALES17'!I25</f>
        <v>0</v>
      </c>
      <c r="I27" s="278">
        <f>'[1]FLUJOS ANUALES17'!J25</f>
        <v>495</v>
      </c>
      <c r="J27" s="304" t="s">
        <v>131</v>
      </c>
      <c r="K27" s="305" t="s">
        <v>131</v>
      </c>
      <c r="L27" s="278">
        <f>'[1]FLUJOS ANUALES17'!M25</f>
        <v>615</v>
      </c>
      <c r="M27" s="275">
        <f>'[1]FLUJOS ANUALES17'!N25</f>
        <v>0</v>
      </c>
      <c r="N27" s="303">
        <f>'[1]FLUJOS ANUALES17'!O25</f>
        <v>0</v>
      </c>
      <c r="O27" s="278">
        <f>'[1]FLUJOS ANUALES17'!P25</f>
        <v>735</v>
      </c>
      <c r="P27" s="274">
        <f>'[1]FLUJOS ANUALES17'!Q25</f>
        <v>0</v>
      </c>
    </row>
    <row r="28" spans="1:16" s="57" customFormat="1" ht="17.25" customHeight="1">
      <c r="A28" s="271" t="s">
        <v>19</v>
      </c>
      <c r="B28" s="301">
        <f>'[1]FLUJOS ANUALES17'!C26</f>
        <v>0</v>
      </c>
      <c r="C28" s="280">
        <f>'[1]FLUJOS ANUALES17'!D26</f>
        <v>150</v>
      </c>
      <c r="D28" s="281">
        <f>'[1]FLUJOS ANUALES17'!E26</f>
        <v>0</v>
      </c>
      <c r="E28" s="306">
        <f>'[1]FLUJOS ANUALES17'!F26</f>
        <v>0</v>
      </c>
      <c r="F28" s="285">
        <f>'[1]FLUJOS ANUALES17'!G26</f>
        <v>210</v>
      </c>
      <c r="G28" s="282">
        <f>'[1]FLUJOS ANUALES17'!H26</f>
        <v>0</v>
      </c>
      <c r="H28" s="307">
        <f>'[1]FLUJOS ANUALES17'!I26</f>
        <v>0</v>
      </c>
      <c r="I28" s="285">
        <f>'[1]FLUJOS ANUALES17'!J26</f>
        <v>270</v>
      </c>
      <c r="J28" s="308" t="s">
        <v>131</v>
      </c>
      <c r="K28" s="309" t="s">
        <v>131</v>
      </c>
      <c r="L28" s="285">
        <f>'[1]FLUJOS ANUALES17'!M26</f>
        <v>360</v>
      </c>
      <c r="M28" s="282">
        <f>'[1]FLUJOS ANUALES17'!N26</f>
        <v>0</v>
      </c>
      <c r="N28" s="307">
        <f>'[1]FLUJOS ANUALES17'!O26</f>
        <v>0</v>
      </c>
      <c r="O28" s="285">
        <f>'[1]FLUJOS ANUALES17'!P26</f>
        <v>480</v>
      </c>
      <c r="P28" s="281">
        <f>'[1]FLUJOS ANUALES17'!Q26</f>
        <v>0</v>
      </c>
    </row>
    <row r="29" spans="1:18" s="258" customFormat="1" ht="17.25" customHeight="1">
      <c r="A29" s="262" t="s">
        <v>26</v>
      </c>
      <c r="B29" s="293"/>
      <c r="C29" s="287">
        <f>SUM(C25:C28)</f>
        <v>1170</v>
      </c>
      <c r="D29" s="288">
        <f>SUM(D25:D28)</f>
        <v>34039.4</v>
      </c>
      <c r="E29" s="310"/>
      <c r="F29" s="287">
        <f>SUM(F25:F28)</f>
        <v>1845</v>
      </c>
      <c r="G29" s="290">
        <f>SUM(G25:G28)</f>
        <v>57200.473</v>
      </c>
      <c r="H29" s="291"/>
      <c r="I29" s="287">
        <f>SUM(I25:I28)</f>
        <v>2295</v>
      </c>
      <c r="J29" s="288">
        <f>SUM(J25:J28)</f>
        <v>78243.85070010001</v>
      </c>
      <c r="K29" s="311"/>
      <c r="L29" s="287">
        <f>SUM(L25:L28)</f>
        <v>2925</v>
      </c>
      <c r="M29" s="290">
        <f>SUM(M25:M28)</f>
        <v>115053.12000858336</v>
      </c>
      <c r="N29" s="291"/>
      <c r="O29" s="287">
        <f>SUM(O25:O28)</f>
        <v>3645</v>
      </c>
      <c r="P29" s="288">
        <f>SUM(P25:P28)</f>
        <v>158225.53390095354</v>
      </c>
      <c r="Q29" s="57"/>
      <c r="R29" s="57"/>
    </row>
    <row r="30" spans="1:18" ht="17.25" customHeight="1">
      <c r="A30" s="292"/>
      <c r="B30" s="293"/>
      <c r="C30" s="289"/>
      <c r="D30" s="288"/>
      <c r="E30" s="310"/>
      <c r="F30" s="289"/>
      <c r="G30" s="290"/>
      <c r="H30" s="291"/>
      <c r="I30" s="289"/>
      <c r="J30" s="288"/>
      <c r="K30" s="289"/>
      <c r="L30" s="289"/>
      <c r="M30" s="290"/>
      <c r="N30" s="291"/>
      <c r="O30" s="289"/>
      <c r="P30" s="288"/>
      <c r="Q30" s="312"/>
      <c r="R30" s="312"/>
    </row>
    <row r="31" spans="1:16" s="312" customFormat="1" ht="17.25" customHeight="1">
      <c r="A31" s="313" t="s">
        <v>132</v>
      </c>
      <c r="B31" s="314"/>
      <c r="C31" s="315"/>
      <c r="D31" s="316">
        <f>D21-D29</f>
        <v>30580.6</v>
      </c>
      <c r="E31" s="317"/>
      <c r="F31" s="315"/>
      <c r="G31" s="318">
        <f>G21-G29</f>
        <v>58097.027</v>
      </c>
      <c r="H31" s="319"/>
      <c r="I31" s="315"/>
      <c r="J31" s="316">
        <f>J21-J29</f>
        <v>74576.14929989999</v>
      </c>
      <c r="K31" s="315"/>
      <c r="L31" s="315"/>
      <c r="M31" s="318">
        <f>M21-M29</f>
        <v>92884.37999141664</v>
      </c>
      <c r="N31" s="319"/>
      <c r="O31" s="315"/>
      <c r="P31" s="316">
        <f>P21-P29</f>
        <v>120189.46609904646</v>
      </c>
    </row>
    <row r="32" spans="1:18" ht="17.25" customHeight="1">
      <c r="A32" s="291"/>
      <c r="B32" s="293"/>
      <c r="C32" s="289"/>
      <c r="D32" s="288"/>
      <c r="E32" s="310"/>
      <c r="F32" s="289"/>
      <c r="G32" s="290"/>
      <c r="H32" s="291"/>
      <c r="I32" s="289"/>
      <c r="J32" s="288"/>
      <c r="K32" s="289"/>
      <c r="L32" s="289"/>
      <c r="M32" s="290"/>
      <c r="N32" s="291"/>
      <c r="O32" s="289"/>
      <c r="P32" s="288"/>
      <c r="Q32" s="312"/>
      <c r="R32" s="312"/>
    </row>
    <row r="33" spans="1:18" ht="17.25" customHeight="1">
      <c r="A33" s="320" t="s">
        <v>23</v>
      </c>
      <c r="B33" s="293"/>
      <c r="C33" s="289"/>
      <c r="D33" s="288"/>
      <c r="E33" s="310"/>
      <c r="F33" s="289"/>
      <c r="G33" s="290"/>
      <c r="H33" s="291"/>
      <c r="I33" s="289"/>
      <c r="J33" s="288"/>
      <c r="K33" s="289"/>
      <c r="L33" s="289"/>
      <c r="M33" s="290"/>
      <c r="N33" s="291"/>
      <c r="O33" s="289"/>
      <c r="P33" s="288"/>
      <c r="Q33" s="312"/>
      <c r="R33" s="312"/>
    </row>
    <row r="34" spans="1:16" s="109" customFormat="1" ht="17.25" customHeight="1">
      <c r="A34" s="321" t="s">
        <v>133</v>
      </c>
      <c r="B34" s="286"/>
      <c r="C34" s="322"/>
      <c r="D34" s="323"/>
      <c r="E34" s="265"/>
      <c r="F34" s="324"/>
      <c r="G34" s="324"/>
      <c r="H34" s="301"/>
      <c r="I34" s="324"/>
      <c r="J34" s="325"/>
      <c r="K34" s="324"/>
      <c r="L34" s="324"/>
      <c r="M34" s="324"/>
      <c r="N34" s="301"/>
      <c r="O34" s="324"/>
      <c r="P34" s="325"/>
    </row>
    <row r="35" spans="1:16" s="109" customFormat="1" ht="17.25" customHeight="1">
      <c r="A35" s="326" t="s">
        <v>28</v>
      </c>
      <c r="B35" s="327"/>
      <c r="C35" s="328">
        <v>2</v>
      </c>
      <c r="D35" s="329">
        <f>'[1]FLUJOS ANUALES17'!E34</f>
        <v>84</v>
      </c>
      <c r="E35" s="265"/>
      <c r="F35" s="324"/>
      <c r="G35" s="330">
        <f>'[1]FLUJOS ANUALES17'!H34</f>
        <v>0</v>
      </c>
      <c r="H35" s="324"/>
      <c r="I35" s="324"/>
      <c r="J35" s="331">
        <f>'[1]FLUJOS ANUALES17'!K34</f>
        <v>0</v>
      </c>
      <c r="K35" s="324"/>
      <c r="L35" s="324"/>
      <c r="M35" s="279">
        <f>'[1]FLUJOS ANUALES17'!N34</f>
        <v>0</v>
      </c>
      <c r="N35" s="301"/>
      <c r="O35" s="324"/>
      <c r="P35" s="330">
        <f>'[1]FLUJOS ANUALES17'!Q34</f>
        <v>0</v>
      </c>
    </row>
    <row r="36" spans="1:16" s="333" customFormat="1" ht="17.25" customHeight="1">
      <c r="A36" s="326" t="s">
        <v>29</v>
      </c>
      <c r="B36" s="327"/>
      <c r="C36" s="332">
        <f>'[2]FLUJO EFECTIVO  PROYECTADO '!H42</f>
        <v>40</v>
      </c>
      <c r="D36" s="329">
        <f>'[1]FLUJOS ANUALES17'!E35</f>
        <v>317.7</v>
      </c>
      <c r="E36" s="265"/>
      <c r="F36" s="265"/>
      <c r="G36" s="330">
        <f>'[1]FLUJOS ANUALES17'!H35</f>
        <v>326.81798999999995</v>
      </c>
      <c r="H36" s="265"/>
      <c r="I36" s="265"/>
      <c r="J36" s="331">
        <f>'[1]FLUJOS ANUALES17'!K35</f>
        <v>336.197666313</v>
      </c>
      <c r="K36" s="265"/>
      <c r="L36" s="265"/>
      <c r="M36" s="279">
        <f>'[1]FLUJOS ANUALES17'!N35</f>
        <v>345.84653933618307</v>
      </c>
      <c r="N36" s="267"/>
      <c r="O36" s="265"/>
      <c r="P36" s="330">
        <f>'[1]FLUJOS ANUALES17'!Q35</f>
        <v>355.7723350151315</v>
      </c>
    </row>
    <row r="37" spans="1:16" s="333" customFormat="1" ht="17.25" customHeight="1">
      <c r="A37" s="326" t="s">
        <v>30</v>
      </c>
      <c r="B37" s="327"/>
      <c r="C37" s="332">
        <f>'[2]FLUJO EFECTIVO  PROYECTADO '!H43</f>
        <v>6</v>
      </c>
      <c r="D37" s="329">
        <f>'[1]FLUJOS ANUALES17'!E36</f>
        <v>277.16</v>
      </c>
      <c r="E37" s="334"/>
      <c r="F37" s="335"/>
      <c r="G37" s="330">
        <f>'[1]FLUJOS ANUALES17'!H36</f>
        <v>285.11449200000004</v>
      </c>
      <c r="H37" s="335"/>
      <c r="I37" s="335"/>
      <c r="J37" s="331">
        <f>'[1]FLUJOS ANUALES17'!K36</f>
        <v>293.2972779204</v>
      </c>
      <c r="K37" s="335"/>
      <c r="L37" s="335"/>
      <c r="M37" s="279">
        <f>'[1]FLUJOS ANUALES17'!N36</f>
        <v>301.71490979671546</v>
      </c>
      <c r="N37" s="336"/>
      <c r="O37" s="335"/>
      <c r="P37" s="330">
        <f>'[1]FLUJOS ANUALES17'!Q36</f>
        <v>310.3741277078812</v>
      </c>
    </row>
    <row r="38" spans="1:16" s="333" customFormat="1" ht="17.25" customHeight="1">
      <c r="A38" s="326" t="s">
        <v>31</v>
      </c>
      <c r="B38" s="327"/>
      <c r="C38" s="332">
        <f>'[2]FLUJO EFECTIVO  PROYECTADO '!H44</f>
        <v>6</v>
      </c>
      <c r="D38" s="329">
        <f>'[1]FLUJOS ANUALES17'!E37</f>
        <v>174.07</v>
      </c>
      <c r="E38" s="335"/>
      <c r="F38" s="335"/>
      <c r="G38" s="330">
        <f>'[1]FLUJOS ANUALES17'!H37</f>
        <v>179.065809</v>
      </c>
      <c r="H38" s="335"/>
      <c r="I38" s="335"/>
      <c r="J38" s="331">
        <f>'[1]FLUJOS ANUALES17'!K37</f>
        <v>184.20499771829998</v>
      </c>
      <c r="K38" s="335"/>
      <c r="L38" s="335"/>
      <c r="M38" s="279">
        <f>'[1]FLUJOS ANUALES17'!N37</f>
        <v>189.4916811528152</v>
      </c>
      <c r="N38" s="336"/>
      <c r="O38" s="335"/>
      <c r="P38" s="330">
        <f>'[1]FLUJOS ANUALES17'!Q37</f>
        <v>194.930092401901</v>
      </c>
    </row>
    <row r="39" spans="1:16" s="333" customFormat="1" ht="17.25" customHeight="1">
      <c r="A39" s="326" t="s">
        <v>32</v>
      </c>
      <c r="B39" s="327"/>
      <c r="C39" s="337">
        <f>'[2]FLUJO EFECTIVO  PROYECTADO '!H45</f>
        <v>0</v>
      </c>
      <c r="D39" s="329">
        <f>'[1]FLUJOS ANUALES17'!E38</f>
        <v>17.86</v>
      </c>
      <c r="E39" s="335"/>
      <c r="F39" s="335"/>
      <c r="G39" s="330">
        <f>'[1]FLUJOS ANUALES17'!H38</f>
        <v>18.372581999999998</v>
      </c>
      <c r="H39" s="335"/>
      <c r="I39" s="335"/>
      <c r="J39" s="331">
        <f>'[1]FLUJOS ANUALES17'!K38</f>
        <v>18.8998751034</v>
      </c>
      <c r="K39" s="335"/>
      <c r="L39" s="335"/>
      <c r="M39" s="279">
        <f>'[1]FLUJOS ANUALES17'!N38</f>
        <v>19.44230151886758</v>
      </c>
      <c r="N39" s="336"/>
      <c r="O39" s="335"/>
      <c r="P39" s="330">
        <f>'[1]FLUJOS ANUALES17'!Q38</f>
        <v>20.00029557245908</v>
      </c>
    </row>
    <row r="40" spans="1:16" s="333" customFormat="1" ht="17.25" customHeight="1">
      <c r="A40" s="326" t="s">
        <v>33</v>
      </c>
      <c r="B40" s="327"/>
      <c r="C40" s="332">
        <f>'[2]FLUJO EFECTIVO  PROYECTADO '!H46</f>
        <v>16</v>
      </c>
      <c r="D40" s="329">
        <f>'[1]FLUJOS ANUALES17'!E39</f>
        <v>1913.7599999999998</v>
      </c>
      <c r="E40" s="335"/>
      <c r="F40" s="335"/>
      <c r="G40" s="330">
        <f>'[1]FLUJOS ANUALES17'!H39</f>
        <v>1968.6849119999997</v>
      </c>
      <c r="H40" s="335"/>
      <c r="I40" s="335"/>
      <c r="J40" s="331">
        <f>'[1]FLUJOS ANUALES17'!K39</f>
        <v>2025.1861689744</v>
      </c>
      <c r="K40" s="335"/>
      <c r="L40" s="335"/>
      <c r="M40" s="279">
        <f>'[1]FLUJOS ANUALES17'!N39</f>
        <v>2083.3090120239654</v>
      </c>
      <c r="N40" s="336"/>
      <c r="O40" s="335"/>
      <c r="P40" s="330">
        <f>'[1]FLUJOS ANUALES17'!Q39</f>
        <v>2143.099980669053</v>
      </c>
    </row>
    <row r="41" spans="1:16" s="333" customFormat="1" ht="17.25" customHeight="1">
      <c r="A41" s="326" t="s">
        <v>34</v>
      </c>
      <c r="B41" s="327"/>
      <c r="C41" s="332">
        <f>'[2]FLUJO EFECTIVO  PROYECTADO '!H47</f>
        <v>40</v>
      </c>
      <c r="D41" s="329">
        <f>'[1]FLUJOS ANUALES17'!E40</f>
        <v>1856.6999999999998</v>
      </c>
      <c r="E41" s="335"/>
      <c r="F41" s="335"/>
      <c r="G41" s="330">
        <f>'[1]FLUJOS ANUALES17'!H40</f>
        <v>1909.98729</v>
      </c>
      <c r="H41" s="335"/>
      <c r="I41" s="335"/>
      <c r="J41" s="331">
        <f>'[1]FLUJOS ANUALES17'!K40</f>
        <v>1964.803925223</v>
      </c>
      <c r="K41" s="335"/>
      <c r="L41" s="335"/>
      <c r="M41" s="279">
        <f>'[1]FLUJOS ANUALES17'!N40</f>
        <v>2021.1937978769001</v>
      </c>
      <c r="N41" s="336"/>
      <c r="O41" s="335"/>
      <c r="P41" s="330">
        <f>'[1]FLUJOS ANUALES17'!Q40</f>
        <v>2079.2020598759673</v>
      </c>
    </row>
    <row r="42" spans="1:16" s="333" customFormat="1" ht="17.25" customHeight="1">
      <c r="A42" s="326" t="s">
        <v>35</v>
      </c>
      <c r="B42" s="327"/>
      <c r="C42" s="332">
        <f>'[2]FLUJO EFECTIVO  PROYECTADO '!H48</f>
        <v>5</v>
      </c>
      <c r="D42" s="329">
        <f>'[1]FLUJOS ANUALES17'!E41</f>
        <v>98.22999999999999</v>
      </c>
      <c r="E42" s="335"/>
      <c r="F42" s="335"/>
      <c r="G42" s="330">
        <f>'[1]FLUJOS ANUALES17'!H41</f>
        <v>101.04920099999998</v>
      </c>
      <c r="H42" s="335"/>
      <c r="I42" s="335"/>
      <c r="J42" s="331">
        <f>'[1]FLUJOS ANUALES17'!K41</f>
        <v>103.94931306870001</v>
      </c>
      <c r="K42" s="335"/>
      <c r="L42" s="335"/>
      <c r="M42" s="279">
        <f>'[1]FLUJOS ANUALES17'!N41</f>
        <v>106.9326583537717</v>
      </c>
      <c r="N42" s="336"/>
      <c r="O42" s="335"/>
      <c r="P42" s="330">
        <f>'[1]FLUJOS ANUALES17'!Q41</f>
        <v>110.00162564852494</v>
      </c>
    </row>
    <row r="43" spans="1:16" s="333" customFormat="1" ht="17.25" customHeight="1">
      <c r="A43" s="326" t="s">
        <v>36</v>
      </c>
      <c r="B43" s="327"/>
      <c r="C43" s="332">
        <f>'[2]FLUJO EFECTIVO  PROYECTADO '!H49</f>
        <v>1</v>
      </c>
      <c r="D43" s="329">
        <f>'[1]FLUJOS ANUALES17'!E42</f>
        <v>70</v>
      </c>
      <c r="E43" s="335"/>
      <c r="F43" s="335"/>
      <c r="G43" s="330">
        <f>'[1]FLUJOS ANUALES17'!H42</f>
        <v>72.009</v>
      </c>
      <c r="H43" s="335"/>
      <c r="I43" s="335"/>
      <c r="J43" s="331">
        <f>'[1]FLUJOS ANUALES17'!K42</f>
        <v>74.0756583</v>
      </c>
      <c r="K43" s="335"/>
      <c r="L43" s="335"/>
      <c r="M43" s="279">
        <f>'[1]FLUJOS ANUALES17'!N42</f>
        <v>76.20162969321</v>
      </c>
      <c r="N43" s="336"/>
      <c r="O43" s="335"/>
      <c r="P43" s="330">
        <f>'[1]FLUJOS ANUALES17'!Q42</f>
        <v>78.38861646540512</v>
      </c>
    </row>
    <row r="44" spans="1:16" s="333" customFormat="1" ht="17.25" customHeight="1">
      <c r="A44" s="326" t="s">
        <v>37</v>
      </c>
      <c r="B44" s="327"/>
      <c r="C44" s="332">
        <f>'[2]FLUJO EFECTIVO  PROYECTADO '!H50</f>
        <v>2</v>
      </c>
      <c r="D44" s="329">
        <f>'[1]FLUJOS ANUALES17'!E43</f>
        <v>133.95</v>
      </c>
      <c r="E44" s="335"/>
      <c r="F44" s="335"/>
      <c r="G44" s="330">
        <f>'[1]FLUJOS ANUALES17'!H43</f>
        <v>137.79436499999997</v>
      </c>
      <c r="H44" s="335"/>
      <c r="I44" s="335"/>
      <c r="J44" s="331">
        <f>'[1]FLUJOS ANUALES17'!K43</f>
        <v>141.7490632755</v>
      </c>
      <c r="K44" s="335"/>
      <c r="L44" s="335"/>
      <c r="M44" s="279">
        <f>'[1]FLUJOS ANUALES17'!N43</f>
        <v>145.81726139150686</v>
      </c>
      <c r="N44" s="336"/>
      <c r="O44" s="335"/>
      <c r="P44" s="330">
        <f>'[1]FLUJOS ANUALES17'!Q43</f>
        <v>150.0022167934431</v>
      </c>
    </row>
    <row r="45" spans="1:16" s="345" customFormat="1" ht="17.25" customHeight="1">
      <c r="A45" s="338" t="s">
        <v>40</v>
      </c>
      <c r="B45" s="339"/>
      <c r="C45" s="340"/>
      <c r="D45" s="341">
        <f>SUM(D35:D44)</f>
        <v>4943.429999999999</v>
      </c>
      <c r="E45" s="342"/>
      <c r="F45" s="342"/>
      <c r="G45" s="343">
        <f>SUM(G35:G44)</f>
        <v>4998.895640999999</v>
      </c>
      <c r="H45" s="342"/>
      <c r="I45" s="342"/>
      <c r="J45" s="343">
        <f>SUM(J35:J44)</f>
        <v>5142.3639458967</v>
      </c>
      <c r="K45" s="342"/>
      <c r="L45" s="342"/>
      <c r="M45" s="342">
        <f>SUM(M35:M44)</f>
        <v>5289.949791143935</v>
      </c>
      <c r="N45" s="344"/>
      <c r="O45" s="342"/>
      <c r="P45" s="343">
        <f>SUM(P35:P44)</f>
        <v>5441.7713501497665</v>
      </c>
    </row>
    <row r="46" spans="1:16" s="350" customFormat="1" ht="17.25" customHeight="1">
      <c r="A46" s="346"/>
      <c r="B46" s="347"/>
      <c r="C46" s="311"/>
      <c r="D46" s="348"/>
      <c r="E46" s="311"/>
      <c r="F46" s="311"/>
      <c r="G46" s="311"/>
      <c r="H46" s="347"/>
      <c r="I46" s="311"/>
      <c r="J46" s="349"/>
      <c r="K46" s="311"/>
      <c r="L46" s="311"/>
      <c r="M46" s="311"/>
      <c r="N46" s="347"/>
      <c r="O46" s="311"/>
      <c r="P46" s="349"/>
    </row>
    <row r="47" spans="1:16" ht="17.25" customHeight="1">
      <c r="A47" s="351" t="s">
        <v>41</v>
      </c>
      <c r="B47" s="286"/>
      <c r="C47" s="311"/>
      <c r="D47" s="348"/>
      <c r="E47" s="311"/>
      <c r="F47" s="311"/>
      <c r="G47" s="311"/>
      <c r="H47" s="347"/>
      <c r="I47" s="311"/>
      <c r="J47" s="349"/>
      <c r="K47" s="311"/>
      <c r="L47" s="311"/>
      <c r="M47" s="311"/>
      <c r="N47" s="347"/>
      <c r="O47" s="311"/>
      <c r="P47" s="349"/>
    </row>
    <row r="48" spans="1:16" s="163" customFormat="1" ht="17.25" customHeight="1">
      <c r="A48" s="352" t="s">
        <v>42</v>
      </c>
      <c r="B48" s="353"/>
      <c r="C48" s="354"/>
      <c r="D48" s="355"/>
      <c r="E48" s="354"/>
      <c r="F48" s="354"/>
      <c r="G48" s="356"/>
      <c r="H48" s="357"/>
      <c r="I48" s="354"/>
      <c r="J48" s="355"/>
      <c r="K48" s="354"/>
      <c r="L48" s="354"/>
      <c r="M48" s="356"/>
      <c r="N48" s="357"/>
      <c r="O48" s="354"/>
      <c r="P48" s="355"/>
    </row>
    <row r="49" spans="1:16" s="166" customFormat="1" ht="17.25" customHeight="1">
      <c r="A49" s="358" t="s">
        <v>134</v>
      </c>
      <c r="B49" s="303"/>
      <c r="C49" s="354"/>
      <c r="D49" s="355">
        <f>'[1]FLUJOS ANUALES17'!E52</f>
        <v>10740</v>
      </c>
      <c r="E49" s="354"/>
      <c r="F49" s="354"/>
      <c r="G49" s="356">
        <f>'[1]FLUJOS ANUALES17'!H52</f>
        <v>11384.400000000001</v>
      </c>
      <c r="H49" s="357"/>
      <c r="I49" s="354"/>
      <c r="J49" s="355">
        <f>'[1]FLUJOS ANUALES17'!K52</f>
        <v>12067.464</v>
      </c>
      <c r="K49" s="354"/>
      <c r="L49" s="354"/>
      <c r="M49" s="356">
        <f>'[1]FLUJOS ANUALES17'!N52</f>
        <v>12791.511840000001</v>
      </c>
      <c r="N49" s="357"/>
      <c r="O49" s="354"/>
      <c r="P49" s="355">
        <f>'[1]FLUJOS ANUALES17'!Q52</f>
        <v>13634.759999999997</v>
      </c>
    </row>
    <row r="50" spans="1:16" s="166" customFormat="1" ht="17.25" customHeight="1">
      <c r="A50" s="358" t="s">
        <v>44</v>
      </c>
      <c r="B50" s="303"/>
      <c r="C50" s="354"/>
      <c r="D50" s="355">
        <f>'[1]FLUJOS ANUALES17'!E52/12</f>
        <v>895</v>
      </c>
      <c r="E50" s="354"/>
      <c r="F50" s="354"/>
      <c r="G50" s="356">
        <f>G49/12</f>
        <v>948.7000000000002</v>
      </c>
      <c r="H50" s="357"/>
      <c r="I50" s="354"/>
      <c r="J50" s="355">
        <f>J49/12</f>
        <v>1005.622</v>
      </c>
      <c r="K50" s="354"/>
      <c r="L50" s="354"/>
      <c r="M50" s="356">
        <f>M49/12</f>
        <v>1065.9593200000002</v>
      </c>
      <c r="N50" s="357"/>
      <c r="O50" s="354"/>
      <c r="P50" s="355">
        <f>P49/12</f>
        <v>1136.2299999999998</v>
      </c>
    </row>
    <row r="51" spans="1:16" s="166" customFormat="1" ht="17.25" customHeight="1">
      <c r="A51" s="358" t="s">
        <v>45</v>
      </c>
      <c r="B51" s="303"/>
      <c r="C51" s="354"/>
      <c r="D51" s="355">
        <f>200*4</f>
        <v>800</v>
      </c>
      <c r="E51" s="354"/>
      <c r="F51" s="354"/>
      <c r="G51" s="356">
        <f>200*4</f>
        <v>800</v>
      </c>
      <c r="H51" s="357"/>
      <c r="I51" s="354"/>
      <c r="J51" s="355">
        <f>200*4</f>
        <v>800</v>
      </c>
      <c r="K51" s="354"/>
      <c r="L51" s="354"/>
      <c r="M51" s="356">
        <f>200*4</f>
        <v>800</v>
      </c>
      <c r="N51" s="357"/>
      <c r="O51" s="354"/>
      <c r="P51" s="355">
        <f>200*4</f>
        <v>800</v>
      </c>
    </row>
    <row r="52" spans="1:16" s="166" customFormat="1" ht="17.25" customHeight="1">
      <c r="A52" s="358" t="s">
        <v>46</v>
      </c>
      <c r="B52" s="303"/>
      <c r="C52" s="354"/>
      <c r="D52" s="355">
        <f>D49/24</f>
        <v>447.5</v>
      </c>
      <c r="E52" s="354"/>
      <c r="F52" s="354"/>
      <c r="G52" s="356">
        <f>G49/24</f>
        <v>474.3500000000001</v>
      </c>
      <c r="H52" s="357"/>
      <c r="I52" s="354"/>
      <c r="J52" s="355">
        <f>J49/24</f>
        <v>502.811</v>
      </c>
      <c r="K52" s="354"/>
      <c r="L52" s="354"/>
      <c r="M52" s="356">
        <f>M49/24</f>
        <v>532.9796600000001</v>
      </c>
      <c r="N52" s="357"/>
      <c r="O52" s="354"/>
      <c r="P52" s="355">
        <f>P49/24</f>
        <v>568.1149999999999</v>
      </c>
    </row>
    <row r="53" spans="1:16" s="166" customFormat="1" ht="17.25" customHeight="1">
      <c r="A53" s="358" t="s">
        <v>47</v>
      </c>
      <c r="B53" s="303"/>
      <c r="C53" s="354"/>
      <c r="D53" s="355">
        <f>'[1]FLUJOS ANUALES17'!E56</f>
        <v>0</v>
      </c>
      <c r="E53" s="354"/>
      <c r="F53" s="354"/>
      <c r="G53" s="356">
        <f>G49/12</f>
        <v>948.7000000000002</v>
      </c>
      <c r="H53" s="357"/>
      <c r="I53" s="354"/>
      <c r="J53" s="355">
        <f>J49/12</f>
        <v>1005.622</v>
      </c>
      <c r="K53" s="354"/>
      <c r="L53" s="354"/>
      <c r="M53" s="356">
        <f>M49/12</f>
        <v>1065.9593200000002</v>
      </c>
      <c r="N53" s="357"/>
      <c r="O53" s="354"/>
      <c r="P53" s="355">
        <f>P49/12</f>
        <v>1136.2299999999998</v>
      </c>
    </row>
    <row r="54" spans="1:16" s="166" customFormat="1" ht="17.25" customHeight="1">
      <c r="A54" s="358" t="s">
        <v>48</v>
      </c>
      <c r="B54" s="303"/>
      <c r="C54" s="354"/>
      <c r="D54" s="355">
        <f>'[1]FLUJOS ANUALES17'!E57</f>
        <v>1304.9099999999999</v>
      </c>
      <c r="E54" s="354"/>
      <c r="F54" s="354"/>
      <c r="G54" s="356">
        <f>'[1]FLUJOS ANUALES17'!H57</f>
        <v>1383.2045999999998</v>
      </c>
      <c r="H54" s="357"/>
      <c r="I54" s="354"/>
      <c r="J54" s="355">
        <f>'[1]FLUJOS ANUALES17'!K57</f>
        <v>1466.196876</v>
      </c>
      <c r="K54" s="354"/>
      <c r="L54" s="354"/>
      <c r="M54" s="359">
        <f>'[1]FLUJO 4'!AC63</f>
        <v>1554.16868856</v>
      </c>
      <c r="N54" s="357"/>
      <c r="O54" s="354"/>
      <c r="P54" s="355">
        <f>'[1]FLUJOS ANUALES17'!Q57</f>
        <v>1656.6233399999994</v>
      </c>
    </row>
    <row r="55" spans="1:16" s="166" customFormat="1" ht="17.25" customHeight="1">
      <c r="A55" s="358" t="s">
        <v>135</v>
      </c>
      <c r="B55" s="303"/>
      <c r="C55" s="354"/>
      <c r="D55" s="355">
        <f>'[1]FLUJOS ANUALES17'!E58</f>
        <v>500</v>
      </c>
      <c r="E55" s="354"/>
      <c r="F55" s="354"/>
      <c r="G55" s="356"/>
      <c r="H55" s="357"/>
      <c r="I55" s="354"/>
      <c r="J55" s="355">
        <f>'[1]FLUJOS ANUALES17'!K58</f>
        <v>0</v>
      </c>
      <c r="K55" s="354"/>
      <c r="L55" s="354"/>
      <c r="M55" s="356">
        <f>'[1]FLUJOS ANUALES17'!N58</f>
        <v>75</v>
      </c>
      <c r="N55" s="357"/>
      <c r="O55" s="354"/>
      <c r="P55" s="355">
        <f>'[1]FLUJOS ANUALES17'!Q58</f>
        <v>0</v>
      </c>
    </row>
    <row r="56" spans="1:16" s="166" customFormat="1" ht="17.25" customHeight="1">
      <c r="A56" s="358" t="str">
        <f>'[1]FLUJOS ANUALES17'!A59</f>
        <v>Logística de control de Vendedores</v>
      </c>
      <c r="B56" s="303"/>
      <c r="C56" s="354"/>
      <c r="D56" s="355">
        <f>'[1]FLUJOS ANUALES17'!E59</f>
        <v>840</v>
      </c>
      <c r="E56" s="354"/>
      <c r="F56" s="354"/>
      <c r="G56" s="356">
        <f>'[1]FLUJOS ANUALES17'!H59</f>
        <v>1080</v>
      </c>
      <c r="H56" s="357"/>
      <c r="I56" s="354"/>
      <c r="J56" s="355">
        <f>'[1]FLUJOS ANUALES17'!K59</f>
        <v>1320</v>
      </c>
      <c r="K56" s="354"/>
      <c r="L56" s="354"/>
      <c r="M56" s="356">
        <f>'[1]FLUJOS ANUALES17'!N59</f>
        <v>1560</v>
      </c>
      <c r="N56" s="357"/>
      <c r="O56" s="354"/>
      <c r="P56" s="355">
        <f>'[1]FLUJOS ANUALES17'!Q59</f>
        <v>1800</v>
      </c>
    </row>
    <row r="57" spans="1:16" s="166" customFormat="1" ht="17.25" customHeight="1">
      <c r="A57" s="358" t="s">
        <v>136</v>
      </c>
      <c r="B57" s="303"/>
      <c r="C57" s="354"/>
      <c r="D57" s="355">
        <f>'[1]FLUJOS ANUALES17'!E68</f>
        <v>10120</v>
      </c>
      <c r="E57" s="354"/>
      <c r="F57" s="354"/>
      <c r="G57" s="356">
        <f>'[1]FLUJOS ANUALES17'!H68</f>
        <v>11727.2</v>
      </c>
      <c r="H57" s="357"/>
      <c r="I57" s="354"/>
      <c r="J57" s="355">
        <f>'[1]FLUJOS ANUALES17'!K68</f>
        <v>12464.831999999999</v>
      </c>
      <c r="K57" s="354"/>
      <c r="L57" s="354"/>
      <c r="M57" s="356">
        <f>'[1]FLUJOS ANUALES17'!N68</f>
        <v>15141.853120000003</v>
      </c>
      <c r="N57" s="357"/>
      <c r="O57" s="354"/>
      <c r="P57" s="355">
        <f>'[1]FLUJOS ANUALES17'!Q68</f>
        <v>16452.5905472</v>
      </c>
    </row>
    <row r="58" spans="1:16" s="166" customFormat="1" ht="17.25" customHeight="1">
      <c r="A58" s="360" t="s">
        <v>137</v>
      </c>
      <c r="B58" s="361"/>
      <c r="C58" s="362"/>
      <c r="D58" s="363">
        <f>SUM(D49:D57)</f>
        <v>25647.41</v>
      </c>
      <c r="E58" s="362"/>
      <c r="F58" s="362"/>
      <c r="G58" s="364">
        <f>SUM(G49:G57)</f>
        <v>28746.554600000003</v>
      </c>
      <c r="H58" s="365"/>
      <c r="I58" s="366"/>
      <c r="J58" s="363">
        <f>SUM(J49:J57)</f>
        <v>30632.547875999997</v>
      </c>
      <c r="K58" s="362"/>
      <c r="L58" s="362"/>
      <c r="M58" s="364">
        <f>SUM(M49:M57)</f>
        <v>34587.431948560006</v>
      </c>
      <c r="N58" s="367"/>
      <c r="O58" s="362"/>
      <c r="P58" s="363">
        <f>SUM(P49:P57)</f>
        <v>37184.5488872</v>
      </c>
    </row>
    <row r="59" spans="1:19" s="372" customFormat="1" ht="17.25" customHeight="1">
      <c r="A59" s="368"/>
      <c r="B59" s="353"/>
      <c r="C59" s="369"/>
      <c r="D59" s="288"/>
      <c r="E59" s="369"/>
      <c r="F59" s="369"/>
      <c r="G59" s="290"/>
      <c r="H59" s="370"/>
      <c r="I59" s="369"/>
      <c r="J59" s="288"/>
      <c r="K59" s="369"/>
      <c r="L59" s="369"/>
      <c r="M59" s="290"/>
      <c r="N59" s="370"/>
      <c r="O59" s="369"/>
      <c r="P59" s="288"/>
      <c r="Q59" s="371"/>
      <c r="R59" s="371"/>
      <c r="S59" s="371"/>
    </row>
    <row r="60" spans="1:19" s="372" customFormat="1" ht="17.25" customHeight="1">
      <c r="A60" s="352" t="s">
        <v>54</v>
      </c>
      <c r="B60" s="353"/>
      <c r="C60" s="369"/>
      <c r="D60" s="288"/>
      <c r="E60" s="369"/>
      <c r="F60" s="369"/>
      <c r="G60" s="290"/>
      <c r="H60" s="370"/>
      <c r="I60" s="369"/>
      <c r="J60" s="288"/>
      <c r="K60" s="369"/>
      <c r="L60" s="369"/>
      <c r="M60" s="290"/>
      <c r="N60" s="370"/>
      <c r="O60" s="369"/>
      <c r="P60" s="288"/>
      <c r="Q60" s="371"/>
      <c r="R60" s="371"/>
      <c r="S60" s="371"/>
    </row>
    <row r="61" spans="1:19" s="372" customFormat="1" ht="17.25" customHeight="1">
      <c r="A61" s="303" t="s">
        <v>138</v>
      </c>
      <c r="B61" s="353"/>
      <c r="C61" s="369"/>
      <c r="D61" s="274">
        <f>'[1]FLUJOS ANUALES17'!E73</f>
        <v>6000</v>
      </c>
      <c r="E61" s="369"/>
      <c r="F61" s="369"/>
      <c r="G61" s="275">
        <f>'[1]FLUJOS ANUALES17'!H73</f>
        <v>5000</v>
      </c>
      <c r="H61" s="370"/>
      <c r="I61" s="369"/>
      <c r="J61" s="274">
        <f>'[1]FLUJOS ANUALES17'!K73</f>
        <v>4000</v>
      </c>
      <c r="K61" s="369"/>
      <c r="L61" s="369"/>
      <c r="M61" s="275">
        <f>'[1]FLUJOS ANUALES17'!N73</f>
        <v>4000</v>
      </c>
      <c r="N61" s="370"/>
      <c r="O61" s="369"/>
      <c r="P61" s="274">
        <f>'[1]FLUJOS ANUALES17'!Q73</f>
        <v>4000</v>
      </c>
      <c r="Q61" s="371"/>
      <c r="R61" s="371"/>
      <c r="S61" s="371"/>
    </row>
    <row r="62" spans="1:19" s="372" customFormat="1" ht="17.25" customHeight="1">
      <c r="A62" s="303" t="s">
        <v>139</v>
      </c>
      <c r="B62" s="353"/>
      <c r="C62" s="369"/>
      <c r="D62" s="274">
        <f>'[1]FLUJOS ANUALES17'!E74</f>
        <v>278.20000000000005</v>
      </c>
      <c r="E62" s="369"/>
      <c r="F62" s="369"/>
      <c r="G62" s="275">
        <f>'[1]FLUJOS ANUALES17'!H74</f>
        <v>286.18434</v>
      </c>
      <c r="H62" s="370"/>
      <c r="I62" s="369"/>
      <c r="J62" s="274">
        <f>'[1]FLUJOS ANUALES17'!K74</f>
        <v>319.1</v>
      </c>
      <c r="K62" s="369"/>
      <c r="L62" s="369"/>
      <c r="M62" s="275">
        <f>'[1]FLUJOS ANUALES17'!N74</f>
        <v>420</v>
      </c>
      <c r="N62" s="370"/>
      <c r="O62" s="369"/>
      <c r="P62" s="274">
        <f>'[1]FLUJOS ANUALES17'!Q74</f>
        <v>480</v>
      </c>
      <c r="Q62" s="371"/>
      <c r="R62" s="371"/>
      <c r="S62" s="371"/>
    </row>
    <row r="63" spans="1:19" s="372" customFormat="1" ht="17.25" customHeight="1">
      <c r="A63" s="303" t="s">
        <v>140</v>
      </c>
      <c r="B63" s="353"/>
      <c r="C63" s="369"/>
      <c r="D63" s="274">
        <f>'[1]FLUJOS ANUALES17'!E75</f>
        <v>520.7199999999999</v>
      </c>
      <c r="E63" s="369"/>
      <c r="F63" s="369"/>
      <c r="G63" s="275">
        <f>'[1]FLUJOS ANUALES17'!H75</f>
        <v>696</v>
      </c>
      <c r="H63" s="370"/>
      <c r="I63" s="369"/>
      <c r="J63" s="274">
        <f>'[1]FLUJOS ANUALES17'!K75</f>
        <v>780</v>
      </c>
      <c r="K63" s="369"/>
      <c r="L63" s="369"/>
      <c r="M63" s="275">
        <f>'[1]FLUJOS ANUALES17'!N75</f>
        <v>1080</v>
      </c>
      <c r="N63" s="370"/>
      <c r="O63" s="369"/>
      <c r="P63" s="274">
        <f>'[1]FLUJOS ANUALES17'!Q75</f>
        <v>1320</v>
      </c>
      <c r="Q63" s="371"/>
      <c r="R63" s="371"/>
      <c r="S63" s="371"/>
    </row>
    <row r="64" spans="1:19" s="372" customFormat="1" ht="17.25" customHeight="1">
      <c r="A64" s="303" t="s">
        <v>58</v>
      </c>
      <c r="B64" s="353"/>
      <c r="C64" s="369"/>
      <c r="D64" s="274"/>
      <c r="E64" s="369"/>
      <c r="F64" s="369"/>
      <c r="G64" s="275">
        <f>'[1]FLUJOS ANUALES17'!H76</f>
        <v>30</v>
      </c>
      <c r="H64" s="370"/>
      <c r="I64" s="369"/>
      <c r="J64" s="274">
        <f>'[1]FLUJOS ANUALES17'!K76</f>
        <v>36</v>
      </c>
      <c r="K64" s="369"/>
      <c r="L64" s="369"/>
      <c r="M64" s="275">
        <f>'[1]FLUJOS ANUALES17'!N76</f>
        <v>40</v>
      </c>
      <c r="N64" s="370"/>
      <c r="O64" s="369"/>
      <c r="P64" s="274">
        <f>'[1]FLUJOS ANUALES17'!Q76</f>
        <v>45</v>
      </c>
      <c r="Q64" s="371"/>
      <c r="R64" s="371"/>
      <c r="S64" s="371"/>
    </row>
    <row r="65" spans="1:19" s="372" customFormat="1" ht="17.25" customHeight="1">
      <c r="A65" s="373" t="s">
        <v>141</v>
      </c>
      <c r="B65" s="353"/>
      <c r="C65" s="369"/>
      <c r="D65" s="288">
        <f>SUM(D61:D63)</f>
        <v>6798.92</v>
      </c>
      <c r="E65" s="369"/>
      <c r="F65" s="369"/>
      <c r="G65" s="290">
        <f>SUM(G61:G64)</f>
        <v>6012.18434</v>
      </c>
      <c r="H65" s="370"/>
      <c r="I65" s="369"/>
      <c r="J65" s="288">
        <f>SUM(J61:J64)</f>
        <v>5135.1</v>
      </c>
      <c r="K65" s="369"/>
      <c r="L65" s="369"/>
      <c r="M65" s="290">
        <f>SUM(M61:M64)</f>
        <v>5540</v>
      </c>
      <c r="N65" s="370"/>
      <c r="O65" s="369"/>
      <c r="P65" s="288">
        <f>SUM(P61:P64)</f>
        <v>5845</v>
      </c>
      <c r="Q65" s="371"/>
      <c r="R65" s="371"/>
      <c r="S65" s="371"/>
    </row>
    <row r="66" spans="1:19" s="372" customFormat="1" ht="17.25" customHeight="1">
      <c r="A66" s="358"/>
      <c r="B66" s="303"/>
      <c r="C66" s="369"/>
      <c r="D66" s="288"/>
      <c r="E66" s="369"/>
      <c r="F66" s="369"/>
      <c r="G66" s="290"/>
      <c r="H66" s="370"/>
      <c r="I66" s="369"/>
      <c r="J66" s="288"/>
      <c r="K66" s="369"/>
      <c r="L66" s="369"/>
      <c r="M66" s="290"/>
      <c r="N66" s="370"/>
      <c r="O66" s="369"/>
      <c r="P66" s="288"/>
      <c r="Q66" s="371"/>
      <c r="R66" s="371"/>
      <c r="S66" s="371"/>
    </row>
    <row r="67" spans="1:16" s="371" customFormat="1" ht="17.25" customHeight="1">
      <c r="A67" s="338" t="s">
        <v>60</v>
      </c>
      <c r="B67" s="361"/>
      <c r="C67" s="362"/>
      <c r="D67" s="374">
        <f>D58+D65</f>
        <v>32446.33</v>
      </c>
      <c r="E67" s="362"/>
      <c r="F67" s="362"/>
      <c r="G67" s="375">
        <f>G58+G65</f>
        <v>34758.73894</v>
      </c>
      <c r="H67" s="367"/>
      <c r="I67" s="362"/>
      <c r="J67" s="374">
        <f>J58+J65</f>
        <v>35767.647875999995</v>
      </c>
      <c r="K67" s="362"/>
      <c r="L67" s="362"/>
      <c r="M67" s="375">
        <f>M58+M65</f>
        <v>40127.431948560006</v>
      </c>
      <c r="N67" s="367"/>
      <c r="O67" s="362"/>
      <c r="P67" s="374">
        <f>P58+P65</f>
        <v>43029.5488872</v>
      </c>
    </row>
    <row r="68" spans="1:24" s="350" customFormat="1" ht="34.5" customHeight="1">
      <c r="A68" s="376"/>
      <c r="B68" s="311"/>
      <c r="C68" s="311"/>
      <c r="D68" s="334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77"/>
      <c r="R68" s="377"/>
      <c r="S68" s="377"/>
      <c r="T68" s="377"/>
      <c r="U68" s="377"/>
      <c r="V68" s="377"/>
      <c r="W68" s="377"/>
      <c r="X68" s="377"/>
    </row>
    <row r="69" spans="1:24" s="350" customFormat="1" ht="17.25" customHeight="1">
      <c r="A69" s="351" t="s">
        <v>61</v>
      </c>
      <c r="B69" s="286"/>
      <c r="C69" s="311"/>
      <c r="D69" s="348"/>
      <c r="E69" s="311"/>
      <c r="F69" s="311"/>
      <c r="G69" s="311"/>
      <c r="H69" s="347"/>
      <c r="I69" s="311"/>
      <c r="J69" s="349"/>
      <c r="K69" s="311"/>
      <c r="L69" s="311"/>
      <c r="M69" s="311"/>
      <c r="N69" s="347"/>
      <c r="O69" s="311"/>
      <c r="P69" s="349"/>
      <c r="Q69" s="377"/>
      <c r="R69" s="377"/>
      <c r="S69" s="377"/>
      <c r="T69" s="377"/>
      <c r="U69" s="377"/>
      <c r="V69" s="377"/>
      <c r="W69" s="377"/>
      <c r="X69" s="377"/>
    </row>
    <row r="70" spans="1:24" s="350" customFormat="1" ht="17.25" customHeight="1">
      <c r="A70" s="351" t="s">
        <v>142</v>
      </c>
      <c r="B70" s="286"/>
      <c r="C70" s="311"/>
      <c r="D70" s="348"/>
      <c r="E70" s="311"/>
      <c r="F70" s="311"/>
      <c r="G70" s="311"/>
      <c r="H70" s="347"/>
      <c r="I70" s="311"/>
      <c r="J70" s="349"/>
      <c r="K70" s="311"/>
      <c r="L70" s="311"/>
      <c r="M70" s="311"/>
      <c r="N70" s="347"/>
      <c r="O70" s="311"/>
      <c r="P70" s="349"/>
      <c r="Q70" s="377"/>
      <c r="R70" s="377"/>
      <c r="S70" s="377"/>
      <c r="T70" s="377"/>
      <c r="U70" s="377"/>
      <c r="V70" s="377"/>
      <c r="W70" s="377"/>
      <c r="X70" s="377"/>
    </row>
    <row r="71" spans="1:16" s="377" customFormat="1" ht="17.25" customHeight="1">
      <c r="A71" s="271" t="s">
        <v>62</v>
      </c>
      <c r="B71" s="301"/>
      <c r="C71" s="311"/>
      <c r="D71" s="355">
        <f>'[1]FLUJOS ANUALES17'!E83</f>
        <v>2640</v>
      </c>
      <c r="E71" s="356"/>
      <c r="F71" s="356"/>
      <c r="G71" s="356">
        <f>'[1]FLUJOS ANUALES17'!H83</f>
        <v>2880</v>
      </c>
      <c r="H71" s="378"/>
      <c r="I71" s="356"/>
      <c r="J71" s="355">
        <f>'[1]FLUJOS ANUALES17'!K83</f>
        <v>3120</v>
      </c>
      <c r="K71" s="356"/>
      <c r="L71" s="356"/>
      <c r="M71" s="356">
        <f>'[1]FLUJOS ANUALES17'!N83</f>
        <v>3360</v>
      </c>
      <c r="N71" s="378"/>
      <c r="O71" s="356"/>
      <c r="P71" s="355">
        <f>'[1]FLUJOS ANUALES17'!Q83</f>
        <v>3600</v>
      </c>
    </row>
    <row r="72" spans="1:16" s="377" customFormat="1" ht="17.25" customHeight="1">
      <c r="A72" s="271" t="str">
        <f>'[1]FLUJOS ANUALES17'!A84</f>
        <v>Contribución Comuna Cauchiche</v>
      </c>
      <c r="B72" s="301"/>
      <c r="C72" s="311"/>
      <c r="D72" s="355">
        <f>'[1]FLUJOS ANUALES17'!E84</f>
        <v>360</v>
      </c>
      <c r="E72" s="356"/>
      <c r="F72" s="356"/>
      <c r="G72" s="356">
        <f>'[1]FLUJOS ANUALES17'!H84</f>
        <v>480</v>
      </c>
      <c r="H72" s="378"/>
      <c r="I72" s="356"/>
      <c r="J72" s="355">
        <f>'[1]FLUJOS ANUALES17'!K84</f>
        <v>600</v>
      </c>
      <c r="K72" s="356"/>
      <c r="L72" s="356"/>
      <c r="M72" s="356">
        <f>'[1]FLUJOS ANUALES17'!N84</f>
        <v>720</v>
      </c>
      <c r="N72" s="378"/>
      <c r="O72" s="356"/>
      <c r="P72" s="355">
        <f>'[1]FLUJOS ANUALES17'!Q84</f>
        <v>840</v>
      </c>
    </row>
    <row r="73" spans="1:16" s="377" customFormat="1" ht="17.25" customHeight="1">
      <c r="A73" s="271" t="s">
        <v>143</v>
      </c>
      <c r="B73" s="301"/>
      <c r="C73" s="311"/>
      <c r="D73" s="355">
        <f>'[1]FLUJOS ANUALES17'!E85</f>
        <v>200</v>
      </c>
      <c r="E73" s="356"/>
      <c r="F73" s="356"/>
      <c r="G73" s="356">
        <f>'[1]FLUJOS ANUALES17'!H85</f>
        <v>400</v>
      </c>
      <c r="H73" s="378"/>
      <c r="I73" s="356"/>
      <c r="J73" s="355">
        <f>'[1]FLUJOS ANUALES17'!K85</f>
        <v>500</v>
      </c>
      <c r="K73" s="356"/>
      <c r="L73" s="356"/>
      <c r="M73" s="356">
        <f>'[1]FLUJOS ANUALES17'!N85</f>
        <v>600</v>
      </c>
      <c r="N73" s="378"/>
      <c r="O73" s="356"/>
      <c r="P73" s="355">
        <f>'[1]FLUJOS ANUALES17'!Q85</f>
        <v>950</v>
      </c>
    </row>
    <row r="74" spans="1:16" s="377" customFormat="1" ht="17.25" customHeight="1">
      <c r="A74" s="271" t="s">
        <v>64</v>
      </c>
      <c r="B74" s="301"/>
      <c r="C74" s="311"/>
      <c r="D74" s="355">
        <f>'[1]FLUJOS ANUALES17'!E86</f>
        <v>450</v>
      </c>
      <c r="E74" s="356"/>
      <c r="F74" s="356"/>
      <c r="G74" s="356">
        <f>'[1]FLUJOS ANUALES17'!H86</f>
        <v>636</v>
      </c>
      <c r="H74" s="378"/>
      <c r="I74" s="356"/>
      <c r="J74" s="355">
        <f>'[1]FLUJOS ANUALES17'!K86</f>
        <v>960</v>
      </c>
      <c r="K74" s="356"/>
      <c r="L74" s="356"/>
      <c r="M74" s="356">
        <f>'[1]FLUJOS ANUALES17'!N86</f>
        <v>1200</v>
      </c>
      <c r="N74" s="378"/>
      <c r="O74" s="356"/>
      <c r="P74" s="355">
        <f>'[1]FLUJOS ANUALES17'!Q86</f>
        <v>1440</v>
      </c>
    </row>
    <row r="75" spans="1:16" s="377" customFormat="1" ht="17.25" customHeight="1">
      <c r="A75" s="271" t="s">
        <v>144</v>
      </c>
      <c r="B75" s="301"/>
      <c r="C75" s="311"/>
      <c r="D75" s="355">
        <f>'[1]FLUJOS ANUALES17'!E87</f>
        <v>480</v>
      </c>
      <c r="E75" s="356"/>
      <c r="F75" s="356"/>
      <c r="G75" s="356">
        <f>'[1]FLUJOS ANUALES17'!H87</f>
        <v>600</v>
      </c>
      <c r="H75" s="378"/>
      <c r="I75" s="356"/>
      <c r="J75" s="355">
        <f>'[1]FLUJOS ANUALES17'!K87</f>
        <v>1080</v>
      </c>
      <c r="K75" s="356"/>
      <c r="L75" s="356"/>
      <c r="M75" s="356">
        <f>'[1]FLUJOS ANUALES17'!N87</f>
        <v>1320</v>
      </c>
      <c r="N75" s="378"/>
      <c r="O75" s="356"/>
      <c r="P75" s="355">
        <f>'[1]FLUJOS ANUALES17'!Q87</f>
        <v>1560</v>
      </c>
    </row>
    <row r="76" spans="1:16" s="377" customFormat="1" ht="17.25" customHeight="1">
      <c r="A76" s="271" t="s">
        <v>66</v>
      </c>
      <c r="B76" s="301"/>
      <c r="C76" s="311"/>
      <c r="D76" s="355">
        <f>'[1]FLUJOS ANUALES17'!E88</f>
        <v>240</v>
      </c>
      <c r="E76" s="356"/>
      <c r="F76" s="356"/>
      <c r="G76" s="356">
        <f>'[1]FLUJOS ANUALES17'!H88</f>
        <v>246.88800000000006</v>
      </c>
      <c r="H76" s="378"/>
      <c r="I76" s="356"/>
      <c r="J76" s="355">
        <f>'[1]FLUJOS ANUALES17'!K88</f>
        <v>253.97368559999998</v>
      </c>
      <c r="K76" s="356"/>
      <c r="L76" s="356"/>
      <c r="M76" s="356">
        <f>'[1]FLUJOS ANUALES17'!N88</f>
        <v>261.26273037672007</v>
      </c>
      <c r="N76" s="378"/>
      <c r="O76" s="356"/>
      <c r="P76" s="355">
        <f>'[1]FLUJOS ANUALES17'!Q88</f>
        <v>268.76097073853185</v>
      </c>
    </row>
    <row r="77" spans="1:16" s="377" customFormat="1" ht="17.25" customHeight="1">
      <c r="A77" s="271" t="s">
        <v>145</v>
      </c>
      <c r="B77" s="347"/>
      <c r="C77" s="311"/>
      <c r="D77" s="355">
        <f>'[1]FLUJO 1 '!B117</f>
        <v>184</v>
      </c>
      <c r="E77" s="356"/>
      <c r="F77" s="356"/>
      <c r="G77" s="356"/>
      <c r="H77" s="378"/>
      <c r="I77" s="356"/>
      <c r="J77" s="355"/>
      <c r="K77" s="356"/>
      <c r="L77" s="356"/>
      <c r="M77" s="356"/>
      <c r="N77" s="378"/>
      <c r="O77" s="356"/>
      <c r="P77" s="355"/>
    </row>
    <row r="78" spans="1:16" s="377" customFormat="1" ht="17.25" customHeight="1">
      <c r="A78" s="271" t="s">
        <v>68</v>
      </c>
      <c r="B78" s="301"/>
      <c r="C78" s="311"/>
      <c r="D78" s="355">
        <f>'[1]FLUJO 1 '!B118</f>
        <v>200</v>
      </c>
      <c r="E78" s="356"/>
      <c r="F78" s="356"/>
      <c r="G78" s="356">
        <f>'[1]FLUJOS ANUALES17'!H90</f>
        <v>210</v>
      </c>
      <c r="H78" s="378"/>
      <c r="I78" s="356"/>
      <c r="J78" s="355">
        <f>'[1]FLUJOS ANUALES17'!K90</f>
        <v>220</v>
      </c>
      <c r="K78" s="356"/>
      <c r="L78" s="356"/>
      <c r="M78" s="356">
        <f>'[1]FLUJOS ANUALES17'!N90</f>
        <v>230</v>
      </c>
      <c r="N78" s="378"/>
      <c r="O78" s="356"/>
      <c r="P78" s="355">
        <f>'[1]FLUJOS ANUALES17'!Q90</f>
        <v>240</v>
      </c>
    </row>
    <row r="79" spans="1:16" s="377" customFormat="1" ht="17.25" customHeight="1">
      <c r="A79" s="271" t="s">
        <v>69</v>
      </c>
      <c r="B79" s="301"/>
      <c r="C79" s="311"/>
      <c r="D79" s="355">
        <f>'[1]FLUJOS ANUALES17'!E91</f>
        <v>183.38464</v>
      </c>
      <c r="E79" s="356"/>
      <c r="F79" s="356"/>
      <c r="G79" s="356">
        <f>'[1]FLUJOS ANUALES17'!H91</f>
        <v>188.03404</v>
      </c>
      <c r="H79" s="378"/>
      <c r="I79" s="356"/>
      <c r="J79" s="355">
        <f>'[1]FLUJOS ANUALES17'!K91</f>
        <v>193.05687777999998</v>
      </c>
      <c r="K79" s="356"/>
      <c r="L79" s="356"/>
      <c r="M79" s="356">
        <f>'[1]FLUJOS ANUALES17'!N91</f>
        <v>200.098423004286</v>
      </c>
      <c r="N79" s="378"/>
      <c r="O79" s="356"/>
      <c r="P79" s="355">
        <f>'[1]FLUJOS ANUALES17'!Q91</f>
        <v>205.15973524850898</v>
      </c>
    </row>
    <row r="80" spans="1:16" s="377" customFormat="1" ht="17.25" customHeight="1">
      <c r="A80" s="379" t="s">
        <v>146</v>
      </c>
      <c r="B80" s="301"/>
      <c r="C80" s="311"/>
      <c r="D80" s="380">
        <f>SUM(D71:D79)</f>
        <v>4937.38464</v>
      </c>
      <c r="E80" s="381"/>
      <c r="F80" s="381"/>
      <c r="G80" s="381">
        <f>SUM(G71:G79)</f>
        <v>5640.9220399999995</v>
      </c>
      <c r="H80" s="378"/>
      <c r="I80" s="356"/>
      <c r="J80" s="380">
        <f>SUM(J71:J79)</f>
        <v>6927.03056338</v>
      </c>
      <c r="K80" s="356"/>
      <c r="L80" s="356"/>
      <c r="M80" s="381">
        <f>SUM(M71:M79)</f>
        <v>7891.361153381006</v>
      </c>
      <c r="N80" s="378"/>
      <c r="O80" s="356"/>
      <c r="P80" s="380">
        <f>SUM(P71:P79)</f>
        <v>9103.920705987042</v>
      </c>
    </row>
    <row r="81" spans="1:16" s="377" customFormat="1" ht="17.25" customHeight="1">
      <c r="A81" s="271"/>
      <c r="B81" s="301"/>
      <c r="C81" s="311"/>
      <c r="D81" s="355"/>
      <c r="E81" s="356"/>
      <c r="F81" s="356"/>
      <c r="G81" s="356"/>
      <c r="H81" s="378"/>
      <c r="I81" s="356"/>
      <c r="J81" s="355"/>
      <c r="K81" s="356"/>
      <c r="L81" s="356"/>
      <c r="M81" s="356"/>
      <c r="N81" s="378"/>
      <c r="O81" s="356"/>
      <c r="P81" s="355"/>
    </row>
    <row r="82" spans="1:16" s="377" customFormat="1" ht="17.25" customHeight="1">
      <c r="A82" s="379" t="s">
        <v>147</v>
      </c>
      <c r="B82" s="301"/>
      <c r="C82" s="311"/>
      <c r="D82" s="355"/>
      <c r="E82" s="356"/>
      <c r="F82" s="356"/>
      <c r="G82" s="356"/>
      <c r="H82" s="378"/>
      <c r="I82" s="356"/>
      <c r="J82" s="355"/>
      <c r="K82" s="356"/>
      <c r="L82" s="356"/>
      <c r="M82" s="356"/>
      <c r="N82" s="378"/>
      <c r="O82" s="356"/>
      <c r="P82" s="355"/>
    </row>
    <row r="83" spans="1:18" s="382" customFormat="1" ht="17.25" customHeight="1">
      <c r="A83" s="301" t="s">
        <v>148</v>
      </c>
      <c r="B83" s="301"/>
      <c r="C83" s="311"/>
      <c r="D83" s="355">
        <f>'[1]ANEXO9'!E10</f>
        <v>595.2666666666667</v>
      </c>
      <c r="E83" s="356"/>
      <c r="F83" s="356"/>
      <c r="G83" s="356">
        <f>'[1]ANEXO9'!F10</f>
        <v>595.2666666666667</v>
      </c>
      <c r="H83" s="378"/>
      <c r="I83" s="356"/>
      <c r="J83" s="355">
        <f>'[1]ANEXO9'!G10</f>
        <v>595.2666666666667</v>
      </c>
      <c r="K83" s="356"/>
      <c r="L83" s="356"/>
      <c r="M83" s="356">
        <f>'[1]ANEXO9'!H10</f>
        <v>595.2666666666667</v>
      </c>
      <c r="N83" s="378"/>
      <c r="O83" s="356"/>
      <c r="P83" s="355">
        <f>'[1]ANEXO9'!I10</f>
        <v>595.2666666666667</v>
      </c>
      <c r="R83" s="383"/>
    </row>
    <row r="84" spans="1:18" s="382" customFormat="1" ht="17.25" customHeight="1">
      <c r="A84" s="301" t="s">
        <v>149</v>
      </c>
      <c r="B84" s="301"/>
      <c r="C84" s="311"/>
      <c r="D84" s="355">
        <f>'[1]ANEXO9'!E12+'[1]ANEXO9'!E13</f>
        <v>333.34666666666664</v>
      </c>
      <c r="E84" s="356"/>
      <c r="F84" s="356"/>
      <c r="G84" s="356">
        <f>'[1]ANEXO9'!E12+'[1]ANEXO9'!E13</f>
        <v>333.34666666666664</v>
      </c>
      <c r="H84" s="378"/>
      <c r="I84" s="356"/>
      <c r="J84" s="355">
        <f>'[1]ANEXO9'!G12+'[1]ANEXO9'!G13</f>
        <v>333.34666666666664</v>
      </c>
      <c r="K84" s="356"/>
      <c r="L84" s="356"/>
      <c r="M84" s="356">
        <f>'[1]ANEXO9'!H14+'[1]ANEXO9'!H15</f>
        <v>353.5733333333333</v>
      </c>
      <c r="N84" s="378"/>
      <c r="O84" s="356"/>
      <c r="P84" s="355">
        <f>'[1]ANEXO9'!I14+'[1]ANEXO9'!I15</f>
        <v>353.5733333333333</v>
      </c>
      <c r="R84" s="383"/>
    </row>
    <row r="85" spans="1:18" s="382" customFormat="1" ht="17.25" customHeight="1">
      <c r="A85" s="301" t="s">
        <v>150</v>
      </c>
      <c r="B85" s="301"/>
      <c r="C85" s="311"/>
      <c r="D85" s="355">
        <f>'[1]ANEXO9'!E17+'[1]ANEXO9'!E18+'[1]ANEXO9'!E19</f>
        <v>17.936</v>
      </c>
      <c r="E85" s="356"/>
      <c r="F85" s="356"/>
      <c r="G85" s="356">
        <f>'[1]ANEXO9'!F17+'[1]ANEXO9'!F18+'[1]ANEXO9'!F19</f>
        <v>17.936</v>
      </c>
      <c r="H85" s="378"/>
      <c r="I85" s="356"/>
      <c r="J85" s="355">
        <f>'[1]ANEXO9'!G17+'[1]ANEXO9'!G18+'[1]ANEXO9'!G19+'[1]ANEXO9'!G20</f>
        <v>29.936</v>
      </c>
      <c r="K85" s="356"/>
      <c r="L85" s="356"/>
      <c r="M85" s="356">
        <f>'[1]ANEXO9'!H17+'[1]ANEXO9'!H18+'[1]ANEXO9'!H19+'[1]ANEXO9'!H20</f>
        <v>29.936</v>
      </c>
      <c r="N85" s="378"/>
      <c r="O85" s="356"/>
      <c r="P85" s="355">
        <f>'[1]ANEXO9'!I17+'[1]ANEXO9'!I18+'[1]ANEXO9'!I19+'[1]ANEXO9'!I20</f>
        <v>29.936</v>
      </c>
      <c r="R85" s="383"/>
    </row>
    <row r="86" spans="1:19" s="382" customFormat="1" ht="17.25" customHeight="1">
      <c r="A86" s="301" t="s">
        <v>151</v>
      </c>
      <c r="B86" s="301"/>
      <c r="C86" s="311"/>
      <c r="D86" s="355">
        <f>'[1]ANEXO9'!E22+'[1]ANEXO9'!E23+'[1]ANEXO9'!E24</f>
        <v>58.392</v>
      </c>
      <c r="E86" s="356"/>
      <c r="F86" s="356"/>
      <c r="G86" s="356">
        <f>'[1]ANEXO9'!F22+'[1]ANEXO9'!F23+'[1]ANEXO9'!F24</f>
        <v>58.392</v>
      </c>
      <c r="H86" s="378"/>
      <c r="I86" s="356"/>
      <c r="J86" s="355">
        <f>'[1]ANEXO9'!G22+'[1]ANEXO9'!G23+'[1]ANEXO9'!G24</f>
        <v>58.392</v>
      </c>
      <c r="K86" s="356"/>
      <c r="L86" s="356"/>
      <c r="M86" s="356">
        <f>'[1]ANEXO9'!H22+'[1]ANEXO9'!H23+'[1]ANEXO9'!H24</f>
        <v>58.392</v>
      </c>
      <c r="N86" s="378"/>
      <c r="O86" s="356"/>
      <c r="P86" s="355">
        <f>'[1]ANEXO9'!I22+'[1]ANEXO9'!I23+'[1]ANEXO9'!I24</f>
        <v>58.392</v>
      </c>
      <c r="R86" s="383"/>
      <c r="S86" s="383"/>
    </row>
    <row r="87" spans="1:18" s="377" customFormat="1" ht="17.25" customHeight="1">
      <c r="A87" s="301" t="s">
        <v>152</v>
      </c>
      <c r="B87" s="301"/>
      <c r="C87" s="311"/>
      <c r="D87" s="355"/>
      <c r="E87" s="356"/>
      <c r="F87" s="356"/>
      <c r="G87" s="356">
        <f>-D95/4</f>
        <v>3262.871493333334</v>
      </c>
      <c r="H87" s="378"/>
      <c r="I87" s="356"/>
      <c r="J87" s="355">
        <f>G87</f>
        <v>3262.871493333334</v>
      </c>
      <c r="K87" s="356"/>
      <c r="L87" s="356"/>
      <c r="M87" s="356">
        <f>J87</f>
        <v>3262.871493333334</v>
      </c>
      <c r="N87" s="378"/>
      <c r="O87" s="356"/>
      <c r="P87" s="355">
        <f>M87</f>
        <v>3262.871493333334</v>
      </c>
      <c r="R87" s="384"/>
    </row>
    <row r="88" spans="1:16" s="377" customFormat="1" ht="17.25" customHeight="1">
      <c r="A88" s="301" t="s">
        <v>153</v>
      </c>
      <c r="B88" s="301"/>
      <c r="C88" s="311"/>
      <c r="D88" s="355">
        <f>'[1]FLUJOS ANUALES17'!B112</f>
        <v>300</v>
      </c>
      <c r="E88" s="356"/>
      <c r="F88" s="356"/>
      <c r="G88" s="356"/>
      <c r="H88" s="378"/>
      <c r="I88" s="356"/>
      <c r="J88" s="355"/>
      <c r="K88" s="356"/>
      <c r="L88" s="356"/>
      <c r="M88" s="356"/>
      <c r="N88" s="378"/>
      <c r="O88" s="356"/>
      <c r="P88" s="355"/>
    </row>
    <row r="89" spans="1:16" s="57" customFormat="1" ht="17.25" customHeight="1">
      <c r="A89" s="379" t="s">
        <v>154</v>
      </c>
      <c r="B89" s="297"/>
      <c r="C89" s="294"/>
      <c r="D89" s="288">
        <f>SUM(D83:D88)</f>
        <v>1304.9413333333332</v>
      </c>
      <c r="E89" s="290"/>
      <c r="F89" s="290"/>
      <c r="G89" s="290">
        <f>SUM(G83:G88)</f>
        <v>4267.812826666667</v>
      </c>
      <c r="H89" s="385"/>
      <c r="I89" s="290"/>
      <c r="J89" s="288">
        <f>SUM(J83:J88)</f>
        <v>4279.812826666667</v>
      </c>
      <c r="K89" s="290"/>
      <c r="L89" s="290"/>
      <c r="M89" s="290">
        <f>SUM(M83:M88)</f>
        <v>4300.039493333334</v>
      </c>
      <c r="N89" s="385"/>
      <c r="O89" s="290"/>
      <c r="P89" s="288">
        <f>SUM(P83:P88)</f>
        <v>4300.039493333334</v>
      </c>
    </row>
    <row r="90" spans="1:16" s="312" customFormat="1" ht="17.25" customHeight="1">
      <c r="A90" s="386"/>
      <c r="B90" s="297"/>
      <c r="C90" s="294"/>
      <c r="D90" s="288"/>
      <c r="E90" s="290"/>
      <c r="F90" s="290"/>
      <c r="G90" s="290"/>
      <c r="H90" s="385"/>
      <c r="I90" s="290"/>
      <c r="J90" s="288"/>
      <c r="K90" s="290"/>
      <c r="L90" s="290"/>
      <c r="M90" s="290"/>
      <c r="N90" s="385"/>
      <c r="O90" s="290"/>
      <c r="P90" s="288"/>
    </row>
    <row r="91" spans="1:16" s="312" customFormat="1" ht="17.25" customHeight="1">
      <c r="A91" s="387" t="s">
        <v>70</v>
      </c>
      <c r="B91" s="339"/>
      <c r="C91" s="388"/>
      <c r="D91" s="374">
        <f>D80+D89</f>
        <v>6242.325973333333</v>
      </c>
      <c r="E91" s="375"/>
      <c r="F91" s="375"/>
      <c r="G91" s="375">
        <f>G80+G89</f>
        <v>9908.734866666666</v>
      </c>
      <c r="H91" s="389"/>
      <c r="I91" s="375"/>
      <c r="J91" s="374">
        <f>J80+J89</f>
        <v>11206.843390046666</v>
      </c>
      <c r="K91" s="375"/>
      <c r="L91" s="375"/>
      <c r="M91" s="375">
        <f>M80+M89</f>
        <v>12191.40064671434</v>
      </c>
      <c r="N91" s="389"/>
      <c r="O91" s="375"/>
      <c r="P91" s="374">
        <f>P80+P89</f>
        <v>13403.960199320376</v>
      </c>
    </row>
    <row r="92" spans="1:18" ht="17.25" customHeight="1">
      <c r="A92" s="346"/>
      <c r="B92" s="347"/>
      <c r="C92" s="311"/>
      <c r="D92" s="390"/>
      <c r="E92" s="311"/>
      <c r="F92" s="311"/>
      <c r="G92" s="311"/>
      <c r="H92" s="347"/>
      <c r="I92" s="311"/>
      <c r="J92" s="349"/>
      <c r="K92" s="311"/>
      <c r="L92" s="311"/>
      <c r="M92" s="311"/>
      <c r="N92" s="347"/>
      <c r="O92" s="311"/>
      <c r="P92" s="349"/>
      <c r="R92" s="391"/>
    </row>
    <row r="93" spans="1:18" s="396" customFormat="1" ht="17.25" customHeight="1">
      <c r="A93" s="392" t="s">
        <v>155</v>
      </c>
      <c r="B93" s="319"/>
      <c r="C93" s="315"/>
      <c r="D93" s="393">
        <f>D45+D67+D91</f>
        <v>43632.085973333335</v>
      </c>
      <c r="E93" s="394"/>
      <c r="F93" s="394"/>
      <c r="G93" s="394">
        <f>G45+G67+G91</f>
        <v>49666.36944766667</v>
      </c>
      <c r="H93" s="395"/>
      <c r="I93" s="394"/>
      <c r="J93" s="393">
        <f>J45+J67+J91</f>
        <v>52116.85521194336</v>
      </c>
      <c r="K93" s="394"/>
      <c r="L93" s="394"/>
      <c r="M93" s="394">
        <f>M45+M67+M91</f>
        <v>57608.78238641828</v>
      </c>
      <c r="N93" s="395"/>
      <c r="O93" s="394"/>
      <c r="P93" s="393">
        <f>P45+P67+P91</f>
        <v>61875.28043667014</v>
      </c>
      <c r="R93" s="397"/>
    </row>
    <row r="94" spans="1:18" ht="17.25" customHeight="1">
      <c r="A94" s="346"/>
      <c r="B94" s="347"/>
      <c r="C94" s="311"/>
      <c r="D94" s="348"/>
      <c r="E94" s="311"/>
      <c r="F94" s="311"/>
      <c r="G94" s="334"/>
      <c r="H94" s="347"/>
      <c r="I94" s="311"/>
      <c r="J94" s="348"/>
      <c r="K94" s="311"/>
      <c r="L94" s="311"/>
      <c r="M94" s="334"/>
      <c r="N94" s="347"/>
      <c r="O94" s="311"/>
      <c r="P94" s="348"/>
      <c r="R94" s="391"/>
    </row>
    <row r="95" spans="1:18" s="404" customFormat="1" ht="17.25" customHeight="1">
      <c r="A95" s="398" t="s">
        <v>156</v>
      </c>
      <c r="B95" s="399"/>
      <c r="C95" s="400"/>
      <c r="D95" s="401">
        <f>D31-D93</f>
        <v>-13051.485973333336</v>
      </c>
      <c r="E95" s="402"/>
      <c r="F95" s="402"/>
      <c r="G95" s="402">
        <f>G31-G93</f>
        <v>8430.65755233333</v>
      </c>
      <c r="H95" s="403"/>
      <c r="I95" s="402"/>
      <c r="J95" s="401">
        <f>J31-J93</f>
        <v>22459.29408795663</v>
      </c>
      <c r="K95" s="402"/>
      <c r="L95" s="402"/>
      <c r="M95" s="402">
        <f>M31-M93</f>
        <v>35275.597604998366</v>
      </c>
      <c r="N95" s="403"/>
      <c r="O95" s="402"/>
      <c r="P95" s="401">
        <f>P31-P93</f>
        <v>58314.18566237632</v>
      </c>
      <c r="R95" s="405"/>
    </row>
    <row r="96" spans="1:18" ht="17.25" customHeight="1">
      <c r="A96" s="346"/>
      <c r="B96" s="347"/>
      <c r="C96" s="311"/>
      <c r="D96" s="406"/>
      <c r="E96" s="407"/>
      <c r="F96" s="407"/>
      <c r="G96" s="407"/>
      <c r="H96" s="408"/>
      <c r="I96" s="407"/>
      <c r="J96" s="406"/>
      <c r="K96" s="407"/>
      <c r="L96" s="407"/>
      <c r="M96" s="407"/>
      <c r="N96" s="408"/>
      <c r="O96" s="407"/>
      <c r="P96" s="406"/>
      <c r="R96" s="391"/>
    </row>
    <row r="97" spans="1:18" ht="17.25" customHeight="1">
      <c r="A97" s="346" t="s">
        <v>157</v>
      </c>
      <c r="B97" s="347"/>
      <c r="C97" s="311"/>
      <c r="D97" s="406"/>
      <c r="E97" s="407"/>
      <c r="F97" s="407"/>
      <c r="G97" s="407">
        <f>+G95*15%</f>
        <v>1264.5986328499996</v>
      </c>
      <c r="H97" s="408"/>
      <c r="I97" s="407"/>
      <c r="J97" s="406">
        <f>+J95*15%</f>
        <v>3368.8941131934944</v>
      </c>
      <c r="K97" s="407"/>
      <c r="L97" s="407"/>
      <c r="M97" s="407">
        <f>+M95*15%</f>
        <v>5291.339640749755</v>
      </c>
      <c r="N97" s="408"/>
      <c r="O97" s="407"/>
      <c r="P97" s="406">
        <f>+P95*15%</f>
        <v>8747.127849356448</v>
      </c>
      <c r="R97" s="409"/>
    </row>
    <row r="98" spans="1:18" ht="17.25" customHeight="1">
      <c r="A98" s="291" t="s">
        <v>158</v>
      </c>
      <c r="B98" s="293"/>
      <c r="C98" s="294"/>
      <c r="D98" s="330"/>
      <c r="E98" s="279"/>
      <c r="F98" s="279"/>
      <c r="G98" s="279">
        <f>+G95-G97</f>
        <v>7166.058919483331</v>
      </c>
      <c r="H98" s="277"/>
      <c r="I98" s="279"/>
      <c r="J98" s="330">
        <f>+J95-J97</f>
        <v>19090.399974763135</v>
      </c>
      <c r="K98" s="279"/>
      <c r="L98" s="279"/>
      <c r="M98" s="279">
        <f>+M95-M97</f>
        <v>29984.25796424861</v>
      </c>
      <c r="N98" s="277"/>
      <c r="O98" s="279"/>
      <c r="P98" s="330">
        <f>+P95-P97</f>
        <v>49567.05781301988</v>
      </c>
      <c r="R98" s="391"/>
    </row>
    <row r="99" spans="1:18" ht="17.25" customHeight="1">
      <c r="A99" s="346"/>
      <c r="B99" s="347"/>
      <c r="C99" s="311"/>
      <c r="D99" s="406"/>
      <c r="E99" s="407"/>
      <c r="F99" s="407"/>
      <c r="G99" s="407"/>
      <c r="H99" s="408"/>
      <c r="I99" s="407"/>
      <c r="J99" s="406"/>
      <c r="K99" s="407"/>
      <c r="L99" s="407"/>
      <c r="M99" s="407"/>
      <c r="N99" s="408"/>
      <c r="O99" s="407"/>
      <c r="P99" s="406"/>
      <c r="R99" s="391"/>
    </row>
    <row r="100" spans="1:18" ht="17.25" customHeight="1">
      <c r="A100" s="346" t="s">
        <v>159</v>
      </c>
      <c r="B100" s="347"/>
      <c r="C100" s="311"/>
      <c r="D100" s="406"/>
      <c r="E100" s="407"/>
      <c r="F100" s="407"/>
      <c r="G100" s="407">
        <f>+G98*10%</f>
        <v>716.6058919483331</v>
      </c>
      <c r="H100" s="408"/>
      <c r="I100" s="407"/>
      <c r="J100" s="406">
        <f>+J98*10%</f>
        <v>1909.0399974763136</v>
      </c>
      <c r="K100" s="407"/>
      <c r="L100" s="407"/>
      <c r="M100" s="407">
        <f>+M98*10%</f>
        <v>2998.425796424861</v>
      </c>
      <c r="N100" s="408"/>
      <c r="O100" s="407"/>
      <c r="P100" s="406">
        <f>+P98*10%</f>
        <v>4956.705781301988</v>
      </c>
      <c r="R100" s="409"/>
    </row>
    <row r="101" spans="1:18" ht="17.25" customHeight="1">
      <c r="A101" s="346" t="s">
        <v>160</v>
      </c>
      <c r="B101" s="347"/>
      <c r="C101" s="311"/>
      <c r="D101" s="406"/>
      <c r="E101" s="407"/>
      <c r="F101" s="407"/>
      <c r="G101" s="407">
        <f>+G98*25%</f>
        <v>1791.5147298708328</v>
      </c>
      <c r="H101" s="408"/>
      <c r="I101" s="407"/>
      <c r="J101" s="406">
        <f>+J98*25%</f>
        <v>4772.599993690784</v>
      </c>
      <c r="K101" s="407"/>
      <c r="L101" s="407"/>
      <c r="M101" s="407">
        <f>+M98*25%</f>
        <v>7496.064491062152</v>
      </c>
      <c r="N101" s="408"/>
      <c r="O101" s="407"/>
      <c r="P101" s="406">
        <f>+P98*25%</f>
        <v>12391.76445325497</v>
      </c>
      <c r="R101" s="391"/>
    </row>
    <row r="102" spans="1:16" ht="17.25" customHeight="1">
      <c r="A102" s="346"/>
      <c r="B102" s="347"/>
      <c r="C102" s="311"/>
      <c r="D102" s="406"/>
      <c r="E102" s="407"/>
      <c r="F102" s="407"/>
      <c r="G102" s="407"/>
      <c r="H102" s="408"/>
      <c r="I102" s="407"/>
      <c r="J102" s="406"/>
      <c r="K102" s="407"/>
      <c r="L102" s="407"/>
      <c r="M102" s="407"/>
      <c r="N102" s="408"/>
      <c r="O102" s="407"/>
      <c r="P102" s="406"/>
    </row>
    <row r="103" spans="1:16" s="312" customFormat="1" ht="17.25" customHeight="1">
      <c r="A103" s="410" t="s">
        <v>161</v>
      </c>
      <c r="B103" s="411">
        <f>-'[1]FLUJOS ANUALES17'!B8</f>
        <v>-31000</v>
      </c>
      <c r="C103" s="412"/>
      <c r="D103" s="413"/>
      <c r="E103" s="414"/>
      <c r="F103" s="414"/>
      <c r="G103" s="415">
        <f>+G98-G100-G101</f>
        <v>4657.9382976641655</v>
      </c>
      <c r="H103" s="416"/>
      <c r="I103" s="415"/>
      <c r="J103" s="417">
        <f>+J98-J100-J101</f>
        <v>12408.75998359604</v>
      </c>
      <c r="K103" s="415"/>
      <c r="L103" s="415"/>
      <c r="M103" s="415">
        <f>+M98-M100-M101</f>
        <v>19489.767676761596</v>
      </c>
      <c r="N103" s="416"/>
      <c r="O103" s="415"/>
      <c r="P103" s="417">
        <f>+P98-P100-P101</f>
        <v>32218.587578462924</v>
      </c>
    </row>
    <row r="104" spans="1:16" s="312" customFormat="1" ht="16.5">
      <c r="A104" s="418"/>
      <c r="B104" s="57"/>
      <c r="C104" s="419"/>
      <c r="D104" s="420"/>
      <c r="E104" s="419"/>
      <c r="F104" s="419"/>
      <c r="G104" s="421"/>
      <c r="H104" s="418"/>
      <c r="I104" s="418"/>
      <c r="J104" s="421"/>
      <c r="K104" s="418"/>
      <c r="L104" s="418"/>
      <c r="M104" s="421"/>
      <c r="N104" s="418"/>
      <c r="O104" s="418"/>
      <c r="P104" s="421"/>
    </row>
    <row r="105" spans="1:16" s="312" customFormat="1" ht="16.5">
      <c r="A105" s="418"/>
      <c r="B105" s="57"/>
      <c r="C105" s="419"/>
      <c r="D105" s="420"/>
      <c r="E105" s="419"/>
      <c r="F105" s="419"/>
      <c r="G105" s="421"/>
      <c r="H105" s="418"/>
      <c r="I105" s="418"/>
      <c r="J105" s="421"/>
      <c r="K105" s="418"/>
      <c r="L105" s="418"/>
      <c r="M105" s="421"/>
      <c r="N105" s="418"/>
      <c r="O105" s="418"/>
      <c r="P105" s="421"/>
    </row>
    <row r="106" spans="1:16" s="312" customFormat="1" ht="16.5">
      <c r="A106" s="418"/>
      <c r="B106" s="57"/>
      <c r="C106" s="419"/>
      <c r="D106" s="420"/>
      <c r="E106" s="419"/>
      <c r="F106" s="419"/>
      <c r="G106" s="421"/>
      <c r="H106" s="418"/>
      <c r="I106" s="418"/>
      <c r="J106" s="421"/>
      <c r="K106" s="418"/>
      <c r="L106" s="418"/>
      <c r="M106" s="421"/>
      <c r="N106" s="418"/>
      <c r="O106" s="418"/>
      <c r="P106" s="421"/>
    </row>
    <row r="107" spans="1:16" s="312" customFormat="1" ht="180" customHeight="1">
      <c r="A107" s="418"/>
      <c r="B107" s="57"/>
      <c r="C107" s="419"/>
      <c r="D107" s="420"/>
      <c r="E107" s="419"/>
      <c r="F107" s="419"/>
      <c r="G107" s="421"/>
      <c r="H107" s="418"/>
      <c r="I107" s="418"/>
      <c r="J107" s="421"/>
      <c r="K107" s="418"/>
      <c r="L107" s="418"/>
      <c r="M107" s="421"/>
      <c r="N107" s="418"/>
      <c r="O107" s="418"/>
      <c r="P107" s="421"/>
    </row>
    <row r="108" spans="1:16" s="312" customFormat="1" ht="272.25" customHeight="1">
      <c r="A108" s="418"/>
      <c r="B108" s="57"/>
      <c r="C108" s="419"/>
      <c r="D108" s="420"/>
      <c r="E108" s="419"/>
      <c r="F108" s="419"/>
      <c r="G108" s="421"/>
      <c r="H108" s="418"/>
      <c r="I108" s="418"/>
      <c r="J108" s="421"/>
      <c r="K108" s="418"/>
      <c r="L108" s="418"/>
      <c r="M108" s="421"/>
      <c r="N108" s="418"/>
      <c r="O108" s="418"/>
      <c r="P108" s="421"/>
    </row>
    <row r="109" spans="1:26" ht="15">
      <c r="A109" s="376"/>
      <c r="B109" s="258"/>
      <c r="C109" s="422"/>
      <c r="D109" s="423">
        <f>+D103/4</f>
        <v>0</v>
      </c>
      <c r="E109" s="422"/>
      <c r="F109" s="422"/>
      <c r="G109" s="423">
        <f>+G103/4</f>
        <v>1164.4845744160414</v>
      </c>
      <c r="H109" s="422"/>
      <c r="I109" s="422"/>
      <c r="J109" s="423">
        <f>+J103/4</f>
        <v>3102.18999589901</v>
      </c>
      <c r="K109" s="422"/>
      <c r="L109" s="422"/>
      <c r="M109" s="423">
        <f>+M103/4</f>
        <v>4872.441919190399</v>
      </c>
      <c r="N109" s="422"/>
      <c r="O109" s="422"/>
      <c r="P109" s="423">
        <f>+P103/4</f>
        <v>8054.646894615731</v>
      </c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</row>
    <row r="110" spans="1:16" ht="15">
      <c r="A110" s="258"/>
      <c r="B110" s="424">
        <f>B103</f>
        <v>-31000</v>
      </c>
      <c r="C110" s="422"/>
      <c r="D110" s="423">
        <f>D95</f>
        <v>-13051.485973333336</v>
      </c>
      <c r="E110" s="422"/>
      <c r="F110" s="422"/>
      <c r="G110" s="423">
        <f>G103+D110</f>
        <v>-8393.547675669171</v>
      </c>
      <c r="H110" s="422"/>
      <c r="I110" s="422"/>
      <c r="J110" s="423">
        <f>J103+G110</f>
        <v>4015.2123079268677</v>
      </c>
      <c r="K110" s="422"/>
      <c r="L110" s="422"/>
      <c r="M110" s="423">
        <f>M103+J110</f>
        <v>23504.979984688463</v>
      </c>
      <c r="N110" s="422"/>
      <c r="O110" s="422"/>
      <c r="P110" s="423">
        <f>P103+M110</f>
        <v>55723.56756315139</v>
      </c>
    </row>
    <row r="111" spans="1:16" ht="15">
      <c r="A111" s="425" t="s">
        <v>104</v>
      </c>
      <c r="B111" s="424"/>
      <c r="C111" s="422"/>
      <c r="D111" s="426">
        <f>IRR(B103:P103)</f>
        <v>0.3011170526383082</v>
      </c>
      <c r="E111" s="422"/>
      <c r="F111" s="422"/>
      <c r="G111" s="423"/>
      <c r="H111" s="422"/>
      <c r="I111" s="422"/>
      <c r="J111" s="423"/>
      <c r="K111" s="422"/>
      <c r="L111" s="422"/>
      <c r="M111" s="423"/>
      <c r="N111" s="422"/>
      <c r="O111" s="422"/>
      <c r="P111" s="423"/>
    </row>
    <row r="112" spans="1:16" ht="15">
      <c r="A112" s="409"/>
      <c r="C112" s="427"/>
      <c r="D112" s="428">
        <f>IRR(B110:P110)</f>
        <v>0.12039216634402407</v>
      </c>
      <c r="E112" s="427"/>
      <c r="F112" s="427"/>
      <c r="G112" s="427"/>
      <c r="H112" s="427"/>
      <c r="I112" s="427"/>
      <c r="J112" s="429"/>
      <c r="K112" s="427"/>
      <c r="L112" s="427"/>
      <c r="M112" s="427"/>
      <c r="N112" s="427"/>
      <c r="O112" s="427"/>
      <c r="P112" s="429"/>
    </row>
    <row r="113" spans="1:16" ht="15">
      <c r="A113" s="391"/>
      <c r="B113" s="427"/>
      <c r="C113" s="428"/>
      <c r="D113" s="430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</row>
    <row r="114" spans="1:16" ht="15">
      <c r="A114" s="391"/>
      <c r="B114" s="427">
        <f>B103</f>
        <v>-31000</v>
      </c>
      <c r="C114" s="427"/>
      <c r="D114" s="430">
        <f>D95</f>
        <v>-13051.485973333336</v>
      </c>
      <c r="E114" s="427"/>
      <c r="F114" s="427"/>
      <c r="G114" s="431">
        <f>G103+G87</f>
        <v>7920.8097909974995</v>
      </c>
      <c r="H114" s="427"/>
      <c r="I114" s="427"/>
      <c r="J114" s="431">
        <f>J103+J87</f>
        <v>15671.631476929373</v>
      </c>
      <c r="K114" s="431"/>
      <c r="L114" s="431"/>
      <c r="M114" s="431">
        <f>M103+M87</f>
        <v>22752.63917009493</v>
      </c>
      <c r="N114" s="432"/>
      <c r="O114" s="431"/>
      <c r="P114" s="431">
        <f>P103+P87</f>
        <v>35481.45907179626</v>
      </c>
    </row>
    <row r="115" spans="1:16" ht="15">
      <c r="A115" s="391"/>
      <c r="B115" s="427">
        <f>B114</f>
        <v>-31000</v>
      </c>
      <c r="C115" s="427"/>
      <c r="D115" s="430">
        <f>D114</f>
        <v>-13051.485973333336</v>
      </c>
      <c r="E115" s="427"/>
      <c r="F115" s="427"/>
      <c r="G115" s="433">
        <f>G114+D115</f>
        <v>-5130.6761823358365</v>
      </c>
      <c r="H115" s="427"/>
      <c r="I115" s="427"/>
      <c r="J115" s="433">
        <f>J114+G115</f>
        <v>10540.955294593536</v>
      </c>
      <c r="K115" s="427"/>
      <c r="L115" s="427"/>
      <c r="M115" s="433">
        <f>M114+J115</f>
        <v>33293.59446468847</v>
      </c>
      <c r="N115" s="427"/>
      <c r="O115" s="427"/>
      <c r="P115" s="433">
        <f>P114+M115</f>
        <v>68775.05353648472</v>
      </c>
    </row>
    <row r="116" spans="1:16" ht="15">
      <c r="A116" s="391" t="s">
        <v>104</v>
      </c>
      <c r="B116" s="434">
        <f>IRR(B114:P114)</f>
        <v>0.18318484419547304</v>
      </c>
      <c r="C116" s="427"/>
      <c r="D116" s="430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</row>
    <row r="117" spans="1:16" ht="15">
      <c r="A117" s="391" t="s">
        <v>104</v>
      </c>
      <c r="B117" s="434">
        <f>IRR(B115:P115)</f>
        <v>0.22753410465851298</v>
      </c>
      <c r="C117" s="427"/>
      <c r="D117" s="430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</row>
    <row r="118" spans="1:16" ht="15">
      <c r="A118" s="391"/>
      <c r="B118" s="427"/>
      <c r="C118" s="427"/>
      <c r="D118" s="430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</row>
    <row r="119" spans="1:16" ht="15">
      <c r="A119" s="391"/>
      <c r="B119" s="427"/>
      <c r="C119" s="427"/>
      <c r="D119" s="430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</row>
    <row r="120" spans="1:16" ht="15">
      <c r="A120" s="391"/>
      <c r="B120" s="427"/>
      <c r="C120" s="427"/>
      <c r="D120" s="430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</row>
    <row r="121" spans="1:16" ht="15">
      <c r="A121" s="391"/>
      <c r="B121" s="427"/>
      <c r="C121" s="427"/>
      <c r="D121" s="430"/>
      <c r="E121" s="427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</row>
    <row r="122" spans="1:16" ht="15">
      <c r="A122" s="391"/>
      <c r="B122" s="427"/>
      <c r="C122" s="427"/>
      <c r="D122" s="430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</row>
    <row r="123" spans="1:16" ht="15">
      <c r="A123" s="391"/>
      <c r="B123" s="427"/>
      <c r="C123" s="427"/>
      <c r="D123" s="430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</row>
    <row r="124" spans="1:16" ht="15">
      <c r="A124" s="391"/>
      <c r="B124" s="427"/>
      <c r="C124" s="427"/>
      <c r="D124" s="430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</row>
    <row r="125" spans="1:16" ht="15">
      <c r="A125" s="391"/>
      <c r="B125" s="427"/>
      <c r="C125" s="427"/>
      <c r="D125" s="430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</row>
    <row r="126" spans="1:16" ht="15">
      <c r="A126" s="391"/>
      <c r="B126" s="427"/>
      <c r="C126" s="427"/>
      <c r="D126" s="430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</row>
    <row r="127" spans="1:16" ht="15">
      <c r="A127" s="391"/>
      <c r="B127" s="427"/>
      <c r="C127" s="427"/>
      <c r="D127" s="430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</row>
    <row r="128" spans="1:16" ht="15">
      <c r="A128" s="391"/>
      <c r="B128" s="427"/>
      <c r="C128" s="427"/>
      <c r="D128" s="430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</row>
    <row r="129" spans="1:16" ht="15">
      <c r="A129" s="391"/>
      <c r="B129" s="427"/>
      <c r="C129" s="427"/>
      <c r="D129" s="430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</row>
    <row r="130" spans="1:16" ht="15">
      <c r="A130" s="391"/>
      <c r="B130" s="427"/>
      <c r="C130" s="427"/>
      <c r="D130" s="430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</row>
    <row r="131" spans="1:16" ht="15">
      <c r="A131" s="391"/>
      <c r="B131" s="427"/>
      <c r="C131" s="427"/>
      <c r="D131" s="430"/>
      <c r="E131" s="427"/>
      <c r="F131" s="427"/>
      <c r="G131" s="427"/>
      <c r="H131" s="427"/>
      <c r="I131" s="427"/>
      <c r="J131" s="427"/>
      <c r="K131" s="427"/>
      <c r="L131" s="427"/>
      <c r="M131" s="427"/>
      <c r="N131" s="427"/>
      <c r="O131" s="427"/>
      <c r="P131" s="427"/>
    </row>
    <row r="132" spans="1:16" ht="15">
      <c r="A132" s="391"/>
      <c r="B132" s="427"/>
      <c r="C132" s="427"/>
      <c r="D132" s="430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</row>
    <row r="133" spans="1:16" ht="15">
      <c r="A133" s="391"/>
      <c r="B133" s="427"/>
      <c r="C133" s="427"/>
      <c r="D133" s="430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</row>
    <row r="134" spans="1:16" ht="15">
      <c r="A134" s="391"/>
      <c r="B134" s="427"/>
      <c r="C134" s="427"/>
      <c r="D134" s="430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</row>
    <row r="135" spans="1:16" ht="15">
      <c r="A135" s="391"/>
      <c r="B135" s="427"/>
      <c r="C135" s="427"/>
      <c r="D135" s="430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</row>
    <row r="136" spans="1:16" ht="15">
      <c r="A136" s="391"/>
      <c r="B136" s="427"/>
      <c r="C136" s="427"/>
      <c r="D136" s="430"/>
      <c r="E136" s="427"/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</row>
    <row r="137" spans="1:16" ht="15">
      <c r="A137" s="391"/>
      <c r="B137" s="427"/>
      <c r="C137" s="427"/>
      <c r="D137" s="430"/>
      <c r="E137" s="427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</row>
    <row r="138" spans="1:16" ht="15">
      <c r="A138" s="391"/>
      <c r="B138" s="427"/>
      <c r="C138" s="427"/>
      <c r="D138" s="430"/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</row>
    <row r="139" spans="1:16" ht="15">
      <c r="A139" s="391"/>
      <c r="B139" s="391"/>
      <c r="C139" s="391"/>
      <c r="D139" s="435"/>
      <c r="E139" s="391"/>
      <c r="F139" s="391"/>
      <c r="G139" s="391"/>
      <c r="H139" s="391"/>
      <c r="I139" s="391"/>
      <c r="J139" s="391"/>
      <c r="K139" s="391"/>
      <c r="L139" s="391"/>
      <c r="M139" s="391"/>
      <c r="N139" s="391"/>
      <c r="O139" s="391"/>
      <c r="P139" s="391"/>
    </row>
    <row r="140" spans="1:16" ht="15">
      <c r="A140" s="391"/>
      <c r="B140" s="391"/>
      <c r="C140" s="391"/>
      <c r="D140" s="435"/>
      <c r="E140" s="391"/>
      <c r="F140" s="391"/>
      <c r="G140" s="391"/>
      <c r="H140" s="391"/>
      <c r="I140" s="391"/>
      <c r="J140" s="391"/>
      <c r="K140" s="391"/>
      <c r="L140" s="391"/>
      <c r="M140" s="391"/>
      <c r="N140" s="391"/>
      <c r="O140" s="391"/>
      <c r="P140" s="391"/>
    </row>
    <row r="141" spans="1:16" ht="15">
      <c r="A141" s="391"/>
      <c r="B141" s="391"/>
      <c r="C141" s="391"/>
      <c r="D141" s="435"/>
      <c r="E141" s="391"/>
      <c r="F141" s="391"/>
      <c r="G141" s="391"/>
      <c r="H141" s="391"/>
      <c r="I141" s="391"/>
      <c r="J141" s="391"/>
      <c r="K141" s="391"/>
      <c r="L141" s="391"/>
      <c r="M141" s="391"/>
      <c r="N141" s="391"/>
      <c r="O141" s="391"/>
      <c r="P141" s="391"/>
    </row>
    <row r="142" spans="1:16" ht="15">
      <c r="A142" s="391"/>
      <c r="B142" s="391"/>
      <c r="C142" s="391"/>
      <c r="D142" s="435"/>
      <c r="E142" s="391"/>
      <c r="F142" s="391"/>
      <c r="G142" s="391"/>
      <c r="H142" s="391"/>
      <c r="I142" s="391"/>
      <c r="J142" s="391"/>
      <c r="K142" s="391"/>
      <c r="L142" s="391"/>
      <c r="M142" s="391"/>
      <c r="N142" s="391"/>
      <c r="O142" s="391"/>
      <c r="P142" s="391"/>
    </row>
    <row r="143" spans="1:16" ht="15">
      <c r="A143" s="391"/>
      <c r="B143" s="391"/>
      <c r="C143" s="391"/>
      <c r="D143" s="435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391"/>
      <c r="P143" s="391"/>
    </row>
    <row r="144" spans="1:16" ht="15">
      <c r="A144" s="391"/>
      <c r="B144" s="391"/>
      <c r="C144" s="391"/>
      <c r="D144" s="435"/>
      <c r="E144" s="391"/>
      <c r="F144" s="391"/>
      <c r="G144" s="391"/>
      <c r="H144" s="391"/>
      <c r="I144" s="391"/>
      <c r="J144" s="391"/>
      <c r="K144" s="391"/>
      <c r="L144" s="391"/>
      <c r="M144" s="391"/>
      <c r="N144" s="391"/>
      <c r="O144" s="391"/>
      <c r="P144" s="391"/>
    </row>
    <row r="145" spans="1:16" ht="15">
      <c r="A145" s="391"/>
      <c r="B145" s="391"/>
      <c r="C145" s="391"/>
      <c r="D145" s="435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  <c r="O145" s="391"/>
      <c r="P145" s="391"/>
    </row>
    <row r="146" spans="1:16" ht="15">
      <c r="A146" s="391"/>
      <c r="B146" s="391"/>
      <c r="C146" s="391"/>
      <c r="D146" s="435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1"/>
    </row>
    <row r="147" spans="1:16" ht="15">
      <c r="A147" s="391"/>
      <c r="B147" s="391"/>
      <c r="C147" s="391"/>
      <c r="D147" s="435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391"/>
    </row>
    <row r="148" spans="1:16" ht="15">
      <c r="A148" s="391"/>
      <c r="B148" s="391"/>
      <c r="C148" s="391"/>
      <c r="D148" s="435"/>
      <c r="E148" s="391"/>
      <c r="F148" s="391"/>
      <c r="G148" s="391"/>
      <c r="H148" s="391"/>
      <c r="I148" s="391"/>
      <c r="J148" s="391"/>
      <c r="K148" s="391"/>
      <c r="L148" s="391"/>
      <c r="M148" s="391"/>
      <c r="N148" s="391"/>
      <c r="O148" s="391"/>
      <c r="P148" s="391"/>
    </row>
  </sheetData>
  <mergeCells count="16">
    <mergeCell ref="B14:D14"/>
    <mergeCell ref="A13:P13"/>
    <mergeCell ref="N14:P14"/>
    <mergeCell ref="E14:G14"/>
    <mergeCell ref="H14:J14"/>
    <mergeCell ref="K14:M14"/>
    <mergeCell ref="D1:E1"/>
    <mergeCell ref="F1:G1"/>
    <mergeCell ref="H1:I1"/>
    <mergeCell ref="A12:P12"/>
    <mergeCell ref="L1:M1"/>
    <mergeCell ref="N1:O1"/>
    <mergeCell ref="P1:Q1"/>
    <mergeCell ref="J1:K1"/>
    <mergeCell ref="A9:P9"/>
    <mergeCell ref="A11:P11"/>
  </mergeCells>
  <printOptions/>
  <pageMargins left="1.14" right="0.5118110236220472" top="0.98" bottom="0.27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E21" sqref="E21"/>
    </sheetView>
  </sheetViews>
  <sheetFormatPr defaultColWidth="11.421875" defaultRowHeight="12.75"/>
  <cols>
    <col min="1" max="1" width="30.421875" style="0" customWidth="1"/>
    <col min="3" max="3" width="12.8515625" style="0" bestFit="1" customWidth="1"/>
    <col min="4" max="4" width="32.00390625" style="0" customWidth="1"/>
    <col min="5" max="5" width="40.28125" style="0" bestFit="1" customWidth="1"/>
  </cols>
  <sheetData>
    <row r="1" spans="1:4" ht="20.25">
      <c r="A1" s="498" t="s">
        <v>162</v>
      </c>
      <c r="B1" s="498"/>
      <c r="C1" s="498"/>
      <c r="D1" s="498"/>
    </row>
    <row r="3" spans="1:4" ht="18">
      <c r="A3" s="481" t="s">
        <v>163</v>
      </c>
      <c r="B3" s="481"/>
      <c r="C3" s="481"/>
      <c r="D3" s="481"/>
    </row>
    <row r="4" spans="1:4" ht="11.25" customHeight="1">
      <c r="A4" s="1"/>
      <c r="B4" s="1"/>
      <c r="C4" s="1"/>
      <c r="D4" s="1"/>
    </row>
    <row r="5" spans="1:5" ht="10.5" customHeight="1">
      <c r="A5" s="490"/>
      <c r="B5" s="490"/>
      <c r="C5" s="490"/>
      <c r="D5" s="490"/>
      <c r="E5" s="436"/>
    </row>
    <row r="6" spans="1:13" s="237" customFormat="1" ht="18" customHeight="1">
      <c r="A6" s="499" t="s">
        <v>164</v>
      </c>
      <c r="B6" s="500"/>
      <c r="C6" s="500"/>
      <c r="D6" s="501"/>
      <c r="E6" s="436"/>
      <c r="M6" s="439"/>
    </row>
    <row r="7" spans="1:5" ht="16.5" customHeight="1">
      <c r="A7" s="497" t="s">
        <v>165</v>
      </c>
      <c r="B7" s="437"/>
      <c r="C7" s="437"/>
      <c r="D7" s="438"/>
      <c r="E7" s="436"/>
    </row>
    <row r="8" spans="1:7" ht="12.75">
      <c r="A8" s="440"/>
      <c r="B8" s="210"/>
      <c r="C8" s="441"/>
      <c r="D8" s="442"/>
      <c r="E8" s="443"/>
      <c r="F8" s="443"/>
      <c r="G8" s="443"/>
    </row>
    <row r="9" spans="1:7" s="217" customFormat="1" ht="12.75">
      <c r="A9" s="444" t="s">
        <v>166</v>
      </c>
      <c r="B9" s="215"/>
      <c r="C9" s="445"/>
      <c r="D9" s="446"/>
      <c r="E9" s="447"/>
      <c r="F9" s="447"/>
      <c r="G9" s="447"/>
    </row>
    <row r="10" spans="1:7" s="217" customFormat="1" ht="11.25" customHeight="1">
      <c r="A10" s="448"/>
      <c r="B10" s="215"/>
      <c r="C10" s="445"/>
      <c r="D10" s="446"/>
      <c r="E10" s="447"/>
      <c r="F10" s="447"/>
      <c r="G10" s="447"/>
    </row>
    <row r="11" spans="1:7" s="217" customFormat="1" ht="12.75">
      <c r="A11" s="449" t="s">
        <v>167</v>
      </c>
      <c r="B11" s="215"/>
      <c r="C11" s="445"/>
      <c r="D11" s="446"/>
      <c r="E11" s="447"/>
      <c r="F11" s="447"/>
      <c r="G11" s="447"/>
    </row>
    <row r="12" spans="1:7" ht="12.75">
      <c r="A12" s="450" t="s">
        <v>168</v>
      </c>
      <c r="B12" s="210"/>
      <c r="C12" s="451">
        <f>'[1]FLUJOS ANUALES17'!Q128</f>
        <v>124002.23902624764</v>
      </c>
      <c r="D12" s="176"/>
      <c r="E12" s="443"/>
      <c r="F12" s="443"/>
      <c r="G12" s="443"/>
    </row>
    <row r="13" spans="1:7" ht="12.75">
      <c r="A13" s="450" t="s">
        <v>169</v>
      </c>
      <c r="B13" s="210"/>
      <c r="C13" s="451"/>
      <c r="D13" s="176"/>
      <c r="E13" s="443"/>
      <c r="F13" s="443"/>
      <c r="G13" s="443"/>
    </row>
    <row r="14" spans="1:7" ht="12.75">
      <c r="A14" s="452" t="s">
        <v>84</v>
      </c>
      <c r="B14" s="209"/>
      <c r="C14" s="453">
        <v>3000</v>
      </c>
      <c r="D14" s="454"/>
      <c r="E14" s="443"/>
      <c r="F14" s="443"/>
      <c r="G14" s="443"/>
    </row>
    <row r="15" spans="1:7" ht="12.75">
      <c r="A15" s="455" t="s">
        <v>170</v>
      </c>
      <c r="B15" s="209"/>
      <c r="C15" s="456"/>
      <c r="D15" s="457">
        <f>SUM(C12:C14)</f>
        <v>127002.23902624764</v>
      </c>
      <c r="E15" s="443"/>
      <c r="F15" s="443"/>
      <c r="G15" s="443"/>
    </row>
    <row r="16" spans="1:7" ht="12.75">
      <c r="A16" s="440"/>
      <c r="B16" s="210"/>
      <c r="C16" s="451"/>
      <c r="D16" s="176"/>
      <c r="E16" s="443"/>
      <c r="F16" s="443"/>
      <c r="G16" s="443"/>
    </row>
    <row r="17" spans="1:7" ht="12.75">
      <c r="A17" s="449" t="s">
        <v>171</v>
      </c>
      <c r="B17" s="210"/>
      <c r="C17" s="451"/>
      <c r="D17" s="176"/>
      <c r="E17" s="443"/>
      <c r="F17" s="443"/>
      <c r="G17" s="443"/>
    </row>
    <row r="18" spans="1:7" s="458" customFormat="1" ht="12.75">
      <c r="A18" s="440" t="s">
        <v>72</v>
      </c>
      <c r="C18" s="459">
        <f>'[1]ANEXO9'!C10</f>
        <v>8929</v>
      </c>
      <c r="D18" s="460"/>
      <c r="E18" s="461"/>
      <c r="F18" s="461"/>
      <c r="G18" s="461"/>
    </row>
    <row r="19" spans="1:7" s="458" customFormat="1" ht="12.75">
      <c r="A19" s="440" t="s">
        <v>148</v>
      </c>
      <c r="C19" s="459">
        <f>-'[1]ANEXO9'!J10</f>
        <v>-2976.333333333333</v>
      </c>
      <c r="D19" s="460"/>
      <c r="E19" s="461"/>
      <c r="F19" s="461"/>
      <c r="G19" s="461"/>
    </row>
    <row r="20" spans="1:7" s="458" customFormat="1" ht="12.75">
      <c r="A20" s="440" t="s">
        <v>172</v>
      </c>
      <c r="C20" s="459">
        <f>SUM('[1]ANEXO9'!C12:C15)</f>
        <v>2060.7599999999998</v>
      </c>
      <c r="D20" s="460"/>
      <c r="E20" s="461"/>
      <c r="F20" s="461"/>
      <c r="G20" s="461"/>
    </row>
    <row r="21" spans="1:7" s="458" customFormat="1" ht="12.75">
      <c r="A21" s="440" t="s">
        <v>149</v>
      </c>
      <c r="C21" s="459">
        <f>-SUM('[1]ANEXO9'!J12:J15)</f>
        <v>-1707.1866666666667</v>
      </c>
      <c r="D21" s="460"/>
      <c r="E21" s="461"/>
      <c r="F21" s="461"/>
      <c r="G21" s="461"/>
    </row>
    <row r="22" spans="1:7" s="458" customFormat="1" ht="12.75">
      <c r="A22" s="440" t="s">
        <v>173</v>
      </c>
      <c r="C22" s="459">
        <f>SUM('[1]ANEXO9'!C22:C24)</f>
        <v>583.9200000000001</v>
      </c>
      <c r="D22" s="460"/>
      <c r="E22" s="461"/>
      <c r="F22" s="461"/>
      <c r="G22" s="461"/>
    </row>
    <row r="23" spans="1:7" s="458" customFormat="1" ht="12.75">
      <c r="A23" s="440" t="s">
        <v>151</v>
      </c>
      <c r="C23" s="462">
        <f>-SUM('[1]ANEXO9'!J22:J24)</f>
        <v>-291.96000000000004</v>
      </c>
      <c r="D23" s="460"/>
      <c r="E23" s="461"/>
      <c r="F23" s="461"/>
      <c r="G23" s="461"/>
    </row>
    <row r="24" spans="1:7" s="458" customFormat="1" ht="12.75">
      <c r="A24" s="440" t="s">
        <v>174</v>
      </c>
      <c r="C24" s="459">
        <f>SUM('[1]ANEXO9'!C17:C20)</f>
        <v>299.36</v>
      </c>
      <c r="D24" s="460"/>
      <c r="E24" s="461"/>
      <c r="F24" s="461"/>
      <c r="G24" s="461"/>
    </row>
    <row r="25" spans="1:7" s="458" customFormat="1" ht="12.75">
      <c r="A25" s="440" t="s">
        <v>175</v>
      </c>
      <c r="C25" s="463">
        <f>-SUM('[1]ANEXO9'!J17:J20)</f>
        <v>-125.68</v>
      </c>
      <c r="D25" s="464"/>
      <c r="E25" s="461"/>
      <c r="F25" s="461"/>
      <c r="G25" s="461"/>
    </row>
    <row r="26" spans="1:7" s="217" customFormat="1" ht="12.75">
      <c r="A26" s="448" t="s">
        <v>82</v>
      </c>
      <c r="B26" s="215"/>
      <c r="C26" s="465"/>
      <c r="D26" s="457">
        <f>SUM(C18:C25)</f>
        <v>6771.879999999999</v>
      </c>
      <c r="E26" s="447"/>
      <c r="F26" s="447"/>
      <c r="G26" s="447"/>
    </row>
    <row r="27" spans="1:7" s="217" customFormat="1" ht="12.75">
      <c r="A27" s="448"/>
      <c r="B27" s="215"/>
      <c r="C27" s="465"/>
      <c r="D27" s="457"/>
      <c r="E27" s="447"/>
      <c r="F27" s="447"/>
      <c r="G27" s="447"/>
    </row>
    <row r="28" spans="1:7" ht="12.75">
      <c r="A28" s="449" t="s">
        <v>176</v>
      </c>
      <c r="B28" s="210"/>
      <c r="C28" s="451"/>
      <c r="D28" s="176"/>
      <c r="E28" s="443"/>
      <c r="F28" s="443"/>
      <c r="G28" s="443"/>
    </row>
    <row r="29" spans="1:7" ht="12.75">
      <c r="A29" s="466" t="s">
        <v>177</v>
      </c>
      <c r="B29" s="210"/>
      <c r="C29" s="451">
        <f>'[1]FLUJO 1 '!E92</f>
        <v>220</v>
      </c>
      <c r="D29" s="176"/>
      <c r="E29" s="443"/>
      <c r="F29" s="443"/>
      <c r="G29" s="443"/>
    </row>
    <row r="30" spans="1:7" ht="12.75">
      <c r="A30" s="466" t="s">
        <v>178</v>
      </c>
      <c r="B30" s="210"/>
      <c r="C30" s="451">
        <f>'[1]FLUJO 1 '!B116</f>
        <v>300</v>
      </c>
      <c r="D30" s="176"/>
      <c r="E30" s="443"/>
      <c r="F30" s="443"/>
      <c r="G30" s="443"/>
    </row>
    <row r="31" spans="1:7" ht="12.75">
      <c r="A31" s="466" t="s">
        <v>179</v>
      </c>
      <c r="B31" s="210"/>
      <c r="C31" s="467">
        <f>-SUM('[1]P &amp; G PROYECTADO18'!D88:P88)</f>
        <v>-300</v>
      </c>
      <c r="D31" s="454"/>
      <c r="E31" s="443"/>
      <c r="F31" s="443"/>
      <c r="G31" s="443"/>
    </row>
    <row r="32" spans="1:7" s="217" customFormat="1" ht="12.75">
      <c r="A32" s="468" t="s">
        <v>180</v>
      </c>
      <c r="B32" s="215"/>
      <c r="C32" s="465"/>
      <c r="D32" s="457">
        <f>SUM(C29:C31)</f>
        <v>220</v>
      </c>
      <c r="E32" s="447"/>
      <c r="F32" s="447"/>
      <c r="G32" s="447"/>
    </row>
    <row r="33" spans="1:7" s="217" customFormat="1" ht="12.75">
      <c r="A33" s="468"/>
      <c r="B33" s="215"/>
      <c r="C33" s="465"/>
      <c r="D33" s="457"/>
      <c r="E33" s="447"/>
      <c r="F33" s="447"/>
      <c r="G33" s="447"/>
    </row>
    <row r="34" spans="1:7" s="217" customFormat="1" ht="16.5" thickBot="1">
      <c r="A34" s="286" t="s">
        <v>181</v>
      </c>
      <c r="B34" s="400"/>
      <c r="C34" s="402"/>
      <c r="D34" s="469">
        <f>SUM(D15:D32)</f>
        <v>133994.11902624764</v>
      </c>
      <c r="E34" s="447"/>
      <c r="F34" s="447"/>
      <c r="G34" s="447"/>
    </row>
    <row r="35" spans="1:7" ht="13.5" thickTop="1">
      <c r="A35" s="440"/>
      <c r="B35" s="210"/>
      <c r="C35" s="451"/>
      <c r="D35" s="176"/>
      <c r="E35" s="443"/>
      <c r="F35" s="443"/>
      <c r="G35" s="443"/>
    </row>
    <row r="36" spans="1:7" ht="12.75">
      <c r="A36" s="444" t="s">
        <v>182</v>
      </c>
      <c r="B36" s="210"/>
      <c r="C36" s="451"/>
      <c r="D36" s="176"/>
      <c r="E36" s="443"/>
      <c r="F36" s="443"/>
      <c r="G36" s="443"/>
    </row>
    <row r="37" spans="1:7" ht="11.25" customHeight="1">
      <c r="A37" s="448"/>
      <c r="B37" s="210"/>
      <c r="C37" s="451"/>
      <c r="D37" s="176"/>
      <c r="E37" s="443"/>
      <c r="F37" s="443"/>
      <c r="G37" s="443"/>
    </row>
    <row r="38" spans="1:7" ht="12.75">
      <c r="A38" s="449" t="s">
        <v>183</v>
      </c>
      <c r="B38" s="210"/>
      <c r="C38" s="451"/>
      <c r="D38" s="176"/>
      <c r="E38" s="443"/>
      <c r="F38" s="443"/>
      <c r="G38" s="443"/>
    </row>
    <row r="39" spans="1:7" ht="12.75">
      <c r="A39" s="450" t="s">
        <v>44</v>
      </c>
      <c r="B39" s="210"/>
      <c r="C39" s="451">
        <f>SUM('[1]FLUJO 5'!K58:AA58)/12</f>
        <v>852.1724999999998</v>
      </c>
      <c r="D39" s="176"/>
      <c r="E39" s="443"/>
      <c r="F39" s="443"/>
      <c r="G39" s="443"/>
    </row>
    <row r="40" spans="1:7" ht="12.75">
      <c r="A40" s="450" t="s">
        <v>45</v>
      </c>
      <c r="B40" s="210"/>
      <c r="C40" s="451">
        <f>((200*4)/12)*5</f>
        <v>333.33333333333337</v>
      </c>
      <c r="D40" s="176"/>
      <c r="E40" s="443"/>
      <c r="F40" s="443"/>
      <c r="G40" s="443"/>
    </row>
    <row r="41" spans="1:7" ht="12.75">
      <c r="A41" s="450" t="s">
        <v>47</v>
      </c>
      <c r="B41" s="210"/>
      <c r="C41" s="451">
        <f>(SUM('[1]FLUJO 4'!Y58:AA58)+SUM('[1]FLUJO 5'!E58:AA58))/12</f>
        <v>1313.8898866666664</v>
      </c>
      <c r="D41" s="176"/>
      <c r="E41" s="443"/>
      <c r="F41" s="443"/>
      <c r="G41" s="443"/>
    </row>
    <row r="42" spans="1:7" ht="12.75">
      <c r="A42" s="440" t="s">
        <v>184</v>
      </c>
      <c r="B42" s="210"/>
      <c r="C42" s="451">
        <f>'[1]P &amp; G PROYECTADO18'!P97</f>
        <v>8747.127849356448</v>
      </c>
      <c r="D42" s="176"/>
      <c r="E42" s="470"/>
      <c r="F42" s="443"/>
      <c r="G42" s="443"/>
    </row>
    <row r="43" spans="1:7" ht="12.75">
      <c r="A43" s="440" t="s">
        <v>160</v>
      </c>
      <c r="B43" s="210"/>
      <c r="C43" s="467">
        <f>'[1]P &amp; G PROYECTADO18'!P101</f>
        <v>12391.76445325497</v>
      </c>
      <c r="D43" s="454"/>
      <c r="E43" s="443"/>
      <c r="F43" s="443"/>
      <c r="G43" s="443"/>
    </row>
    <row r="44" spans="1:7" ht="12.75">
      <c r="A44" s="448" t="s">
        <v>185</v>
      </c>
      <c r="B44" s="210"/>
      <c r="C44" s="451"/>
      <c r="D44" s="176">
        <f>SUM(C39:C43)</f>
        <v>23638.288022611414</v>
      </c>
      <c r="E44" s="443"/>
      <c r="F44" s="443"/>
      <c r="G44" s="443"/>
    </row>
    <row r="45" spans="1:7" ht="12.75">
      <c r="A45" s="440"/>
      <c r="B45" s="210"/>
      <c r="C45" s="451"/>
      <c r="D45" s="176"/>
      <c r="E45" s="443"/>
      <c r="F45" s="443"/>
      <c r="G45" s="443"/>
    </row>
    <row r="46" spans="1:7" ht="12.75">
      <c r="A46" s="449" t="s">
        <v>186</v>
      </c>
      <c r="B46" s="210"/>
      <c r="C46" s="451"/>
      <c r="D46" s="176"/>
      <c r="E46" s="471"/>
      <c r="F46" s="443"/>
      <c r="G46" s="443"/>
    </row>
    <row r="47" spans="1:7" ht="12.75">
      <c r="A47" s="440" t="s">
        <v>187</v>
      </c>
      <c r="B47" s="210"/>
      <c r="C47" s="451">
        <f>'[1]FLUJO 1 '!B16</f>
        <v>31000</v>
      </c>
      <c r="D47" s="176"/>
      <c r="E47" s="443"/>
      <c r="F47" s="443"/>
      <c r="G47" s="443"/>
    </row>
    <row r="48" spans="1:7" ht="12.75">
      <c r="A48" s="440" t="s">
        <v>188</v>
      </c>
      <c r="B48" s="210"/>
      <c r="C48" s="451">
        <f>SUM('[1]P &amp; G PROYECTADO18'!G100:P100)</f>
        <v>10580.777467151496</v>
      </c>
      <c r="D48" s="176"/>
      <c r="E48" s="443"/>
      <c r="F48" s="443"/>
      <c r="G48" s="443"/>
    </row>
    <row r="49" spans="1:4" ht="12.75">
      <c r="A49" s="440" t="s">
        <v>189</v>
      </c>
      <c r="B49" s="210"/>
      <c r="C49" s="467">
        <f>SUM('[1]P &amp; G PROYECTADO18'!G103:P103)</f>
        <v>68775.05353648472</v>
      </c>
      <c r="D49" s="454"/>
    </row>
    <row r="50" spans="1:4" ht="12.75">
      <c r="A50" s="448" t="s">
        <v>190</v>
      </c>
      <c r="B50" s="210"/>
      <c r="C50" s="451"/>
      <c r="D50" s="176">
        <f>SUM(C47:C49)</f>
        <v>110355.83100363621</v>
      </c>
    </row>
    <row r="51" spans="1:4" ht="12.75">
      <c r="A51" s="440"/>
      <c r="B51" s="210"/>
      <c r="C51" s="451"/>
      <c r="D51" s="176"/>
    </row>
    <row r="52" spans="1:5" s="217" customFormat="1" ht="16.5" thickBot="1">
      <c r="A52" s="286" t="s">
        <v>191</v>
      </c>
      <c r="B52" s="472"/>
      <c r="C52" s="473"/>
      <c r="D52" s="469">
        <f>SUM(D44:D50)</f>
        <v>133994.11902624762</v>
      </c>
      <c r="E52" s="471"/>
    </row>
    <row r="53" spans="1:4" ht="9.75" customHeight="1" thickTop="1">
      <c r="A53" s="474"/>
      <c r="B53" s="475"/>
      <c r="C53" s="475"/>
      <c r="D53" s="476"/>
    </row>
    <row r="54" spans="3:5" ht="25.5" customHeight="1">
      <c r="C54" s="477" t="s">
        <v>192</v>
      </c>
      <c r="D54" s="211" t="b">
        <f>D34=D52</f>
        <v>1</v>
      </c>
      <c r="E54" s="478"/>
    </row>
    <row r="55" ht="12.75">
      <c r="C55" t="s">
        <v>193</v>
      </c>
    </row>
    <row r="58" spans="3:4" ht="12.75">
      <c r="C58" t="s">
        <v>194</v>
      </c>
      <c r="D58" s="479">
        <f>D15-D44</f>
        <v>103363.95100363623</v>
      </c>
    </row>
  </sheetData>
  <mergeCells count="5">
    <mergeCell ref="A7:D7"/>
    <mergeCell ref="A1:D1"/>
    <mergeCell ref="A3:D3"/>
    <mergeCell ref="A5:D5"/>
    <mergeCell ref="A6:D6"/>
  </mergeCells>
  <printOptions/>
  <pageMargins left="0.75" right="0.75" top="0.8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2003-09-30T07:58:28Z</dcterms:created>
  <dcterms:modified xsi:type="dcterms:W3CDTF">2003-09-30T05:10:13Z</dcterms:modified>
  <cp:category/>
  <cp:version/>
  <cp:contentType/>
  <cp:contentStatus/>
</cp:coreProperties>
</file>