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activeTab="0"/>
  </bookViews>
  <sheets>
    <sheet name="Rigid boundaries-mext" sheetId="1" r:id="rId1"/>
    <sheet name="Rigid boundaries-mint" sheetId="2" r:id="rId2"/>
    <sheet name="Sheet1" sheetId="3" r:id="rId3"/>
    <sheet name="Rigid boundaries" sheetId="4" r:id="rId4"/>
  </sheets>
  <definedNames>
    <definedName name="_xlnm.Print_Area" localSheetId="0">'Rigid boundaries-mext'!$A$1:$P$102</definedName>
    <definedName name="_xlnm.Print_Area" localSheetId="1">'Rigid boundaries-mint'!$A$1:$P$102</definedName>
  </definedNames>
  <calcPr calcMode="manual" fullCalcOnLoad="1"/>
</workbook>
</file>

<file path=xl/sharedStrings.xml><?xml version="1.0" encoding="utf-8"?>
<sst xmlns="http://schemas.openxmlformats.org/spreadsheetml/2006/main" count="2236" uniqueCount="93">
  <si>
    <t>Kips</t>
  </si>
  <si>
    <t>in</t>
  </si>
  <si>
    <t>Ksi</t>
  </si>
  <si>
    <t>h =</t>
  </si>
  <si>
    <t>Kips-in</t>
  </si>
  <si>
    <t>1/in</t>
  </si>
  <si>
    <t>CONNECTION TYPE :</t>
  </si>
  <si>
    <t>2I</t>
  </si>
  <si>
    <t>W14x398</t>
  </si>
  <si>
    <t>INPUT DATA</t>
  </si>
  <si>
    <t xml:space="preserve">      Beam section</t>
  </si>
  <si>
    <t xml:space="preserve">      Column section</t>
  </si>
  <si>
    <t>Section</t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</si>
  <si>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</si>
  <si>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</t>
    </r>
  </si>
  <si>
    <r>
      <t>in</t>
    </r>
    <r>
      <rPr>
        <vertAlign val="superscript"/>
        <sz val="10"/>
        <rFont val="Arial"/>
        <family val="2"/>
      </rPr>
      <t>4</t>
    </r>
  </si>
  <si>
    <r>
      <t>t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</si>
  <si>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</si>
  <si>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=</t>
    </r>
  </si>
  <si>
    <t xml:space="preserve">      Doubler plates</t>
  </si>
  <si>
    <r>
      <t>t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=</t>
    </r>
  </si>
  <si>
    <t>Shear-distortion parameters</t>
  </si>
  <si>
    <r>
      <t>V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</si>
  <si>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 xml:space="preserve"> =</t>
    </r>
  </si>
  <si>
    <r>
      <t>g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</si>
  <si>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t>G =</t>
  </si>
  <si>
    <r>
      <t>F</t>
    </r>
    <r>
      <rPr>
        <b/>
        <sz val="10"/>
        <rFont val="Symbol"/>
        <family val="1"/>
      </rPr>
      <t xml:space="preserve"> =</t>
    </r>
  </si>
  <si>
    <t>Moment-rotation parameters</t>
  </si>
  <si>
    <r>
      <t>V</t>
    </r>
    <r>
      <rPr>
        <b/>
        <vertAlign val="subscript"/>
        <sz val="10"/>
        <rFont val="Arial"/>
        <family val="2"/>
      </rPr>
      <t>u</t>
    </r>
    <r>
      <rPr>
        <b/>
        <sz val="10"/>
        <rFont val="Symbol"/>
        <family val="1"/>
      </rPr>
      <t xml:space="preserve"> =</t>
    </r>
  </si>
  <si>
    <r>
      <t>4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</si>
  <si>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v1</t>
    </r>
    <r>
      <rPr>
        <b/>
        <sz val="10"/>
        <rFont val="Arial"/>
        <family val="2"/>
      </rPr>
      <t xml:space="preserve"> =</t>
    </r>
  </si>
  <si>
    <t>Kips/rad</t>
  </si>
  <si>
    <r>
      <t>k</t>
    </r>
    <r>
      <rPr>
        <b/>
        <vertAlign val="subscript"/>
        <sz val="10"/>
        <rFont val="Arial"/>
        <family val="2"/>
      </rPr>
      <t>v2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</si>
  <si>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v2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v1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</si>
  <si>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</si>
  <si>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r>
      <t>q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</si>
  <si>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t>rad</t>
  </si>
  <si>
    <t>Kips-in/rad</t>
  </si>
  <si>
    <r>
      <t>M</t>
    </r>
    <r>
      <rPr>
        <b/>
        <vertAlign val="subscript"/>
        <sz val="10"/>
        <rFont val="Arial"/>
        <family val="2"/>
      </rPr>
      <t>u</t>
    </r>
    <r>
      <rPr>
        <b/>
        <sz val="10"/>
        <rFont val="Symbol"/>
        <family val="1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</si>
  <si>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</si>
  <si>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</si>
  <si>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4q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</si>
  <si>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t xml:space="preserve"> PANEL ZONE PARAMETERS COMPUTATION</t>
  </si>
  <si>
    <t>Floor :</t>
  </si>
  <si>
    <t>Frame :</t>
  </si>
  <si>
    <t>A</t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</si>
  <si>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=</t>
    </r>
  </si>
  <si>
    <r>
      <t>a</t>
    </r>
    <r>
      <rPr>
        <b/>
        <sz val="10"/>
        <rFont val="Arial"/>
        <family val="2"/>
      </rPr>
      <t xml:space="preserve"> =</t>
    </r>
  </si>
  <si>
    <t>rot. Spring</t>
  </si>
  <si>
    <r>
      <t>k</t>
    </r>
    <r>
      <rPr>
        <b/>
        <vertAlign val="subscript"/>
        <sz val="10"/>
        <rFont val="Arial"/>
        <family val="2"/>
      </rPr>
      <t>1A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</si>
  <si>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2A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</si>
  <si>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yA</t>
    </r>
    <r>
      <rPr>
        <b/>
        <sz val="10"/>
        <rFont val="Symbol"/>
        <family val="1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</si>
  <si>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1B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</si>
  <si>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2B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</si>
  <si>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yB</t>
    </r>
    <r>
      <rPr>
        <b/>
        <sz val="10"/>
        <rFont val="Symbol"/>
        <family val="1"/>
      </rPr>
      <t xml:space="preserve"> =</t>
    </r>
  </si>
  <si>
    <r>
      <t>q</t>
    </r>
    <r>
      <rPr>
        <b/>
        <sz val="10"/>
        <rFont val="Symbol"/>
        <family val="1"/>
      </rPr>
      <t xml:space="preserve"> </t>
    </r>
  </si>
  <si>
    <t>M</t>
  </si>
  <si>
    <r>
      <t>M</t>
    </r>
    <r>
      <rPr>
        <b/>
        <vertAlign val="subscript"/>
        <sz val="10"/>
        <rFont val="Arial"/>
        <family val="2"/>
      </rPr>
      <t>A</t>
    </r>
    <r>
      <rPr>
        <b/>
        <sz val="10"/>
        <rFont val="Symbol"/>
        <family val="1"/>
      </rPr>
      <t xml:space="preserve"> =</t>
    </r>
  </si>
  <si>
    <r>
      <t>M</t>
    </r>
    <r>
      <rPr>
        <b/>
        <sz val="10"/>
        <rFont val="Symbol"/>
        <family val="1"/>
      </rPr>
      <t xml:space="preserve"> =</t>
    </r>
  </si>
  <si>
    <t xml:space="preserve">         Spring A</t>
  </si>
  <si>
    <t xml:space="preserve">         Spring B</t>
  </si>
  <si>
    <t xml:space="preserve">         Spring A+B</t>
  </si>
  <si>
    <r>
      <t>k</t>
    </r>
    <r>
      <rPr>
        <b/>
        <vertAlign val="subscript"/>
        <sz val="10"/>
        <rFont val="Arial"/>
        <family val="2"/>
      </rPr>
      <t>2A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1A</t>
    </r>
    <r>
      <rPr>
        <b/>
        <sz val="10"/>
        <rFont val="Arial"/>
        <family val="2"/>
      </rPr>
      <t xml:space="preserve"> =</t>
    </r>
  </si>
  <si>
    <t>Parallel Springs for sixth floor</t>
  </si>
  <si>
    <t>Parallel Springs for fifth floor</t>
  </si>
  <si>
    <t>Parallel Springs for fourth floor</t>
  </si>
  <si>
    <t>Parallel Springs for third floor</t>
  </si>
  <si>
    <t>Parallel Springs for second floor</t>
  </si>
  <si>
    <t>Parallel Springs for first floor</t>
  </si>
  <si>
    <t>Spring A: Elastic-Plastic</t>
  </si>
  <si>
    <t>Spring B: Elastic Perfectly Plastic</t>
  </si>
  <si>
    <r>
      <t>k</t>
    </r>
    <r>
      <rPr>
        <b/>
        <vertAlign val="subscript"/>
        <sz val="10"/>
        <rFont val="Arial"/>
        <family val="2"/>
      </rPr>
      <t>2B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1B</t>
    </r>
    <r>
      <rPr>
        <b/>
        <sz val="10"/>
        <rFont val="Arial"/>
        <family val="2"/>
      </rPr>
      <t xml:space="preserve"> =</t>
    </r>
  </si>
  <si>
    <t>KRAWINKLER'S MODEL</t>
  </si>
  <si>
    <t>W36x245</t>
  </si>
  <si>
    <t>W36x150</t>
  </si>
  <si>
    <t>W14x311</t>
  </si>
  <si>
    <t>KRAWINKLER'S MODEL FOR RIGID BOUNDARY MODELING</t>
  </si>
  <si>
    <t>W24x62</t>
  </si>
  <si>
    <t>W14x233</t>
  </si>
  <si>
    <t>W30x99</t>
  </si>
  <si>
    <t>INTERIOR CONNECTIONS</t>
  </si>
  <si>
    <t>Previous design</t>
  </si>
  <si>
    <t>h/2 =</t>
  </si>
  <si>
    <t>EXTERIOR CONNECTIONS</t>
  </si>
  <si>
    <t>HSS450X450X22</t>
  </si>
  <si>
    <t>W200X650</t>
  </si>
  <si>
    <t>HSS550X550X30</t>
  </si>
  <si>
    <t>HSS500X500X25</t>
  </si>
  <si>
    <t>W200X640</t>
  </si>
  <si>
    <t>200X644</t>
  </si>
  <si>
    <t>W200X540A</t>
  </si>
  <si>
    <t>W200X530</t>
  </si>
  <si>
    <t>200X540B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</si>
</sst>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0.0"/>
    <numFmt numFmtId="187" formatCode="0.0E+00"/>
    <numFmt numFmtId="188" formatCode="0.000"/>
    <numFmt numFmtId="189" formatCode="0.0000"/>
    <numFmt numFmtId="190" formatCode="0.000000"/>
    <numFmt numFmtId="191" formatCode="0.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sz val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8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188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HSS450X450X22-W200X530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boundaries-mext'!$R$7:$R$10</c:f>
              <c:numCache/>
            </c:numRef>
          </c:xVal>
          <c:yVal>
            <c:numRef>
              <c:f>'Rigid boundaries-mext'!$S$7:$S$10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boundaries-mext'!$T$7:$T$10</c:f>
              <c:numCache/>
            </c:numRef>
          </c:xVal>
          <c:yVal>
            <c:numRef>
              <c:f>'Rigid boundaries-mext'!$U$7:$U$10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boundaries-mext'!$V$7:$V$10</c:f>
              <c:numCache/>
            </c:numRef>
          </c:xVal>
          <c:yVal>
            <c:numRef>
              <c:f>'Rigid boundaries-mext'!$W$7:$W$10</c:f>
              <c:numCache/>
            </c:numRef>
          </c:yVal>
          <c:smooth val="0"/>
        </c:ser>
        <c:axId val="22987902"/>
        <c:axId val="5564527"/>
      </c:scatterChart>
      <c:valAx>
        <c:axId val="2298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564527"/>
        <c:crossesAt val="0"/>
        <c:crossBetween val="midCat"/>
        <c:dispUnits/>
        <c:majorUnit val="0.005"/>
      </c:valAx>
      <c:valAx>
        <c:axId val="5564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987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W14x398-W36x150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boundaries-mint'!$R$82:$R$85</c:f>
              <c:numCache/>
            </c:numRef>
          </c:xVal>
          <c:yVal>
            <c:numRef>
              <c:f>'Rigid boundaries-mint'!$S$82:$S$85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boundaries-mint'!$T$82:$T$85</c:f>
              <c:numCache/>
            </c:numRef>
          </c:xVal>
          <c:yVal>
            <c:numRef>
              <c:f>'Rigid boundaries-mint'!$U$82:$U$85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boundaries-mint'!$V$82:$V$85</c:f>
              <c:numCache/>
            </c:numRef>
          </c:xVal>
          <c:yVal>
            <c:numRef>
              <c:f>'Rigid boundaries-mint'!$W$82:$W$85</c:f>
              <c:numCache/>
            </c:numRef>
          </c:yVal>
          <c:smooth val="0"/>
        </c:ser>
        <c:axId val="19404728"/>
        <c:axId val="40424825"/>
      </c:scatterChart>
      <c:valAx>
        <c:axId val="1940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0424825"/>
        <c:crossesAt val="0"/>
        <c:crossBetween val="midCat"/>
        <c:dispUnits/>
        <c:majorUnit val="0.005"/>
      </c:valAx>
      <c:valAx>
        <c:axId val="40424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404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boundaries-mint'!$R$107:$R$110</c:f>
              <c:numCache/>
            </c:numRef>
          </c:xVal>
          <c:yVal>
            <c:numRef>
              <c:f>'Rigid boundaries-mint'!$S$107:$S$110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boundaries-mint'!$T$107:$T$110</c:f>
              <c:numCache/>
            </c:numRef>
          </c:xVal>
          <c:yVal>
            <c:numRef>
              <c:f>'Rigid boundaries-mint'!$U$107:$U$110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boundaries-mint'!$V$107:$V$110</c:f>
              <c:numCache/>
            </c:numRef>
          </c:xVal>
          <c:yVal>
            <c:numRef>
              <c:f>'Rigid boundaries-mint'!$W$107:$W$110</c:f>
              <c:numCache/>
            </c:numRef>
          </c:yVal>
          <c:smooth val="0"/>
        </c:ser>
        <c:axId val="28279106"/>
        <c:axId val="53185363"/>
      </c:scatterChart>
      <c:valAx>
        <c:axId val="2827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3185363"/>
        <c:crossesAt val="0"/>
        <c:crossBetween val="midCat"/>
        <c:dispUnits/>
        <c:majorUnit val="0.005"/>
      </c:valAx>
      <c:valAx>
        <c:axId val="53185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2791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boundaries-mint'!$R$132:$R$135</c:f>
              <c:numCache/>
            </c:numRef>
          </c:xVal>
          <c:yVal>
            <c:numRef>
              <c:f>'Rigid boundaries-mint'!$S$132:$S$135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boundaries-mint'!$T$132:$T$135</c:f>
              <c:numCache/>
            </c:numRef>
          </c:xVal>
          <c:yVal>
            <c:numRef>
              <c:f>'Rigid boundaries-mint'!$U$132:$U$135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boundaries-mint'!$V$132:$V$135</c:f>
              <c:numCache/>
            </c:numRef>
          </c:xVal>
          <c:yVal>
            <c:numRef>
              <c:f>'Rigid boundaries-mint'!$W$132:$W$135</c:f>
              <c:numCache/>
            </c:numRef>
          </c:yVal>
          <c:smooth val="0"/>
        </c:ser>
        <c:axId val="8906220"/>
        <c:axId val="13047117"/>
      </c:scatterChart>
      <c:valAx>
        <c:axId val="890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3047117"/>
        <c:crossesAt val="0"/>
        <c:crossBetween val="midCat"/>
        <c:dispUnits/>
        <c:majorUnit val="0.005"/>
      </c:valAx>
      <c:valAx>
        <c:axId val="1304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9062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boundaries-mint'!$R$7:$R$10</c:f>
              <c:numCache>
                <c:ptCount val="4"/>
                <c:pt idx="0">
                  <c:v>0</c:v>
                </c:pt>
                <c:pt idx="1">
                  <c:v>0.002521700278882043</c:v>
                </c:pt>
                <c:pt idx="2">
                  <c:v>0.010086801115528172</c:v>
                </c:pt>
                <c:pt idx="3">
                  <c:v>0.012608501394410214</c:v>
                </c:pt>
              </c:numCache>
            </c:numRef>
          </c:xVal>
          <c:yVal>
            <c:numRef>
              <c:f>'Rigid boundaries-mint'!$S$7:$S$10</c:f>
              <c:numCache>
                <c:ptCount val="4"/>
                <c:pt idx="0">
                  <c:v>0</c:v>
                </c:pt>
                <c:pt idx="1">
                  <c:v>413.1347381370003</c:v>
                </c:pt>
                <c:pt idx="2">
                  <c:v>1652.5389525480011</c:v>
                </c:pt>
                <c:pt idx="3">
                  <c:v>2075.212333814401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boundaries-mint'!$T$7:$T$10</c:f>
              <c:numCache>
                <c:ptCount val="4"/>
                <c:pt idx="0">
                  <c:v>0</c:v>
                </c:pt>
                <c:pt idx="1">
                  <c:v>0.002521700278882043</c:v>
                </c:pt>
                <c:pt idx="2">
                  <c:v>0.010086801115528172</c:v>
                </c:pt>
                <c:pt idx="3">
                  <c:v>0.012608501394410214</c:v>
                </c:pt>
              </c:numCache>
            </c:numRef>
          </c:xVal>
          <c:yVal>
            <c:numRef>
              <c:f>'Rigid boundaries-mint'!$U$7:$U$10</c:f>
              <c:numCache>
                <c:ptCount val="4"/>
                <c:pt idx="0">
                  <c:v>0</c:v>
                </c:pt>
                <c:pt idx="1">
                  <c:v>10153.699793523001</c:v>
                </c:pt>
                <c:pt idx="2">
                  <c:v>10153.699793523001</c:v>
                </c:pt>
                <c:pt idx="3">
                  <c:v>10153.699793523001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boundaries-mint'!$V$7:$V$10</c:f>
              <c:numCache>
                <c:ptCount val="4"/>
                <c:pt idx="0">
                  <c:v>0</c:v>
                </c:pt>
                <c:pt idx="1">
                  <c:v>0.002521700278882043</c:v>
                </c:pt>
                <c:pt idx="2">
                  <c:v>0.010086801115528172</c:v>
                </c:pt>
                <c:pt idx="3">
                  <c:v>0.012608501394410214</c:v>
                </c:pt>
              </c:numCache>
            </c:numRef>
          </c:xVal>
          <c:yVal>
            <c:numRef>
              <c:f>'Rigid boundaries-mint'!$W$7:$W$10</c:f>
              <c:numCache>
                <c:ptCount val="4"/>
                <c:pt idx="0">
                  <c:v>0</c:v>
                </c:pt>
                <c:pt idx="1">
                  <c:v>10566.83453166</c:v>
                </c:pt>
                <c:pt idx="2">
                  <c:v>11806.238746071002</c:v>
                </c:pt>
                <c:pt idx="3">
                  <c:v>12228.912127337402</c:v>
                </c:pt>
              </c:numCache>
            </c:numRef>
          </c:yVal>
          <c:smooth val="0"/>
        </c:ser>
        <c:axId val="50315190"/>
        <c:axId val="50183527"/>
      </c:scatterChart>
      <c:valAx>
        <c:axId val="5031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0183527"/>
        <c:crossesAt val="0"/>
        <c:crossBetween val="midCat"/>
        <c:dispUnits/>
        <c:majorUnit val="0.005"/>
      </c:valAx>
      <c:valAx>
        <c:axId val="5018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315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W14x233-W30x99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boundaries-mint'!$R$32:$R$35</c:f>
              <c:numCache>
                <c:ptCount val="4"/>
                <c:pt idx="0">
                  <c:v>0</c:v>
                </c:pt>
                <c:pt idx="1">
                  <c:v>0.002889340360608172</c:v>
                </c:pt>
                <c:pt idx="2">
                  <c:v>0.011557361442432688</c:v>
                </c:pt>
                <c:pt idx="3">
                  <c:v>0.01444670180304086</c:v>
                </c:pt>
              </c:numCache>
            </c:numRef>
          </c:xVal>
          <c:yVal>
            <c:numRef>
              <c:f>'Rigid boundaries-mint'!$S$32:$S$35</c:f>
              <c:numCache>
                <c:ptCount val="4"/>
                <c:pt idx="0">
                  <c:v>0</c:v>
                </c:pt>
                <c:pt idx="1">
                  <c:v>2925.7022581380006</c:v>
                </c:pt>
                <c:pt idx="2">
                  <c:v>11702.809032552002</c:v>
                </c:pt>
                <c:pt idx="3">
                  <c:v>13157.992753214112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boundaries-mint'!$T$32:$T$35</c:f>
              <c:numCache>
                <c:ptCount val="4"/>
                <c:pt idx="0">
                  <c:v>0</c:v>
                </c:pt>
                <c:pt idx="1">
                  <c:v>0.002889340360608172</c:v>
                </c:pt>
                <c:pt idx="2">
                  <c:v>0.011557361442432688</c:v>
                </c:pt>
                <c:pt idx="3">
                  <c:v>0.01444670180304086</c:v>
                </c:pt>
              </c:numCache>
            </c:numRef>
          </c:xVal>
          <c:yVal>
            <c:numRef>
              <c:f>'Rigid boundaries-mint'!$U$32:$U$35</c:f>
              <c:numCache>
                <c:ptCount val="4"/>
                <c:pt idx="0">
                  <c:v>0</c:v>
                </c:pt>
                <c:pt idx="1">
                  <c:v>33453.890758414724</c:v>
                </c:pt>
                <c:pt idx="2">
                  <c:v>33453.890758414724</c:v>
                </c:pt>
                <c:pt idx="3">
                  <c:v>33453.890758414724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boundaries-mint'!$V$32:$V$35</c:f>
              <c:numCache>
                <c:ptCount val="4"/>
                <c:pt idx="0">
                  <c:v>0</c:v>
                </c:pt>
                <c:pt idx="1">
                  <c:v>0.002889340360608172</c:v>
                </c:pt>
                <c:pt idx="2">
                  <c:v>0.011557361442432688</c:v>
                </c:pt>
                <c:pt idx="3">
                  <c:v>0.01444670180304086</c:v>
                </c:pt>
              </c:numCache>
            </c:numRef>
          </c:xVal>
          <c:yVal>
            <c:numRef>
              <c:f>'Rigid boundaries-mint'!$W$32:$W$35</c:f>
              <c:numCache>
                <c:ptCount val="4"/>
                <c:pt idx="0">
                  <c:v>0</c:v>
                </c:pt>
                <c:pt idx="1">
                  <c:v>36379.593016552724</c:v>
                </c:pt>
                <c:pt idx="2">
                  <c:v>45156.699790966726</c:v>
                </c:pt>
                <c:pt idx="3">
                  <c:v>46611.88351162884</c:v>
                </c:pt>
              </c:numCache>
            </c:numRef>
          </c:yVal>
          <c:smooth val="0"/>
        </c:ser>
        <c:axId val="48998560"/>
        <c:axId val="38333857"/>
      </c:scatterChart>
      <c:valAx>
        <c:axId val="4899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8333857"/>
        <c:crossesAt val="0"/>
        <c:crossBetween val="midCat"/>
        <c:dispUnits/>
        <c:majorUnit val="0.005"/>
      </c:valAx>
      <c:valAx>
        <c:axId val="38333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9985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Sheet1!$R$7:$R$10</c:f>
              <c:numCache/>
            </c:numRef>
          </c:xVal>
          <c:yVal>
            <c:numRef>
              <c:f>Sheet1!$S$7:$S$10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Sheet1!$T$7:$T$10</c:f>
              <c:numCache/>
            </c:numRef>
          </c:xVal>
          <c:yVal>
            <c:numRef>
              <c:f>Sheet1!$U$7:$U$10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Sheet1!$V$7:$V$10</c:f>
              <c:numCache/>
            </c:numRef>
          </c:xVal>
          <c:yVal>
            <c:numRef>
              <c:f>Sheet1!$W$7:$W$10</c:f>
              <c:numCache/>
            </c:numRef>
          </c:yVal>
          <c:smooth val="0"/>
        </c:ser>
        <c:axId val="9460394"/>
        <c:axId val="18034683"/>
      </c:scatterChart>
      <c:valAx>
        <c:axId val="9460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8034683"/>
        <c:crossesAt val="0"/>
        <c:crossBetween val="midCat"/>
        <c:dispUnits/>
        <c:majorUnit val="0.005"/>
      </c:valAx>
      <c:valAx>
        <c:axId val="18034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460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W14x233-W30x99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Sheet1!$R$32:$R$35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Sheet1!$S$32:$S$35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Sheet1!$T$32:$T$35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Sheet1!$U$32:$U$35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Sheet1!$V$32:$V$35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Sheet1!$W$32:$W$35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8094420"/>
        <c:axId val="51523189"/>
      </c:scatterChart>
      <c:valAx>
        <c:axId val="28094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1523189"/>
        <c:crossesAt val="0"/>
        <c:crossBetween val="midCat"/>
        <c:dispUnits/>
        <c:majorUnit val="0.005"/>
      </c:valAx>
      <c:valAx>
        <c:axId val="51523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094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Sheet1!$R$57:$R$60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Sheet1!$S$57:$S$60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Sheet1!$T$57:$T$60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Sheet1!$U$57:$U$60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Sheet1!$V$57:$V$60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Sheet1!$W$57:$W$60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1055518"/>
        <c:axId val="12628751"/>
      </c:scatterChart>
      <c:valAx>
        <c:axId val="6105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2628751"/>
        <c:crossesAt val="0"/>
        <c:crossBetween val="midCat"/>
        <c:dispUnits/>
        <c:majorUnit val="0.005"/>
      </c:valAx>
      <c:valAx>
        <c:axId val="12628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0555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W14x398-W36x150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Sheet1!$R$82:$R$85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Sheet1!$S$82:$S$85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Sheet1!$T$82:$T$85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Sheet1!$U$82:$U$85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Sheet1!$V$82:$V$85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Sheet1!$W$82:$W$85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6549896"/>
        <c:axId val="16295881"/>
      </c:scatterChart>
      <c:valAx>
        <c:axId val="4654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295881"/>
        <c:crossesAt val="0"/>
        <c:crossBetween val="midCat"/>
        <c:dispUnits/>
        <c:majorUnit val="0.005"/>
      </c:valAx>
      <c:valAx>
        <c:axId val="16295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549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Sheet1!$R$107:$R$110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Sheet1!$S$107:$S$110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Sheet1!$T$107:$T$110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Sheet1!$U$107:$U$110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Sheet1!$V$107:$V$110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Sheet1!$W$107:$W$110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2445202"/>
        <c:axId val="44897955"/>
      </c:scatterChart>
      <c:valAx>
        <c:axId val="12445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4897955"/>
        <c:crossesAt val="0"/>
        <c:crossBetween val="midCat"/>
        <c:dispUnits/>
        <c:majorUnit val="0.005"/>
      </c:valAx>
      <c:valAx>
        <c:axId val="4489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4452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HSS450X450X22-W200X530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boundaries-mext'!$R$32:$R$35</c:f>
              <c:numCache/>
            </c:numRef>
          </c:xVal>
          <c:yVal>
            <c:numRef>
              <c:f>'Rigid boundaries-mext'!$S$32:$S$35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boundaries-mext'!$T$32:$T$35</c:f>
              <c:numCache/>
            </c:numRef>
          </c:xVal>
          <c:yVal>
            <c:numRef>
              <c:f>'Rigid boundaries-mext'!$U$32:$U$35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boundaries-mext'!$V$32:$V$35</c:f>
              <c:numCache/>
            </c:numRef>
          </c:xVal>
          <c:yVal>
            <c:numRef>
              <c:f>'Rigid boundaries-mext'!$W$32:$W$35</c:f>
              <c:numCache/>
            </c:numRef>
          </c:yVal>
          <c:smooth val="0"/>
        </c:ser>
        <c:axId val="50080744"/>
        <c:axId val="48073513"/>
      </c:scatterChart>
      <c:valAx>
        <c:axId val="5008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8073513"/>
        <c:crossesAt val="0"/>
        <c:crossBetween val="midCat"/>
        <c:dispUnits/>
        <c:majorUnit val="0.005"/>
      </c:valAx>
      <c:valAx>
        <c:axId val="48073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0807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Sheet1!$R$132:$R$135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Sheet1!$S$132:$S$135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Sheet1!$T$132:$T$135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Sheet1!$U$132:$U$135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Sheet1!$V$132:$V$135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Sheet1!$W$132:$W$135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428412"/>
        <c:axId val="12855709"/>
      </c:scatterChart>
      <c:valAx>
        <c:axId val="1428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2855709"/>
        <c:crossesAt val="0"/>
        <c:crossBetween val="midCat"/>
        <c:dispUnits/>
        <c:majorUnit val="0.005"/>
      </c:valAx>
      <c:valAx>
        <c:axId val="1285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284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Sheet1!$R$132:$R$135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Sheet1!$S$132:$S$135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Sheet1!$T$132:$T$135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Sheet1!$U$132:$U$135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Sheet1!$V$132:$V$135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Sheet1!$W$132:$W$135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8592518"/>
        <c:axId val="34679479"/>
      </c:scatterChart>
      <c:valAx>
        <c:axId val="4859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4679479"/>
        <c:crossesAt val="0"/>
        <c:crossBetween val="midCat"/>
        <c:dispUnits/>
        <c:majorUnit val="0.005"/>
      </c:valAx>
      <c:valAx>
        <c:axId val="34679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5925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boundaries'!$R$7:$R$10</c:f>
              <c:numCache/>
            </c:numRef>
          </c:xVal>
          <c:yVal>
            <c:numRef>
              <c:f>'Rigid boundaries'!$S$7:$S$10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boundaries'!$T$7:$T$10</c:f>
              <c:numCache/>
            </c:numRef>
          </c:xVal>
          <c:yVal>
            <c:numRef>
              <c:f>'Rigid boundaries'!$U$7:$U$10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boundaries'!$V$7:$V$10</c:f>
              <c:numCache/>
            </c:numRef>
          </c:xVal>
          <c:yVal>
            <c:numRef>
              <c:f>'Rigid boundaries'!$W$7:$W$10</c:f>
              <c:numCache/>
            </c:numRef>
          </c:yVal>
          <c:smooth val="0"/>
        </c:ser>
        <c:axId val="43679856"/>
        <c:axId val="57574385"/>
      </c:scatterChart>
      <c:valAx>
        <c:axId val="4367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7574385"/>
        <c:crossesAt val="0"/>
        <c:crossBetween val="midCat"/>
        <c:dispUnits/>
        <c:majorUnit val="0.005"/>
      </c:valAx>
      <c:valAx>
        <c:axId val="57574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679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boundaries'!$R$7:$R$10</c:f>
              <c:numCache/>
            </c:numRef>
          </c:xVal>
          <c:yVal>
            <c:numRef>
              <c:f>'Rigid boundaries'!$S$7:$S$10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boundaries'!$T$7:$T$10</c:f>
              <c:numCache/>
            </c:numRef>
          </c:xVal>
          <c:yVal>
            <c:numRef>
              <c:f>'Rigid boundaries'!$U$7:$U$10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boundaries'!$V$7:$V$10</c:f>
              <c:numCache/>
            </c:numRef>
          </c:xVal>
          <c:yVal>
            <c:numRef>
              <c:f>'Rigid boundaries'!$W$7:$W$10</c:f>
              <c:numCache/>
            </c:numRef>
          </c:yVal>
          <c:smooth val="0"/>
        </c:ser>
        <c:axId val="48407418"/>
        <c:axId val="33013579"/>
      </c:scatterChart>
      <c:valAx>
        <c:axId val="4840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3013579"/>
        <c:crossesAt val="0"/>
        <c:crossBetween val="midCat"/>
        <c:dispUnits/>
        <c:majorUnit val="0.005"/>
      </c:valAx>
      <c:valAx>
        <c:axId val="330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407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HSS500X500X25-W200X540B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boundaries-mext'!$R$57:$R$60</c:f>
              <c:numCache/>
            </c:numRef>
          </c:xVal>
          <c:yVal>
            <c:numRef>
              <c:f>'Rigid boundaries-mext'!$S$57:$S$60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boundaries-mext'!$T$57:$T$60</c:f>
              <c:numCache/>
            </c:numRef>
          </c:xVal>
          <c:yVal>
            <c:numRef>
              <c:f>'Rigid boundaries-mext'!$U$57:$U$60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boundaries-mext'!$V$57:$V$60</c:f>
              <c:numCache/>
            </c:numRef>
          </c:xVal>
          <c:yVal>
            <c:numRef>
              <c:f>'Rigid boundaries-mext'!$W$57:$W$60</c:f>
              <c:numCache/>
            </c:numRef>
          </c:yVal>
          <c:smooth val="0"/>
        </c:ser>
        <c:axId val="30008434"/>
        <c:axId val="1640451"/>
      </c:scatterChart>
      <c:valAx>
        <c:axId val="3000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40451"/>
        <c:crossesAt val="0"/>
        <c:crossBetween val="midCat"/>
        <c:dispUnits/>
        <c:majorUnit val="0.005"/>
      </c:valAx>
      <c:valAx>
        <c:axId val="164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008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HSS500X500X25-W200X540B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boundaries-mext'!$R$82:$R$85</c:f>
              <c:numCache/>
            </c:numRef>
          </c:xVal>
          <c:yVal>
            <c:numRef>
              <c:f>'Rigid boundaries-mext'!$S$82:$S$85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boundaries-mext'!$T$82:$T$85</c:f>
              <c:numCache/>
            </c:numRef>
          </c:xVal>
          <c:yVal>
            <c:numRef>
              <c:f>'Rigid boundaries-mext'!$U$82:$U$85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boundaries-mext'!$V$82:$V$85</c:f>
              <c:numCache/>
            </c:numRef>
          </c:xVal>
          <c:yVal>
            <c:numRef>
              <c:f>'Rigid boundaries-mext'!$W$82:$W$85</c:f>
              <c:numCache/>
            </c:numRef>
          </c:yVal>
          <c:smooth val="0"/>
        </c:ser>
        <c:axId val="14764060"/>
        <c:axId val="65767677"/>
      </c:scatterChart>
      <c:valAx>
        <c:axId val="14764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5767677"/>
        <c:crossesAt val="0"/>
        <c:crossBetween val="midCat"/>
        <c:dispUnits/>
        <c:majorUnit val="0.005"/>
      </c:valAx>
      <c:valAx>
        <c:axId val="65767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7640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HSS500X500X30-W200X540A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boundaries-mext'!$R$107:$R$110</c:f>
              <c:numCache/>
            </c:numRef>
          </c:xVal>
          <c:yVal>
            <c:numRef>
              <c:f>'Rigid boundaries-mext'!$S$107:$S$110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boundaries-mext'!$T$107:$T$110</c:f>
              <c:numCache/>
            </c:numRef>
          </c:xVal>
          <c:yVal>
            <c:numRef>
              <c:f>'Rigid boundaries-mext'!$U$107:$U$110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boundaries-mext'!$V$107:$V$110</c:f>
              <c:numCache/>
            </c:numRef>
          </c:xVal>
          <c:yVal>
            <c:numRef>
              <c:f>'Rigid boundaries-mext'!$W$107:$W$110</c:f>
              <c:numCache/>
            </c:numRef>
          </c:yVal>
          <c:smooth val="0"/>
        </c:ser>
        <c:axId val="55038182"/>
        <c:axId val="25581591"/>
      </c:scatterChart>
      <c:valAx>
        <c:axId val="5503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5581591"/>
        <c:crossesAt val="0"/>
        <c:crossBetween val="midCat"/>
        <c:dispUnits/>
        <c:majorUnit val="0.005"/>
      </c:valAx>
      <c:valAx>
        <c:axId val="2558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038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HSS500X500X30-W200X540A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boundaries-mext'!$R$132:$R$135</c:f>
              <c:numCache/>
            </c:numRef>
          </c:xVal>
          <c:yVal>
            <c:numRef>
              <c:f>'Rigid boundaries-mext'!$S$132:$S$135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boundaries-mext'!$T$132:$T$135</c:f>
              <c:numCache/>
            </c:numRef>
          </c:xVal>
          <c:yVal>
            <c:numRef>
              <c:f>'Rigid boundaries-mext'!$U$132:$U$135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boundaries-mext'!$V$132:$V$135</c:f>
              <c:numCache/>
            </c:numRef>
          </c:xVal>
          <c:yVal>
            <c:numRef>
              <c:f>'Rigid boundaries-mext'!$W$132:$W$135</c:f>
              <c:numCache/>
            </c:numRef>
          </c:yVal>
          <c:smooth val="0"/>
        </c:ser>
        <c:axId val="28907728"/>
        <c:axId val="58842961"/>
      </c:scatterChart>
      <c:valAx>
        <c:axId val="289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8842961"/>
        <c:crossesAt val="0"/>
        <c:crossBetween val="midCat"/>
        <c:dispUnits/>
        <c:majorUnit val="0.005"/>
      </c:valAx>
      <c:valAx>
        <c:axId val="588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07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W14x311-W24x76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boundaries-mint'!$S$7:$S$10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boundaries-mint'!$U$7:$U$10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boundaries-mint'!$W$7:$W$10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9824602"/>
        <c:axId val="1550507"/>
      </c:scatterChart>
      <c:valAx>
        <c:axId val="5982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550507"/>
        <c:crossesAt val="0"/>
        <c:crossBetween val="midCat"/>
        <c:dispUnits/>
        <c:majorUnit val="0.005"/>
      </c:valAx>
      <c:valAx>
        <c:axId val="1550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246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boundaries-mint'!$R$32:$R$35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boundaries-mint'!$S$32:$S$35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boundaries-mint'!$T$32:$T$35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boundaries-mint'!$U$32:$U$35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boundaries-mint'!$V$32:$V$35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boundaries-mint'!$W$32:$W$35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3954564"/>
        <c:axId val="58482213"/>
      </c:scatterChart>
      <c:valAx>
        <c:axId val="13954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8482213"/>
        <c:crossesAt val="0"/>
        <c:crossBetween val="midCat"/>
        <c:dispUnits/>
        <c:majorUnit val="0.005"/>
      </c:valAx>
      <c:valAx>
        <c:axId val="58482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954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boundaries-mint'!$R$57:$R$60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boundaries-mint'!$S$57:$S$60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boundaries-mint'!$T$57:$T$60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boundaries-mint'!$U$57:$U$60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boundaries-mint'!$V$57:$V$60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boundaries-mint'!$W$57:$W$60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6577870"/>
        <c:axId val="39438783"/>
      </c:scatterChart>
      <c:valAx>
        <c:axId val="5657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9438783"/>
        <c:crossesAt val="0"/>
        <c:crossBetween val="midCat"/>
        <c:dispUnits/>
        <c:majorUnit val="0.005"/>
      </c:valAx>
      <c:valAx>
        <c:axId val="39438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5778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14362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14362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63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6143625" y="10934700"/>
        <a:ext cx="30765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88</xdr:row>
      <xdr:rowOff>0</xdr:rowOff>
    </xdr:from>
    <xdr:to>
      <xdr:col>15</xdr:col>
      <xdr:colOff>19050</xdr:colOff>
      <xdr:row>101</xdr:row>
      <xdr:rowOff>0</xdr:rowOff>
    </xdr:to>
    <xdr:graphicFrame>
      <xdr:nvGraphicFramePr>
        <xdr:cNvPr id="4" name="Chart 4"/>
        <xdr:cNvGraphicFramePr/>
      </xdr:nvGraphicFramePr>
      <xdr:xfrm>
        <a:off x="6143625" y="15278100"/>
        <a:ext cx="30765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113</xdr:row>
      <xdr:rowOff>0</xdr:rowOff>
    </xdr:from>
    <xdr:to>
      <xdr:col>15</xdr:col>
      <xdr:colOff>19050</xdr:colOff>
      <xdr:row>126</xdr:row>
      <xdr:rowOff>0</xdr:rowOff>
    </xdr:to>
    <xdr:graphicFrame>
      <xdr:nvGraphicFramePr>
        <xdr:cNvPr id="5" name="Chart 5"/>
        <xdr:cNvGraphicFramePr/>
      </xdr:nvGraphicFramePr>
      <xdr:xfrm>
        <a:off x="6143625" y="19621500"/>
        <a:ext cx="3076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138</xdr:row>
      <xdr:rowOff>0</xdr:rowOff>
    </xdr:from>
    <xdr:to>
      <xdr:col>15</xdr:col>
      <xdr:colOff>19050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143625" y="23964900"/>
        <a:ext cx="30765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8647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08647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63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6086475" y="10934700"/>
        <a:ext cx="30765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88</xdr:row>
      <xdr:rowOff>0</xdr:rowOff>
    </xdr:from>
    <xdr:to>
      <xdr:col>15</xdr:col>
      <xdr:colOff>19050</xdr:colOff>
      <xdr:row>101</xdr:row>
      <xdr:rowOff>0</xdr:rowOff>
    </xdr:to>
    <xdr:graphicFrame>
      <xdr:nvGraphicFramePr>
        <xdr:cNvPr id="4" name="Chart 4"/>
        <xdr:cNvGraphicFramePr/>
      </xdr:nvGraphicFramePr>
      <xdr:xfrm>
        <a:off x="6086475" y="15278100"/>
        <a:ext cx="30765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113</xdr:row>
      <xdr:rowOff>0</xdr:rowOff>
    </xdr:from>
    <xdr:to>
      <xdr:col>15</xdr:col>
      <xdr:colOff>19050</xdr:colOff>
      <xdr:row>126</xdr:row>
      <xdr:rowOff>0</xdr:rowOff>
    </xdr:to>
    <xdr:graphicFrame>
      <xdr:nvGraphicFramePr>
        <xdr:cNvPr id="5" name="Chart 5"/>
        <xdr:cNvGraphicFramePr/>
      </xdr:nvGraphicFramePr>
      <xdr:xfrm>
        <a:off x="6086475" y="19621500"/>
        <a:ext cx="3076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138</xdr:row>
      <xdr:rowOff>0</xdr:rowOff>
    </xdr:from>
    <xdr:to>
      <xdr:col>15</xdr:col>
      <xdr:colOff>19050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086475" y="23964900"/>
        <a:ext cx="30765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600075</xdr:colOff>
      <xdr:row>13</xdr:row>
      <xdr:rowOff>0</xdr:rowOff>
    </xdr:from>
    <xdr:to>
      <xdr:col>41</xdr:col>
      <xdr:colOff>19050</xdr:colOff>
      <xdr:row>26</xdr:row>
      <xdr:rowOff>0</xdr:rowOff>
    </xdr:to>
    <xdr:graphicFrame>
      <xdr:nvGraphicFramePr>
        <xdr:cNvPr id="7" name="Chart 7"/>
        <xdr:cNvGraphicFramePr/>
      </xdr:nvGraphicFramePr>
      <xdr:xfrm>
        <a:off x="21964650" y="2247900"/>
        <a:ext cx="3076575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600075</xdr:colOff>
      <xdr:row>38</xdr:row>
      <xdr:rowOff>0</xdr:rowOff>
    </xdr:from>
    <xdr:to>
      <xdr:col>41</xdr:col>
      <xdr:colOff>19050</xdr:colOff>
      <xdr:row>51</xdr:row>
      <xdr:rowOff>0</xdr:rowOff>
    </xdr:to>
    <xdr:graphicFrame>
      <xdr:nvGraphicFramePr>
        <xdr:cNvPr id="8" name="Chart 8"/>
        <xdr:cNvGraphicFramePr/>
      </xdr:nvGraphicFramePr>
      <xdr:xfrm>
        <a:off x="21964650" y="6591300"/>
        <a:ext cx="3076575" cy="2257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8647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08647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63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6086475" y="10934700"/>
        <a:ext cx="30765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88</xdr:row>
      <xdr:rowOff>0</xdr:rowOff>
    </xdr:from>
    <xdr:to>
      <xdr:col>15</xdr:col>
      <xdr:colOff>19050</xdr:colOff>
      <xdr:row>101</xdr:row>
      <xdr:rowOff>0</xdr:rowOff>
    </xdr:to>
    <xdr:graphicFrame>
      <xdr:nvGraphicFramePr>
        <xdr:cNvPr id="4" name="Chart 4"/>
        <xdr:cNvGraphicFramePr/>
      </xdr:nvGraphicFramePr>
      <xdr:xfrm>
        <a:off x="6086475" y="15278100"/>
        <a:ext cx="30765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113</xdr:row>
      <xdr:rowOff>0</xdr:rowOff>
    </xdr:from>
    <xdr:to>
      <xdr:col>15</xdr:col>
      <xdr:colOff>19050</xdr:colOff>
      <xdr:row>126</xdr:row>
      <xdr:rowOff>0</xdr:rowOff>
    </xdr:to>
    <xdr:graphicFrame>
      <xdr:nvGraphicFramePr>
        <xdr:cNvPr id="5" name="Chart 5"/>
        <xdr:cNvGraphicFramePr/>
      </xdr:nvGraphicFramePr>
      <xdr:xfrm>
        <a:off x="6086475" y="19621500"/>
        <a:ext cx="3076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138</xdr:row>
      <xdr:rowOff>0</xdr:rowOff>
    </xdr:from>
    <xdr:to>
      <xdr:col>15</xdr:col>
      <xdr:colOff>19050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086475" y="23964900"/>
        <a:ext cx="30765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163</xdr:row>
      <xdr:rowOff>0</xdr:rowOff>
    </xdr:from>
    <xdr:to>
      <xdr:col>15</xdr:col>
      <xdr:colOff>19050</xdr:colOff>
      <xdr:row>176</xdr:row>
      <xdr:rowOff>0</xdr:rowOff>
    </xdr:to>
    <xdr:graphicFrame>
      <xdr:nvGraphicFramePr>
        <xdr:cNvPr id="7" name="Chart 9"/>
        <xdr:cNvGraphicFramePr/>
      </xdr:nvGraphicFramePr>
      <xdr:xfrm>
        <a:off x="6086475" y="28308300"/>
        <a:ext cx="3076575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8647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8"/>
        <xdr:cNvGraphicFramePr/>
      </xdr:nvGraphicFramePr>
      <xdr:xfrm>
        <a:off x="608647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0"/>
  <sheetViews>
    <sheetView tabSelected="1" workbookViewId="0" topLeftCell="B100">
      <selection activeCell="H110" sqref="H110"/>
    </sheetView>
  </sheetViews>
  <sheetFormatPr defaultColWidth="11.421875" defaultRowHeight="12.75"/>
  <cols>
    <col min="1" max="7" width="9.140625" style="0" customWidth="1"/>
    <col min="8" max="8" width="10.00390625" style="0" customWidth="1"/>
    <col min="9" max="21" width="9.140625" style="0" customWidth="1"/>
    <col min="22" max="22" width="9.57421875" style="0" bestFit="1" customWidth="1"/>
    <col min="23" max="16384" width="9.140625" style="0" customWidth="1"/>
  </cols>
  <sheetData>
    <row r="1" spans="1:8" ht="12.75">
      <c r="A1" s="2" t="s">
        <v>83</v>
      </c>
      <c r="H1" s="33">
        <v>39208</v>
      </c>
    </row>
    <row r="2" spans="3:29" ht="12.75">
      <c r="C2" s="2" t="s">
        <v>42</v>
      </c>
      <c r="G2" s="1"/>
      <c r="AC2" s="10"/>
    </row>
    <row r="3" spans="3:29" ht="12.75">
      <c r="C3" s="2" t="s">
        <v>76</v>
      </c>
      <c r="L3" s="2" t="s">
        <v>63</v>
      </c>
      <c r="AC3" s="10"/>
    </row>
    <row r="4" spans="2:29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C4" s="10"/>
    </row>
    <row r="5" spans="2:2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C5" s="10"/>
    </row>
    <row r="6" spans="2:29" ht="12.75">
      <c r="B6" s="8"/>
      <c r="C6" s="8"/>
      <c r="D6" s="8"/>
      <c r="F6" s="8"/>
      <c r="G6" s="8"/>
      <c r="H6" s="8"/>
      <c r="AC6" s="10"/>
    </row>
    <row r="7" spans="2:2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+G24</f>
        <v>162350.17090892082</v>
      </c>
      <c r="L7" t="s">
        <v>37</v>
      </c>
      <c r="M7" s="19" t="s">
        <v>52</v>
      </c>
      <c r="N7" s="1">
        <f>+G22-K7</f>
        <v>3238661.3145348704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C7" s="10"/>
    </row>
    <row r="8" spans="2:29" ht="14.25">
      <c r="B8" s="16" t="s">
        <v>12</v>
      </c>
      <c r="C8" s="36" t="s">
        <v>91</v>
      </c>
      <c r="D8" s="36"/>
      <c r="F8" s="17" t="s">
        <v>12</v>
      </c>
      <c r="G8" s="36" t="s">
        <v>84</v>
      </c>
      <c r="H8" s="36"/>
      <c r="J8" s="19" t="s">
        <v>50</v>
      </c>
      <c r="K8" s="1">
        <f>+G15*G22</f>
        <v>136040.45941775167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0.002521700278882043</v>
      </c>
      <c r="S8" s="1">
        <f>+K10/4</f>
        <v>409.39847125757296</v>
      </c>
      <c r="T8" s="1">
        <f>+G21</f>
        <v>0.002521700278882043</v>
      </c>
      <c r="U8" s="1">
        <f>+N10</f>
        <v>8166.933140067066</v>
      </c>
      <c r="V8" s="1">
        <f>+G21</f>
        <v>0.002521700278882043</v>
      </c>
      <c r="W8" s="1">
        <f>+K12</f>
        <v>8576.33161132464</v>
      </c>
      <c r="AC8" s="10"/>
    </row>
    <row r="9" spans="2:29" ht="14.25">
      <c r="B9" s="14" t="s">
        <v>13</v>
      </c>
      <c r="C9" s="34">
        <f>53/2.54</f>
        <v>20.866141732283463</v>
      </c>
      <c r="D9" s="8" t="s">
        <v>1</v>
      </c>
      <c r="F9" s="7" t="s">
        <v>14</v>
      </c>
      <c r="G9" s="34">
        <f>45/2.54</f>
        <v>17.716535433070867</v>
      </c>
      <c r="H9" s="6" t="s">
        <v>1</v>
      </c>
      <c r="J9" s="19" t="s">
        <v>62</v>
      </c>
      <c r="K9" s="26">
        <f>+K8/K7</f>
        <v>0.8379446640316196</v>
      </c>
      <c r="M9" s="19" t="s">
        <v>71</v>
      </c>
      <c r="N9" s="27">
        <f>+N8/N7</f>
        <v>0</v>
      </c>
      <c r="R9" s="1">
        <f>+G25</f>
        <v>0.010086801115528172</v>
      </c>
      <c r="S9" s="1">
        <f>+K10</f>
        <v>1637.5938850302919</v>
      </c>
      <c r="T9" s="1">
        <f>+G25</f>
        <v>0.010086801115528172</v>
      </c>
      <c r="U9" s="1">
        <f>+N10</f>
        <v>8166.933140067066</v>
      </c>
      <c r="V9" s="1">
        <f>+G25</f>
        <v>0.010086801115528172</v>
      </c>
      <c r="W9" s="1">
        <f>+N12</f>
        <v>9804.527025097359</v>
      </c>
      <c r="AC9" s="10"/>
    </row>
    <row r="10" spans="2:29" ht="15">
      <c r="B10" s="14" t="s">
        <v>18</v>
      </c>
      <c r="C10" s="8">
        <v>360</v>
      </c>
      <c r="D10" s="8" t="s">
        <v>1</v>
      </c>
      <c r="F10" s="7" t="s">
        <v>46</v>
      </c>
      <c r="G10" s="34">
        <f>45/2.54</f>
        <v>17.716535433070867</v>
      </c>
      <c r="H10" s="6" t="s">
        <v>15</v>
      </c>
      <c r="J10" s="19" t="s">
        <v>51</v>
      </c>
      <c r="K10" s="1">
        <f>+K7*G25</f>
        <v>1637.5938850302919</v>
      </c>
      <c r="L10" t="s">
        <v>4</v>
      </c>
      <c r="M10" s="19" t="s">
        <v>54</v>
      </c>
      <c r="N10" s="1">
        <f>+N7*G21</f>
        <v>8166.933140067066</v>
      </c>
      <c r="O10" t="s">
        <v>4</v>
      </c>
      <c r="R10" s="1">
        <f>+(G25+G21)</f>
        <v>0.012608501394410214</v>
      </c>
      <c r="S10" s="1">
        <f>+K11</f>
        <v>1980.6471494832774</v>
      </c>
      <c r="T10" s="1">
        <f>+R10</f>
        <v>0.012608501394410214</v>
      </c>
      <c r="U10" s="1">
        <f>+N10</f>
        <v>8166.933140067066</v>
      </c>
      <c r="V10" s="1">
        <f>+G21+G25</f>
        <v>0.012608501394410214</v>
      </c>
      <c r="W10" s="1">
        <f>+K13</f>
        <v>10147.580289550344</v>
      </c>
      <c r="AC10" s="10"/>
    </row>
    <row r="11" spans="2:29" ht="14.25">
      <c r="B11" s="14"/>
      <c r="C11" s="8"/>
      <c r="D11" s="8"/>
      <c r="F11" s="7" t="s">
        <v>16</v>
      </c>
      <c r="G11" s="34">
        <f>2.2/2.54</f>
        <v>0.8661417322834646</v>
      </c>
      <c r="H11" s="6" t="s">
        <v>1</v>
      </c>
      <c r="J11" s="19" t="s">
        <v>57</v>
      </c>
      <c r="K11" s="1">
        <f>+K10+G21*K8</f>
        <v>1980.6471494832774</v>
      </c>
      <c r="L11" t="s">
        <v>4</v>
      </c>
      <c r="M11" s="19"/>
      <c r="N11" s="1"/>
      <c r="AC11" s="21"/>
    </row>
    <row r="12" spans="2:15" ht="14.25">
      <c r="B12" s="15" t="s">
        <v>19</v>
      </c>
      <c r="C12" s="6"/>
      <c r="D12" s="6"/>
      <c r="F12" s="7" t="s">
        <v>17</v>
      </c>
      <c r="G12" s="34">
        <f>2.2/2.54</f>
        <v>0.8661417322834646</v>
      </c>
      <c r="H12" s="6" t="s">
        <v>1</v>
      </c>
      <c r="J12" s="19" t="s">
        <v>34</v>
      </c>
      <c r="K12" s="1">
        <f>+(K10)/4+N10</f>
        <v>8576.33161132464</v>
      </c>
      <c r="L12" t="s">
        <v>4</v>
      </c>
      <c r="M12" s="19" t="s">
        <v>58</v>
      </c>
      <c r="N12" s="1">
        <f>+N10+K10</f>
        <v>9804.527025097359</v>
      </c>
      <c r="O12" t="s">
        <v>4</v>
      </c>
    </row>
    <row r="13" spans="2:12" ht="14.25">
      <c r="B13" s="17"/>
      <c r="C13" s="8"/>
      <c r="D13" s="6"/>
      <c r="F13" s="7" t="s">
        <v>3</v>
      </c>
      <c r="G13" s="8">
        <v>156</v>
      </c>
      <c r="H13" s="6" t="s">
        <v>1</v>
      </c>
      <c r="J13" s="19" t="s">
        <v>38</v>
      </c>
      <c r="K13">
        <f>+N10+K11</f>
        <v>10147.580289550344</v>
      </c>
      <c r="L13" t="s">
        <v>4</v>
      </c>
    </row>
    <row r="14" spans="2:8" ht="14.25">
      <c r="B14" s="7" t="s">
        <v>20</v>
      </c>
      <c r="C14" s="8">
        <v>0</v>
      </c>
      <c r="D14" s="6" t="s">
        <v>1</v>
      </c>
      <c r="F14" s="7" t="s">
        <v>23</v>
      </c>
      <c r="G14" s="8">
        <v>48.7</v>
      </c>
      <c r="H14" s="6" t="s">
        <v>2</v>
      </c>
    </row>
    <row r="15" spans="2:8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</row>
    <row r="17" spans="2:6" ht="12.75">
      <c r="B17" s="2" t="s">
        <v>21</v>
      </c>
      <c r="F17" s="2" t="s">
        <v>27</v>
      </c>
    </row>
    <row r="19" spans="6:7" ht="12.75">
      <c r="F19" s="19"/>
      <c r="G19" s="1"/>
    </row>
    <row r="20" spans="2:8" ht="14.25">
      <c r="B20" s="19" t="s">
        <v>22</v>
      </c>
      <c r="C20" s="3">
        <f>0.55*G14*(G9*G11+((G9-G12)*C14/(0.55*(3)^0.5)))</f>
        <v>411.01664703329413</v>
      </c>
      <c r="D20" t="s">
        <v>0</v>
      </c>
      <c r="F20" s="19" t="s">
        <v>34</v>
      </c>
      <c r="G20" s="1">
        <f>+C20*C9</f>
        <v>8576.33161132464</v>
      </c>
      <c r="H20" t="s">
        <v>4</v>
      </c>
    </row>
    <row r="21" spans="2:8" ht="14.25">
      <c r="B21" s="18" t="s">
        <v>24</v>
      </c>
      <c r="C21" s="1">
        <f>+G14/(C15*3^0.5)</f>
        <v>0.002521700278882043</v>
      </c>
      <c r="D21" t="s">
        <v>36</v>
      </c>
      <c r="F21" s="18" t="s">
        <v>35</v>
      </c>
      <c r="G21" s="1">
        <f>+C21</f>
        <v>0.002521700278882043</v>
      </c>
      <c r="H21" t="s">
        <v>36</v>
      </c>
    </row>
    <row r="22" spans="2:8" ht="14.25">
      <c r="B22" s="19" t="s">
        <v>30</v>
      </c>
      <c r="C22" s="1">
        <f>+C20/C21</f>
        <v>162991.87118919304</v>
      </c>
      <c r="D22" t="s">
        <v>31</v>
      </c>
      <c r="F22" s="19" t="s">
        <v>39</v>
      </c>
      <c r="G22" s="1">
        <f>+G20/G21</f>
        <v>3401011.4854437914</v>
      </c>
      <c r="H22" t="s">
        <v>37</v>
      </c>
    </row>
    <row r="23" spans="2:8" ht="14.25">
      <c r="B23" s="19" t="s">
        <v>28</v>
      </c>
      <c r="C23" s="1">
        <f>+C20+0.55*G14*G9*G11*(3.45*G10*G12^2/(C9*G9*G11))</f>
        <v>469.8773329008923</v>
      </c>
      <c r="D23" t="s">
        <v>0</v>
      </c>
      <c r="F23" s="19" t="s">
        <v>38</v>
      </c>
      <c r="G23" s="1">
        <f>+C23*C9</f>
        <v>9804.527025097359</v>
      </c>
      <c r="H23" t="s">
        <v>4</v>
      </c>
    </row>
    <row r="24" spans="2:8" ht="14.25">
      <c r="B24" s="19" t="s">
        <v>29</v>
      </c>
      <c r="C24" s="1">
        <f>4*C21</f>
        <v>0.010086801115528172</v>
      </c>
      <c r="D24" t="s">
        <v>36</v>
      </c>
      <c r="F24" s="19" t="s">
        <v>40</v>
      </c>
      <c r="G24" s="1">
        <f>+(G23-G20)/(3*C21)</f>
        <v>162350.17090892082</v>
      </c>
      <c r="H24" t="s">
        <v>37</v>
      </c>
    </row>
    <row r="25" spans="2:8" ht="14.25">
      <c r="B25" s="19" t="s">
        <v>32</v>
      </c>
      <c r="C25" s="1">
        <f>+(C23-C20)/(C24-C21)</f>
        <v>7780.5553605407285</v>
      </c>
      <c r="D25" t="s">
        <v>31</v>
      </c>
      <c r="F25" s="18" t="s">
        <v>41</v>
      </c>
      <c r="G25" s="1">
        <f>4*G21</f>
        <v>0.010086801115528172</v>
      </c>
      <c r="H25" t="s">
        <v>36</v>
      </c>
    </row>
    <row r="26" spans="2:3" ht="14.25">
      <c r="B26" s="19" t="s">
        <v>33</v>
      </c>
      <c r="C26" s="1">
        <f>+C25/C22</f>
        <v>0.047735849056603795</v>
      </c>
    </row>
    <row r="27" spans="2:8" ht="12.75">
      <c r="B27" s="22"/>
      <c r="C27" s="11"/>
      <c r="D27" s="11"/>
      <c r="E27" s="10"/>
      <c r="F27" s="9"/>
      <c r="G27" s="10"/>
      <c r="H27" s="11"/>
    </row>
    <row r="28" spans="2:12" ht="12.75">
      <c r="B28" s="11"/>
      <c r="C28" s="11"/>
      <c r="D28" s="11"/>
      <c r="E28" s="10"/>
      <c r="F28" s="10"/>
      <c r="G28" s="10"/>
      <c r="H28" s="10"/>
      <c r="L28" s="2" t="s">
        <v>64</v>
      </c>
    </row>
    <row r="29" spans="2:27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A29" s="1"/>
    </row>
    <row r="30" spans="2:23" ht="12.75">
      <c r="B30" s="8"/>
      <c r="C30" s="7" t="s">
        <v>44</v>
      </c>
      <c r="D30" s="8" t="s">
        <v>45</v>
      </c>
      <c r="F30" s="6"/>
      <c r="G30" s="7" t="s">
        <v>43</v>
      </c>
      <c r="H30" s="8">
        <v>5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</row>
    <row r="31" spans="2:8" ht="12.75">
      <c r="B31" s="8"/>
      <c r="C31" s="8"/>
      <c r="D31" s="8"/>
      <c r="F31" s="8"/>
      <c r="G31" s="8"/>
      <c r="H31" s="8"/>
    </row>
    <row r="32" spans="2:23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27">
        <f>+G49</f>
        <v>162350.17090892082</v>
      </c>
      <c r="L32" t="s">
        <v>37</v>
      </c>
      <c r="M32" s="19" t="s">
        <v>52</v>
      </c>
      <c r="N32" s="1">
        <f>+G47-K32</f>
        <v>3238661.3145348704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2:23" ht="14.25">
      <c r="B33" s="16" t="s">
        <v>12</v>
      </c>
      <c r="C33" s="36" t="s">
        <v>91</v>
      </c>
      <c r="D33" s="36"/>
      <c r="F33" s="17" t="s">
        <v>12</v>
      </c>
      <c r="G33" s="36" t="s">
        <v>84</v>
      </c>
      <c r="H33" s="36"/>
      <c r="J33" s="19" t="s">
        <v>50</v>
      </c>
      <c r="K33" s="27">
        <f>+G40*G47</f>
        <v>136040.45941775167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0.002521700278882043</v>
      </c>
      <c r="S33" s="27">
        <f>+K35/4</f>
        <v>409.39847125757296</v>
      </c>
      <c r="T33" s="1">
        <f>+G46</f>
        <v>0.002521700278882043</v>
      </c>
      <c r="U33" s="27">
        <f>+N35</f>
        <v>8166.933140067066</v>
      </c>
      <c r="V33" s="1">
        <f>+G46</f>
        <v>0.002521700278882043</v>
      </c>
      <c r="W33" s="1">
        <f>+K37</f>
        <v>8576.33161132464</v>
      </c>
    </row>
    <row r="34" spans="2:23" ht="14.25">
      <c r="B34" s="14" t="s">
        <v>13</v>
      </c>
      <c r="C34" s="34">
        <f>53/2.54</f>
        <v>20.866141732283463</v>
      </c>
      <c r="D34" s="8" t="s">
        <v>1</v>
      </c>
      <c r="F34" s="7" t="s">
        <v>14</v>
      </c>
      <c r="G34" s="34">
        <f>45/2.54</f>
        <v>17.716535433070867</v>
      </c>
      <c r="H34" s="6" t="s">
        <v>1</v>
      </c>
      <c r="J34" s="19" t="s">
        <v>62</v>
      </c>
      <c r="K34" s="26">
        <f>+K33/K32</f>
        <v>0.8379446640316196</v>
      </c>
      <c r="M34" s="19" t="s">
        <v>71</v>
      </c>
      <c r="N34" s="27">
        <f>+N33/N32</f>
        <v>0</v>
      </c>
      <c r="R34" s="1">
        <f>+G50</f>
        <v>0.010086801115528172</v>
      </c>
      <c r="S34" s="27">
        <f>+K35</f>
        <v>1637.5938850302919</v>
      </c>
      <c r="T34" s="1">
        <f>+G50</f>
        <v>0.010086801115528172</v>
      </c>
      <c r="U34" s="27">
        <f>+N35</f>
        <v>8166.933140067066</v>
      </c>
      <c r="V34" s="1">
        <f>+G50</f>
        <v>0.010086801115528172</v>
      </c>
      <c r="W34" s="1">
        <f>+N37</f>
        <v>9804.527025097359</v>
      </c>
    </row>
    <row r="35" spans="2:23" ht="15">
      <c r="B35" s="14" t="s">
        <v>18</v>
      </c>
      <c r="C35" s="8">
        <v>360</v>
      </c>
      <c r="D35" s="8" t="s">
        <v>1</v>
      </c>
      <c r="F35" s="7" t="s">
        <v>46</v>
      </c>
      <c r="G35" s="34">
        <f>45/2.54</f>
        <v>17.716535433070867</v>
      </c>
      <c r="H35" s="6" t="s">
        <v>15</v>
      </c>
      <c r="J35" s="19" t="s">
        <v>51</v>
      </c>
      <c r="K35" s="1">
        <f>+K32*G50</f>
        <v>1637.5938850302919</v>
      </c>
      <c r="L35" t="s">
        <v>4</v>
      </c>
      <c r="M35" s="19" t="s">
        <v>54</v>
      </c>
      <c r="N35" s="1">
        <f>+N32*G46</f>
        <v>8166.933140067066</v>
      </c>
      <c r="O35" t="s">
        <v>4</v>
      </c>
      <c r="R35" s="1">
        <f>+(G50+G46)</f>
        <v>0.012608501394410214</v>
      </c>
      <c r="S35" s="27">
        <f>+K36</f>
        <v>1980.6471494832774</v>
      </c>
      <c r="T35" s="1">
        <f>+R35</f>
        <v>0.012608501394410214</v>
      </c>
      <c r="U35" s="27">
        <f>+N35</f>
        <v>8166.933140067066</v>
      </c>
      <c r="V35" s="1">
        <f>+G46+G50</f>
        <v>0.012608501394410214</v>
      </c>
      <c r="W35" s="1">
        <f>+K38</f>
        <v>10147.580289550344</v>
      </c>
    </row>
    <row r="36" spans="2:14" ht="14.25">
      <c r="B36" s="14"/>
      <c r="C36" s="8"/>
      <c r="D36" s="8"/>
      <c r="F36" s="7" t="s">
        <v>16</v>
      </c>
      <c r="G36" s="34">
        <f>2.2/2.54</f>
        <v>0.8661417322834646</v>
      </c>
      <c r="H36" s="6" t="s">
        <v>1</v>
      </c>
      <c r="J36" s="19" t="s">
        <v>57</v>
      </c>
      <c r="K36" s="1">
        <f>+K35+G46*K33</f>
        <v>1980.6471494832774</v>
      </c>
      <c r="L36" t="s">
        <v>4</v>
      </c>
      <c r="M36" s="19"/>
      <c r="N36" s="1"/>
    </row>
    <row r="37" spans="2:15" ht="14.25">
      <c r="B37" s="15" t="s">
        <v>19</v>
      </c>
      <c r="C37" s="6"/>
      <c r="D37" s="6"/>
      <c r="F37" s="7" t="s">
        <v>17</v>
      </c>
      <c r="G37" s="34">
        <f>2.2/2.54</f>
        <v>0.8661417322834646</v>
      </c>
      <c r="H37" s="6" t="s">
        <v>1</v>
      </c>
      <c r="J37" s="19" t="s">
        <v>34</v>
      </c>
      <c r="K37" s="1">
        <f>+(K35)/4+N35</f>
        <v>8576.33161132464</v>
      </c>
      <c r="L37" t="s">
        <v>4</v>
      </c>
      <c r="M37" s="19" t="s">
        <v>58</v>
      </c>
      <c r="N37" s="1">
        <f>+N35+K35</f>
        <v>9804.527025097359</v>
      </c>
      <c r="O37" t="s">
        <v>4</v>
      </c>
    </row>
    <row r="38" spans="2:12" ht="14.25">
      <c r="B38" s="17"/>
      <c r="C38" s="8"/>
      <c r="D38" s="6"/>
      <c r="F38" s="7" t="s">
        <v>3</v>
      </c>
      <c r="G38" s="8">
        <v>156</v>
      </c>
      <c r="H38" s="6" t="s">
        <v>1</v>
      </c>
      <c r="J38" s="19" t="s">
        <v>38</v>
      </c>
      <c r="K38">
        <f>+N35+K36</f>
        <v>10147.580289550344</v>
      </c>
      <c r="L38" t="s">
        <v>4</v>
      </c>
    </row>
    <row r="39" spans="2:8" ht="14.25">
      <c r="B39" s="7" t="s">
        <v>20</v>
      </c>
      <c r="C39" s="8">
        <v>0</v>
      </c>
      <c r="D39" s="6" t="s">
        <v>1</v>
      </c>
      <c r="F39" s="7" t="s">
        <v>23</v>
      </c>
      <c r="G39" s="8">
        <v>48.7</v>
      </c>
      <c r="H39" s="6" t="s">
        <v>2</v>
      </c>
    </row>
    <row r="40" spans="2:8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</row>
    <row r="42" spans="2:6" ht="12.75">
      <c r="B42" s="2" t="s">
        <v>21</v>
      </c>
      <c r="F42" s="2" t="s">
        <v>27</v>
      </c>
    </row>
    <row r="44" spans="6:7" ht="12.75">
      <c r="F44" s="19"/>
      <c r="G44" s="1"/>
    </row>
    <row r="45" spans="2:8" ht="14.25">
      <c r="B45" s="19" t="s">
        <v>22</v>
      </c>
      <c r="C45" s="3">
        <f>0.55*G39*(G34*G36+((G34-G37)*C39/(0.55*(3)^0.5)))</f>
        <v>411.01664703329413</v>
      </c>
      <c r="D45" t="s">
        <v>0</v>
      </c>
      <c r="F45" s="19" t="s">
        <v>34</v>
      </c>
      <c r="G45" s="1">
        <f>+C45*C34</f>
        <v>8576.33161132464</v>
      </c>
      <c r="H45" t="s">
        <v>4</v>
      </c>
    </row>
    <row r="46" spans="2:8" ht="14.25">
      <c r="B46" s="18" t="s">
        <v>24</v>
      </c>
      <c r="C46" s="1">
        <f>+G39/(C40*3^0.5)</f>
        <v>0.002521700278882043</v>
      </c>
      <c r="D46" t="s">
        <v>36</v>
      </c>
      <c r="F46" s="18" t="s">
        <v>35</v>
      </c>
      <c r="G46" s="1">
        <f>+C46</f>
        <v>0.002521700278882043</v>
      </c>
      <c r="H46" t="s">
        <v>36</v>
      </c>
    </row>
    <row r="47" spans="2:8" ht="14.25">
      <c r="B47" s="19" t="s">
        <v>30</v>
      </c>
      <c r="C47" s="1">
        <f>+C45/C46</f>
        <v>162991.87118919304</v>
      </c>
      <c r="D47" t="s">
        <v>31</v>
      </c>
      <c r="F47" s="19" t="s">
        <v>39</v>
      </c>
      <c r="G47" s="1">
        <f>+G45/G46</f>
        <v>3401011.4854437914</v>
      </c>
      <c r="H47" t="s">
        <v>37</v>
      </c>
    </row>
    <row r="48" spans="2:8" ht="14.25">
      <c r="B48" s="19" t="s">
        <v>28</v>
      </c>
      <c r="C48" s="1">
        <f>+C45+0.55*G39*G34*G36*(3.45*G35*G37^2/(C34*G34*G36))</f>
        <v>469.8773329008923</v>
      </c>
      <c r="D48" t="s">
        <v>0</v>
      </c>
      <c r="F48" s="19" t="s">
        <v>38</v>
      </c>
      <c r="G48" s="1">
        <f>+C48*C34</f>
        <v>9804.527025097359</v>
      </c>
      <c r="H48" t="s">
        <v>4</v>
      </c>
    </row>
    <row r="49" spans="2:8" ht="14.25">
      <c r="B49" s="19" t="s">
        <v>29</v>
      </c>
      <c r="C49" s="1">
        <f>4*C46</f>
        <v>0.010086801115528172</v>
      </c>
      <c r="D49" t="s">
        <v>36</v>
      </c>
      <c r="F49" s="19" t="s">
        <v>40</v>
      </c>
      <c r="G49" s="1">
        <f>+(G48-G45)/(3*C46)</f>
        <v>162350.17090892082</v>
      </c>
      <c r="H49" t="s">
        <v>37</v>
      </c>
    </row>
    <row r="50" spans="2:8" ht="14.25">
      <c r="B50" s="19" t="s">
        <v>32</v>
      </c>
      <c r="C50" s="1">
        <f>+(C48-C45)/(C49-C46)</f>
        <v>7780.5553605407285</v>
      </c>
      <c r="D50" t="s">
        <v>31</v>
      </c>
      <c r="F50" s="18" t="s">
        <v>41</v>
      </c>
      <c r="G50" s="1">
        <f>4*G46</f>
        <v>0.010086801115528172</v>
      </c>
      <c r="H50" t="s">
        <v>36</v>
      </c>
    </row>
    <row r="51" spans="2:3" ht="14.25">
      <c r="B51" s="19" t="s">
        <v>33</v>
      </c>
      <c r="C51" s="1">
        <f>+C50/C47</f>
        <v>0.047735849056603795</v>
      </c>
    </row>
    <row r="52" spans="2:8" ht="12.75">
      <c r="B52" s="22"/>
      <c r="C52" s="11"/>
      <c r="D52" s="11"/>
      <c r="E52" s="10"/>
      <c r="F52" s="9"/>
      <c r="G52" s="10"/>
      <c r="H52" s="11"/>
    </row>
    <row r="53" spans="2:12" ht="12.75">
      <c r="B53" s="11"/>
      <c r="C53" s="11"/>
      <c r="D53" s="11"/>
      <c r="E53" s="10"/>
      <c r="F53" s="10"/>
      <c r="G53" s="10"/>
      <c r="H53" s="10"/>
      <c r="L53" s="2" t="s">
        <v>65</v>
      </c>
    </row>
    <row r="54" spans="2:22" ht="12.75">
      <c r="B54" s="12" t="s">
        <v>9</v>
      </c>
      <c r="C54" s="8"/>
      <c r="D54" s="8"/>
      <c r="F54" s="13" t="s">
        <v>6</v>
      </c>
      <c r="G54" s="6"/>
      <c r="H54" s="8" t="s">
        <v>7</v>
      </c>
      <c r="R54" s="2" t="s">
        <v>59</v>
      </c>
      <c r="T54" s="2" t="s">
        <v>60</v>
      </c>
      <c r="V54" s="2" t="s">
        <v>61</v>
      </c>
    </row>
    <row r="55" spans="2:23" ht="12.75">
      <c r="B55" s="8"/>
      <c r="C55" s="7" t="s">
        <v>44</v>
      </c>
      <c r="D55" s="8" t="s">
        <v>45</v>
      </c>
      <c r="F55" s="6"/>
      <c r="G55" s="7" t="s">
        <v>43</v>
      </c>
      <c r="H55" s="8">
        <v>4</v>
      </c>
      <c r="J55" s="2" t="s">
        <v>69</v>
      </c>
      <c r="M55" s="2" t="s">
        <v>70</v>
      </c>
      <c r="R55" s="25" t="s">
        <v>55</v>
      </c>
      <c r="S55" s="24" t="s">
        <v>56</v>
      </c>
      <c r="T55" s="25" t="s">
        <v>55</v>
      </c>
      <c r="U55" s="24" t="s">
        <v>56</v>
      </c>
      <c r="V55" s="25" t="s">
        <v>55</v>
      </c>
      <c r="W55" s="24" t="s">
        <v>56</v>
      </c>
    </row>
    <row r="56" spans="2:8" ht="12.75">
      <c r="B56" s="8"/>
      <c r="C56" s="8"/>
      <c r="D56" s="8"/>
      <c r="F56" s="8"/>
      <c r="G56" s="8"/>
      <c r="H56" s="8"/>
    </row>
    <row r="57" spans="2:23" ht="14.25">
      <c r="B57" s="14" t="s">
        <v>10</v>
      </c>
      <c r="C57" s="8"/>
      <c r="D57" s="8"/>
      <c r="F57" s="15" t="s">
        <v>11</v>
      </c>
      <c r="G57" s="6"/>
      <c r="H57" s="6"/>
      <c r="J57" s="19" t="s">
        <v>49</v>
      </c>
      <c r="K57" s="27">
        <f>+G74</f>
        <v>232940.44264939247</v>
      </c>
      <c r="L57" t="s">
        <v>37</v>
      </c>
      <c r="M57" s="19" t="s">
        <v>52</v>
      </c>
      <c r="N57" s="1">
        <f>+G72-K57</f>
        <v>4142288.7410261547</v>
      </c>
      <c r="O57" t="s">
        <v>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2:23" ht="14.25">
      <c r="B58" s="16" t="s">
        <v>12</v>
      </c>
      <c r="C58" s="8" t="s">
        <v>92</v>
      </c>
      <c r="D58" s="8"/>
      <c r="F58" s="17" t="s">
        <v>12</v>
      </c>
      <c r="G58" s="36" t="s">
        <v>87</v>
      </c>
      <c r="H58" s="36"/>
      <c r="J58" s="19" t="s">
        <v>50</v>
      </c>
      <c r="K58" s="27">
        <f>+G65*G72</f>
        <v>175009.1673470219</v>
      </c>
      <c r="L58" t="s">
        <v>37</v>
      </c>
      <c r="M58" s="19" t="s">
        <v>53</v>
      </c>
      <c r="N58" s="1">
        <v>0</v>
      </c>
      <c r="O58" t="s">
        <v>37</v>
      </c>
      <c r="R58" s="1">
        <f>+G71</f>
        <v>0.002521700278882043</v>
      </c>
      <c r="S58" s="27">
        <f>+K60/4</f>
        <v>587.4059791918795</v>
      </c>
      <c r="T58" s="1">
        <f>+G71</f>
        <v>0.002521700278882043</v>
      </c>
      <c r="U58" s="1">
        <f>+N60</f>
        <v>10445.610673455601</v>
      </c>
      <c r="V58" s="1">
        <f>+G71</f>
        <v>0.002521700278882043</v>
      </c>
      <c r="W58" s="1">
        <f>+K62</f>
        <v>11033.01665264748</v>
      </c>
    </row>
    <row r="59" spans="2:23" ht="14.25">
      <c r="B59" s="14" t="s">
        <v>13</v>
      </c>
      <c r="C59" s="34">
        <f>54/2.54</f>
        <v>21.25984251968504</v>
      </c>
      <c r="D59" s="8" t="s">
        <v>1</v>
      </c>
      <c r="F59" s="7" t="s">
        <v>14</v>
      </c>
      <c r="G59" s="34">
        <f>50/2.54</f>
        <v>19.68503937007874</v>
      </c>
      <c r="H59" s="6" t="s">
        <v>1</v>
      </c>
      <c r="J59" s="19" t="s">
        <v>62</v>
      </c>
      <c r="K59" s="26">
        <f>+K58/K57</f>
        <v>0.7513043478260872</v>
      </c>
      <c r="M59" s="19" t="s">
        <v>71</v>
      </c>
      <c r="N59" s="27">
        <f>+N58/N57</f>
        <v>0</v>
      </c>
      <c r="R59" s="1">
        <f>+G75</f>
        <v>0.010086801115528172</v>
      </c>
      <c r="S59" s="27">
        <f>+K60</f>
        <v>2349.623916767518</v>
      </c>
      <c r="T59" s="1">
        <f>+G75</f>
        <v>0.010086801115528172</v>
      </c>
      <c r="U59" s="1">
        <f>+N60</f>
        <v>10445.610673455601</v>
      </c>
      <c r="V59" s="1">
        <f>+G75</f>
        <v>0.010086801115528172</v>
      </c>
      <c r="W59" s="1">
        <f>+N62</f>
        <v>12795.234590223119</v>
      </c>
    </row>
    <row r="60" spans="2:23" ht="15">
      <c r="B60" s="14" t="s">
        <v>18</v>
      </c>
      <c r="C60" s="8">
        <v>360</v>
      </c>
      <c r="D60" s="8" t="s">
        <v>1</v>
      </c>
      <c r="F60" s="7" t="s">
        <v>46</v>
      </c>
      <c r="G60" s="34">
        <f>G59</f>
        <v>19.68503937007874</v>
      </c>
      <c r="H60" s="6" t="s">
        <v>15</v>
      </c>
      <c r="J60" s="19" t="s">
        <v>51</v>
      </c>
      <c r="K60" s="1">
        <f>+K57*G75</f>
        <v>2349.623916767518</v>
      </c>
      <c r="L60" t="s">
        <v>4</v>
      </c>
      <c r="M60" s="19" t="s">
        <v>54</v>
      </c>
      <c r="N60" s="1">
        <f>+N57*G71</f>
        <v>10445.610673455601</v>
      </c>
      <c r="O60" t="s">
        <v>4</v>
      </c>
      <c r="R60" s="1">
        <f>+(G75+G71)</f>
        <v>0.012608501394410214</v>
      </c>
      <c r="S60" s="27">
        <f>+K61</f>
        <v>2790.9445828734174</v>
      </c>
      <c r="T60" s="1">
        <f>+R60</f>
        <v>0.012608501394410214</v>
      </c>
      <c r="U60" s="1">
        <f>+N60</f>
        <v>10445.610673455601</v>
      </c>
      <c r="V60" s="1">
        <f>+G71+G75</f>
        <v>0.012608501394410214</v>
      </c>
      <c r="W60" s="1">
        <f>+K63</f>
        <v>13236.555256329018</v>
      </c>
    </row>
    <row r="61" spans="2:14" ht="14.25">
      <c r="B61" s="14"/>
      <c r="C61" s="8"/>
      <c r="D61" s="8"/>
      <c r="F61" s="7" t="s">
        <v>16</v>
      </c>
      <c r="G61" s="34">
        <f>2.5/2.54</f>
        <v>0.984251968503937</v>
      </c>
      <c r="H61" s="6" t="s">
        <v>1</v>
      </c>
      <c r="J61" s="19" t="s">
        <v>57</v>
      </c>
      <c r="K61" s="1">
        <f>+K60+G71*K58</f>
        <v>2790.9445828734174</v>
      </c>
      <c r="L61" t="s">
        <v>4</v>
      </c>
      <c r="M61" s="19"/>
      <c r="N61" s="1"/>
    </row>
    <row r="62" spans="2:15" ht="14.25">
      <c r="B62" s="15" t="s">
        <v>19</v>
      </c>
      <c r="C62" s="6"/>
      <c r="D62" s="6"/>
      <c r="F62" s="7" t="s">
        <v>17</v>
      </c>
      <c r="G62" s="34">
        <f>2.5/2.54</f>
        <v>0.984251968503937</v>
      </c>
      <c r="H62" s="6" t="s">
        <v>1</v>
      </c>
      <c r="J62" s="19" t="s">
        <v>34</v>
      </c>
      <c r="K62" s="1">
        <f>+(K60)/4+N60</f>
        <v>11033.01665264748</v>
      </c>
      <c r="L62" t="s">
        <v>4</v>
      </c>
      <c r="M62" s="19" t="s">
        <v>58</v>
      </c>
      <c r="N62" s="1">
        <f>+N60+K60</f>
        <v>12795.234590223119</v>
      </c>
      <c r="O62" t="s">
        <v>4</v>
      </c>
    </row>
    <row r="63" spans="2:12" ht="14.25">
      <c r="B63" s="17"/>
      <c r="C63" s="8"/>
      <c r="D63" s="6"/>
      <c r="F63" s="7" t="s">
        <v>3</v>
      </c>
      <c r="G63" s="8">
        <v>156</v>
      </c>
      <c r="H63" s="6" t="s">
        <v>1</v>
      </c>
      <c r="J63" s="19" t="s">
        <v>38</v>
      </c>
      <c r="K63">
        <f>+N60+K61</f>
        <v>13236.555256329018</v>
      </c>
      <c r="L63" t="s">
        <v>4</v>
      </c>
    </row>
    <row r="64" spans="2:8" ht="14.25">
      <c r="B64" s="7" t="s">
        <v>20</v>
      </c>
      <c r="C64" s="8">
        <v>0</v>
      </c>
      <c r="D64" s="6" t="s">
        <v>1</v>
      </c>
      <c r="F64" s="7" t="s">
        <v>23</v>
      </c>
      <c r="G64" s="8">
        <v>48.7</v>
      </c>
      <c r="H64" s="6" t="s">
        <v>2</v>
      </c>
    </row>
    <row r="65" spans="2:8" ht="12.75">
      <c r="B65" s="4" t="s">
        <v>25</v>
      </c>
      <c r="C65" s="20">
        <v>11150</v>
      </c>
      <c r="D65" s="5" t="s">
        <v>2</v>
      </c>
      <c r="F65" s="23" t="s">
        <v>47</v>
      </c>
      <c r="G65" s="8">
        <v>0.04</v>
      </c>
      <c r="H65" s="5" t="s">
        <v>48</v>
      </c>
    </row>
    <row r="67" spans="2:6" ht="12.75">
      <c r="B67" s="2" t="s">
        <v>21</v>
      </c>
      <c r="F67" s="2" t="s">
        <v>27</v>
      </c>
    </row>
    <row r="69" spans="6:7" ht="12.75">
      <c r="F69" s="19"/>
      <c r="G69" s="1"/>
    </row>
    <row r="70" spans="2:8" ht="14.25">
      <c r="B70" s="19" t="s">
        <v>22</v>
      </c>
      <c r="C70" s="3">
        <f>0.55*G64*(G59*G61+((G59-G62)*C64/(0.55*(3)^0.5)))</f>
        <v>518.9604129208259</v>
      </c>
      <c r="D70" t="s">
        <v>0</v>
      </c>
      <c r="F70" s="19" t="s">
        <v>34</v>
      </c>
      <c r="G70" s="1">
        <f>+C70*C59</f>
        <v>11033.01665264748</v>
      </c>
      <c r="H70" t="s">
        <v>4</v>
      </c>
    </row>
    <row r="71" spans="2:8" ht="14.25">
      <c r="B71" s="18" t="s">
        <v>24</v>
      </c>
      <c r="C71" s="1">
        <f>+G64/(C65*3^0.5)</f>
        <v>0.002521700278882043</v>
      </c>
      <c r="D71" t="s">
        <v>36</v>
      </c>
      <c r="F71" s="18" t="s">
        <v>35</v>
      </c>
      <c r="G71" s="1">
        <f>+C71</f>
        <v>0.002521700278882043</v>
      </c>
      <c r="H71" t="s">
        <v>36</v>
      </c>
    </row>
    <row r="72" spans="2:8" ht="14.25">
      <c r="B72" s="19" t="s">
        <v>30</v>
      </c>
      <c r="C72" s="1">
        <f>+C70/C71</f>
        <v>205797.81715807202</v>
      </c>
      <c r="D72" t="s">
        <v>31</v>
      </c>
      <c r="F72" s="19" t="s">
        <v>39</v>
      </c>
      <c r="G72" s="1">
        <f>+G70/G71</f>
        <v>4375229.183675547</v>
      </c>
      <c r="H72" t="s">
        <v>37</v>
      </c>
    </row>
    <row r="73" spans="2:8" ht="14.25">
      <c r="B73" s="19" t="s">
        <v>28</v>
      </c>
      <c r="C73" s="1">
        <f>+C70+0.55*G64*G59*G61*(3.45*G60*G62^2/(C59*G59*G61))</f>
        <v>601.8499233179023</v>
      </c>
      <c r="D73" t="s">
        <v>0</v>
      </c>
      <c r="F73" s="19" t="s">
        <v>38</v>
      </c>
      <c r="G73" s="1">
        <f>+C73*C59</f>
        <v>12795.234590223119</v>
      </c>
      <c r="H73" t="s">
        <v>4</v>
      </c>
    </row>
    <row r="74" spans="2:8" ht="14.25">
      <c r="B74" s="19" t="s">
        <v>29</v>
      </c>
      <c r="C74" s="1">
        <f>4*C71</f>
        <v>0.010086801115528172</v>
      </c>
      <c r="D74" t="s">
        <v>36</v>
      </c>
      <c r="F74" s="19" t="s">
        <v>40</v>
      </c>
      <c r="G74" s="1">
        <f>+(G73-G70)/(3*C71)</f>
        <v>232940.44264939247</v>
      </c>
      <c r="H74" t="s">
        <v>37</v>
      </c>
    </row>
    <row r="75" spans="2:8" ht="14.25">
      <c r="B75" s="19" t="s">
        <v>32</v>
      </c>
      <c r="C75" s="1">
        <f>+(C73-C70)/(C74-C71)</f>
        <v>10956.828228323282</v>
      </c>
      <c r="D75" t="s">
        <v>31</v>
      </c>
      <c r="F75" s="18" t="s">
        <v>41</v>
      </c>
      <c r="G75" s="1">
        <f>4*G71</f>
        <v>0.010086801115528172</v>
      </c>
      <c r="H75" t="s">
        <v>36</v>
      </c>
    </row>
    <row r="76" spans="2:3" ht="14.25">
      <c r="B76" s="19" t="s">
        <v>33</v>
      </c>
      <c r="C76" s="1">
        <f>+C75/C72</f>
        <v>0.053240740740740755</v>
      </c>
    </row>
    <row r="77" spans="2:8" ht="12.75">
      <c r="B77" s="22"/>
      <c r="C77" s="11"/>
      <c r="D77" s="11"/>
      <c r="E77" s="10"/>
      <c r="F77" s="9"/>
      <c r="G77" s="10"/>
      <c r="H77" s="11"/>
    </row>
    <row r="78" spans="2:12" ht="12.75">
      <c r="B78" s="11"/>
      <c r="C78" s="11"/>
      <c r="D78" s="11"/>
      <c r="E78" s="10"/>
      <c r="F78" s="10"/>
      <c r="G78" s="10"/>
      <c r="H78" s="10"/>
      <c r="L78" s="2" t="s">
        <v>66</v>
      </c>
    </row>
    <row r="79" spans="2:22" ht="12.75">
      <c r="B79" s="12" t="s">
        <v>9</v>
      </c>
      <c r="C79" s="8"/>
      <c r="D79" s="8"/>
      <c r="F79" s="13" t="s">
        <v>6</v>
      </c>
      <c r="G79" s="6"/>
      <c r="H79" s="8" t="s">
        <v>7</v>
      </c>
      <c r="R79" s="2" t="s">
        <v>59</v>
      </c>
      <c r="T79" s="2" t="s">
        <v>60</v>
      </c>
      <c r="V79" s="2" t="s">
        <v>61</v>
      </c>
    </row>
    <row r="80" spans="2:23" ht="12.75">
      <c r="B80" s="8"/>
      <c r="C80" s="7" t="s">
        <v>44</v>
      </c>
      <c r="D80" s="8" t="s">
        <v>45</v>
      </c>
      <c r="F80" s="6"/>
      <c r="G80" s="7" t="s">
        <v>43</v>
      </c>
      <c r="H80" s="8">
        <v>3</v>
      </c>
      <c r="J80" s="2" t="s">
        <v>69</v>
      </c>
      <c r="M80" s="2" t="s">
        <v>70</v>
      </c>
      <c r="R80" s="25" t="s">
        <v>55</v>
      </c>
      <c r="S80" s="24" t="s">
        <v>56</v>
      </c>
      <c r="T80" s="25" t="s">
        <v>55</v>
      </c>
      <c r="U80" s="24" t="s">
        <v>56</v>
      </c>
      <c r="V80" s="25" t="s">
        <v>55</v>
      </c>
      <c r="W80" s="24" t="s">
        <v>56</v>
      </c>
    </row>
    <row r="81" spans="2:8" ht="12.75">
      <c r="B81" s="8"/>
      <c r="C81" s="8"/>
      <c r="D81" s="8"/>
      <c r="F81" s="8"/>
      <c r="G81" s="8"/>
      <c r="H81" s="8"/>
    </row>
    <row r="82" spans="2:23" ht="14.25">
      <c r="B82" s="14" t="s">
        <v>10</v>
      </c>
      <c r="C82" s="8"/>
      <c r="D82" s="8"/>
      <c r="F82" s="15" t="s">
        <v>11</v>
      </c>
      <c r="G82" s="6"/>
      <c r="H82" s="6"/>
      <c r="J82" s="19" t="s">
        <v>49</v>
      </c>
      <c r="K82" s="27">
        <f>+G99</f>
        <v>232940.44264939247</v>
      </c>
      <c r="L82" t="s">
        <v>37</v>
      </c>
      <c r="M82" s="19" t="s">
        <v>52</v>
      </c>
      <c r="N82" s="1">
        <f>+G97-K82</f>
        <v>4142288.7410261547</v>
      </c>
      <c r="O82" t="s">
        <v>37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ht="14.25">
      <c r="B83" s="16" t="s">
        <v>12</v>
      </c>
      <c r="C83" s="8" t="s">
        <v>92</v>
      </c>
      <c r="D83" s="8"/>
      <c r="F83" s="17" t="s">
        <v>12</v>
      </c>
      <c r="G83" s="36" t="s">
        <v>87</v>
      </c>
      <c r="H83" s="36"/>
      <c r="J83" s="19" t="s">
        <v>50</v>
      </c>
      <c r="K83" s="27">
        <f>+G90*G97</f>
        <v>175009.1673470219</v>
      </c>
      <c r="L83" t="s">
        <v>37</v>
      </c>
      <c r="M83" s="19" t="s">
        <v>53</v>
      </c>
      <c r="N83" s="1">
        <v>0</v>
      </c>
      <c r="O83" t="s">
        <v>37</v>
      </c>
      <c r="R83" s="1">
        <f>+G96</f>
        <v>0.002521700278882043</v>
      </c>
      <c r="S83" s="1">
        <f>+K85/4</f>
        <v>587.4059791918795</v>
      </c>
      <c r="T83" s="1">
        <f>+G96</f>
        <v>0.002521700278882043</v>
      </c>
      <c r="U83" s="1">
        <f>+N85</f>
        <v>10445.610673455601</v>
      </c>
      <c r="V83" s="1">
        <f>+G96</f>
        <v>0.002521700278882043</v>
      </c>
      <c r="W83" s="1">
        <f>+K87</f>
        <v>11033.01665264748</v>
      </c>
    </row>
    <row r="84" spans="2:23" ht="14.25">
      <c r="B84" s="14" t="s">
        <v>13</v>
      </c>
      <c r="C84" s="34">
        <f>54/2.54</f>
        <v>21.25984251968504</v>
      </c>
      <c r="D84" s="8" t="s">
        <v>1</v>
      </c>
      <c r="F84" s="7" t="s">
        <v>14</v>
      </c>
      <c r="G84" s="34">
        <f>50/2.54</f>
        <v>19.68503937007874</v>
      </c>
      <c r="H84" s="6" t="s">
        <v>1</v>
      </c>
      <c r="J84" s="19" t="s">
        <v>62</v>
      </c>
      <c r="K84" s="26">
        <f>+K83/K82</f>
        <v>0.7513043478260872</v>
      </c>
      <c r="M84" s="19" t="s">
        <v>71</v>
      </c>
      <c r="N84" s="27">
        <f>+N83/N82</f>
        <v>0</v>
      </c>
      <c r="R84" s="1">
        <f>+G100</f>
        <v>0.010086801115528172</v>
      </c>
      <c r="S84" s="27">
        <f>+K85</f>
        <v>2349.623916767518</v>
      </c>
      <c r="T84" s="1">
        <f>+G100</f>
        <v>0.010086801115528172</v>
      </c>
      <c r="U84" s="1">
        <f>+N85</f>
        <v>10445.610673455601</v>
      </c>
      <c r="V84" s="1">
        <f>+G100</f>
        <v>0.010086801115528172</v>
      </c>
      <c r="W84" s="1">
        <f>+N87</f>
        <v>12795.234590223119</v>
      </c>
    </row>
    <row r="85" spans="2:23" ht="15">
      <c r="B85" s="14" t="s">
        <v>18</v>
      </c>
      <c r="C85" s="8">
        <v>360</v>
      </c>
      <c r="D85" s="8" t="s">
        <v>1</v>
      </c>
      <c r="F85" s="7" t="s">
        <v>46</v>
      </c>
      <c r="G85" s="34">
        <f>G84</f>
        <v>19.68503937007874</v>
      </c>
      <c r="H85" s="6" t="s">
        <v>15</v>
      </c>
      <c r="J85" s="19" t="s">
        <v>51</v>
      </c>
      <c r="K85" s="1">
        <f>+K82*G100</f>
        <v>2349.623916767518</v>
      </c>
      <c r="L85" t="s">
        <v>4</v>
      </c>
      <c r="M85" s="19" t="s">
        <v>54</v>
      </c>
      <c r="N85" s="1">
        <f>+N82*G96</f>
        <v>10445.610673455601</v>
      </c>
      <c r="O85" t="s">
        <v>4</v>
      </c>
      <c r="R85" s="1">
        <f>+(G100+G96)</f>
        <v>0.012608501394410214</v>
      </c>
      <c r="S85" s="27">
        <f>+K86</f>
        <v>2790.9445828734174</v>
      </c>
      <c r="T85" s="1">
        <f>+R85</f>
        <v>0.012608501394410214</v>
      </c>
      <c r="U85" s="1">
        <f>+N85</f>
        <v>10445.610673455601</v>
      </c>
      <c r="V85" s="1">
        <f>+G96+G100</f>
        <v>0.012608501394410214</v>
      </c>
      <c r="W85" s="1">
        <f>+K88</f>
        <v>13236.555256329018</v>
      </c>
    </row>
    <row r="86" spans="2:14" ht="14.25">
      <c r="B86" s="14"/>
      <c r="C86" s="8"/>
      <c r="D86" s="8"/>
      <c r="F86" s="7" t="s">
        <v>16</v>
      </c>
      <c r="G86" s="34">
        <f>2.5/2.54</f>
        <v>0.984251968503937</v>
      </c>
      <c r="H86" s="6" t="s">
        <v>1</v>
      </c>
      <c r="J86" s="19" t="s">
        <v>57</v>
      </c>
      <c r="K86" s="1">
        <f>+K85+G96*K83</f>
        <v>2790.9445828734174</v>
      </c>
      <c r="L86" t="s">
        <v>4</v>
      </c>
      <c r="M86" s="19"/>
      <c r="N86" s="1"/>
    </row>
    <row r="87" spans="2:15" ht="14.25">
      <c r="B87" s="15" t="s">
        <v>19</v>
      </c>
      <c r="C87" s="6"/>
      <c r="D87" s="6"/>
      <c r="F87" s="7" t="s">
        <v>17</v>
      </c>
      <c r="G87" s="34">
        <f>2.5/2.54</f>
        <v>0.984251968503937</v>
      </c>
      <c r="H87" s="6" t="s">
        <v>1</v>
      </c>
      <c r="J87" s="19" t="s">
        <v>34</v>
      </c>
      <c r="K87" s="1">
        <f>+(K85)/4+N85</f>
        <v>11033.01665264748</v>
      </c>
      <c r="L87" t="s">
        <v>4</v>
      </c>
      <c r="M87" s="19" t="s">
        <v>58</v>
      </c>
      <c r="N87" s="1">
        <f>+N85+K85</f>
        <v>12795.234590223119</v>
      </c>
      <c r="O87" t="s">
        <v>4</v>
      </c>
    </row>
    <row r="88" spans="2:12" ht="14.25">
      <c r="B88" s="17"/>
      <c r="C88" s="8"/>
      <c r="D88" s="6"/>
      <c r="F88" s="7" t="s">
        <v>3</v>
      </c>
      <c r="G88" s="8">
        <v>156</v>
      </c>
      <c r="H88" s="6" t="s">
        <v>1</v>
      </c>
      <c r="J88" s="19" t="s">
        <v>38</v>
      </c>
      <c r="K88">
        <f>+N85+K86</f>
        <v>13236.555256329018</v>
      </c>
      <c r="L88" t="s">
        <v>4</v>
      </c>
    </row>
    <row r="89" spans="2:8" ht="14.25">
      <c r="B89" s="7" t="s">
        <v>20</v>
      </c>
      <c r="C89" s="8">
        <v>0</v>
      </c>
      <c r="D89" s="6" t="s">
        <v>1</v>
      </c>
      <c r="F89" s="7" t="s">
        <v>23</v>
      </c>
      <c r="G89" s="8">
        <v>48.7</v>
      </c>
      <c r="H89" s="6" t="s">
        <v>2</v>
      </c>
    </row>
    <row r="90" spans="2:8" ht="12.75">
      <c r="B90" s="4" t="s">
        <v>25</v>
      </c>
      <c r="C90" s="20">
        <v>11150</v>
      </c>
      <c r="D90" s="5" t="s">
        <v>2</v>
      </c>
      <c r="F90" s="23" t="s">
        <v>47</v>
      </c>
      <c r="G90" s="8">
        <v>0.04</v>
      </c>
      <c r="H90" s="5" t="s">
        <v>48</v>
      </c>
    </row>
    <row r="92" spans="2:6" ht="12.75">
      <c r="B92" s="2" t="s">
        <v>21</v>
      </c>
      <c r="F92" s="2" t="s">
        <v>27</v>
      </c>
    </row>
    <row r="94" spans="6:7" ht="12.75">
      <c r="F94" s="19"/>
      <c r="G94" s="1"/>
    </row>
    <row r="95" spans="2:8" ht="14.25">
      <c r="B95" s="19" t="s">
        <v>22</v>
      </c>
      <c r="C95" s="3">
        <f>0.55*G89*(G84*G86+((G84-G87)*C89/(0.55*(3)^0.5)))</f>
        <v>518.9604129208259</v>
      </c>
      <c r="D95" t="s">
        <v>0</v>
      </c>
      <c r="F95" s="19" t="s">
        <v>34</v>
      </c>
      <c r="G95" s="1">
        <f>+C95*C84</f>
        <v>11033.01665264748</v>
      </c>
      <c r="H95" t="s">
        <v>4</v>
      </c>
    </row>
    <row r="96" spans="2:8" ht="14.25">
      <c r="B96" s="18" t="s">
        <v>24</v>
      </c>
      <c r="C96" s="1">
        <f>+G89/(C90*3^0.5)</f>
        <v>0.002521700278882043</v>
      </c>
      <c r="D96" t="s">
        <v>36</v>
      </c>
      <c r="F96" s="18" t="s">
        <v>35</v>
      </c>
      <c r="G96" s="1">
        <f>+C96</f>
        <v>0.002521700278882043</v>
      </c>
      <c r="H96" t="s">
        <v>36</v>
      </c>
    </row>
    <row r="97" spans="2:8" ht="14.25">
      <c r="B97" s="19" t="s">
        <v>30</v>
      </c>
      <c r="C97" s="1">
        <f>+C95/C96</f>
        <v>205797.81715807202</v>
      </c>
      <c r="D97" t="s">
        <v>31</v>
      </c>
      <c r="F97" s="19" t="s">
        <v>39</v>
      </c>
      <c r="G97" s="1">
        <f>+G95/G96</f>
        <v>4375229.183675547</v>
      </c>
      <c r="H97" t="s">
        <v>37</v>
      </c>
    </row>
    <row r="98" spans="2:8" ht="14.25">
      <c r="B98" s="19" t="s">
        <v>28</v>
      </c>
      <c r="C98" s="1">
        <f>+C95+0.55*G89*G84*G86*(3.45*G85*G87^2/(C84*G84*G86))</f>
        <v>601.8499233179023</v>
      </c>
      <c r="D98" t="s">
        <v>0</v>
      </c>
      <c r="F98" s="19" t="s">
        <v>38</v>
      </c>
      <c r="G98" s="1">
        <f>+C98*C84</f>
        <v>12795.234590223119</v>
      </c>
      <c r="H98" t="s">
        <v>4</v>
      </c>
    </row>
    <row r="99" spans="2:8" ht="14.25">
      <c r="B99" s="19" t="s">
        <v>29</v>
      </c>
      <c r="C99" s="1">
        <f>4*C96</f>
        <v>0.010086801115528172</v>
      </c>
      <c r="D99" t="s">
        <v>36</v>
      </c>
      <c r="F99" s="19" t="s">
        <v>40</v>
      </c>
      <c r="G99" s="1">
        <f>+(G98-G95)/(3*C96)</f>
        <v>232940.44264939247</v>
      </c>
      <c r="H99" t="s">
        <v>37</v>
      </c>
    </row>
    <row r="100" spans="2:8" ht="14.25">
      <c r="B100" s="19" t="s">
        <v>32</v>
      </c>
      <c r="C100" s="1">
        <f>+(C98-C95)/(C99-C96)</f>
        <v>10956.828228323282</v>
      </c>
      <c r="D100" t="s">
        <v>31</v>
      </c>
      <c r="F100" s="18" t="s">
        <v>41</v>
      </c>
      <c r="G100" s="1">
        <f>4*G96</f>
        <v>0.010086801115528172</v>
      </c>
      <c r="H100" t="s">
        <v>36</v>
      </c>
    </row>
    <row r="101" spans="2:3" ht="14.25">
      <c r="B101" s="19" t="s">
        <v>33</v>
      </c>
      <c r="C101" s="1">
        <f>+C100/C97</f>
        <v>0.053240740740740755</v>
      </c>
    </row>
    <row r="102" spans="2:8" ht="12.75">
      <c r="B102" s="22"/>
      <c r="C102" s="11"/>
      <c r="D102" s="11"/>
      <c r="E102" s="10"/>
      <c r="F102" s="9"/>
      <c r="G102" s="10"/>
      <c r="H102" s="11"/>
    </row>
    <row r="103" spans="2:12" ht="12.75">
      <c r="B103" s="11"/>
      <c r="C103" s="11"/>
      <c r="D103" s="11"/>
      <c r="E103" s="10"/>
      <c r="F103" s="10"/>
      <c r="G103" s="10"/>
      <c r="H103" s="10"/>
      <c r="L103" s="2" t="s">
        <v>67</v>
      </c>
    </row>
    <row r="104" spans="2:22" ht="12.75">
      <c r="B104" s="12" t="s">
        <v>9</v>
      </c>
      <c r="C104" s="8"/>
      <c r="D104" s="8"/>
      <c r="F104" s="13" t="s">
        <v>6</v>
      </c>
      <c r="G104" s="6"/>
      <c r="H104" s="8" t="s">
        <v>7</v>
      </c>
      <c r="R104" s="2" t="s">
        <v>59</v>
      </c>
      <c r="T104" s="2" t="s">
        <v>60</v>
      </c>
      <c r="V104" s="2" t="s">
        <v>61</v>
      </c>
    </row>
    <row r="105" spans="2:23" ht="12.75">
      <c r="B105" s="8"/>
      <c r="C105" s="7" t="s">
        <v>44</v>
      </c>
      <c r="D105" s="8" t="s">
        <v>45</v>
      </c>
      <c r="F105" s="6"/>
      <c r="G105" s="7" t="s">
        <v>43</v>
      </c>
      <c r="H105" s="8">
        <v>2</v>
      </c>
      <c r="J105" s="2" t="s">
        <v>69</v>
      </c>
      <c r="M105" s="2" t="s">
        <v>70</v>
      </c>
      <c r="R105" s="25" t="s">
        <v>55</v>
      </c>
      <c r="S105" s="24" t="s">
        <v>56</v>
      </c>
      <c r="T105" s="25" t="s">
        <v>55</v>
      </c>
      <c r="U105" s="24" t="s">
        <v>56</v>
      </c>
      <c r="V105" s="25" t="s">
        <v>55</v>
      </c>
      <c r="W105" s="24" t="s">
        <v>56</v>
      </c>
    </row>
    <row r="106" spans="2:8" ht="12.75">
      <c r="B106" s="8"/>
      <c r="C106" s="8"/>
      <c r="D106" s="8"/>
      <c r="F106" s="8"/>
      <c r="G106" s="8"/>
      <c r="H106" s="8"/>
    </row>
    <row r="107" spans="2:23" ht="14.25">
      <c r="B107" s="14" t="s">
        <v>10</v>
      </c>
      <c r="C107" s="8"/>
      <c r="D107" s="8"/>
      <c r="F107" s="15" t="s">
        <v>11</v>
      </c>
      <c r="G107" s="6"/>
      <c r="H107" s="6"/>
      <c r="J107" s="19" t="s">
        <v>49</v>
      </c>
      <c r="K107" s="27">
        <f>+G124</f>
        <v>368977.66115663794</v>
      </c>
      <c r="L107" t="s">
        <v>37</v>
      </c>
      <c r="M107" s="19" t="s">
        <v>52</v>
      </c>
      <c r="N107" s="1">
        <f>+G122-K107</f>
        <v>5406324.861295084</v>
      </c>
      <c r="O107" t="s">
        <v>37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</row>
    <row r="108" spans="2:23" ht="14.25">
      <c r="B108" s="16" t="s">
        <v>12</v>
      </c>
      <c r="C108" s="36" t="s">
        <v>90</v>
      </c>
      <c r="D108" s="36"/>
      <c r="F108" s="17" t="s">
        <v>12</v>
      </c>
      <c r="G108" s="36" t="s">
        <v>86</v>
      </c>
      <c r="H108" s="36"/>
      <c r="J108" s="19" t="s">
        <v>50</v>
      </c>
      <c r="K108" s="27">
        <f>+G115*G122</f>
        <v>231012.10089806886</v>
      </c>
      <c r="L108" t="s">
        <v>37</v>
      </c>
      <c r="M108" s="19" t="s">
        <v>53</v>
      </c>
      <c r="N108" s="1">
        <v>0</v>
      </c>
      <c r="O108" t="s">
        <v>37</v>
      </c>
      <c r="R108" s="1">
        <f>+G121</f>
        <v>0.002521700278882043</v>
      </c>
      <c r="S108" s="27">
        <f>+K110/4</f>
        <v>930.4510710399378</v>
      </c>
      <c r="T108" s="1">
        <f>+G121</f>
        <v>0.002521700278882043</v>
      </c>
      <c r="U108" s="1">
        <f>+N110</f>
        <v>13633.130910454734</v>
      </c>
      <c r="V108" s="1">
        <f>+G121</f>
        <v>0.002521700278882043</v>
      </c>
      <c r="W108" s="1">
        <f>+K112</f>
        <v>14563.581981494672</v>
      </c>
    </row>
    <row r="109" spans="2:23" ht="14.25">
      <c r="B109" s="14" t="s">
        <v>13</v>
      </c>
      <c r="C109" s="34">
        <f>54/2.54</f>
        <v>21.25984251968504</v>
      </c>
      <c r="D109" s="8" t="s">
        <v>1</v>
      </c>
      <c r="F109" s="7" t="s">
        <v>14</v>
      </c>
      <c r="G109" s="34">
        <f>55/2.54</f>
        <v>21.653543307086615</v>
      </c>
      <c r="H109" s="6" t="s">
        <v>1</v>
      </c>
      <c r="J109" s="19" t="s">
        <v>62</v>
      </c>
      <c r="K109" s="35">
        <f>+K108/K107</f>
        <v>0.6260869565217388</v>
      </c>
      <c r="M109" s="19" t="s">
        <v>71</v>
      </c>
      <c r="N109" s="27">
        <f>+N108/N107</f>
        <v>0</v>
      </c>
      <c r="R109" s="1">
        <f>+G125</f>
        <v>0.010086801115528172</v>
      </c>
      <c r="S109" s="27">
        <f>+K110</f>
        <v>3721.804284159751</v>
      </c>
      <c r="T109" s="1">
        <f>+G125</f>
        <v>0.010086801115528172</v>
      </c>
      <c r="U109" s="1">
        <f>+N110</f>
        <v>13633.130910454734</v>
      </c>
      <c r="V109" s="1">
        <f>+G125</f>
        <v>0.010086801115528172</v>
      </c>
      <c r="W109" s="1">
        <f>+N112</f>
        <v>17354.935194614485</v>
      </c>
    </row>
    <row r="110" spans="2:23" ht="15">
      <c r="B110" s="14" t="s">
        <v>18</v>
      </c>
      <c r="C110" s="8">
        <v>360</v>
      </c>
      <c r="D110" s="8" t="s">
        <v>1</v>
      </c>
      <c r="F110" s="7" t="s">
        <v>46</v>
      </c>
      <c r="G110" s="34">
        <f>55/2.54</f>
        <v>21.653543307086615</v>
      </c>
      <c r="H110" s="6" t="s">
        <v>15</v>
      </c>
      <c r="J110" s="19" t="s">
        <v>51</v>
      </c>
      <c r="K110" s="1">
        <f>+K107*G125</f>
        <v>3721.804284159751</v>
      </c>
      <c r="L110" t="s">
        <v>4</v>
      </c>
      <c r="M110" s="19" t="s">
        <v>54</v>
      </c>
      <c r="N110" s="1">
        <f>+N107*G121</f>
        <v>13633.130910454734</v>
      </c>
      <c r="O110" t="s">
        <v>4</v>
      </c>
      <c r="R110" s="1">
        <f>+(G125+G121)</f>
        <v>0.012608501394410214</v>
      </c>
      <c r="S110" s="27">
        <f>+K111</f>
        <v>4304.347563419538</v>
      </c>
      <c r="T110" s="1">
        <f>+R110</f>
        <v>0.012608501394410214</v>
      </c>
      <c r="U110" s="1">
        <f>+N110</f>
        <v>13633.130910454734</v>
      </c>
      <c r="V110" s="1">
        <f>+G121+G125</f>
        <v>0.012608501394410214</v>
      </c>
      <c r="W110" s="1">
        <f>+K113</f>
        <v>17937.478473874275</v>
      </c>
    </row>
    <row r="111" spans="2:14" ht="14.25">
      <c r="B111" s="14"/>
      <c r="C111" s="8"/>
      <c r="D111" s="8"/>
      <c r="F111" s="7" t="s">
        <v>16</v>
      </c>
      <c r="G111" s="34">
        <f>3/2.54</f>
        <v>1.1811023622047243</v>
      </c>
      <c r="H111" s="6" t="s">
        <v>1</v>
      </c>
      <c r="J111" s="19" t="s">
        <v>57</v>
      </c>
      <c r="K111" s="1">
        <f>+K110+G121*K108</f>
        <v>4304.347563419538</v>
      </c>
      <c r="L111" t="s">
        <v>4</v>
      </c>
      <c r="M111" s="19"/>
      <c r="N111" s="1"/>
    </row>
    <row r="112" spans="2:15" ht="14.25">
      <c r="B112" s="15" t="s">
        <v>19</v>
      </c>
      <c r="C112" s="6"/>
      <c r="D112" s="6"/>
      <c r="F112" s="7" t="s">
        <v>17</v>
      </c>
      <c r="G112" s="34">
        <f>3/2.54</f>
        <v>1.1811023622047243</v>
      </c>
      <c r="H112" s="6" t="s">
        <v>1</v>
      </c>
      <c r="J112" s="19" t="s">
        <v>34</v>
      </c>
      <c r="K112" s="1">
        <f>+(K110)/4+N110</f>
        <v>14563.581981494672</v>
      </c>
      <c r="L112" t="s">
        <v>4</v>
      </c>
      <c r="M112" s="19" t="s">
        <v>58</v>
      </c>
      <c r="N112" s="1">
        <f>+N110+K110</f>
        <v>17354.935194614485</v>
      </c>
      <c r="O112" t="s">
        <v>4</v>
      </c>
    </row>
    <row r="113" spans="2:12" ht="14.25">
      <c r="B113" s="17"/>
      <c r="C113" s="8"/>
      <c r="D113" s="6"/>
      <c r="F113" s="7" t="s">
        <v>3</v>
      </c>
      <c r="G113" s="8">
        <v>156</v>
      </c>
      <c r="H113" s="6" t="s">
        <v>1</v>
      </c>
      <c r="J113" s="19" t="s">
        <v>38</v>
      </c>
      <c r="K113">
        <f>+N110+K111</f>
        <v>17937.478473874275</v>
      </c>
      <c r="L113" t="s">
        <v>4</v>
      </c>
    </row>
    <row r="114" spans="2:8" ht="14.25">
      <c r="B114" s="7" t="s">
        <v>20</v>
      </c>
      <c r="C114" s="8">
        <v>0</v>
      </c>
      <c r="D114" s="6" t="s">
        <v>1</v>
      </c>
      <c r="F114" s="7" t="s">
        <v>23</v>
      </c>
      <c r="G114" s="8">
        <v>48.7</v>
      </c>
      <c r="H114" s="6" t="s">
        <v>2</v>
      </c>
    </row>
    <row r="115" spans="2:8" ht="12.75">
      <c r="B115" s="4" t="s">
        <v>25</v>
      </c>
      <c r="C115" s="20">
        <v>11150</v>
      </c>
      <c r="D115" s="5" t="s">
        <v>2</v>
      </c>
      <c r="F115" s="23" t="s">
        <v>47</v>
      </c>
      <c r="G115" s="8">
        <v>0.04</v>
      </c>
      <c r="H115" s="5" t="s">
        <v>48</v>
      </c>
    </row>
    <row r="117" spans="2:6" ht="12.75">
      <c r="B117" s="2" t="s">
        <v>21</v>
      </c>
      <c r="F117" s="2" t="s">
        <v>27</v>
      </c>
    </row>
    <row r="119" spans="6:7" ht="12.75">
      <c r="F119" s="19"/>
      <c r="G119" s="1"/>
    </row>
    <row r="120" spans="2:8" ht="14.25">
      <c r="B120" s="19" t="s">
        <v>22</v>
      </c>
      <c r="C120" s="3">
        <f>0.55*G114*(G109*G111+((G109-G112)*C114/(0.55*(3)^0.5)))</f>
        <v>685.0277450554901</v>
      </c>
      <c r="D120" t="s">
        <v>0</v>
      </c>
      <c r="F120" s="19" t="s">
        <v>34</v>
      </c>
      <c r="G120" s="1">
        <f>+C120*C109</f>
        <v>14563.581981494672</v>
      </c>
      <c r="H120" t="s">
        <v>4</v>
      </c>
    </row>
    <row r="121" spans="2:8" ht="14.25">
      <c r="B121" s="18" t="s">
        <v>24</v>
      </c>
      <c r="C121" s="1">
        <f>+G114/(C115*3^0.5)</f>
        <v>0.002521700278882043</v>
      </c>
      <c r="D121" t="s">
        <v>36</v>
      </c>
      <c r="F121" s="18" t="s">
        <v>35</v>
      </c>
      <c r="G121" s="1">
        <f>+C121</f>
        <v>0.002521700278882043</v>
      </c>
      <c r="H121" t="s">
        <v>36</v>
      </c>
    </row>
    <row r="122" spans="2:8" ht="14.25">
      <c r="B122" s="19" t="s">
        <v>30</v>
      </c>
      <c r="C122" s="1">
        <f>+C120/C121</f>
        <v>271653.118648655</v>
      </c>
      <c r="D122" t="s">
        <v>31</v>
      </c>
      <c r="F122" s="19" t="s">
        <v>39</v>
      </c>
      <c r="G122" s="1">
        <f>+G120/G121</f>
        <v>5775302.522451721</v>
      </c>
      <c r="H122" t="s">
        <v>37</v>
      </c>
    </row>
    <row r="123" spans="2:8" ht="14.25">
      <c r="B123" s="19" t="s">
        <v>28</v>
      </c>
      <c r="C123" s="1">
        <f>+C120+0.55*G114*G109*G111*(3.45*G110*G112^2/(C109*G109*G111))</f>
        <v>816.324729524459</v>
      </c>
      <c r="D123" t="s">
        <v>0</v>
      </c>
      <c r="F123" s="19" t="s">
        <v>38</v>
      </c>
      <c r="G123" s="1">
        <f>+C123*C109</f>
        <v>17354.935194614485</v>
      </c>
      <c r="H123" t="s">
        <v>4</v>
      </c>
    </row>
    <row r="124" spans="2:8" ht="14.25">
      <c r="B124" s="19" t="s">
        <v>29</v>
      </c>
      <c r="C124" s="1">
        <f>4*C121</f>
        <v>0.010086801115528172</v>
      </c>
      <c r="D124" t="s">
        <v>36</v>
      </c>
      <c r="F124" s="19" t="s">
        <v>40</v>
      </c>
      <c r="G124" s="1">
        <f>+(G123-G120)/(3*C121)</f>
        <v>368977.66115663794</v>
      </c>
      <c r="H124" t="s">
        <v>37</v>
      </c>
    </row>
    <row r="125" spans="2:8" ht="14.25">
      <c r="B125" s="19" t="s">
        <v>32</v>
      </c>
      <c r="C125" s="1">
        <f>+(C123-C120)/(C124-C121)</f>
        <v>17355.615913664074</v>
      </c>
      <c r="D125" t="s">
        <v>31</v>
      </c>
      <c r="F125" s="18" t="s">
        <v>41</v>
      </c>
      <c r="G125" s="1">
        <f>4*G121</f>
        <v>0.010086801115528172</v>
      </c>
      <c r="H125" t="s">
        <v>36</v>
      </c>
    </row>
    <row r="126" spans="2:3" ht="14.25">
      <c r="B126" s="19" t="s">
        <v>33</v>
      </c>
      <c r="C126" s="1">
        <f>+C125/C122</f>
        <v>0.0638888888888889</v>
      </c>
    </row>
    <row r="127" spans="2:8" ht="12.75">
      <c r="B127" s="22"/>
      <c r="C127" s="11"/>
      <c r="D127" s="11"/>
      <c r="E127" s="10"/>
      <c r="F127" s="9"/>
      <c r="G127" s="10"/>
      <c r="H127" s="11"/>
    </row>
    <row r="128" spans="2:12" ht="12.75">
      <c r="B128" s="11"/>
      <c r="C128" s="11"/>
      <c r="D128" s="11"/>
      <c r="E128" s="10"/>
      <c r="F128" s="10"/>
      <c r="G128" s="10"/>
      <c r="H128" s="10"/>
      <c r="L128" s="2" t="s">
        <v>68</v>
      </c>
    </row>
    <row r="129" spans="2:22" ht="12.75">
      <c r="B129" s="12" t="s">
        <v>9</v>
      </c>
      <c r="C129" s="8"/>
      <c r="D129" s="8"/>
      <c r="F129" s="13" t="s">
        <v>6</v>
      </c>
      <c r="G129" s="6"/>
      <c r="H129" s="8" t="s">
        <v>7</v>
      </c>
      <c r="R129" s="2" t="s">
        <v>59</v>
      </c>
      <c r="T129" s="2" t="s">
        <v>60</v>
      </c>
      <c r="V129" s="2" t="s">
        <v>61</v>
      </c>
    </row>
    <row r="130" spans="2:23" ht="12.75">
      <c r="B130" s="8"/>
      <c r="C130" s="7" t="s">
        <v>44</v>
      </c>
      <c r="D130" s="8" t="s">
        <v>45</v>
      </c>
      <c r="F130" s="6"/>
      <c r="G130" s="7" t="s">
        <v>43</v>
      </c>
      <c r="H130" s="8">
        <v>1</v>
      </c>
      <c r="J130" s="2" t="s">
        <v>69</v>
      </c>
      <c r="M130" s="2" t="s">
        <v>70</v>
      </c>
      <c r="R130" s="25" t="s">
        <v>55</v>
      </c>
      <c r="S130" s="24" t="s">
        <v>56</v>
      </c>
      <c r="T130" s="25" t="s">
        <v>55</v>
      </c>
      <c r="U130" s="24" t="s">
        <v>56</v>
      </c>
      <c r="V130" s="25" t="s">
        <v>55</v>
      </c>
      <c r="W130" s="24" t="s">
        <v>56</v>
      </c>
    </row>
    <row r="131" spans="2:8" ht="12.75">
      <c r="B131" s="8"/>
      <c r="C131" s="8"/>
      <c r="D131" s="8"/>
      <c r="F131" s="8"/>
      <c r="G131" s="8"/>
      <c r="H131" s="8"/>
    </row>
    <row r="132" spans="2:23" ht="14.25">
      <c r="B132" s="14" t="s">
        <v>10</v>
      </c>
      <c r="C132" s="8"/>
      <c r="D132" s="8"/>
      <c r="F132" s="15" t="s">
        <v>11</v>
      </c>
      <c r="G132" s="6"/>
      <c r="H132" s="6"/>
      <c r="J132" s="19" t="s">
        <v>49</v>
      </c>
      <c r="K132" s="27">
        <f>+G149</f>
        <v>368977.66115663794</v>
      </c>
      <c r="L132" t="s">
        <v>37</v>
      </c>
      <c r="M132" s="19" t="s">
        <v>52</v>
      </c>
      <c r="N132" s="1">
        <f>+G147-K132</f>
        <v>5406324.861295084</v>
      </c>
      <c r="O132" t="s">
        <v>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2:23" ht="14.25">
      <c r="B133" s="16" t="s">
        <v>12</v>
      </c>
      <c r="C133" s="36" t="s">
        <v>90</v>
      </c>
      <c r="D133" s="36"/>
      <c r="F133" s="17" t="s">
        <v>12</v>
      </c>
      <c r="G133" s="36" t="s">
        <v>86</v>
      </c>
      <c r="H133" s="36"/>
      <c r="J133" s="19" t="s">
        <v>50</v>
      </c>
      <c r="K133" s="1">
        <f>+G140*G147</f>
        <v>231012.10089806886</v>
      </c>
      <c r="L133" t="s">
        <v>37</v>
      </c>
      <c r="M133" s="19" t="s">
        <v>53</v>
      </c>
      <c r="N133" s="1">
        <v>0</v>
      </c>
      <c r="O133" t="s">
        <v>37</v>
      </c>
      <c r="R133" s="1">
        <f>+G146</f>
        <v>0.002521700278882043</v>
      </c>
      <c r="S133" s="27">
        <f>+K135/4</f>
        <v>930.4510710399378</v>
      </c>
      <c r="T133" s="1">
        <f>+G146</f>
        <v>0.002521700278882043</v>
      </c>
      <c r="U133" s="27">
        <f>+N135</f>
        <v>13633.130910454734</v>
      </c>
      <c r="V133" s="1">
        <f>+G146</f>
        <v>0.002521700278882043</v>
      </c>
      <c r="W133" s="1">
        <f>+K137</f>
        <v>14563.581981494672</v>
      </c>
    </row>
    <row r="134" spans="2:23" ht="14.25">
      <c r="B134" s="14" t="s">
        <v>13</v>
      </c>
      <c r="C134" s="34">
        <f>54/2.54</f>
        <v>21.25984251968504</v>
      </c>
      <c r="D134" s="8" t="s">
        <v>1</v>
      </c>
      <c r="F134" s="7" t="s">
        <v>14</v>
      </c>
      <c r="G134" s="34">
        <f>55/2.54</f>
        <v>21.653543307086615</v>
      </c>
      <c r="H134" s="6" t="s">
        <v>1</v>
      </c>
      <c r="J134" s="19" t="s">
        <v>62</v>
      </c>
      <c r="K134" s="26">
        <f>+K133/K132</f>
        <v>0.6260869565217388</v>
      </c>
      <c r="M134" s="19" t="s">
        <v>71</v>
      </c>
      <c r="N134" s="27">
        <f>+N133/N132</f>
        <v>0</v>
      </c>
      <c r="R134" s="1">
        <f>+G150</f>
        <v>0.010086801115528172</v>
      </c>
      <c r="S134" s="27">
        <f>+K135</f>
        <v>3721.804284159751</v>
      </c>
      <c r="T134" s="1">
        <f>+G150</f>
        <v>0.010086801115528172</v>
      </c>
      <c r="U134" s="27">
        <f>+N135</f>
        <v>13633.130910454734</v>
      </c>
      <c r="V134" s="1">
        <f>+G150</f>
        <v>0.010086801115528172</v>
      </c>
      <c r="W134" s="1">
        <f>+N137</f>
        <v>17354.935194614485</v>
      </c>
    </row>
    <row r="135" spans="2:23" ht="15">
      <c r="B135" s="14" t="s">
        <v>18</v>
      </c>
      <c r="C135" s="8">
        <v>360</v>
      </c>
      <c r="D135" s="8" t="s">
        <v>1</v>
      </c>
      <c r="F135" s="7" t="s">
        <v>46</v>
      </c>
      <c r="G135" s="34">
        <f>55/2.54</f>
        <v>21.653543307086615</v>
      </c>
      <c r="H135" s="6" t="s">
        <v>15</v>
      </c>
      <c r="J135" s="19" t="s">
        <v>51</v>
      </c>
      <c r="K135" s="1">
        <f>+K132*G150</f>
        <v>3721.804284159751</v>
      </c>
      <c r="L135" t="s">
        <v>4</v>
      </c>
      <c r="M135" s="19" t="s">
        <v>54</v>
      </c>
      <c r="N135" s="1">
        <f>+N132*G146</f>
        <v>13633.130910454734</v>
      </c>
      <c r="O135" t="s">
        <v>4</v>
      </c>
      <c r="R135" s="1">
        <f>+(G150+G146)</f>
        <v>0.012608501394410214</v>
      </c>
      <c r="S135" s="27">
        <f>+K136</f>
        <v>4304.347563419538</v>
      </c>
      <c r="T135" s="1">
        <f>+R135</f>
        <v>0.012608501394410214</v>
      </c>
      <c r="U135" s="27">
        <f>+N135</f>
        <v>13633.130910454734</v>
      </c>
      <c r="V135" s="1">
        <f>+G146+G150</f>
        <v>0.012608501394410214</v>
      </c>
      <c r="W135" s="1">
        <f>+K138</f>
        <v>17937.478473874275</v>
      </c>
    </row>
    <row r="136" spans="2:14" ht="14.25">
      <c r="B136" s="14"/>
      <c r="C136" s="8"/>
      <c r="D136" s="8"/>
      <c r="F136" s="7" t="s">
        <v>16</v>
      </c>
      <c r="G136" s="34">
        <f>3/2.54</f>
        <v>1.1811023622047243</v>
      </c>
      <c r="H136" s="6" t="s">
        <v>1</v>
      </c>
      <c r="J136" s="19" t="s">
        <v>57</v>
      </c>
      <c r="K136" s="1">
        <f>+K135+G146*K133</f>
        <v>4304.347563419538</v>
      </c>
      <c r="L136" t="s">
        <v>4</v>
      </c>
      <c r="M136" s="19"/>
      <c r="N136" s="1"/>
    </row>
    <row r="137" spans="2:15" ht="14.25">
      <c r="B137" s="15" t="s">
        <v>19</v>
      </c>
      <c r="C137" s="6"/>
      <c r="D137" s="6"/>
      <c r="F137" s="7" t="s">
        <v>17</v>
      </c>
      <c r="G137" s="34">
        <f>3/2.54</f>
        <v>1.1811023622047243</v>
      </c>
      <c r="H137" s="6" t="s">
        <v>1</v>
      </c>
      <c r="J137" s="19" t="s">
        <v>34</v>
      </c>
      <c r="K137" s="1">
        <f>+(K135)/4+N135</f>
        <v>14563.581981494672</v>
      </c>
      <c r="L137" t="s">
        <v>4</v>
      </c>
      <c r="M137" s="19" t="s">
        <v>58</v>
      </c>
      <c r="N137" s="1">
        <f>+N135+K135</f>
        <v>17354.935194614485</v>
      </c>
      <c r="O137" t="s">
        <v>4</v>
      </c>
    </row>
    <row r="138" spans="2:12" ht="14.25">
      <c r="B138" s="17"/>
      <c r="C138" s="8"/>
      <c r="D138" s="6"/>
      <c r="F138" s="7" t="s">
        <v>3</v>
      </c>
      <c r="G138" s="8">
        <v>168</v>
      </c>
      <c r="H138" s="6" t="s">
        <v>1</v>
      </c>
      <c r="J138" s="19" t="s">
        <v>38</v>
      </c>
      <c r="K138">
        <f>+N135+K136</f>
        <v>17937.478473874275</v>
      </c>
      <c r="L138" t="s">
        <v>4</v>
      </c>
    </row>
    <row r="139" spans="2:8" ht="14.25">
      <c r="B139" s="7" t="s">
        <v>20</v>
      </c>
      <c r="C139" s="8">
        <v>0</v>
      </c>
      <c r="D139" s="6" t="s">
        <v>1</v>
      </c>
      <c r="F139" s="7" t="s">
        <v>23</v>
      </c>
      <c r="G139" s="8">
        <v>48.7</v>
      </c>
      <c r="H139" s="6" t="s">
        <v>2</v>
      </c>
    </row>
    <row r="140" spans="2:8" ht="12.75">
      <c r="B140" s="4" t="s">
        <v>25</v>
      </c>
      <c r="C140" s="20">
        <v>11150</v>
      </c>
      <c r="D140" s="5" t="s">
        <v>2</v>
      </c>
      <c r="F140" s="23" t="s">
        <v>47</v>
      </c>
      <c r="G140" s="8">
        <v>0.04</v>
      </c>
      <c r="H140" s="5" t="s">
        <v>48</v>
      </c>
    </row>
    <row r="142" spans="2:6" ht="12.75">
      <c r="B142" s="2" t="s">
        <v>21</v>
      </c>
      <c r="F142" s="2" t="s">
        <v>27</v>
      </c>
    </row>
    <row r="144" spans="6:7" ht="12.75">
      <c r="F144" s="19"/>
      <c r="G144" s="1"/>
    </row>
    <row r="145" spans="2:8" ht="14.25">
      <c r="B145" s="19" t="s">
        <v>22</v>
      </c>
      <c r="C145" s="3">
        <f>0.55*G139*(G134*G136+((G134-G137)*C139/(0.55*(3)^0.5)))</f>
        <v>685.0277450554901</v>
      </c>
      <c r="D145" t="s">
        <v>0</v>
      </c>
      <c r="F145" s="19" t="s">
        <v>34</v>
      </c>
      <c r="G145" s="1">
        <f>+C145*C134</f>
        <v>14563.581981494672</v>
      </c>
      <c r="H145" t="s">
        <v>4</v>
      </c>
    </row>
    <row r="146" spans="2:8" ht="14.25">
      <c r="B146" s="18" t="s">
        <v>24</v>
      </c>
      <c r="C146" s="1">
        <f>+G139/(C140*3^0.5)</f>
        <v>0.002521700278882043</v>
      </c>
      <c r="D146" t="s">
        <v>36</v>
      </c>
      <c r="F146" s="18" t="s">
        <v>35</v>
      </c>
      <c r="G146" s="1">
        <f>+C146</f>
        <v>0.002521700278882043</v>
      </c>
      <c r="H146" t="s">
        <v>36</v>
      </c>
    </row>
    <row r="147" spans="2:8" ht="14.25">
      <c r="B147" s="19" t="s">
        <v>30</v>
      </c>
      <c r="C147" s="1">
        <f>+C145/C146</f>
        <v>271653.118648655</v>
      </c>
      <c r="D147" t="s">
        <v>31</v>
      </c>
      <c r="F147" s="19" t="s">
        <v>39</v>
      </c>
      <c r="G147" s="1">
        <f>+G145/G146</f>
        <v>5775302.522451721</v>
      </c>
      <c r="H147" t="s">
        <v>37</v>
      </c>
    </row>
    <row r="148" spans="2:8" ht="14.25">
      <c r="B148" s="19" t="s">
        <v>28</v>
      </c>
      <c r="C148" s="1">
        <f>+C145+0.55*G139*G134*G136*(3.45*G135*G137^2/(C134*G134*G136))</f>
        <v>816.324729524459</v>
      </c>
      <c r="D148" t="s">
        <v>0</v>
      </c>
      <c r="F148" s="19" t="s">
        <v>38</v>
      </c>
      <c r="G148" s="1">
        <f>+C148*C134</f>
        <v>17354.935194614485</v>
      </c>
      <c r="H148" t="s">
        <v>4</v>
      </c>
    </row>
    <row r="149" spans="2:8" ht="14.25">
      <c r="B149" s="19" t="s">
        <v>29</v>
      </c>
      <c r="C149" s="1">
        <f>4*C146</f>
        <v>0.010086801115528172</v>
      </c>
      <c r="D149" t="s">
        <v>36</v>
      </c>
      <c r="F149" s="19" t="s">
        <v>40</v>
      </c>
      <c r="G149" s="1">
        <f>+(G148-G145)/(3*C146)</f>
        <v>368977.66115663794</v>
      </c>
      <c r="H149" t="s">
        <v>37</v>
      </c>
    </row>
    <row r="150" spans="2:8" ht="14.25">
      <c r="B150" s="19" t="s">
        <v>32</v>
      </c>
      <c r="C150" s="1">
        <f>+(C148-C145)/(C149-C146)</f>
        <v>17355.615913664074</v>
      </c>
      <c r="D150" t="s">
        <v>31</v>
      </c>
      <c r="F150" s="18" t="s">
        <v>41</v>
      </c>
      <c r="G150" s="1">
        <f>4*G146</f>
        <v>0.010086801115528172</v>
      </c>
      <c r="H150" t="s">
        <v>36</v>
      </c>
    </row>
    <row r="151" spans="2:3" ht="14.25">
      <c r="B151" s="19" t="s">
        <v>33</v>
      </c>
      <c r="C151" s="1">
        <f>+C150/C147</f>
        <v>0.0638888888888889</v>
      </c>
    </row>
    <row r="152" spans="2:8" ht="12.75">
      <c r="B152" s="22"/>
      <c r="C152" s="11"/>
      <c r="D152" s="11"/>
      <c r="E152" s="10"/>
      <c r="F152" s="9"/>
      <c r="G152" s="10"/>
      <c r="H152" s="11"/>
    </row>
    <row r="153" ht="12.75">
      <c r="L153" s="2"/>
    </row>
    <row r="154" spans="2:22" ht="12.75">
      <c r="B154" s="12"/>
      <c r="C154" s="8"/>
      <c r="D154" s="8"/>
      <c r="F154" s="13"/>
      <c r="G154" s="6"/>
      <c r="H154" s="8"/>
      <c r="R154" s="2"/>
      <c r="T154" s="2"/>
      <c r="V154" s="2"/>
    </row>
    <row r="155" spans="2:23" ht="12.75">
      <c r="B155" s="8"/>
      <c r="C155" s="7"/>
      <c r="D155" s="8"/>
      <c r="F155" s="6"/>
      <c r="G155" s="7"/>
      <c r="H155" s="8"/>
      <c r="J155" s="2"/>
      <c r="M155" s="2"/>
      <c r="R155" s="25"/>
      <c r="S155" s="24"/>
      <c r="T155" s="25"/>
      <c r="U155" s="24"/>
      <c r="V155" s="25"/>
      <c r="W155" s="24"/>
    </row>
    <row r="156" spans="2:8" ht="12.75">
      <c r="B156" s="8"/>
      <c r="C156" s="8"/>
      <c r="D156" s="8"/>
      <c r="F156" s="8"/>
      <c r="G156" s="8"/>
      <c r="H156" s="8"/>
    </row>
    <row r="157" spans="2:23" ht="12.75">
      <c r="B157" s="14"/>
      <c r="C157" s="8"/>
      <c r="D157" s="8"/>
      <c r="F157" s="15"/>
      <c r="G157" s="6"/>
      <c r="H157" s="6"/>
      <c r="J157" s="19"/>
      <c r="K157" s="1"/>
      <c r="M157" s="19"/>
      <c r="N157" s="1"/>
      <c r="R157" s="1"/>
      <c r="S157" s="1"/>
      <c r="T157" s="1"/>
      <c r="U157" s="1"/>
      <c r="V157" s="1"/>
      <c r="W157" s="1"/>
    </row>
    <row r="158" spans="2:23" ht="12.75">
      <c r="B158" s="16"/>
      <c r="C158" s="8"/>
      <c r="D158" s="8"/>
      <c r="F158" s="17"/>
      <c r="G158" s="8"/>
      <c r="H158" s="6"/>
      <c r="J158" s="19"/>
      <c r="K158" s="1"/>
      <c r="M158" s="19"/>
      <c r="N158" s="1"/>
      <c r="R158" s="1"/>
      <c r="S158" s="1"/>
      <c r="T158" s="1"/>
      <c r="U158" s="1"/>
      <c r="V158" s="1"/>
      <c r="W158" s="1"/>
    </row>
    <row r="159" spans="2:23" ht="12.75">
      <c r="B159" s="14"/>
      <c r="C159" s="8"/>
      <c r="D159" s="8"/>
      <c r="F159" s="7"/>
      <c r="G159" s="8"/>
      <c r="H159" s="6"/>
      <c r="J159" s="19"/>
      <c r="K159" s="26"/>
      <c r="M159" s="19"/>
      <c r="N159" s="27"/>
      <c r="R159" s="1"/>
      <c r="S159" s="1"/>
      <c r="T159" s="1"/>
      <c r="U159" s="1"/>
      <c r="V159" s="1"/>
      <c r="W159" s="1"/>
    </row>
    <row r="160" spans="2:23" ht="12.75">
      <c r="B160" s="14"/>
      <c r="C160" s="8"/>
      <c r="D160" s="8"/>
      <c r="F160" s="7"/>
      <c r="G160" s="8"/>
      <c r="H160" s="6"/>
      <c r="J160" s="19"/>
      <c r="K160" s="1"/>
      <c r="M160" s="19"/>
      <c r="N160" s="1"/>
      <c r="R160" s="1"/>
      <c r="S160" s="1"/>
      <c r="T160" s="1"/>
      <c r="U160" s="1"/>
      <c r="V160" s="1"/>
      <c r="W160" s="1"/>
    </row>
    <row r="161" spans="2:14" ht="12.75">
      <c r="B161" s="14"/>
      <c r="C161" s="8"/>
      <c r="D161" s="8"/>
      <c r="F161" s="7"/>
      <c r="G161" s="8"/>
      <c r="H161" s="6"/>
      <c r="J161" s="19"/>
      <c r="K161" s="1"/>
      <c r="M161" s="19"/>
      <c r="N161" s="1"/>
    </row>
    <row r="162" spans="2:14" ht="12.75">
      <c r="B162" s="15"/>
      <c r="C162" s="6"/>
      <c r="D162" s="6"/>
      <c r="F162" s="7"/>
      <c r="G162" s="8"/>
      <c r="H162" s="6"/>
      <c r="J162" s="19"/>
      <c r="K162" s="1"/>
      <c r="M162" s="19"/>
      <c r="N162" s="1"/>
    </row>
    <row r="163" spans="2:10" ht="12.75">
      <c r="B163" s="17"/>
      <c r="C163" s="8"/>
      <c r="D163" s="6"/>
      <c r="F163" s="7"/>
      <c r="G163" s="8"/>
      <c r="H163" s="6"/>
      <c r="J163" s="19"/>
    </row>
    <row r="164" spans="2:8" ht="12.75">
      <c r="B164" s="7"/>
      <c r="C164" s="8"/>
      <c r="D164" s="6"/>
      <c r="F164" s="7"/>
      <c r="G164" s="8"/>
      <c r="H164" s="6"/>
    </row>
    <row r="165" spans="2:8" ht="12.75">
      <c r="B165" s="4"/>
      <c r="C165" s="20"/>
      <c r="D165" s="5"/>
      <c r="F165" s="23"/>
      <c r="G165" s="8"/>
      <c r="H165" s="5"/>
    </row>
    <row r="167" spans="2:6" ht="12.75">
      <c r="B167" s="2"/>
      <c r="F167" s="2"/>
    </row>
    <row r="169" spans="6:7" ht="12.75">
      <c r="F169" s="19"/>
      <c r="G169" s="1"/>
    </row>
    <row r="170" spans="2:7" ht="12.75">
      <c r="B170" s="19"/>
      <c r="C170" s="3"/>
      <c r="F170" s="19"/>
      <c r="G170" s="1"/>
    </row>
    <row r="171" spans="2:7" ht="12.75">
      <c r="B171" s="18"/>
      <c r="C171" s="1"/>
      <c r="F171" s="18"/>
      <c r="G171" s="1"/>
    </row>
    <row r="172" spans="2:7" ht="12.75">
      <c r="B172" s="19"/>
      <c r="C172" s="1"/>
      <c r="F172" s="19"/>
      <c r="G172" s="1"/>
    </row>
    <row r="173" spans="2:7" ht="12.75">
      <c r="B173" s="19"/>
      <c r="C173" s="1"/>
      <c r="F173" s="19"/>
      <c r="G173" s="1"/>
    </row>
    <row r="174" spans="2:7" ht="12.75">
      <c r="B174" s="19"/>
      <c r="C174" s="1"/>
      <c r="F174" s="19"/>
      <c r="G174" s="1"/>
    </row>
    <row r="175" spans="2:7" ht="12.75">
      <c r="B175" s="19"/>
      <c r="C175" s="1"/>
      <c r="F175" s="18"/>
      <c r="G175" s="1"/>
    </row>
    <row r="176" spans="2:3" ht="12.75">
      <c r="B176" s="19"/>
      <c r="C176" s="1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mergeCells count="10">
    <mergeCell ref="G8:H8"/>
    <mergeCell ref="G133:H133"/>
    <mergeCell ref="G108:H108"/>
    <mergeCell ref="G83:H83"/>
    <mergeCell ref="G58:H58"/>
    <mergeCell ref="G33:H33"/>
    <mergeCell ref="C8:D8"/>
    <mergeCell ref="C33:D33"/>
    <mergeCell ref="C108:D108"/>
    <mergeCell ref="C133:D133"/>
  </mergeCells>
  <printOptions/>
  <pageMargins left="1.25" right="0.75" top="1" bottom="1" header="0.5" footer="0.5"/>
  <pageSetup fitToHeight="1" fitToWidth="1" horizontalDpi="1200" verticalDpi="12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0"/>
  <sheetViews>
    <sheetView workbookViewId="0" topLeftCell="A103">
      <selection activeCell="G109" sqref="G109"/>
    </sheetView>
  </sheetViews>
  <sheetFormatPr defaultColWidth="11.421875" defaultRowHeight="12.75"/>
  <cols>
    <col min="1" max="21" width="9.140625" style="0" customWidth="1"/>
    <col min="22" max="22" width="9.57421875" style="0" bestFit="1" customWidth="1"/>
    <col min="23" max="16384" width="9.140625" style="0" customWidth="1"/>
  </cols>
  <sheetData>
    <row r="1" spans="1:27" ht="12.75">
      <c r="A1" s="2" t="s">
        <v>80</v>
      </c>
      <c r="H1" s="33">
        <v>37170</v>
      </c>
      <c r="Y1" t="s">
        <v>81</v>
      </c>
      <c r="AA1" s="2" t="s">
        <v>80</v>
      </c>
    </row>
    <row r="2" spans="3:33" ht="12.75">
      <c r="C2" s="2" t="s">
        <v>42</v>
      </c>
      <c r="G2" s="1"/>
      <c r="AC2" s="2" t="s">
        <v>42</v>
      </c>
      <c r="AG2" s="1"/>
    </row>
    <row r="3" spans="3:38" ht="12.75">
      <c r="C3" s="2" t="s">
        <v>76</v>
      </c>
      <c r="L3" s="2" t="s">
        <v>63</v>
      </c>
      <c r="AC3" s="2" t="s">
        <v>76</v>
      </c>
      <c r="AL3" s="2" t="s">
        <v>63</v>
      </c>
    </row>
    <row r="4" spans="2:48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B4" s="12" t="s">
        <v>9</v>
      </c>
      <c r="AC4" s="8"/>
      <c r="AD4" s="8"/>
      <c r="AF4" s="13" t="s">
        <v>6</v>
      </c>
      <c r="AG4" s="6"/>
      <c r="AH4" s="8" t="s">
        <v>7</v>
      </c>
      <c r="AR4" s="2" t="s">
        <v>59</v>
      </c>
      <c r="AT4" s="2" t="s">
        <v>60</v>
      </c>
      <c r="AV4" s="2" t="s">
        <v>61</v>
      </c>
    </row>
    <row r="5" spans="2:4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B5" s="8"/>
      <c r="AC5" s="7" t="s">
        <v>44</v>
      </c>
      <c r="AD5" s="8" t="s">
        <v>45</v>
      </c>
      <c r="AF5" s="6"/>
      <c r="AG5" s="7" t="s">
        <v>43</v>
      </c>
      <c r="AH5" s="8">
        <v>6</v>
      </c>
      <c r="AJ5" s="2" t="s">
        <v>69</v>
      </c>
      <c r="AM5" s="2" t="s">
        <v>70</v>
      </c>
      <c r="AR5" s="25" t="s">
        <v>55</v>
      </c>
      <c r="AS5" s="24" t="s">
        <v>56</v>
      </c>
      <c r="AT5" s="25" t="s">
        <v>55</v>
      </c>
      <c r="AU5" s="24" t="s">
        <v>56</v>
      </c>
      <c r="AV5" s="25" t="s">
        <v>55</v>
      </c>
      <c r="AW5" s="24" t="s">
        <v>56</v>
      </c>
    </row>
    <row r="6" spans="2:34" ht="12.75">
      <c r="B6" s="8"/>
      <c r="C6" s="8"/>
      <c r="D6" s="8"/>
      <c r="F6" s="8"/>
      <c r="G6" s="8"/>
      <c r="H6" s="8"/>
      <c r="AB6" s="8"/>
      <c r="AC6" s="8"/>
      <c r="AD6" s="8"/>
      <c r="AF6" s="8"/>
      <c r="AG6" s="8"/>
      <c r="AH6" s="8"/>
    </row>
    <row r="7" spans="2:4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+G24</f>
        <v>162350.17090892058</v>
      </c>
      <c r="L7" t="s">
        <v>37</v>
      </c>
      <c r="M7" s="19" t="s">
        <v>52</v>
      </c>
      <c r="N7" s="1">
        <f>+G22-K7</f>
        <v>3944531.622834526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B7" s="14" t="s">
        <v>10</v>
      </c>
      <c r="AC7" s="8"/>
      <c r="AD7" s="8"/>
      <c r="AF7" s="15" t="s">
        <v>11</v>
      </c>
      <c r="AG7" s="6"/>
      <c r="AH7" s="6"/>
      <c r="AJ7" s="19" t="s">
        <v>49</v>
      </c>
      <c r="AK7" s="1">
        <f>+AG24</f>
        <v>574218.017743945</v>
      </c>
      <c r="AL7" t="s">
        <v>37</v>
      </c>
      <c r="AM7" s="19" t="s">
        <v>52</v>
      </c>
      <c r="AN7" s="1">
        <f>+AG22-AK7</f>
        <v>3753580.5663757725</v>
      </c>
      <c r="AO7" t="s">
        <v>37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</row>
    <row r="8" spans="2:49" ht="14.25">
      <c r="B8" s="16" t="s">
        <v>12</v>
      </c>
      <c r="C8" s="8" t="s">
        <v>88</v>
      </c>
      <c r="D8" s="8"/>
      <c r="F8" s="17" t="s">
        <v>12</v>
      </c>
      <c r="G8" s="36" t="s">
        <v>84</v>
      </c>
      <c r="H8" s="36"/>
      <c r="J8" s="19" t="s">
        <v>50</v>
      </c>
      <c r="K8" s="1">
        <f>+G15*G22</f>
        <v>164275.27174973788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0.002521700278882043</v>
      </c>
      <c r="S8" s="1">
        <f>+K10/4</f>
        <v>409.39847125757234</v>
      </c>
      <c r="T8" s="1">
        <f>+G21</f>
        <v>0.002521700278882043</v>
      </c>
      <c r="U8" s="1">
        <f>+N10</f>
        <v>9946.926493360861</v>
      </c>
      <c r="V8" s="1">
        <f>+G21</f>
        <v>0.002521700278882043</v>
      </c>
      <c r="W8" s="1">
        <f>+K12</f>
        <v>10356.324964618434</v>
      </c>
      <c r="AB8" s="16" t="s">
        <v>12</v>
      </c>
      <c r="AC8" s="8" t="s">
        <v>77</v>
      </c>
      <c r="AD8" s="8"/>
      <c r="AF8" s="17" t="s">
        <v>12</v>
      </c>
      <c r="AG8" s="8" t="s">
        <v>78</v>
      </c>
      <c r="AH8" s="6"/>
      <c r="AJ8" s="19" t="s">
        <v>50</v>
      </c>
      <c r="AK8" s="1">
        <f>+AG15*AG22</f>
        <v>173111.94336478872</v>
      </c>
      <c r="AL8" t="s">
        <v>37</v>
      </c>
      <c r="AM8" s="19" t="s">
        <v>53</v>
      </c>
      <c r="AN8" s="1">
        <v>0</v>
      </c>
      <c r="AO8" t="s">
        <v>37</v>
      </c>
      <c r="AR8" s="1">
        <f>+AG21</f>
        <v>0.002889340360608172</v>
      </c>
      <c r="AS8" s="1">
        <f>+AK10/4</f>
        <v>1659.1112944559998</v>
      </c>
      <c r="AT8" s="1">
        <f>+AG21</f>
        <v>0.002889340360608172</v>
      </c>
      <c r="AU8" s="1">
        <f>+AN10</f>
        <v>10845.371827224</v>
      </c>
      <c r="AV8" s="1">
        <f>+AG21</f>
        <v>0.002889340360608172</v>
      </c>
      <c r="AW8" s="1">
        <f>+AK12</f>
        <v>12504.48312168</v>
      </c>
    </row>
    <row r="9" spans="2:49" ht="14.25">
      <c r="B9" s="14" t="s">
        <v>13</v>
      </c>
      <c r="C9" s="34">
        <f>64/2.54</f>
        <v>25.196850393700785</v>
      </c>
      <c r="D9" s="8" t="s">
        <v>1</v>
      </c>
      <c r="F9" s="7" t="s">
        <v>14</v>
      </c>
      <c r="G9" s="34">
        <f>45/2.54</f>
        <v>17.716535433070867</v>
      </c>
      <c r="H9" s="6" t="s">
        <v>1</v>
      </c>
      <c r="J9" s="19" t="s">
        <v>62</v>
      </c>
      <c r="K9" s="26">
        <f>+K8/K7</f>
        <v>1.0118577075098818</v>
      </c>
      <c r="M9" s="19" t="s">
        <v>71</v>
      </c>
      <c r="N9" s="27">
        <f>+N8/N7</f>
        <v>0</v>
      </c>
      <c r="R9" s="1">
        <f>+G25</f>
        <v>0.010086801115528172</v>
      </c>
      <c r="S9" s="1">
        <f>+K10</f>
        <v>1637.5938850302894</v>
      </c>
      <c r="T9" s="1">
        <f>+G25</f>
        <v>0.010086801115528172</v>
      </c>
      <c r="U9" s="1">
        <f>+N10</f>
        <v>9946.926493360861</v>
      </c>
      <c r="V9" s="1">
        <f>+G25</f>
        <v>0.010086801115528172</v>
      </c>
      <c r="W9" s="1">
        <f>+N12</f>
        <v>11584.520378391151</v>
      </c>
      <c r="AB9" s="14" t="s">
        <v>13</v>
      </c>
      <c r="AC9" s="8">
        <v>23.74</v>
      </c>
      <c r="AD9" s="8" t="s">
        <v>1</v>
      </c>
      <c r="AF9" s="7" t="s">
        <v>14</v>
      </c>
      <c r="AG9" s="8">
        <v>16.04</v>
      </c>
      <c r="AH9" s="6" t="s">
        <v>1</v>
      </c>
      <c r="AJ9" s="19" t="s">
        <v>62</v>
      </c>
      <c r="AK9" s="26">
        <f>+AK8/AK7</f>
        <v>0.3014742450000632</v>
      </c>
      <c r="AM9" s="19" t="s">
        <v>71</v>
      </c>
      <c r="AN9" s="27">
        <f>+AN8/AN7</f>
        <v>0</v>
      </c>
      <c r="AR9" s="1">
        <f>+AG25</f>
        <v>0.011557361442432688</v>
      </c>
      <c r="AS9" s="1">
        <f>+AK10</f>
        <v>6636.445177823999</v>
      </c>
      <c r="AT9" s="1">
        <f>+AG25</f>
        <v>0.011557361442432688</v>
      </c>
      <c r="AU9" s="1">
        <f>+AN10</f>
        <v>10845.371827224</v>
      </c>
      <c r="AV9" s="1">
        <f>+AG25</f>
        <v>0.011557361442432688</v>
      </c>
      <c r="AW9" s="1">
        <f>+AN12</f>
        <v>17481.817005048</v>
      </c>
    </row>
    <row r="10" spans="2:49" ht="15">
      <c r="B10" s="14" t="s">
        <v>18</v>
      </c>
      <c r="C10" s="8">
        <v>360</v>
      </c>
      <c r="D10" s="8" t="s">
        <v>1</v>
      </c>
      <c r="F10" s="7" t="s">
        <v>46</v>
      </c>
      <c r="G10" s="34">
        <f>45/2.54</f>
        <v>17.716535433070867</v>
      </c>
      <c r="H10" s="6" t="s">
        <v>15</v>
      </c>
      <c r="J10" s="19" t="s">
        <v>51</v>
      </c>
      <c r="K10" s="1">
        <f>+K7*G25</f>
        <v>1637.5938850302894</v>
      </c>
      <c r="L10" t="s">
        <v>4</v>
      </c>
      <c r="M10" s="19" t="s">
        <v>54</v>
      </c>
      <c r="N10" s="1">
        <f>+N7*G21</f>
        <v>9946.926493360861</v>
      </c>
      <c r="O10" t="s">
        <v>4</v>
      </c>
      <c r="R10" s="1">
        <f>+(G25+G21)</f>
        <v>0.012608501394410214</v>
      </c>
      <c r="S10" s="1">
        <f>+K11</f>
        <v>2051.846883615027</v>
      </c>
      <c r="T10" s="1">
        <f>+R10</f>
        <v>0.012608501394410214</v>
      </c>
      <c r="U10" s="1">
        <f>+N10</f>
        <v>9946.926493360861</v>
      </c>
      <c r="V10" s="1">
        <f>+G21+G25</f>
        <v>0.012608501394410214</v>
      </c>
      <c r="W10" s="1">
        <f>+K13</f>
        <v>11998.773376975889</v>
      </c>
      <c r="AB10" s="14" t="s">
        <v>18</v>
      </c>
      <c r="AC10" s="8">
        <v>360</v>
      </c>
      <c r="AD10" s="8" t="s">
        <v>1</v>
      </c>
      <c r="AF10" s="7" t="s">
        <v>46</v>
      </c>
      <c r="AG10" s="8">
        <v>15.89</v>
      </c>
      <c r="AH10" s="6" t="s">
        <v>15</v>
      </c>
      <c r="AJ10" s="19" t="s">
        <v>51</v>
      </c>
      <c r="AK10" s="1">
        <f>+AK7*AG25</f>
        <v>6636.445177823999</v>
      </c>
      <c r="AL10" t="s">
        <v>4</v>
      </c>
      <c r="AM10" s="19" t="s">
        <v>54</v>
      </c>
      <c r="AN10" s="1">
        <f>+AN7*AG21</f>
        <v>10845.371827224</v>
      </c>
      <c r="AO10" t="s">
        <v>4</v>
      </c>
      <c r="AR10" s="1">
        <f>+(AG25+AG21)</f>
        <v>0.01444670180304086</v>
      </c>
      <c r="AS10" s="1">
        <f>+AK11</f>
        <v>7136.624502691199</v>
      </c>
      <c r="AT10" s="1">
        <f>+AR10</f>
        <v>0.01444670180304086</v>
      </c>
      <c r="AU10" s="1">
        <f>+AN10</f>
        <v>10845.371827224</v>
      </c>
      <c r="AV10" s="1">
        <f>+AG21+AG25</f>
        <v>0.01444670180304086</v>
      </c>
      <c r="AW10" s="1">
        <f>+AK13</f>
        <v>17981.9963299152</v>
      </c>
    </row>
    <row r="11" spans="2:40" ht="14.25">
      <c r="B11" s="14"/>
      <c r="C11" s="8"/>
      <c r="D11" s="8"/>
      <c r="F11" s="7" t="s">
        <v>16</v>
      </c>
      <c r="G11" s="34">
        <f>2.2/2.54</f>
        <v>0.8661417322834646</v>
      </c>
      <c r="H11" s="6" t="s">
        <v>1</v>
      </c>
      <c r="J11" s="19" t="s">
        <v>57</v>
      </c>
      <c r="K11" s="1">
        <f>+K10+G21*K8</f>
        <v>2051.846883615027</v>
      </c>
      <c r="L11" t="s">
        <v>4</v>
      </c>
      <c r="M11" s="19"/>
      <c r="N11" s="1"/>
      <c r="AB11" s="14"/>
      <c r="AC11" s="8"/>
      <c r="AD11" s="8"/>
      <c r="AF11" s="7" t="s">
        <v>16</v>
      </c>
      <c r="AG11" s="8">
        <v>1.07</v>
      </c>
      <c r="AH11" s="6" t="s">
        <v>1</v>
      </c>
      <c r="AJ11" s="19" t="s">
        <v>57</v>
      </c>
      <c r="AK11" s="1">
        <f>+AK10+AG21*AK8</f>
        <v>7136.624502691199</v>
      </c>
      <c r="AL11" t="s">
        <v>4</v>
      </c>
      <c r="AM11" s="19"/>
      <c r="AN11" s="1"/>
    </row>
    <row r="12" spans="2:41" ht="14.25">
      <c r="B12" s="15" t="s">
        <v>19</v>
      </c>
      <c r="C12" s="6"/>
      <c r="D12" s="6"/>
      <c r="F12" s="7" t="s">
        <v>17</v>
      </c>
      <c r="G12" s="34">
        <f>2.2/2.54</f>
        <v>0.8661417322834646</v>
      </c>
      <c r="H12" s="6" t="s">
        <v>1</v>
      </c>
      <c r="J12" s="19" t="s">
        <v>34</v>
      </c>
      <c r="K12" s="1">
        <f>+(K10)/4+N10</f>
        <v>10356.324964618434</v>
      </c>
      <c r="L12" t="s">
        <v>4</v>
      </c>
      <c r="M12" s="19" t="s">
        <v>58</v>
      </c>
      <c r="N12" s="1">
        <f>+N10+K10</f>
        <v>11584.520378391151</v>
      </c>
      <c r="O12" t="s">
        <v>4</v>
      </c>
      <c r="AB12" s="15" t="s">
        <v>19</v>
      </c>
      <c r="AC12" s="6"/>
      <c r="AD12" s="6"/>
      <c r="AF12" s="7" t="s">
        <v>17</v>
      </c>
      <c r="AG12" s="8">
        <v>1.72</v>
      </c>
      <c r="AH12" s="6" t="s">
        <v>1</v>
      </c>
      <c r="AJ12" s="19" t="s">
        <v>34</v>
      </c>
      <c r="AK12" s="1">
        <f>+(AK10)/4+AN10</f>
        <v>12504.48312168</v>
      </c>
      <c r="AL12" t="s">
        <v>4</v>
      </c>
      <c r="AM12" s="19" t="s">
        <v>58</v>
      </c>
      <c r="AN12" s="1">
        <f>+AN10+AK10</f>
        <v>17481.817005048</v>
      </c>
      <c r="AO12" t="s">
        <v>4</v>
      </c>
    </row>
    <row r="13" spans="2:38" ht="14.25">
      <c r="B13" s="17"/>
      <c r="C13" s="8"/>
      <c r="D13" s="6"/>
      <c r="F13" s="7" t="s">
        <v>82</v>
      </c>
      <c r="G13" s="8">
        <v>156</v>
      </c>
      <c r="H13" s="6" t="s">
        <v>1</v>
      </c>
      <c r="J13" s="19" t="s">
        <v>38</v>
      </c>
      <c r="K13">
        <f>+N10+K11</f>
        <v>11998.773376975889</v>
      </c>
      <c r="L13" t="s">
        <v>4</v>
      </c>
      <c r="AB13" s="17"/>
      <c r="AC13" s="8"/>
      <c r="AD13" s="6"/>
      <c r="AF13" s="7" t="s">
        <v>3</v>
      </c>
      <c r="AG13" s="8">
        <v>78</v>
      </c>
      <c r="AH13" s="6" t="s">
        <v>1</v>
      </c>
      <c r="AJ13" s="19" t="s">
        <v>38</v>
      </c>
      <c r="AK13">
        <f>+AN10+AK11</f>
        <v>17981.9963299152</v>
      </c>
      <c r="AL13" t="s">
        <v>4</v>
      </c>
    </row>
    <row r="14" spans="2:34" ht="14.25">
      <c r="B14" s="7" t="s">
        <v>20</v>
      </c>
      <c r="C14" s="8">
        <v>0</v>
      </c>
      <c r="D14" s="6" t="s">
        <v>1</v>
      </c>
      <c r="F14" s="7" t="s">
        <v>23</v>
      </c>
      <c r="G14" s="8">
        <v>48.7</v>
      </c>
      <c r="H14" s="6" t="s">
        <v>2</v>
      </c>
      <c r="AB14" s="7" t="s">
        <v>20</v>
      </c>
      <c r="AC14" s="8">
        <v>0</v>
      </c>
      <c r="AD14" s="6" t="s">
        <v>1</v>
      </c>
      <c r="AF14" s="7" t="s">
        <v>23</v>
      </c>
      <c r="AG14" s="8">
        <v>55.8</v>
      </c>
      <c r="AH14" s="6" t="s">
        <v>2</v>
      </c>
    </row>
    <row r="15" spans="2:34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  <c r="AB15" s="4" t="s">
        <v>25</v>
      </c>
      <c r="AC15" s="20">
        <v>11150</v>
      </c>
      <c r="AD15" s="5" t="s">
        <v>2</v>
      </c>
      <c r="AF15" s="23" t="s">
        <v>47</v>
      </c>
      <c r="AG15" s="8">
        <v>0.04</v>
      </c>
      <c r="AH15" s="5" t="s">
        <v>48</v>
      </c>
    </row>
    <row r="17" spans="2:32" ht="12.75">
      <c r="B17" s="2" t="s">
        <v>21</v>
      </c>
      <c r="F17" s="2" t="s">
        <v>27</v>
      </c>
      <c r="AB17" s="2" t="s">
        <v>21</v>
      </c>
      <c r="AF17" s="2" t="s">
        <v>27</v>
      </c>
    </row>
    <row r="19" spans="6:33" ht="12.75">
      <c r="F19" s="19"/>
      <c r="G19" s="1"/>
      <c r="AF19" s="19"/>
      <c r="AG19" s="1"/>
    </row>
    <row r="20" spans="2:34" ht="14.25">
      <c r="B20" s="19" t="s">
        <v>22</v>
      </c>
      <c r="C20" s="3">
        <f>0.55*G14*(G9*G11+((G9-G12)*C14/(0.55*(3)^0.5)))</f>
        <v>411.01664703329413</v>
      </c>
      <c r="D20" t="s">
        <v>0</v>
      </c>
      <c r="F20" s="19" t="s">
        <v>34</v>
      </c>
      <c r="G20" s="1">
        <f>+C20*C9</f>
        <v>10356.324964618434</v>
      </c>
      <c r="H20" t="s">
        <v>4</v>
      </c>
      <c r="AB20" s="19" t="s">
        <v>22</v>
      </c>
      <c r="AC20" s="3">
        <f>0.55*AG14*(AG9*AG11+((AG9-AG12)*AC14/(0.55*(3)^0.5)))</f>
        <v>526.7263320000001</v>
      </c>
      <c r="AD20" t="s">
        <v>0</v>
      </c>
      <c r="AF20" s="19" t="s">
        <v>34</v>
      </c>
      <c r="AG20" s="1">
        <f>+AC20*AC9</f>
        <v>12504.483121680001</v>
      </c>
      <c r="AH20" t="s">
        <v>4</v>
      </c>
    </row>
    <row r="21" spans="2:34" ht="14.25">
      <c r="B21" s="18" t="s">
        <v>24</v>
      </c>
      <c r="C21" s="1">
        <f>+G14/(C15*3^0.5)</f>
        <v>0.002521700278882043</v>
      </c>
      <c r="D21" t="s">
        <v>36</v>
      </c>
      <c r="F21" s="18" t="s">
        <v>35</v>
      </c>
      <c r="G21" s="1">
        <f>+C21</f>
        <v>0.002521700278882043</v>
      </c>
      <c r="H21" t="s">
        <v>36</v>
      </c>
      <c r="AB21" s="18" t="s">
        <v>24</v>
      </c>
      <c r="AC21" s="1">
        <f>+AG14/(AC15*3^0.5)</f>
        <v>0.002889340360608172</v>
      </c>
      <c r="AD21" t="s">
        <v>36</v>
      </c>
      <c r="AF21" s="18" t="s">
        <v>35</v>
      </c>
      <c r="AG21" s="1">
        <f>+AC21</f>
        <v>0.002889340360608172</v>
      </c>
      <c r="AH21" t="s">
        <v>36</v>
      </c>
    </row>
    <row r="22" spans="2:34" ht="14.25">
      <c r="B22" s="19" t="s">
        <v>30</v>
      </c>
      <c r="C22" s="1">
        <f>+C20/C21</f>
        <v>162991.87118919304</v>
      </c>
      <c r="D22" t="s">
        <v>31</v>
      </c>
      <c r="F22" s="19" t="s">
        <v>39</v>
      </c>
      <c r="G22" s="1">
        <f>+G20/G21</f>
        <v>4106881.7937434465</v>
      </c>
      <c r="H22" t="s">
        <v>37</v>
      </c>
      <c r="AB22" s="19" t="s">
        <v>30</v>
      </c>
      <c r="AC22" s="1">
        <f>+AC20/AC21</f>
        <v>182299.85611287775</v>
      </c>
      <c r="AD22" t="s">
        <v>31</v>
      </c>
      <c r="AF22" s="19" t="s">
        <v>39</v>
      </c>
      <c r="AG22" s="1">
        <f>+AG20/AG21</f>
        <v>4327798.584119718</v>
      </c>
      <c r="AH22" t="s">
        <v>37</v>
      </c>
    </row>
    <row r="23" spans="2:34" ht="14.25">
      <c r="B23" s="19" t="s">
        <v>28</v>
      </c>
      <c r="C23" s="1">
        <f>+C20+0.55*G14*G9*G11*(3.45*G10*G12^2/(C9*G9*G11))</f>
        <v>459.76065251739885</v>
      </c>
      <c r="D23" t="s">
        <v>0</v>
      </c>
      <c r="F23" s="19" t="s">
        <v>38</v>
      </c>
      <c r="G23" s="1">
        <f>+C23*C9</f>
        <v>11584.520378391151</v>
      </c>
      <c r="H23" t="s">
        <v>4</v>
      </c>
      <c r="AB23" s="19" t="s">
        <v>28</v>
      </c>
      <c r="AC23" s="1">
        <f>+AC20+0.55*AG14*AG9*AG11*(3.45*AG10*AG12^2/(AC9*AG9*AG11))</f>
        <v>736.3865629759057</v>
      </c>
      <c r="AD23" t="s">
        <v>0</v>
      </c>
      <c r="AF23" s="19" t="s">
        <v>38</v>
      </c>
      <c r="AG23" s="1">
        <f>+AC23*AC9</f>
        <v>17481.817005048</v>
      </c>
      <c r="AH23" t="s">
        <v>4</v>
      </c>
    </row>
    <row r="24" spans="2:34" ht="14.25">
      <c r="B24" s="19" t="s">
        <v>29</v>
      </c>
      <c r="C24" s="1">
        <f>4*C21</f>
        <v>0.010086801115528172</v>
      </c>
      <c r="D24" t="s">
        <v>36</v>
      </c>
      <c r="F24" s="19" t="s">
        <v>40</v>
      </c>
      <c r="G24" s="1">
        <f>+(G23-G20)/(3*C21)</f>
        <v>162350.17090892058</v>
      </c>
      <c r="H24" t="s">
        <v>37</v>
      </c>
      <c r="AB24" s="19" t="s">
        <v>29</v>
      </c>
      <c r="AC24" s="1">
        <f>4*AC21</f>
        <v>0.011557361442432688</v>
      </c>
      <c r="AD24" t="s">
        <v>36</v>
      </c>
      <c r="AF24" s="19" t="s">
        <v>40</v>
      </c>
      <c r="AG24" s="1">
        <f>+(AG23-AG20)/(3*AC21)</f>
        <v>574218.017743945</v>
      </c>
      <c r="AH24" t="s">
        <v>37</v>
      </c>
    </row>
    <row r="25" spans="2:34" ht="14.25">
      <c r="B25" s="19" t="s">
        <v>32</v>
      </c>
      <c r="C25" s="1">
        <f>+(C23-C20)/(C24-C21)</f>
        <v>6443.272407947787</v>
      </c>
      <c r="D25" t="s">
        <v>31</v>
      </c>
      <c r="F25" s="18" t="s">
        <v>41</v>
      </c>
      <c r="G25" s="1">
        <f>4*G21</f>
        <v>0.010086801115528172</v>
      </c>
      <c r="H25" t="s">
        <v>36</v>
      </c>
      <c r="AB25" s="19" t="s">
        <v>32</v>
      </c>
      <c r="AC25" s="1">
        <f>+(AC23-AC20)/(AC24-AC21)</f>
        <v>24187.785077672495</v>
      </c>
      <c r="AD25" t="s">
        <v>31</v>
      </c>
      <c r="AF25" s="18" t="s">
        <v>41</v>
      </c>
      <c r="AG25" s="1">
        <f>4*AG21</f>
        <v>0.011557361442432688</v>
      </c>
      <c r="AH25" t="s">
        <v>36</v>
      </c>
    </row>
    <row r="26" spans="2:29" ht="14.25">
      <c r="B26" s="19" t="s">
        <v>33</v>
      </c>
      <c r="C26" s="1">
        <f>+C25/C22</f>
        <v>0.03953125</v>
      </c>
      <c r="AB26" s="19" t="s">
        <v>33</v>
      </c>
      <c r="AC26" s="1">
        <f>+AC25/AC22</f>
        <v>0.13268131743722128</v>
      </c>
    </row>
    <row r="27" spans="2:34" ht="12.75">
      <c r="B27" s="22"/>
      <c r="C27" s="11"/>
      <c r="D27" s="11"/>
      <c r="E27" s="10"/>
      <c r="F27" s="9"/>
      <c r="G27" s="10"/>
      <c r="H27" s="11"/>
      <c r="AB27" s="22"/>
      <c r="AC27" s="11"/>
      <c r="AD27" s="11"/>
      <c r="AE27" s="10"/>
      <c r="AF27" s="9"/>
      <c r="AG27" s="10"/>
      <c r="AH27" s="11"/>
    </row>
    <row r="28" spans="2:38" ht="12.75">
      <c r="B28" s="11"/>
      <c r="C28" s="11"/>
      <c r="D28" s="11"/>
      <c r="E28" s="10"/>
      <c r="F28" s="10"/>
      <c r="G28" s="10"/>
      <c r="H28" s="10"/>
      <c r="L28" s="2" t="s">
        <v>64</v>
      </c>
      <c r="AB28" s="11"/>
      <c r="AC28" s="11"/>
      <c r="AD28" s="11"/>
      <c r="AE28" s="10"/>
      <c r="AF28" s="10"/>
      <c r="AG28" s="10"/>
      <c r="AH28" s="10"/>
      <c r="AL28" s="2" t="s">
        <v>64</v>
      </c>
    </row>
    <row r="29" spans="2:48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B29" s="12" t="s">
        <v>9</v>
      </c>
      <c r="AC29" s="8"/>
      <c r="AD29" s="8"/>
      <c r="AF29" s="13" t="s">
        <v>6</v>
      </c>
      <c r="AG29" s="6"/>
      <c r="AH29" s="8" t="s">
        <v>7</v>
      </c>
      <c r="AR29" s="2" t="s">
        <v>59</v>
      </c>
      <c r="AT29" s="2" t="s">
        <v>60</v>
      </c>
      <c r="AV29" s="2" t="s">
        <v>61</v>
      </c>
    </row>
    <row r="30" spans="2:49" ht="12.75">
      <c r="B30" s="8"/>
      <c r="C30" s="7" t="s">
        <v>44</v>
      </c>
      <c r="D30" s="8" t="s">
        <v>45</v>
      </c>
      <c r="F30" s="6"/>
      <c r="G30" s="7" t="s">
        <v>43</v>
      </c>
      <c r="H30" s="8">
        <v>5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  <c r="AB30" s="8"/>
      <c r="AC30" s="7" t="s">
        <v>44</v>
      </c>
      <c r="AD30" s="8" t="s">
        <v>45</v>
      </c>
      <c r="AF30" s="6"/>
      <c r="AG30" s="7" t="s">
        <v>43</v>
      </c>
      <c r="AH30" s="8">
        <v>5</v>
      </c>
      <c r="AJ30" s="2" t="s">
        <v>69</v>
      </c>
      <c r="AM30" s="2" t="s">
        <v>70</v>
      </c>
      <c r="AR30" s="25" t="s">
        <v>55</v>
      </c>
      <c r="AS30" s="24" t="s">
        <v>56</v>
      </c>
      <c r="AT30" s="25" t="s">
        <v>55</v>
      </c>
      <c r="AU30" s="24" t="s">
        <v>56</v>
      </c>
      <c r="AV30" s="25" t="s">
        <v>55</v>
      </c>
      <c r="AW30" s="24" t="s">
        <v>56</v>
      </c>
    </row>
    <row r="31" spans="2:34" ht="12.75">
      <c r="B31" s="8"/>
      <c r="C31" s="8"/>
      <c r="D31" s="8"/>
      <c r="F31" s="8"/>
      <c r="G31" s="8"/>
      <c r="H31" s="8"/>
      <c r="AB31" s="8"/>
      <c r="AC31" s="8"/>
      <c r="AD31" s="8"/>
      <c r="AF31" s="8"/>
      <c r="AG31" s="8"/>
      <c r="AH31" s="8"/>
    </row>
    <row r="32" spans="2:49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1">
        <f>+G49</f>
        <v>162350.17090892058</v>
      </c>
      <c r="L32" t="s">
        <v>37</v>
      </c>
      <c r="M32" s="19" t="s">
        <v>52</v>
      </c>
      <c r="N32" s="1">
        <f>+G47-K32</f>
        <v>3944531.622834526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AB32" s="14" t="s">
        <v>10</v>
      </c>
      <c r="AC32" s="8"/>
      <c r="AD32" s="8"/>
      <c r="AF32" s="15" t="s">
        <v>11</v>
      </c>
      <c r="AG32" s="6"/>
      <c r="AH32" s="6"/>
      <c r="AJ32" s="19" t="s">
        <v>49</v>
      </c>
      <c r="AK32" s="1">
        <f>+AG49</f>
        <v>574218.017743945</v>
      </c>
      <c r="AL32" t="s">
        <v>37</v>
      </c>
      <c r="AM32" s="19" t="s">
        <v>52</v>
      </c>
      <c r="AN32" s="1">
        <f>+AG47-AK32</f>
        <v>9565128.916002879</v>
      </c>
      <c r="AO32" t="s">
        <v>37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</row>
    <row r="33" spans="2:49" ht="14.25">
      <c r="B33" s="16" t="s">
        <v>12</v>
      </c>
      <c r="C33" s="8" t="s">
        <v>88</v>
      </c>
      <c r="D33" s="8"/>
      <c r="F33" s="17" t="s">
        <v>12</v>
      </c>
      <c r="G33" s="36" t="s">
        <v>84</v>
      </c>
      <c r="H33" s="36"/>
      <c r="J33" s="19" t="s">
        <v>50</v>
      </c>
      <c r="K33" s="1">
        <f>+G40*G47</f>
        <v>164275.27174973788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0.002521700278882043</v>
      </c>
      <c r="S33" s="1">
        <f>+K35/4</f>
        <v>409.39847125757234</v>
      </c>
      <c r="T33" s="1">
        <f>+G46</f>
        <v>0.002521700278882043</v>
      </c>
      <c r="U33" s="1">
        <f>+N35</f>
        <v>9946.926493360861</v>
      </c>
      <c r="V33" s="1">
        <f>+G46</f>
        <v>0.002521700278882043</v>
      </c>
      <c r="W33" s="1">
        <f>+K37</f>
        <v>10356.324964618434</v>
      </c>
      <c r="AB33" s="16" t="s">
        <v>12</v>
      </c>
      <c r="AC33" s="8" t="s">
        <v>79</v>
      </c>
      <c r="AD33" s="8"/>
      <c r="AF33" s="17" t="s">
        <v>12</v>
      </c>
      <c r="AG33" s="8" t="s">
        <v>78</v>
      </c>
      <c r="AH33" s="6"/>
      <c r="AJ33" s="19" t="s">
        <v>50</v>
      </c>
      <c r="AK33" s="1">
        <f>+AG40*AG47</f>
        <v>405573.87734987296</v>
      </c>
      <c r="AL33" t="s">
        <v>37</v>
      </c>
      <c r="AM33" s="19" t="s">
        <v>53</v>
      </c>
      <c r="AN33" s="1">
        <v>0</v>
      </c>
      <c r="AO33" t="s">
        <v>37</v>
      </c>
      <c r="AR33" s="1">
        <f>+AG46</f>
        <v>0.002889340360608172</v>
      </c>
      <c r="AS33" s="1">
        <f>+AK35/4</f>
        <v>1659.1112944559998</v>
      </c>
      <c r="AT33" s="1">
        <f>+AG46</f>
        <v>0.002889340360608172</v>
      </c>
      <c r="AU33" s="1">
        <f>+AN35</f>
        <v>27636.91303142741</v>
      </c>
      <c r="AV33" s="1">
        <f>+AG46</f>
        <v>0.002889340360608172</v>
      </c>
      <c r="AW33" s="1">
        <f>+AK37</f>
        <v>29296.024325883413</v>
      </c>
    </row>
    <row r="34" spans="2:49" ht="14.25">
      <c r="B34" s="14" t="s">
        <v>13</v>
      </c>
      <c r="C34" s="34">
        <f>64/2.54</f>
        <v>25.196850393700785</v>
      </c>
      <c r="D34" s="8" t="s">
        <v>1</v>
      </c>
      <c r="F34" s="7" t="s">
        <v>14</v>
      </c>
      <c r="G34" s="34">
        <f>45/2.54</f>
        <v>17.716535433070867</v>
      </c>
      <c r="H34" s="6" t="s">
        <v>1</v>
      </c>
      <c r="J34" s="19" t="s">
        <v>62</v>
      </c>
      <c r="K34" s="26">
        <f>+K33/K32</f>
        <v>1.0118577075098818</v>
      </c>
      <c r="M34" s="19" t="s">
        <v>71</v>
      </c>
      <c r="N34" s="27">
        <f>+N33/N32</f>
        <v>0</v>
      </c>
      <c r="R34" s="1">
        <f>+G50</f>
        <v>0.010086801115528172</v>
      </c>
      <c r="S34" s="1">
        <f>+K35</f>
        <v>1637.5938850302894</v>
      </c>
      <c r="T34" s="1">
        <f>+G50</f>
        <v>0.010086801115528172</v>
      </c>
      <c r="U34" s="1">
        <f>+N35</f>
        <v>9946.926493360861</v>
      </c>
      <c r="V34" s="1">
        <f>+G50</f>
        <v>0.010086801115528172</v>
      </c>
      <c r="W34" s="1">
        <f>+N37</f>
        <v>11584.520378391151</v>
      </c>
      <c r="AB34" s="14" t="s">
        <v>13</v>
      </c>
      <c r="AC34" s="8">
        <v>29.65</v>
      </c>
      <c r="AD34" s="8" t="s">
        <v>1</v>
      </c>
      <c r="AF34" s="7" t="s">
        <v>14</v>
      </c>
      <c r="AG34" s="8">
        <v>16.04</v>
      </c>
      <c r="AH34" s="6" t="s">
        <v>1</v>
      </c>
      <c r="AJ34" s="19" t="s">
        <v>62</v>
      </c>
      <c r="AK34" s="26">
        <f>+AK33/AK32</f>
        <v>0.7063064285989128</v>
      </c>
      <c r="AM34" s="19" t="s">
        <v>71</v>
      </c>
      <c r="AN34" s="27">
        <f>+AN33/AN32</f>
        <v>0</v>
      </c>
      <c r="AR34" s="1">
        <f>+AG50</f>
        <v>0.011557361442432688</v>
      </c>
      <c r="AS34" s="1">
        <f>+AK35</f>
        <v>6636.445177823999</v>
      </c>
      <c r="AT34" s="1">
        <f>+AG50</f>
        <v>0.011557361442432688</v>
      </c>
      <c r="AU34" s="1">
        <f>+AN35</f>
        <v>27636.91303142741</v>
      </c>
      <c r="AV34" s="1">
        <f>+AG50</f>
        <v>0.011557361442432688</v>
      </c>
      <c r="AW34" s="1">
        <f>+AN37</f>
        <v>34273.35820925141</v>
      </c>
    </row>
    <row r="35" spans="2:49" ht="15">
      <c r="B35" s="14" t="s">
        <v>18</v>
      </c>
      <c r="C35" s="8">
        <v>360</v>
      </c>
      <c r="D35" s="8" t="s">
        <v>1</v>
      </c>
      <c r="F35" s="7" t="s">
        <v>46</v>
      </c>
      <c r="G35" s="34">
        <f>45/2.54</f>
        <v>17.716535433070867</v>
      </c>
      <c r="H35" s="6" t="s">
        <v>15</v>
      </c>
      <c r="J35" s="19" t="s">
        <v>51</v>
      </c>
      <c r="K35" s="1">
        <f>+K32*G50</f>
        <v>1637.5938850302894</v>
      </c>
      <c r="L35" t="s">
        <v>4</v>
      </c>
      <c r="M35" s="19" t="s">
        <v>54</v>
      </c>
      <c r="N35" s="1">
        <f>+N32*G46</f>
        <v>9946.926493360861</v>
      </c>
      <c r="O35" t="s">
        <v>4</v>
      </c>
      <c r="R35" s="1">
        <f>+(G50+G46)</f>
        <v>0.012608501394410214</v>
      </c>
      <c r="S35" s="1">
        <f>+K36</f>
        <v>2051.846883615027</v>
      </c>
      <c r="T35" s="1">
        <f>+R35</f>
        <v>0.012608501394410214</v>
      </c>
      <c r="U35" s="1">
        <f>+N35</f>
        <v>9946.926493360861</v>
      </c>
      <c r="V35" s="1">
        <f>+G46+G50</f>
        <v>0.012608501394410214</v>
      </c>
      <c r="W35" s="1">
        <f>+K38</f>
        <v>11998.773376975889</v>
      </c>
      <c r="AB35" s="14" t="s">
        <v>18</v>
      </c>
      <c r="AC35" s="8">
        <v>360</v>
      </c>
      <c r="AD35" s="8" t="s">
        <v>1</v>
      </c>
      <c r="AF35" s="7" t="s">
        <v>46</v>
      </c>
      <c r="AG35" s="8">
        <v>15.89</v>
      </c>
      <c r="AH35" s="6" t="s">
        <v>15</v>
      </c>
      <c r="AJ35" s="19" t="s">
        <v>51</v>
      </c>
      <c r="AK35" s="1">
        <f>+AK32*AG50</f>
        <v>6636.445177823999</v>
      </c>
      <c r="AL35" t="s">
        <v>4</v>
      </c>
      <c r="AM35" s="19" t="s">
        <v>54</v>
      </c>
      <c r="AN35" s="1">
        <f>+AN32*AG46</f>
        <v>27636.91303142741</v>
      </c>
      <c r="AO35" t="s">
        <v>4</v>
      </c>
      <c r="AR35" s="1">
        <f>+(AG50+AG46)</f>
        <v>0.01444670180304086</v>
      </c>
      <c r="AS35" s="1">
        <f>+AK36</f>
        <v>7808.286150859336</v>
      </c>
      <c r="AT35" s="1">
        <f>+AR35</f>
        <v>0.01444670180304086</v>
      </c>
      <c r="AU35" s="1">
        <f>+AN35</f>
        <v>27636.91303142741</v>
      </c>
      <c r="AV35" s="1">
        <f>+AG46+AG50</f>
        <v>0.01444670180304086</v>
      </c>
      <c r="AW35" s="1">
        <f>+AK38</f>
        <v>35445.19918228675</v>
      </c>
    </row>
    <row r="36" spans="2:40" ht="14.25">
      <c r="B36" s="14"/>
      <c r="C36" s="8"/>
      <c r="D36" s="8"/>
      <c r="F36" s="7" t="s">
        <v>16</v>
      </c>
      <c r="G36" s="34">
        <f>2.2/2.54</f>
        <v>0.8661417322834646</v>
      </c>
      <c r="H36" s="6" t="s">
        <v>1</v>
      </c>
      <c r="J36" s="19" t="s">
        <v>57</v>
      </c>
      <c r="K36" s="1">
        <f>+K35+G46*K33</f>
        <v>2051.846883615027</v>
      </c>
      <c r="L36" t="s">
        <v>4</v>
      </c>
      <c r="M36" s="19"/>
      <c r="N36" s="1"/>
      <c r="AB36" s="14"/>
      <c r="AC36" s="8"/>
      <c r="AD36" s="8"/>
      <c r="AF36" s="7" t="s">
        <v>16</v>
      </c>
      <c r="AG36" s="8">
        <v>1.07</v>
      </c>
      <c r="AH36" s="6" t="s">
        <v>1</v>
      </c>
      <c r="AJ36" s="19" t="s">
        <v>57</v>
      </c>
      <c r="AK36" s="1">
        <f>+AK35+AG46*AK33</f>
        <v>7808.286150859336</v>
      </c>
      <c r="AL36" t="s">
        <v>4</v>
      </c>
      <c r="AM36" s="19"/>
      <c r="AN36" s="1"/>
    </row>
    <row r="37" spans="2:41" ht="14.25">
      <c r="B37" s="15" t="s">
        <v>19</v>
      </c>
      <c r="C37" s="6"/>
      <c r="D37" s="6"/>
      <c r="F37" s="7" t="s">
        <v>17</v>
      </c>
      <c r="G37" s="34">
        <f>2.2/2.54</f>
        <v>0.8661417322834646</v>
      </c>
      <c r="H37" s="6" t="s">
        <v>1</v>
      </c>
      <c r="J37" s="19" t="s">
        <v>34</v>
      </c>
      <c r="K37" s="1">
        <f>+(K35)/4+N35</f>
        <v>10356.324964618434</v>
      </c>
      <c r="L37" t="s">
        <v>4</v>
      </c>
      <c r="M37" s="19" t="s">
        <v>58</v>
      </c>
      <c r="N37" s="1">
        <f>+N35+K35</f>
        <v>11584.520378391151</v>
      </c>
      <c r="O37" t="s">
        <v>4</v>
      </c>
      <c r="AB37" s="15" t="s">
        <v>19</v>
      </c>
      <c r="AC37" s="6"/>
      <c r="AD37" s="6"/>
      <c r="AF37" s="7" t="s">
        <v>17</v>
      </c>
      <c r="AG37" s="8">
        <v>1.72</v>
      </c>
      <c r="AH37" s="6" t="s">
        <v>1</v>
      </c>
      <c r="AJ37" s="19" t="s">
        <v>34</v>
      </c>
      <c r="AK37" s="1">
        <f>+(AK35)/4+AN35</f>
        <v>29296.024325883413</v>
      </c>
      <c r="AL37" t="s">
        <v>4</v>
      </c>
      <c r="AM37" s="19" t="s">
        <v>58</v>
      </c>
      <c r="AN37" s="1">
        <f>+AN35+AK35</f>
        <v>34273.35820925141</v>
      </c>
      <c r="AO37" t="s">
        <v>4</v>
      </c>
    </row>
    <row r="38" spans="2:38" ht="14.25">
      <c r="B38" s="17"/>
      <c r="C38" s="8"/>
      <c r="D38" s="6"/>
      <c r="F38" s="7" t="s">
        <v>3</v>
      </c>
      <c r="G38" s="8">
        <v>156</v>
      </c>
      <c r="H38" s="6" t="s">
        <v>1</v>
      </c>
      <c r="J38" s="19" t="s">
        <v>38</v>
      </c>
      <c r="K38">
        <f>+N35+K36</f>
        <v>11998.773376975889</v>
      </c>
      <c r="L38" t="s">
        <v>4</v>
      </c>
      <c r="AB38" s="17"/>
      <c r="AC38" s="8"/>
      <c r="AD38" s="6"/>
      <c r="AF38" s="7" t="s">
        <v>3</v>
      </c>
      <c r="AG38" s="8">
        <v>156</v>
      </c>
      <c r="AH38" s="6" t="s">
        <v>1</v>
      </c>
      <c r="AJ38" s="19" t="s">
        <v>38</v>
      </c>
      <c r="AK38">
        <f>+AN35+AK36</f>
        <v>35445.19918228675</v>
      </c>
      <c r="AL38" t="s">
        <v>4</v>
      </c>
    </row>
    <row r="39" spans="2:34" ht="14.25">
      <c r="B39" s="7" t="s">
        <v>20</v>
      </c>
      <c r="C39" s="8">
        <v>0</v>
      </c>
      <c r="D39" s="6" t="s">
        <v>1</v>
      </c>
      <c r="F39" s="7" t="s">
        <v>23</v>
      </c>
      <c r="G39" s="8">
        <v>48.7</v>
      </c>
      <c r="H39" s="6" t="s">
        <v>2</v>
      </c>
      <c r="AB39" s="7" t="s">
        <v>20</v>
      </c>
      <c r="AC39" s="8">
        <v>1</v>
      </c>
      <c r="AD39" s="6" t="s">
        <v>1</v>
      </c>
      <c r="AF39" s="7" t="s">
        <v>23</v>
      </c>
      <c r="AG39" s="8">
        <v>55.8</v>
      </c>
      <c r="AH39" s="6" t="s">
        <v>2</v>
      </c>
    </row>
    <row r="40" spans="2:34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  <c r="AB40" s="4" t="s">
        <v>25</v>
      </c>
      <c r="AC40" s="20">
        <v>11150</v>
      </c>
      <c r="AD40" s="5" t="s">
        <v>2</v>
      </c>
      <c r="AF40" s="23" t="s">
        <v>47</v>
      </c>
      <c r="AG40" s="8">
        <v>0.04</v>
      </c>
      <c r="AH40" s="5" t="s">
        <v>48</v>
      </c>
    </row>
    <row r="42" spans="2:32" ht="12.75">
      <c r="B42" s="2" t="s">
        <v>21</v>
      </c>
      <c r="F42" s="2" t="s">
        <v>27</v>
      </c>
      <c r="AB42" s="2" t="s">
        <v>21</v>
      </c>
      <c r="AF42" s="2" t="s">
        <v>27</v>
      </c>
    </row>
    <row r="44" spans="6:33" ht="12.75">
      <c r="F44" s="19"/>
      <c r="G44" s="1"/>
      <c r="AF44" s="19"/>
      <c r="AG44" s="1"/>
    </row>
    <row r="45" spans="2:34" ht="14.25">
      <c r="B45" s="19" t="s">
        <v>22</v>
      </c>
      <c r="C45" s="3">
        <f>0.55*G39*(G34*G36+((G34-G37)*C39/(0.55*(3)^0.5)))</f>
        <v>411.01664703329413</v>
      </c>
      <c r="D45" t="s">
        <v>0</v>
      </c>
      <c r="F45" s="19" t="s">
        <v>34</v>
      </c>
      <c r="G45" s="1">
        <f>+C45*C34</f>
        <v>10356.324964618434</v>
      </c>
      <c r="H45" t="s">
        <v>4</v>
      </c>
      <c r="AB45" s="19" t="s">
        <v>22</v>
      </c>
      <c r="AC45" s="3">
        <f>0.55*AG39*(AG34*AG36+((AG34-AG37)*AC39/(0.55*(3)^0.5)))</f>
        <v>988.0615286975856</v>
      </c>
      <c r="AD45" t="s">
        <v>0</v>
      </c>
      <c r="AF45" s="19" t="s">
        <v>34</v>
      </c>
      <c r="AG45" s="1">
        <f>+AC45*AC34</f>
        <v>29296.024325883413</v>
      </c>
      <c r="AH45" t="s">
        <v>4</v>
      </c>
    </row>
    <row r="46" spans="2:34" ht="14.25">
      <c r="B46" s="18" t="s">
        <v>24</v>
      </c>
      <c r="C46" s="1">
        <f>+G39/(C40*3^0.5)</f>
        <v>0.002521700278882043</v>
      </c>
      <c r="D46" t="s">
        <v>36</v>
      </c>
      <c r="F46" s="18" t="s">
        <v>35</v>
      </c>
      <c r="G46" s="1">
        <f>+C46</f>
        <v>0.002521700278882043</v>
      </c>
      <c r="H46" t="s">
        <v>36</v>
      </c>
      <c r="AB46" s="18" t="s">
        <v>24</v>
      </c>
      <c r="AC46" s="1">
        <f>+AG39/(AC40*3^0.5)</f>
        <v>0.002889340360608172</v>
      </c>
      <c r="AD46" t="s">
        <v>36</v>
      </c>
      <c r="AF46" s="18" t="s">
        <v>35</v>
      </c>
      <c r="AG46" s="1">
        <f>+AC46</f>
        <v>0.002889340360608172</v>
      </c>
      <c r="AH46" t="s">
        <v>36</v>
      </c>
    </row>
    <row r="47" spans="2:34" ht="14.25">
      <c r="B47" s="19" t="s">
        <v>30</v>
      </c>
      <c r="C47" s="1">
        <f>+C45/C46</f>
        <v>162991.87118919304</v>
      </c>
      <c r="D47" t="s">
        <v>31</v>
      </c>
      <c r="F47" s="19" t="s">
        <v>39</v>
      </c>
      <c r="G47" s="1">
        <f>+G45/G46</f>
        <v>4106881.7937434465</v>
      </c>
      <c r="H47" t="s">
        <v>37</v>
      </c>
      <c r="AB47" s="19" t="s">
        <v>30</v>
      </c>
      <c r="AC47" s="1">
        <f>+AC45/AC46</f>
        <v>341967.8561128777</v>
      </c>
      <c r="AD47" t="s">
        <v>31</v>
      </c>
      <c r="AF47" s="19" t="s">
        <v>39</v>
      </c>
      <c r="AG47" s="1">
        <f>+AG45/AG46</f>
        <v>10139346.933746824</v>
      </c>
      <c r="AH47" t="s">
        <v>37</v>
      </c>
    </row>
    <row r="48" spans="2:34" ht="14.25">
      <c r="B48" s="19" t="s">
        <v>28</v>
      </c>
      <c r="C48" s="1">
        <f>+C45+0.55*G39*G34*G36*(3.45*G35*G37^2/(C34*G34*G36))</f>
        <v>459.76065251739885</v>
      </c>
      <c r="D48" t="s">
        <v>0</v>
      </c>
      <c r="F48" s="19" t="s">
        <v>38</v>
      </c>
      <c r="G48" s="1">
        <f>+C48*C34</f>
        <v>11584.520378391151</v>
      </c>
      <c r="H48" t="s">
        <v>4</v>
      </c>
      <c r="AB48" s="19" t="s">
        <v>28</v>
      </c>
      <c r="AC48" s="1">
        <f>+AC45+0.55*AG39*AG34*AG36*(3.45*AG35*AG37^2/(AC34*AG34*AG36))</f>
        <v>1155.9311369056127</v>
      </c>
      <c r="AD48" t="s">
        <v>0</v>
      </c>
      <c r="AF48" s="19" t="s">
        <v>38</v>
      </c>
      <c r="AG48" s="1">
        <f>+AC48*AC34</f>
        <v>34273.35820925141</v>
      </c>
      <c r="AH48" t="s">
        <v>4</v>
      </c>
    </row>
    <row r="49" spans="2:34" ht="14.25">
      <c r="B49" s="19" t="s">
        <v>29</v>
      </c>
      <c r="C49" s="1">
        <f>4*C46</f>
        <v>0.010086801115528172</v>
      </c>
      <c r="D49" t="s">
        <v>36</v>
      </c>
      <c r="F49" s="19" t="s">
        <v>40</v>
      </c>
      <c r="G49" s="1">
        <f>+(G48-G45)/(3*C46)</f>
        <v>162350.17090892058</v>
      </c>
      <c r="H49" t="s">
        <v>37</v>
      </c>
      <c r="AB49" s="19" t="s">
        <v>29</v>
      </c>
      <c r="AC49" s="1">
        <f>4*AC46</f>
        <v>0.011557361442432688</v>
      </c>
      <c r="AD49" t="s">
        <v>36</v>
      </c>
      <c r="AF49" s="19" t="s">
        <v>40</v>
      </c>
      <c r="AG49" s="1">
        <f>+(AG48-AG45)/(3*AC46)</f>
        <v>574218.017743945</v>
      </c>
      <c r="AH49" t="s">
        <v>37</v>
      </c>
    </row>
    <row r="50" spans="2:34" ht="14.25">
      <c r="B50" s="19" t="s">
        <v>32</v>
      </c>
      <c r="C50" s="1">
        <f>+(C48-C45)/(C49-C46)</f>
        <v>6443.272407947787</v>
      </c>
      <c r="D50" t="s">
        <v>31</v>
      </c>
      <c r="F50" s="18" t="s">
        <v>41</v>
      </c>
      <c r="G50" s="1">
        <f>4*G46</f>
        <v>0.010086801115528172</v>
      </c>
      <c r="H50" t="s">
        <v>36</v>
      </c>
      <c r="AB50" s="19" t="s">
        <v>32</v>
      </c>
      <c r="AC50" s="1">
        <f>+(AC48-AC45)/(AC49-AC46)</f>
        <v>19366.54360013307</v>
      </c>
      <c r="AD50" t="s">
        <v>31</v>
      </c>
      <c r="AF50" s="18" t="s">
        <v>41</v>
      </c>
      <c r="AG50" s="1">
        <f>4*AG46</f>
        <v>0.011557361442432688</v>
      </c>
      <c r="AH50" t="s">
        <v>36</v>
      </c>
    </row>
    <row r="51" spans="2:29" ht="14.25">
      <c r="B51" s="19" t="s">
        <v>33</v>
      </c>
      <c r="C51" s="1">
        <f>+C50/C47</f>
        <v>0.03953125</v>
      </c>
      <c r="AB51" s="19" t="s">
        <v>33</v>
      </c>
      <c r="AC51" s="1">
        <f>+AC50/AC47</f>
        <v>0.056632643255629576</v>
      </c>
    </row>
    <row r="52" spans="2:34" ht="12.75">
      <c r="B52" s="22"/>
      <c r="C52" s="11"/>
      <c r="D52" s="11"/>
      <c r="E52" s="10"/>
      <c r="F52" s="9"/>
      <c r="G52" s="10"/>
      <c r="H52" s="11"/>
      <c r="AB52" s="22"/>
      <c r="AC52" s="11"/>
      <c r="AD52" s="11"/>
      <c r="AE52" s="10"/>
      <c r="AF52" s="9"/>
      <c r="AG52" s="10"/>
      <c r="AH52" s="11"/>
    </row>
    <row r="53" spans="2:12" ht="12.75">
      <c r="B53" s="11"/>
      <c r="C53" s="11"/>
      <c r="D53" s="11"/>
      <c r="E53" s="10"/>
      <c r="F53" s="10"/>
      <c r="G53" s="10"/>
      <c r="H53" s="10"/>
      <c r="L53" s="2" t="s">
        <v>65</v>
      </c>
    </row>
    <row r="54" spans="2:22" ht="12.75">
      <c r="B54" s="12" t="s">
        <v>9</v>
      </c>
      <c r="C54" s="8"/>
      <c r="D54" s="8"/>
      <c r="F54" s="13" t="s">
        <v>6</v>
      </c>
      <c r="G54" s="6"/>
      <c r="H54" s="8" t="s">
        <v>7</v>
      </c>
      <c r="R54" s="2" t="s">
        <v>59</v>
      </c>
      <c r="T54" s="2" t="s">
        <v>60</v>
      </c>
      <c r="V54" s="2" t="s">
        <v>61</v>
      </c>
    </row>
    <row r="55" spans="2:23" ht="12.75">
      <c r="B55" s="8"/>
      <c r="C55" s="7" t="s">
        <v>44</v>
      </c>
      <c r="D55" s="8" t="s">
        <v>45</v>
      </c>
      <c r="F55" s="6"/>
      <c r="G55" s="7" t="s">
        <v>43</v>
      </c>
      <c r="H55" s="8">
        <v>4</v>
      </c>
      <c r="J55" s="2" t="s">
        <v>69</v>
      </c>
      <c r="M55" s="2" t="s">
        <v>70</v>
      </c>
      <c r="R55" s="25" t="s">
        <v>55</v>
      </c>
      <c r="S55" s="24" t="s">
        <v>56</v>
      </c>
      <c r="T55" s="25" t="s">
        <v>55</v>
      </c>
      <c r="U55" s="24" t="s">
        <v>56</v>
      </c>
      <c r="V55" s="25" t="s">
        <v>55</v>
      </c>
      <c r="W55" s="24" t="s">
        <v>56</v>
      </c>
    </row>
    <row r="56" spans="2:8" ht="12.75">
      <c r="B56" s="8"/>
      <c r="C56" s="8"/>
      <c r="D56" s="8"/>
      <c r="F56" s="8"/>
      <c r="G56" s="8"/>
      <c r="H56" s="8"/>
    </row>
    <row r="57" spans="2:23" ht="14.25">
      <c r="B57" s="14" t="s">
        <v>10</v>
      </c>
      <c r="C57" s="8"/>
      <c r="D57" s="8"/>
      <c r="F57" s="15" t="s">
        <v>11</v>
      </c>
      <c r="G57" s="6"/>
      <c r="H57" s="6"/>
      <c r="J57" s="19" t="s">
        <v>49</v>
      </c>
      <c r="K57" s="1">
        <f>+G74</f>
        <v>232940.4426493927</v>
      </c>
      <c r="L57" t="s">
        <v>37</v>
      </c>
      <c r="M57" s="19" t="s">
        <v>52</v>
      </c>
      <c r="N57" s="1">
        <f>+G72-K57</f>
        <v>4984925.472697001</v>
      </c>
      <c r="O57" t="s">
        <v>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2:23" ht="14.25">
      <c r="B58" s="16" t="s">
        <v>12</v>
      </c>
      <c r="C58" s="8" t="s">
        <v>89</v>
      </c>
      <c r="D58" s="8"/>
      <c r="F58" s="17" t="s">
        <v>12</v>
      </c>
      <c r="G58" s="36" t="s">
        <v>87</v>
      </c>
      <c r="H58" s="36"/>
      <c r="J58" s="19" t="s">
        <v>50</v>
      </c>
      <c r="K58" s="1">
        <f>+G65*G72</f>
        <v>208714.63661385575</v>
      </c>
      <c r="L58" t="s">
        <v>37</v>
      </c>
      <c r="M58" s="19" t="s">
        <v>53</v>
      </c>
      <c r="N58" s="1">
        <v>0</v>
      </c>
      <c r="O58" t="s">
        <v>37</v>
      </c>
      <c r="R58" s="1">
        <f>+G71</f>
        <v>0.002521700278882043</v>
      </c>
      <c r="S58" s="1">
        <f>+K60/4</f>
        <v>587.4059791918801</v>
      </c>
      <c r="T58" s="1">
        <f>+G71</f>
        <v>0.002521700278882043</v>
      </c>
      <c r="U58" s="1">
        <f>+N60</f>
        <v>12570.487954706226</v>
      </c>
      <c r="V58" s="1">
        <f>+G71</f>
        <v>0.002521700278882043</v>
      </c>
      <c r="W58" s="1">
        <f>+K62</f>
        <v>13157.893933898107</v>
      </c>
    </row>
    <row r="59" spans="2:23" ht="14.25">
      <c r="B59" s="14" t="s">
        <v>13</v>
      </c>
      <c r="C59" s="34">
        <f>64.4/2.54</f>
        <v>25.35433070866142</v>
      </c>
      <c r="D59" s="8" t="s">
        <v>1</v>
      </c>
      <c r="F59" s="7" t="s">
        <v>14</v>
      </c>
      <c r="G59" s="34">
        <f>50/2.54</f>
        <v>19.68503937007874</v>
      </c>
      <c r="H59" s="6" t="s">
        <v>1</v>
      </c>
      <c r="J59" s="19" t="s">
        <v>62</v>
      </c>
      <c r="K59" s="26">
        <f>+K58/K57</f>
        <v>0.8959999999999996</v>
      </c>
      <c r="M59" s="19" t="s">
        <v>71</v>
      </c>
      <c r="N59" s="27">
        <f>+N58/N57</f>
        <v>0</v>
      </c>
      <c r="R59" s="1">
        <f>+G75</f>
        <v>0.010086801115528172</v>
      </c>
      <c r="S59" s="1">
        <f>+K60</f>
        <v>2349.6239167675203</v>
      </c>
      <c r="T59" s="1">
        <f>+G75</f>
        <v>0.010086801115528172</v>
      </c>
      <c r="U59" s="1">
        <f>+N60</f>
        <v>12570.487954706226</v>
      </c>
      <c r="V59" s="1">
        <f>+G75</f>
        <v>0.010086801115528172</v>
      </c>
      <c r="W59" s="1">
        <f>+N62</f>
        <v>14920.111871473746</v>
      </c>
    </row>
    <row r="60" spans="2:23" ht="15">
      <c r="B60" s="14" t="s">
        <v>18</v>
      </c>
      <c r="C60" s="8">
        <v>360</v>
      </c>
      <c r="D60" s="8" t="s">
        <v>1</v>
      </c>
      <c r="F60" s="7" t="s">
        <v>46</v>
      </c>
      <c r="G60" s="34">
        <f>G59</f>
        <v>19.68503937007874</v>
      </c>
      <c r="H60" s="6" t="s">
        <v>15</v>
      </c>
      <c r="J60" s="19" t="s">
        <v>51</v>
      </c>
      <c r="K60" s="1">
        <f>+K57*G75</f>
        <v>2349.6239167675203</v>
      </c>
      <c r="L60" t="s">
        <v>4</v>
      </c>
      <c r="M60" s="19" t="s">
        <v>54</v>
      </c>
      <c r="N60" s="1">
        <f>+N57*G71</f>
        <v>12570.487954706226</v>
      </c>
      <c r="O60" t="s">
        <v>4</v>
      </c>
      <c r="R60" s="1">
        <f>+(G75+G71)</f>
        <v>0.012608501394410214</v>
      </c>
      <c r="S60" s="1">
        <f>+K61</f>
        <v>2875.9396741234445</v>
      </c>
      <c r="T60" s="1">
        <f>+R60</f>
        <v>0.012608501394410214</v>
      </c>
      <c r="U60" s="1">
        <f>+N60</f>
        <v>12570.487954706226</v>
      </c>
      <c r="V60" s="1">
        <f>+G71+G75</f>
        <v>0.012608501394410214</v>
      </c>
      <c r="W60" s="1">
        <f>+K63</f>
        <v>15446.427628829671</v>
      </c>
    </row>
    <row r="61" spans="2:14" ht="14.25">
      <c r="B61" s="14"/>
      <c r="C61" s="8"/>
      <c r="D61" s="8"/>
      <c r="F61" s="7" t="s">
        <v>16</v>
      </c>
      <c r="G61" s="34">
        <f>2.5/2.54</f>
        <v>0.984251968503937</v>
      </c>
      <c r="H61" s="6" t="s">
        <v>1</v>
      </c>
      <c r="J61" s="19" t="s">
        <v>57</v>
      </c>
      <c r="K61" s="1">
        <f>+K60+G71*K58</f>
        <v>2875.9396741234445</v>
      </c>
      <c r="L61" t="s">
        <v>4</v>
      </c>
      <c r="M61" s="19"/>
      <c r="N61" s="1"/>
    </row>
    <row r="62" spans="2:15" ht="14.25">
      <c r="B62" s="15" t="s">
        <v>19</v>
      </c>
      <c r="C62" s="6"/>
      <c r="D62" s="6"/>
      <c r="F62" s="7" t="s">
        <v>17</v>
      </c>
      <c r="G62" s="34">
        <f>2.5/2.54</f>
        <v>0.984251968503937</v>
      </c>
      <c r="H62" s="6" t="s">
        <v>1</v>
      </c>
      <c r="J62" s="19" t="s">
        <v>34</v>
      </c>
      <c r="K62" s="1">
        <f>+(K60)/4+N60</f>
        <v>13157.893933898107</v>
      </c>
      <c r="L62" t="s">
        <v>4</v>
      </c>
      <c r="M62" s="19" t="s">
        <v>58</v>
      </c>
      <c r="N62" s="1">
        <f>+N60+K60</f>
        <v>14920.111871473746</v>
      </c>
      <c r="O62" t="s">
        <v>4</v>
      </c>
    </row>
    <row r="63" spans="2:12" ht="14.25">
      <c r="B63" s="17"/>
      <c r="C63" s="8"/>
      <c r="D63" s="6"/>
      <c r="F63" s="7" t="s">
        <v>3</v>
      </c>
      <c r="G63" s="8">
        <v>156</v>
      </c>
      <c r="H63" s="6" t="s">
        <v>1</v>
      </c>
      <c r="J63" s="19" t="s">
        <v>38</v>
      </c>
      <c r="K63">
        <f>+N60+K61</f>
        <v>15446.427628829671</v>
      </c>
      <c r="L63" t="s">
        <v>4</v>
      </c>
    </row>
    <row r="64" spans="2:8" ht="14.25">
      <c r="B64" s="7" t="s">
        <v>20</v>
      </c>
      <c r="C64" s="8">
        <v>0</v>
      </c>
      <c r="D64" s="6" t="s">
        <v>1</v>
      </c>
      <c r="F64" s="7" t="s">
        <v>23</v>
      </c>
      <c r="G64" s="8">
        <v>48.7</v>
      </c>
      <c r="H64" s="6" t="s">
        <v>2</v>
      </c>
    </row>
    <row r="65" spans="2:8" ht="12.75">
      <c r="B65" s="4" t="s">
        <v>25</v>
      </c>
      <c r="C65" s="20">
        <v>11150</v>
      </c>
      <c r="D65" s="5" t="s">
        <v>2</v>
      </c>
      <c r="F65" s="23" t="s">
        <v>47</v>
      </c>
      <c r="G65" s="8">
        <v>0.04</v>
      </c>
      <c r="H65" s="5" t="s">
        <v>48</v>
      </c>
    </row>
    <row r="67" spans="2:6" ht="12.75">
      <c r="B67" s="2" t="s">
        <v>21</v>
      </c>
      <c r="F67" s="2" t="s">
        <v>27</v>
      </c>
    </row>
    <row r="69" spans="6:7" ht="12.75">
      <c r="F69" s="19"/>
      <c r="G69" s="1"/>
    </row>
    <row r="70" spans="2:8" ht="14.25">
      <c r="B70" s="19" t="s">
        <v>22</v>
      </c>
      <c r="C70" s="3">
        <f>0.55*G64*(G59*G61+((G59-G62)*C64/(0.55*(3)^0.5)))</f>
        <v>518.9604129208259</v>
      </c>
      <c r="D70" t="s">
        <v>0</v>
      </c>
      <c r="F70" s="19" t="s">
        <v>34</v>
      </c>
      <c r="G70" s="1">
        <f>+C70*C59</f>
        <v>13157.893933898105</v>
      </c>
      <c r="H70" t="s">
        <v>4</v>
      </c>
    </row>
    <row r="71" spans="2:8" ht="14.25">
      <c r="B71" s="18" t="s">
        <v>24</v>
      </c>
      <c r="C71" s="1">
        <f>+G64/(C65*3^0.5)</f>
        <v>0.002521700278882043</v>
      </c>
      <c r="D71" t="s">
        <v>36</v>
      </c>
      <c r="F71" s="18" t="s">
        <v>35</v>
      </c>
      <c r="G71" s="1">
        <f>+C71</f>
        <v>0.002521700278882043</v>
      </c>
      <c r="H71" t="s">
        <v>36</v>
      </c>
    </row>
    <row r="72" spans="2:8" ht="14.25">
      <c r="B72" s="19" t="s">
        <v>30</v>
      </c>
      <c r="C72" s="1">
        <f>+C70/C71</f>
        <v>205797.81715807202</v>
      </c>
      <c r="D72" t="s">
        <v>31</v>
      </c>
      <c r="F72" s="19" t="s">
        <v>39</v>
      </c>
      <c r="G72" s="1">
        <f>+G70/G71</f>
        <v>5217865.915346393</v>
      </c>
      <c r="H72" t="s">
        <v>37</v>
      </c>
    </row>
    <row r="73" spans="2:8" ht="14.25">
      <c r="B73" s="19" t="s">
        <v>28</v>
      </c>
      <c r="C73" s="1">
        <f>+C70+0.55*G64*G59*G61*(3.45*G60*G62^2/(C59*G59*G61))</f>
        <v>588.4640396512937</v>
      </c>
      <c r="D73" t="s">
        <v>0</v>
      </c>
      <c r="F73" s="19" t="s">
        <v>38</v>
      </c>
      <c r="G73" s="1">
        <f>+C73*C59</f>
        <v>14920.111871473746</v>
      </c>
      <c r="H73" t="s">
        <v>4</v>
      </c>
    </row>
    <row r="74" spans="2:8" ht="14.25">
      <c r="B74" s="19" t="s">
        <v>29</v>
      </c>
      <c r="C74" s="1">
        <f>4*C71</f>
        <v>0.010086801115528172</v>
      </c>
      <c r="D74" t="s">
        <v>36</v>
      </c>
      <c r="F74" s="19" t="s">
        <v>40</v>
      </c>
      <c r="G74" s="1">
        <f>+(G73-G70)/(3*C71)</f>
        <v>232940.4426493927</v>
      </c>
      <c r="H74" t="s">
        <v>37</v>
      </c>
    </row>
    <row r="75" spans="2:8" ht="14.25">
      <c r="B75" s="19" t="s">
        <v>32</v>
      </c>
      <c r="C75" s="1">
        <f>+(C73-C70)/(C74-C71)</f>
        <v>9187.402551699646</v>
      </c>
      <c r="D75" t="s">
        <v>31</v>
      </c>
      <c r="F75" s="18" t="s">
        <v>41</v>
      </c>
      <c r="G75" s="1">
        <f>4*G71</f>
        <v>0.010086801115528172</v>
      </c>
      <c r="H75" t="s">
        <v>36</v>
      </c>
    </row>
    <row r="76" spans="2:3" ht="14.25">
      <c r="B76" s="19" t="s">
        <v>33</v>
      </c>
      <c r="C76" s="1">
        <f>+C75/C72</f>
        <v>0.04464285714285715</v>
      </c>
    </row>
    <row r="77" spans="2:8" ht="12.75">
      <c r="B77" s="22"/>
      <c r="C77" s="11"/>
      <c r="D77" s="11"/>
      <c r="E77" s="10"/>
      <c r="F77" s="9"/>
      <c r="G77" s="10"/>
      <c r="H77" s="11"/>
    </row>
    <row r="78" spans="2:12" ht="12.75">
      <c r="B78" s="11"/>
      <c r="C78" s="11"/>
      <c r="D78" s="11"/>
      <c r="E78" s="10"/>
      <c r="F78" s="10"/>
      <c r="G78" s="10"/>
      <c r="H78" s="10"/>
      <c r="L78" s="2" t="s">
        <v>66</v>
      </c>
    </row>
    <row r="79" spans="2:22" ht="12.75">
      <c r="B79" s="12" t="s">
        <v>9</v>
      </c>
      <c r="C79" s="8"/>
      <c r="D79" s="8"/>
      <c r="F79" s="13" t="s">
        <v>6</v>
      </c>
      <c r="G79" s="6"/>
      <c r="H79" s="8" t="s">
        <v>7</v>
      </c>
      <c r="R79" s="2" t="s">
        <v>59</v>
      </c>
      <c r="T79" s="2" t="s">
        <v>60</v>
      </c>
      <c r="V79" s="2" t="s">
        <v>61</v>
      </c>
    </row>
    <row r="80" spans="2:23" ht="12.75">
      <c r="B80" s="8"/>
      <c r="C80" s="7" t="s">
        <v>44</v>
      </c>
      <c r="D80" s="8" t="s">
        <v>45</v>
      </c>
      <c r="F80" s="6"/>
      <c r="G80" s="7" t="s">
        <v>43</v>
      </c>
      <c r="H80" s="8">
        <v>3</v>
      </c>
      <c r="J80" s="2" t="s">
        <v>69</v>
      </c>
      <c r="M80" s="2" t="s">
        <v>70</v>
      </c>
      <c r="R80" s="25" t="s">
        <v>55</v>
      </c>
      <c r="S80" s="24" t="s">
        <v>56</v>
      </c>
      <c r="T80" s="25" t="s">
        <v>55</v>
      </c>
      <c r="U80" s="24" t="s">
        <v>56</v>
      </c>
      <c r="V80" s="25" t="s">
        <v>55</v>
      </c>
      <c r="W80" s="24" t="s">
        <v>56</v>
      </c>
    </row>
    <row r="81" spans="2:8" ht="12.75">
      <c r="B81" s="8"/>
      <c r="C81" s="8"/>
      <c r="D81" s="8"/>
      <c r="F81" s="8"/>
      <c r="G81" s="8"/>
      <c r="H81" s="8"/>
    </row>
    <row r="82" spans="2:23" ht="14.25">
      <c r="B82" s="14" t="s">
        <v>10</v>
      </c>
      <c r="C82" s="8"/>
      <c r="D82" s="8"/>
      <c r="F82" s="15" t="s">
        <v>11</v>
      </c>
      <c r="G82" s="6"/>
      <c r="H82" s="6"/>
      <c r="J82" s="19" t="s">
        <v>49</v>
      </c>
      <c r="K82" s="1">
        <f>+G99</f>
        <v>232940.4426493927</v>
      </c>
      <c r="L82" t="s">
        <v>37</v>
      </c>
      <c r="M82" s="19" t="s">
        <v>52</v>
      </c>
      <c r="N82" s="1">
        <f>+G97-K82</f>
        <v>4984925.472697001</v>
      </c>
      <c r="O82" t="s">
        <v>37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ht="14.25">
      <c r="B83" s="16" t="s">
        <v>12</v>
      </c>
      <c r="C83" s="8" t="s">
        <v>89</v>
      </c>
      <c r="D83" s="8"/>
      <c r="F83" s="17" t="s">
        <v>12</v>
      </c>
      <c r="G83" s="36" t="s">
        <v>87</v>
      </c>
      <c r="H83" s="36"/>
      <c r="J83" s="19" t="s">
        <v>50</v>
      </c>
      <c r="K83" s="1">
        <f>+G90*G97</f>
        <v>208714.63661385575</v>
      </c>
      <c r="L83" t="s">
        <v>37</v>
      </c>
      <c r="M83" s="19" t="s">
        <v>53</v>
      </c>
      <c r="N83" s="1">
        <v>0</v>
      </c>
      <c r="O83" t="s">
        <v>37</v>
      </c>
      <c r="R83" s="1">
        <f>+G96</f>
        <v>0.002521700278882043</v>
      </c>
      <c r="S83" s="1">
        <f>+K85/4</f>
        <v>587.4059791918801</v>
      </c>
      <c r="T83" s="1">
        <f>+G96</f>
        <v>0.002521700278882043</v>
      </c>
      <c r="U83" s="1">
        <f>+N85</f>
        <v>12570.487954706226</v>
      </c>
      <c r="V83" s="1">
        <f>+G96</f>
        <v>0.002521700278882043</v>
      </c>
      <c r="W83" s="1">
        <f>+K87</f>
        <v>13157.893933898107</v>
      </c>
    </row>
    <row r="84" spans="2:23" ht="14.25">
      <c r="B84" s="14" t="s">
        <v>13</v>
      </c>
      <c r="C84" s="34">
        <f>64.4/2.54</f>
        <v>25.35433070866142</v>
      </c>
      <c r="D84" s="8" t="s">
        <v>1</v>
      </c>
      <c r="F84" s="7" t="s">
        <v>14</v>
      </c>
      <c r="G84" s="34">
        <f>50/2.54</f>
        <v>19.68503937007874</v>
      </c>
      <c r="H84" s="6" t="s">
        <v>1</v>
      </c>
      <c r="J84" s="19" t="s">
        <v>62</v>
      </c>
      <c r="K84" s="26">
        <f>+K83/K82</f>
        <v>0.8959999999999996</v>
      </c>
      <c r="M84" s="19" t="s">
        <v>71</v>
      </c>
      <c r="N84" s="27">
        <f>+N83/N82</f>
        <v>0</v>
      </c>
      <c r="R84" s="1">
        <f>+G100</f>
        <v>0.010086801115528172</v>
      </c>
      <c r="S84" s="1">
        <f>+K85</f>
        <v>2349.6239167675203</v>
      </c>
      <c r="T84" s="1">
        <f>+G100</f>
        <v>0.010086801115528172</v>
      </c>
      <c r="U84" s="1">
        <f>+N85</f>
        <v>12570.487954706226</v>
      </c>
      <c r="V84" s="1">
        <f>+G100</f>
        <v>0.010086801115528172</v>
      </c>
      <c r="W84" s="1">
        <f>+N87</f>
        <v>14920.111871473746</v>
      </c>
    </row>
    <row r="85" spans="2:23" ht="15">
      <c r="B85" s="14" t="s">
        <v>18</v>
      </c>
      <c r="C85" s="8">
        <v>360</v>
      </c>
      <c r="D85" s="8" t="s">
        <v>1</v>
      </c>
      <c r="F85" s="7" t="s">
        <v>46</v>
      </c>
      <c r="G85" s="34">
        <f>G84</f>
        <v>19.68503937007874</v>
      </c>
      <c r="H85" s="6" t="s">
        <v>15</v>
      </c>
      <c r="J85" s="19" t="s">
        <v>51</v>
      </c>
      <c r="K85" s="1">
        <f>+K82*G100</f>
        <v>2349.6239167675203</v>
      </c>
      <c r="L85" t="s">
        <v>4</v>
      </c>
      <c r="M85" s="19" t="s">
        <v>54</v>
      </c>
      <c r="N85" s="1">
        <f>+N82*G96</f>
        <v>12570.487954706226</v>
      </c>
      <c r="O85" t="s">
        <v>4</v>
      </c>
      <c r="R85" s="1">
        <f>+(G100+G96)</f>
        <v>0.012608501394410214</v>
      </c>
      <c r="S85" s="1">
        <f>+K86</f>
        <v>2875.9396741234445</v>
      </c>
      <c r="T85" s="1">
        <f>+R85</f>
        <v>0.012608501394410214</v>
      </c>
      <c r="U85" s="1">
        <f>+N85</f>
        <v>12570.487954706226</v>
      </c>
      <c r="V85" s="1">
        <f>+G96+G100</f>
        <v>0.012608501394410214</v>
      </c>
      <c r="W85" s="1">
        <f>+K88</f>
        <v>15446.427628829671</v>
      </c>
    </row>
    <row r="86" spans="2:14" ht="14.25">
      <c r="B86" s="14"/>
      <c r="C86" s="8"/>
      <c r="D86" s="8"/>
      <c r="F86" s="7" t="s">
        <v>16</v>
      </c>
      <c r="G86" s="34">
        <f>2.5/2.54</f>
        <v>0.984251968503937</v>
      </c>
      <c r="H86" s="6" t="s">
        <v>1</v>
      </c>
      <c r="J86" s="19" t="s">
        <v>57</v>
      </c>
      <c r="K86" s="1">
        <f>+K85+G96*K83</f>
        <v>2875.9396741234445</v>
      </c>
      <c r="L86" t="s">
        <v>4</v>
      </c>
      <c r="M86" s="19"/>
      <c r="N86" s="1"/>
    </row>
    <row r="87" spans="2:15" ht="14.25">
      <c r="B87" s="15" t="s">
        <v>19</v>
      </c>
      <c r="C87" s="6"/>
      <c r="D87" s="6"/>
      <c r="F87" s="7" t="s">
        <v>17</v>
      </c>
      <c r="G87" s="34">
        <f>2.5/2.54</f>
        <v>0.984251968503937</v>
      </c>
      <c r="H87" s="6" t="s">
        <v>1</v>
      </c>
      <c r="J87" s="19" t="s">
        <v>34</v>
      </c>
      <c r="K87" s="1">
        <f>+(K85)/4+N85</f>
        <v>13157.893933898107</v>
      </c>
      <c r="L87" t="s">
        <v>4</v>
      </c>
      <c r="M87" s="19" t="s">
        <v>58</v>
      </c>
      <c r="N87" s="1">
        <f>+N85+K85</f>
        <v>14920.111871473746</v>
      </c>
      <c r="O87" t="s">
        <v>4</v>
      </c>
    </row>
    <row r="88" spans="2:12" ht="14.25">
      <c r="B88" s="17"/>
      <c r="C88" s="8"/>
      <c r="D88" s="6"/>
      <c r="F88" s="7" t="s">
        <v>3</v>
      </c>
      <c r="G88" s="8">
        <v>156</v>
      </c>
      <c r="H88" s="6" t="s">
        <v>1</v>
      </c>
      <c r="J88" s="19" t="s">
        <v>38</v>
      </c>
      <c r="K88">
        <f>+N85+K86</f>
        <v>15446.427628829671</v>
      </c>
      <c r="L88" t="s">
        <v>4</v>
      </c>
    </row>
    <row r="89" spans="2:8" ht="14.25">
      <c r="B89" s="7" t="s">
        <v>20</v>
      </c>
      <c r="C89" s="8">
        <v>0</v>
      </c>
      <c r="D89" s="6" t="s">
        <v>1</v>
      </c>
      <c r="F89" s="7" t="s">
        <v>23</v>
      </c>
      <c r="G89" s="8">
        <v>48.7</v>
      </c>
      <c r="H89" s="6" t="s">
        <v>2</v>
      </c>
    </row>
    <row r="90" spans="2:8" ht="12.75">
      <c r="B90" s="4" t="s">
        <v>25</v>
      </c>
      <c r="C90" s="20">
        <v>11150</v>
      </c>
      <c r="D90" s="5" t="s">
        <v>2</v>
      </c>
      <c r="F90" s="23" t="s">
        <v>47</v>
      </c>
      <c r="G90" s="8">
        <v>0.04</v>
      </c>
      <c r="H90" s="5" t="s">
        <v>48</v>
      </c>
    </row>
    <row r="92" spans="2:6" ht="12.75">
      <c r="B92" s="2" t="s">
        <v>21</v>
      </c>
      <c r="F92" s="2" t="s">
        <v>27</v>
      </c>
    </row>
    <row r="94" spans="6:7" ht="12.75">
      <c r="F94" s="19"/>
      <c r="G94" s="1"/>
    </row>
    <row r="95" spans="2:8" ht="14.25">
      <c r="B95" s="19" t="s">
        <v>22</v>
      </c>
      <c r="C95" s="3">
        <f>0.55*G89*(G84*G86+((G84-G87)*C89/(0.55*(3)^0.5)))</f>
        <v>518.9604129208259</v>
      </c>
      <c r="D95" t="s">
        <v>0</v>
      </c>
      <c r="F95" s="19" t="s">
        <v>34</v>
      </c>
      <c r="G95" s="1">
        <f>+C95*C84</f>
        <v>13157.893933898105</v>
      </c>
      <c r="H95" t="s">
        <v>4</v>
      </c>
    </row>
    <row r="96" spans="2:8" ht="14.25">
      <c r="B96" s="18" t="s">
        <v>24</v>
      </c>
      <c r="C96" s="1">
        <f>+G89/(C90*3^0.5)</f>
        <v>0.002521700278882043</v>
      </c>
      <c r="D96" t="s">
        <v>36</v>
      </c>
      <c r="F96" s="18" t="s">
        <v>35</v>
      </c>
      <c r="G96" s="1">
        <f>+C96</f>
        <v>0.002521700278882043</v>
      </c>
      <c r="H96" t="s">
        <v>36</v>
      </c>
    </row>
    <row r="97" spans="2:8" ht="14.25">
      <c r="B97" s="19" t="s">
        <v>30</v>
      </c>
      <c r="C97" s="1">
        <f>+C95/C96</f>
        <v>205797.81715807202</v>
      </c>
      <c r="D97" t="s">
        <v>31</v>
      </c>
      <c r="F97" s="19" t="s">
        <v>39</v>
      </c>
      <c r="G97" s="1">
        <f>+G95/G96</f>
        <v>5217865.915346393</v>
      </c>
      <c r="H97" t="s">
        <v>37</v>
      </c>
    </row>
    <row r="98" spans="2:8" ht="14.25">
      <c r="B98" s="19" t="s">
        <v>28</v>
      </c>
      <c r="C98" s="1">
        <f>+C95+0.55*G89*G84*G86*(3.45*G85*G87^2/(C84*G84*G86))</f>
        <v>588.4640396512937</v>
      </c>
      <c r="D98" t="s">
        <v>0</v>
      </c>
      <c r="F98" s="19" t="s">
        <v>38</v>
      </c>
      <c r="G98" s="1">
        <f>+C98*C84</f>
        <v>14920.111871473746</v>
      </c>
      <c r="H98" t="s">
        <v>4</v>
      </c>
    </row>
    <row r="99" spans="2:8" ht="14.25">
      <c r="B99" s="19" t="s">
        <v>29</v>
      </c>
      <c r="C99" s="1">
        <f>4*C96</f>
        <v>0.010086801115528172</v>
      </c>
      <c r="D99" t="s">
        <v>36</v>
      </c>
      <c r="F99" s="19" t="s">
        <v>40</v>
      </c>
      <c r="G99" s="1">
        <f>+(G98-G95)/(3*C96)</f>
        <v>232940.4426493927</v>
      </c>
      <c r="H99" t="s">
        <v>37</v>
      </c>
    </row>
    <row r="100" spans="2:8" ht="14.25">
      <c r="B100" s="19" t="s">
        <v>32</v>
      </c>
      <c r="C100" s="1">
        <f>+(C98-C95)/(C99-C96)</f>
        <v>9187.402551699646</v>
      </c>
      <c r="D100" t="s">
        <v>31</v>
      </c>
      <c r="F100" s="18" t="s">
        <v>41</v>
      </c>
      <c r="G100" s="1">
        <f>4*G96</f>
        <v>0.010086801115528172</v>
      </c>
      <c r="H100" t="s">
        <v>36</v>
      </c>
    </row>
    <row r="101" spans="2:3" ht="14.25">
      <c r="B101" s="19" t="s">
        <v>33</v>
      </c>
      <c r="C101" s="1">
        <f>+C100/C97</f>
        <v>0.04464285714285715</v>
      </c>
    </row>
    <row r="102" spans="2:8" ht="12.75">
      <c r="B102" s="22"/>
      <c r="C102" s="11"/>
      <c r="D102" s="11"/>
      <c r="E102" s="10"/>
      <c r="F102" s="9"/>
      <c r="G102" s="10"/>
      <c r="H102" s="11"/>
    </row>
    <row r="103" spans="2:12" ht="12.75">
      <c r="B103" s="11"/>
      <c r="C103" s="11"/>
      <c r="D103" s="11"/>
      <c r="E103" s="10"/>
      <c r="F103" s="10"/>
      <c r="G103" s="10"/>
      <c r="H103" s="10"/>
      <c r="L103" s="2" t="s">
        <v>67</v>
      </c>
    </row>
    <row r="104" spans="2:22" ht="12.75">
      <c r="B104" s="12" t="s">
        <v>9</v>
      </c>
      <c r="C104" s="8"/>
      <c r="D104" s="8"/>
      <c r="F104" s="13" t="s">
        <v>6</v>
      </c>
      <c r="G104" s="6"/>
      <c r="H104" s="8" t="s">
        <v>7</v>
      </c>
      <c r="R104" s="2" t="s">
        <v>59</v>
      </c>
      <c r="T104" s="2" t="s">
        <v>60</v>
      </c>
      <c r="V104" s="2" t="s">
        <v>61</v>
      </c>
    </row>
    <row r="105" spans="2:23" ht="12.75">
      <c r="B105" s="8"/>
      <c r="C105" s="7" t="s">
        <v>44</v>
      </c>
      <c r="D105" s="8" t="s">
        <v>45</v>
      </c>
      <c r="F105" s="6"/>
      <c r="G105" s="7" t="s">
        <v>43</v>
      </c>
      <c r="H105" s="8">
        <v>2</v>
      </c>
      <c r="J105" s="2" t="s">
        <v>69</v>
      </c>
      <c r="M105" s="2" t="s">
        <v>70</v>
      </c>
      <c r="R105" s="25" t="s">
        <v>55</v>
      </c>
      <c r="S105" s="24" t="s">
        <v>56</v>
      </c>
      <c r="T105" s="25" t="s">
        <v>55</v>
      </c>
      <c r="U105" s="24" t="s">
        <v>56</v>
      </c>
      <c r="V105" s="25" t="s">
        <v>55</v>
      </c>
      <c r="W105" s="24" t="s">
        <v>56</v>
      </c>
    </row>
    <row r="106" spans="2:8" ht="12.75">
      <c r="B106" s="8"/>
      <c r="C106" s="8"/>
      <c r="D106" s="8"/>
      <c r="F106" s="8"/>
      <c r="G106" s="8"/>
      <c r="H106" s="8"/>
    </row>
    <row r="107" spans="2:23" ht="14.25">
      <c r="B107" s="14" t="s">
        <v>10</v>
      </c>
      <c r="C107" s="8"/>
      <c r="D107" s="8"/>
      <c r="F107" s="15" t="s">
        <v>11</v>
      </c>
      <c r="G107" s="6"/>
      <c r="H107" s="6"/>
      <c r="J107" s="19" t="s">
        <v>49</v>
      </c>
      <c r="K107" s="1">
        <f>+G124</f>
        <v>368977.6611566377</v>
      </c>
      <c r="L107" t="s">
        <v>37</v>
      </c>
      <c r="M107" s="19" t="s">
        <v>52</v>
      </c>
      <c r="N107" s="1">
        <f>+G122-K107</f>
        <v>5406367.641313769</v>
      </c>
      <c r="O107" t="s">
        <v>37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</row>
    <row r="108" spans="2:23" ht="14.25">
      <c r="B108" s="16" t="s">
        <v>12</v>
      </c>
      <c r="C108" s="8" t="s">
        <v>85</v>
      </c>
      <c r="D108" s="8"/>
      <c r="F108" s="17" t="s">
        <v>12</v>
      </c>
      <c r="G108" s="36" t="s">
        <v>86</v>
      </c>
      <c r="H108" s="36"/>
      <c r="J108" s="19" t="s">
        <v>50</v>
      </c>
      <c r="K108" s="1">
        <f>+G115*G122</f>
        <v>231013.81209881627</v>
      </c>
      <c r="L108" t="s">
        <v>37</v>
      </c>
      <c r="M108" s="19" t="s">
        <v>53</v>
      </c>
      <c r="N108" s="1">
        <v>0</v>
      </c>
      <c r="O108" t="s">
        <v>37</v>
      </c>
      <c r="R108" s="1">
        <f>+G121</f>
        <v>0.002521700278882043</v>
      </c>
      <c r="S108" s="1">
        <f>+K110/4</f>
        <v>930.4510710399372</v>
      </c>
      <c r="T108" s="1">
        <f>+G121</f>
        <v>0.002521700278882043</v>
      </c>
      <c r="U108" s="1">
        <f>+N110</f>
        <v>13633.238788839784</v>
      </c>
      <c r="V108" s="1">
        <f>+G121</f>
        <v>0.002521700278882043</v>
      </c>
      <c r="W108" s="1">
        <f>+K112</f>
        <v>14563.689859879722</v>
      </c>
    </row>
    <row r="109" spans="2:23" ht="14.25">
      <c r="B109" s="14" t="s">
        <v>13</v>
      </c>
      <c r="C109" s="34">
        <v>21.26</v>
      </c>
      <c r="D109" s="8" t="s">
        <v>1</v>
      </c>
      <c r="F109" s="7" t="s">
        <v>14</v>
      </c>
      <c r="G109" s="34">
        <f>55/2.54</f>
        <v>21.653543307086615</v>
      </c>
      <c r="H109" s="6" t="s">
        <v>1</v>
      </c>
      <c r="J109" s="19" t="s">
        <v>62</v>
      </c>
      <c r="K109" s="26">
        <f>+K108/K107</f>
        <v>0.6260915942028987</v>
      </c>
      <c r="M109" s="19" t="s">
        <v>71</v>
      </c>
      <c r="N109" s="27">
        <f>+N108/N107</f>
        <v>0</v>
      </c>
      <c r="R109" s="1">
        <f>+G125</f>
        <v>0.010086801115528172</v>
      </c>
      <c r="S109" s="1">
        <f>+K110</f>
        <v>3721.804284159749</v>
      </c>
      <c r="T109" s="1">
        <f>+G125</f>
        <v>0.010086801115528172</v>
      </c>
      <c r="U109" s="1">
        <f>+N110</f>
        <v>13633.238788839784</v>
      </c>
      <c r="V109" s="1">
        <f>+G125</f>
        <v>0.010086801115528172</v>
      </c>
      <c r="W109" s="1">
        <f>+N112</f>
        <v>17355.043072999535</v>
      </c>
    </row>
    <row r="110" spans="2:23" ht="15">
      <c r="B110" s="14" t="s">
        <v>18</v>
      </c>
      <c r="C110" s="8">
        <v>360</v>
      </c>
      <c r="D110" s="8" t="s">
        <v>1</v>
      </c>
      <c r="F110" s="7" t="s">
        <v>46</v>
      </c>
      <c r="G110" s="34">
        <f>55/2.54</f>
        <v>21.653543307086615</v>
      </c>
      <c r="H110" s="6" t="s">
        <v>15</v>
      </c>
      <c r="J110" s="19" t="s">
        <v>51</v>
      </c>
      <c r="K110" s="1">
        <f>+K107*G125</f>
        <v>3721.804284159749</v>
      </c>
      <c r="L110" t="s">
        <v>4</v>
      </c>
      <c r="M110" s="19" t="s">
        <v>54</v>
      </c>
      <c r="N110" s="1">
        <f>+N107*G121</f>
        <v>13633.238788839784</v>
      </c>
      <c r="O110" t="s">
        <v>4</v>
      </c>
      <c r="R110" s="1">
        <f>+(G125+G121)</f>
        <v>0.012608501394410214</v>
      </c>
      <c r="S110" s="1">
        <f>+K111</f>
        <v>4304.351878554938</v>
      </c>
      <c r="T110" s="1">
        <f>+R110</f>
        <v>0.012608501394410214</v>
      </c>
      <c r="U110" s="1">
        <f>+N110</f>
        <v>13633.238788839784</v>
      </c>
      <c r="V110" s="1">
        <f>+G121+G125</f>
        <v>0.012608501394410214</v>
      </c>
      <c r="W110" s="1">
        <f>+K113</f>
        <v>17937.59066739472</v>
      </c>
    </row>
    <row r="111" spans="2:14" ht="14.25">
      <c r="B111" s="14"/>
      <c r="C111" s="8"/>
      <c r="D111" s="8"/>
      <c r="F111" s="7" t="s">
        <v>16</v>
      </c>
      <c r="G111" s="34">
        <f>3/2.54</f>
        <v>1.1811023622047243</v>
      </c>
      <c r="H111" s="6" t="s">
        <v>1</v>
      </c>
      <c r="J111" s="19" t="s">
        <v>57</v>
      </c>
      <c r="K111" s="1">
        <f>+K110+G121*K108</f>
        <v>4304.351878554938</v>
      </c>
      <c r="L111" t="s">
        <v>4</v>
      </c>
      <c r="M111" s="19"/>
      <c r="N111" s="1"/>
    </row>
    <row r="112" spans="2:15" ht="14.25">
      <c r="B112" s="15" t="s">
        <v>19</v>
      </c>
      <c r="C112" s="6"/>
      <c r="D112" s="6"/>
      <c r="F112" s="7" t="s">
        <v>17</v>
      </c>
      <c r="G112" s="34">
        <f>3/2.54</f>
        <v>1.1811023622047243</v>
      </c>
      <c r="H112" s="6" t="s">
        <v>1</v>
      </c>
      <c r="J112" s="19" t="s">
        <v>34</v>
      </c>
      <c r="K112" s="1">
        <f>+(K110)/4+N110</f>
        <v>14563.689859879722</v>
      </c>
      <c r="L112" t="s">
        <v>4</v>
      </c>
      <c r="M112" s="19" t="s">
        <v>58</v>
      </c>
      <c r="N112" s="1">
        <f>+N110+K110</f>
        <v>17355.043072999535</v>
      </c>
      <c r="O112" t="s">
        <v>4</v>
      </c>
    </row>
    <row r="113" spans="2:12" ht="14.25">
      <c r="B113" s="17"/>
      <c r="C113" s="8"/>
      <c r="D113" s="6"/>
      <c r="F113" s="7" t="s">
        <v>3</v>
      </c>
      <c r="G113" s="8">
        <v>156</v>
      </c>
      <c r="H113" s="6" t="s">
        <v>1</v>
      </c>
      <c r="J113" s="19" t="s">
        <v>38</v>
      </c>
      <c r="K113">
        <f>+N110+K111</f>
        <v>17937.59066739472</v>
      </c>
      <c r="L113" t="s">
        <v>4</v>
      </c>
    </row>
    <row r="114" spans="2:8" ht="14.25">
      <c r="B114" s="7" t="s">
        <v>20</v>
      </c>
      <c r="C114" s="8">
        <v>0</v>
      </c>
      <c r="D114" s="6" t="s">
        <v>1</v>
      </c>
      <c r="F114" s="7" t="s">
        <v>23</v>
      </c>
      <c r="G114" s="8">
        <v>48.7</v>
      </c>
      <c r="H114" s="6" t="s">
        <v>2</v>
      </c>
    </row>
    <row r="115" spans="2:8" ht="12.75">
      <c r="B115" s="4" t="s">
        <v>25</v>
      </c>
      <c r="C115" s="20">
        <v>11150</v>
      </c>
      <c r="D115" s="5" t="s">
        <v>2</v>
      </c>
      <c r="F115" s="23" t="s">
        <v>47</v>
      </c>
      <c r="G115" s="8">
        <v>0.04</v>
      </c>
      <c r="H115" s="5" t="s">
        <v>48</v>
      </c>
    </row>
    <row r="117" spans="2:6" ht="12.75">
      <c r="B117" s="2" t="s">
        <v>21</v>
      </c>
      <c r="F117" s="2" t="s">
        <v>27</v>
      </c>
    </row>
    <row r="119" spans="6:7" ht="12.75">
      <c r="F119" s="19"/>
      <c r="G119" s="1"/>
    </row>
    <row r="120" spans="2:8" ht="14.25">
      <c r="B120" s="19" t="s">
        <v>22</v>
      </c>
      <c r="C120" s="3">
        <f>0.55*G114*(G109*G111+((G109-G112)*C114/(0.55*(3)^0.5)))</f>
        <v>685.0277450554901</v>
      </c>
      <c r="D120" t="s">
        <v>0</v>
      </c>
      <c r="F120" s="19" t="s">
        <v>34</v>
      </c>
      <c r="G120" s="1">
        <f>+C120*C109</f>
        <v>14563.68985987972</v>
      </c>
      <c r="H120" t="s">
        <v>4</v>
      </c>
    </row>
    <row r="121" spans="2:8" ht="14.25">
      <c r="B121" s="18" t="s">
        <v>24</v>
      </c>
      <c r="C121" s="1">
        <f>+G114/(C115*3^0.5)</f>
        <v>0.002521700278882043</v>
      </c>
      <c r="D121" t="s">
        <v>36</v>
      </c>
      <c r="F121" s="18" t="s">
        <v>35</v>
      </c>
      <c r="G121" s="1">
        <f>+C121</f>
        <v>0.002521700278882043</v>
      </c>
      <c r="H121" t="s">
        <v>36</v>
      </c>
    </row>
    <row r="122" spans="2:8" ht="14.25">
      <c r="B122" s="19" t="s">
        <v>30</v>
      </c>
      <c r="C122" s="1">
        <f>+C120/C121</f>
        <v>271653.118648655</v>
      </c>
      <c r="D122" t="s">
        <v>31</v>
      </c>
      <c r="F122" s="19" t="s">
        <v>39</v>
      </c>
      <c r="G122" s="1">
        <f>+G120/G121</f>
        <v>5775345.3024704065</v>
      </c>
      <c r="H122" t="s">
        <v>37</v>
      </c>
    </row>
    <row r="123" spans="2:8" ht="14.25">
      <c r="B123" s="19" t="s">
        <v>28</v>
      </c>
      <c r="C123" s="1">
        <f>+C120+0.55*G114*G109*G111*(3.45*G110*G112^2/(C109*G109*G111))</f>
        <v>816.3237569614079</v>
      </c>
      <c r="D123" t="s">
        <v>0</v>
      </c>
      <c r="F123" s="19" t="s">
        <v>38</v>
      </c>
      <c r="G123" s="1">
        <f>+C123*C109</f>
        <v>17355.04307299953</v>
      </c>
      <c r="H123" t="s">
        <v>4</v>
      </c>
    </row>
    <row r="124" spans="2:8" ht="14.25">
      <c r="B124" s="19" t="s">
        <v>29</v>
      </c>
      <c r="C124" s="1">
        <f>4*C121</f>
        <v>0.010086801115528172</v>
      </c>
      <c r="D124" t="s">
        <v>36</v>
      </c>
      <c r="F124" s="19" t="s">
        <v>40</v>
      </c>
      <c r="G124" s="1">
        <f>+(G123-G120)/(3*C121)</f>
        <v>368977.6611566377</v>
      </c>
      <c r="H124" t="s">
        <v>37</v>
      </c>
    </row>
    <row r="125" spans="2:8" ht="14.25">
      <c r="B125" s="19" t="s">
        <v>32</v>
      </c>
      <c r="C125" s="1">
        <f>+(C123-C120)/(C124-C121)</f>
        <v>17355.487354498484</v>
      </c>
      <c r="D125" t="s">
        <v>31</v>
      </c>
      <c r="F125" s="18" t="s">
        <v>41</v>
      </c>
      <c r="G125" s="1">
        <f>4*G121</f>
        <v>0.010086801115528172</v>
      </c>
      <c r="H125" t="s">
        <v>36</v>
      </c>
    </row>
    <row r="126" spans="2:3" ht="14.25">
      <c r="B126" s="19" t="s">
        <v>33</v>
      </c>
      <c r="C126" s="1">
        <f>+C125/C122</f>
        <v>0.06388841564136563</v>
      </c>
    </row>
    <row r="127" spans="2:8" ht="12.75">
      <c r="B127" s="22"/>
      <c r="C127" s="11"/>
      <c r="D127" s="11"/>
      <c r="E127" s="10"/>
      <c r="F127" s="9"/>
      <c r="G127" s="10"/>
      <c r="H127" s="11"/>
    </row>
    <row r="128" spans="2:12" ht="12.75">
      <c r="B128" s="11"/>
      <c r="C128" s="11"/>
      <c r="D128" s="11"/>
      <c r="E128" s="10"/>
      <c r="F128" s="10"/>
      <c r="G128" s="10"/>
      <c r="H128" s="10"/>
      <c r="L128" s="2" t="s">
        <v>68</v>
      </c>
    </row>
    <row r="129" spans="2:22" ht="12.75">
      <c r="B129" s="12" t="s">
        <v>9</v>
      </c>
      <c r="C129" s="8"/>
      <c r="D129" s="8"/>
      <c r="F129" s="13" t="s">
        <v>6</v>
      </c>
      <c r="G129" s="6"/>
      <c r="H129" s="8" t="s">
        <v>7</v>
      </c>
      <c r="R129" s="2" t="s">
        <v>59</v>
      </c>
      <c r="T129" s="2" t="s">
        <v>60</v>
      </c>
      <c r="V129" s="2" t="s">
        <v>61</v>
      </c>
    </row>
    <row r="130" spans="2:23" ht="12.75">
      <c r="B130" s="8"/>
      <c r="C130" s="7" t="s">
        <v>44</v>
      </c>
      <c r="D130" s="8" t="s">
        <v>45</v>
      </c>
      <c r="F130" s="6"/>
      <c r="G130" s="7" t="s">
        <v>43</v>
      </c>
      <c r="H130" s="8">
        <v>1</v>
      </c>
      <c r="J130" s="2" t="s">
        <v>69</v>
      </c>
      <c r="M130" s="2" t="s">
        <v>70</v>
      </c>
      <c r="R130" s="25" t="s">
        <v>55</v>
      </c>
      <c r="S130" s="24" t="s">
        <v>56</v>
      </c>
      <c r="T130" s="25" t="s">
        <v>55</v>
      </c>
      <c r="U130" s="24" t="s">
        <v>56</v>
      </c>
      <c r="V130" s="25" t="s">
        <v>55</v>
      </c>
      <c r="W130" s="24" t="s">
        <v>56</v>
      </c>
    </row>
    <row r="131" spans="2:8" ht="12.75">
      <c r="B131" s="8"/>
      <c r="C131" s="8"/>
      <c r="D131" s="8"/>
      <c r="F131" s="8"/>
      <c r="G131" s="8"/>
      <c r="H131" s="8"/>
    </row>
    <row r="132" spans="2:23" ht="14.25">
      <c r="B132" s="14" t="s">
        <v>10</v>
      </c>
      <c r="C132" s="8"/>
      <c r="D132" s="8"/>
      <c r="F132" s="15" t="s">
        <v>11</v>
      </c>
      <c r="G132" s="6"/>
      <c r="H132" s="6"/>
      <c r="J132" s="19" t="s">
        <v>49</v>
      </c>
      <c r="K132" s="27">
        <f>+G149</f>
        <v>368977.6611566377</v>
      </c>
      <c r="L132" t="s">
        <v>37</v>
      </c>
      <c r="M132" s="19" t="s">
        <v>52</v>
      </c>
      <c r="N132" s="1">
        <f>+G147-K132</f>
        <v>6582775.375127841</v>
      </c>
      <c r="O132" t="s">
        <v>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2:23" ht="14.25">
      <c r="B133" s="16" t="s">
        <v>12</v>
      </c>
      <c r="C133" s="8" t="s">
        <v>85</v>
      </c>
      <c r="D133" s="8"/>
      <c r="F133" s="17" t="s">
        <v>12</v>
      </c>
      <c r="G133" s="36" t="s">
        <v>86</v>
      </c>
      <c r="H133" s="36"/>
      <c r="J133" s="19" t="s">
        <v>50</v>
      </c>
      <c r="K133" s="1">
        <f>+G140*G147</f>
        <v>278070.12145137915</v>
      </c>
      <c r="L133" t="s">
        <v>37</v>
      </c>
      <c r="M133" s="19" t="s">
        <v>53</v>
      </c>
      <c r="N133" s="1">
        <v>0</v>
      </c>
      <c r="O133" t="s">
        <v>37</v>
      </c>
      <c r="R133" s="1">
        <f>+G146</f>
        <v>0.002521700278882043</v>
      </c>
      <c r="S133" s="1">
        <f>+K135/4</f>
        <v>930.4510710399372</v>
      </c>
      <c r="T133" s="1">
        <f>+G146</f>
        <v>0.002521700278882043</v>
      </c>
      <c r="U133" s="27">
        <f>+N135</f>
        <v>16599.78649927772</v>
      </c>
      <c r="V133" s="1">
        <f>+G146</f>
        <v>0.002521700278882043</v>
      </c>
      <c r="W133" s="1">
        <f>+K137</f>
        <v>17530.23757031766</v>
      </c>
    </row>
    <row r="134" spans="2:23" ht="14.25">
      <c r="B134" s="14" t="s">
        <v>13</v>
      </c>
      <c r="C134" s="34">
        <f>65/2.54</f>
        <v>25.590551181102363</v>
      </c>
      <c r="D134" s="8" t="s">
        <v>1</v>
      </c>
      <c r="F134" s="7" t="s">
        <v>14</v>
      </c>
      <c r="G134" s="34">
        <f>55/2.54</f>
        <v>21.653543307086615</v>
      </c>
      <c r="H134" s="6" t="s">
        <v>1</v>
      </c>
      <c r="J134" s="19" t="s">
        <v>62</v>
      </c>
      <c r="K134" s="26">
        <f>+K133/K132</f>
        <v>0.7536231884057971</v>
      </c>
      <c r="M134" s="19" t="s">
        <v>71</v>
      </c>
      <c r="N134" s="27">
        <f>+N133/N132</f>
        <v>0</v>
      </c>
      <c r="R134" s="1">
        <f>+G150</f>
        <v>0.010086801115528172</v>
      </c>
      <c r="S134" s="27">
        <f>+K135</f>
        <v>3721.804284159749</v>
      </c>
      <c r="T134" s="1">
        <f>+G150</f>
        <v>0.010086801115528172</v>
      </c>
      <c r="U134" s="27">
        <f>+N135</f>
        <v>16599.78649927772</v>
      </c>
      <c r="V134" s="1">
        <f>+G150</f>
        <v>0.010086801115528172</v>
      </c>
      <c r="W134" s="1">
        <f>+N137</f>
        <v>20321.59078343747</v>
      </c>
    </row>
    <row r="135" spans="2:23" ht="15">
      <c r="B135" s="14" t="s">
        <v>18</v>
      </c>
      <c r="C135" s="8">
        <v>360</v>
      </c>
      <c r="D135" s="8" t="s">
        <v>1</v>
      </c>
      <c r="F135" s="7" t="s">
        <v>46</v>
      </c>
      <c r="G135" s="34">
        <f>55/2.54</f>
        <v>21.653543307086615</v>
      </c>
      <c r="H135" s="6" t="s">
        <v>15</v>
      </c>
      <c r="J135" s="19" t="s">
        <v>51</v>
      </c>
      <c r="K135" s="1">
        <f>+K132*G150</f>
        <v>3721.804284159749</v>
      </c>
      <c r="L135" t="s">
        <v>4</v>
      </c>
      <c r="M135" s="19" t="s">
        <v>54</v>
      </c>
      <c r="N135" s="1">
        <f>+N132*G146</f>
        <v>16599.78649927772</v>
      </c>
      <c r="O135" t="s">
        <v>4</v>
      </c>
      <c r="R135" s="1">
        <f>+(G150+G146)</f>
        <v>0.012608501394410214</v>
      </c>
      <c r="S135" s="1">
        <f>+K136</f>
        <v>4423.013786972455</v>
      </c>
      <c r="T135" s="1">
        <f>+R135</f>
        <v>0.012608501394410214</v>
      </c>
      <c r="U135" s="27">
        <f>+N135</f>
        <v>16599.78649927772</v>
      </c>
      <c r="V135" s="1">
        <f>+G146+G150</f>
        <v>0.012608501394410214</v>
      </c>
      <c r="W135" s="1">
        <f>+K138</f>
        <v>21022.800286250174</v>
      </c>
    </row>
    <row r="136" spans="2:14" ht="14.25">
      <c r="B136" s="14"/>
      <c r="C136" s="8"/>
      <c r="D136" s="8"/>
      <c r="F136" s="7" t="s">
        <v>16</v>
      </c>
      <c r="G136" s="34">
        <f>3/2.54</f>
        <v>1.1811023622047243</v>
      </c>
      <c r="H136" s="6" t="s">
        <v>1</v>
      </c>
      <c r="J136" s="19" t="s">
        <v>57</v>
      </c>
      <c r="K136" s="1">
        <f>+K135+G146*K133</f>
        <v>4423.013786972455</v>
      </c>
      <c r="L136" t="s">
        <v>4</v>
      </c>
      <c r="M136" s="19"/>
      <c r="N136" s="1"/>
    </row>
    <row r="137" spans="2:15" ht="14.25">
      <c r="B137" s="15" t="s">
        <v>19</v>
      </c>
      <c r="C137" s="6"/>
      <c r="D137" s="6"/>
      <c r="F137" s="7" t="s">
        <v>17</v>
      </c>
      <c r="G137" s="34">
        <f>3/2.54</f>
        <v>1.1811023622047243</v>
      </c>
      <c r="H137" s="6" t="s">
        <v>1</v>
      </c>
      <c r="J137" s="19" t="s">
        <v>34</v>
      </c>
      <c r="K137" s="1">
        <f>+(K135)/4+N135</f>
        <v>17530.23757031766</v>
      </c>
      <c r="L137" t="s">
        <v>4</v>
      </c>
      <c r="M137" s="19" t="s">
        <v>58</v>
      </c>
      <c r="N137" s="1">
        <f>+N135+K135</f>
        <v>20321.59078343747</v>
      </c>
      <c r="O137" t="s">
        <v>4</v>
      </c>
    </row>
    <row r="138" spans="2:12" ht="14.25">
      <c r="B138" s="17"/>
      <c r="C138" s="8"/>
      <c r="D138" s="6"/>
      <c r="F138" s="7" t="s">
        <v>3</v>
      </c>
      <c r="G138" s="8">
        <v>156</v>
      </c>
      <c r="H138" s="6" t="s">
        <v>1</v>
      </c>
      <c r="J138" s="19" t="s">
        <v>38</v>
      </c>
      <c r="K138">
        <f>+N135+K136</f>
        <v>21022.800286250174</v>
      </c>
      <c r="L138" t="s">
        <v>4</v>
      </c>
    </row>
    <row r="139" spans="2:8" ht="14.25">
      <c r="B139" s="7" t="s">
        <v>20</v>
      </c>
      <c r="C139" s="8">
        <v>0</v>
      </c>
      <c r="D139" s="6" t="s">
        <v>1</v>
      </c>
      <c r="F139" s="7" t="s">
        <v>23</v>
      </c>
      <c r="G139" s="8">
        <v>48.7</v>
      </c>
      <c r="H139" s="6" t="s">
        <v>2</v>
      </c>
    </row>
    <row r="140" spans="2:8" ht="12.75">
      <c r="B140" s="4" t="s">
        <v>25</v>
      </c>
      <c r="C140" s="20">
        <v>11150</v>
      </c>
      <c r="D140" s="5" t="s">
        <v>2</v>
      </c>
      <c r="F140" s="23" t="s">
        <v>47</v>
      </c>
      <c r="G140" s="8">
        <v>0.04</v>
      </c>
      <c r="H140" s="5" t="s">
        <v>48</v>
      </c>
    </row>
    <row r="142" spans="2:6" ht="12.75">
      <c r="B142" s="2" t="s">
        <v>21</v>
      </c>
      <c r="F142" s="2" t="s">
        <v>27</v>
      </c>
    </row>
    <row r="144" spans="6:7" ht="12.75">
      <c r="F144" s="19"/>
      <c r="G144" s="1"/>
    </row>
    <row r="145" spans="2:8" ht="14.25">
      <c r="B145" s="19" t="s">
        <v>22</v>
      </c>
      <c r="C145" s="3">
        <f>0.55*G139*(G134*G136+((G134-G137)*C139/(0.55*(3)^0.5)))</f>
        <v>685.0277450554901</v>
      </c>
      <c r="D145" t="s">
        <v>0</v>
      </c>
      <c r="F145" s="19" t="s">
        <v>34</v>
      </c>
      <c r="G145" s="1">
        <f>+C145*C134</f>
        <v>17530.23757031766</v>
      </c>
      <c r="H145" t="s">
        <v>4</v>
      </c>
    </row>
    <row r="146" spans="2:8" ht="14.25">
      <c r="B146" s="18" t="s">
        <v>24</v>
      </c>
      <c r="C146" s="1">
        <f>+G139/(C140*3^0.5)</f>
        <v>0.002521700278882043</v>
      </c>
      <c r="D146" t="s">
        <v>36</v>
      </c>
      <c r="F146" s="18" t="s">
        <v>35</v>
      </c>
      <c r="G146" s="1">
        <f>+C146</f>
        <v>0.002521700278882043</v>
      </c>
      <c r="H146" t="s">
        <v>36</v>
      </c>
    </row>
    <row r="147" spans="2:8" ht="14.25">
      <c r="B147" s="19" t="s">
        <v>30</v>
      </c>
      <c r="C147" s="1">
        <f>+C145/C146</f>
        <v>271653.118648655</v>
      </c>
      <c r="D147" t="s">
        <v>31</v>
      </c>
      <c r="F147" s="19" t="s">
        <v>39</v>
      </c>
      <c r="G147" s="1">
        <f>+G145/G146</f>
        <v>6951753.036284478</v>
      </c>
      <c r="H147" t="s">
        <v>37</v>
      </c>
    </row>
    <row r="148" spans="2:8" ht="14.25">
      <c r="B148" s="19" t="s">
        <v>28</v>
      </c>
      <c r="C148" s="1">
        <f>+C145+0.55*G139*G134*G136*(3.45*G135*G137^2/(C134*G134*G136))</f>
        <v>794.105239845095</v>
      </c>
      <c r="D148" t="s">
        <v>0</v>
      </c>
      <c r="F148" s="19" t="s">
        <v>38</v>
      </c>
      <c r="G148" s="1">
        <f>+C148*C134</f>
        <v>20321.59078343747</v>
      </c>
      <c r="H148" t="s">
        <v>4</v>
      </c>
    </row>
    <row r="149" spans="2:8" ht="14.25">
      <c r="B149" s="19" t="s">
        <v>29</v>
      </c>
      <c r="C149" s="1">
        <f>4*C146</f>
        <v>0.010086801115528172</v>
      </c>
      <c r="D149" t="s">
        <v>36</v>
      </c>
      <c r="F149" s="19" t="s">
        <v>40</v>
      </c>
      <c r="G149" s="1">
        <f>+(G148-G145)/(3*C146)</f>
        <v>368977.6611566377</v>
      </c>
      <c r="H149" t="s">
        <v>37</v>
      </c>
    </row>
    <row r="150" spans="2:8" ht="14.25">
      <c r="B150" s="19" t="s">
        <v>32</v>
      </c>
      <c r="C150" s="1">
        <f>+(C148-C145)/(C149-C146)</f>
        <v>14418.51168212091</v>
      </c>
      <c r="D150" t="s">
        <v>31</v>
      </c>
      <c r="F150" s="18" t="s">
        <v>41</v>
      </c>
      <c r="G150" s="1">
        <f>4*G146</f>
        <v>0.010086801115528172</v>
      </c>
      <c r="H150" t="s">
        <v>36</v>
      </c>
    </row>
    <row r="151" spans="2:3" ht="14.25">
      <c r="B151" s="19" t="s">
        <v>33</v>
      </c>
      <c r="C151" s="1">
        <f>+C150/C147</f>
        <v>0.05307692307692304</v>
      </c>
    </row>
    <row r="152" spans="2:8" ht="12.75">
      <c r="B152" s="22"/>
      <c r="C152" s="11"/>
      <c r="D152" s="11"/>
      <c r="E152" s="10"/>
      <c r="F152" s="9"/>
      <c r="G152" s="10"/>
      <c r="H152" s="11"/>
    </row>
    <row r="153" ht="12.75">
      <c r="L153" s="2"/>
    </row>
    <row r="154" spans="2:22" ht="12.75">
      <c r="B154" s="12"/>
      <c r="C154" s="8"/>
      <c r="D154" s="8"/>
      <c r="F154" s="13"/>
      <c r="G154" s="6"/>
      <c r="H154" s="8"/>
      <c r="R154" s="2"/>
      <c r="T154" s="2"/>
      <c r="V154" s="2"/>
    </row>
    <row r="155" spans="2:23" ht="12.75">
      <c r="B155" s="8"/>
      <c r="C155" s="7"/>
      <c r="D155" s="8"/>
      <c r="F155" s="6"/>
      <c r="G155" s="7"/>
      <c r="H155" s="8"/>
      <c r="J155" s="2"/>
      <c r="M155" s="2"/>
      <c r="R155" s="25"/>
      <c r="S155" s="24"/>
      <c r="T155" s="25"/>
      <c r="U155" s="24"/>
      <c r="V155" s="25"/>
      <c r="W155" s="24"/>
    </row>
    <row r="156" spans="2:8" ht="12.75">
      <c r="B156" s="8"/>
      <c r="C156" s="8"/>
      <c r="D156" s="8"/>
      <c r="F156" s="8"/>
      <c r="G156" s="8"/>
      <c r="H156" s="8"/>
    </row>
    <row r="157" spans="2:23" ht="12.75">
      <c r="B157" s="14"/>
      <c r="C157" s="8"/>
      <c r="D157" s="8"/>
      <c r="F157" s="15"/>
      <c r="G157" s="6"/>
      <c r="H157" s="6"/>
      <c r="J157" s="19"/>
      <c r="K157" s="1"/>
      <c r="M157" s="19"/>
      <c r="N157" s="1"/>
      <c r="R157" s="1"/>
      <c r="S157" s="1"/>
      <c r="T157" s="1"/>
      <c r="U157" s="1"/>
      <c r="V157" s="1"/>
      <c r="W157" s="1"/>
    </row>
    <row r="158" spans="2:23" ht="12.75">
      <c r="B158" s="16"/>
      <c r="C158" s="8"/>
      <c r="D158" s="8"/>
      <c r="F158" s="17"/>
      <c r="G158" s="8"/>
      <c r="H158" s="6"/>
      <c r="J158" s="19"/>
      <c r="K158" s="1"/>
      <c r="M158" s="19"/>
      <c r="N158" s="1"/>
      <c r="R158" s="1"/>
      <c r="S158" s="1"/>
      <c r="T158" s="1"/>
      <c r="U158" s="1"/>
      <c r="V158" s="1"/>
      <c r="W158" s="1"/>
    </row>
    <row r="159" spans="2:23" ht="12.75">
      <c r="B159" s="14"/>
      <c r="C159" s="8"/>
      <c r="D159" s="8"/>
      <c r="F159" s="7"/>
      <c r="G159" s="8"/>
      <c r="H159" s="6"/>
      <c r="J159" s="19"/>
      <c r="K159" s="26"/>
      <c r="M159" s="19"/>
      <c r="N159" s="27"/>
      <c r="R159" s="1"/>
      <c r="S159" s="1"/>
      <c r="T159" s="1"/>
      <c r="U159" s="1"/>
      <c r="V159" s="1"/>
      <c r="W159" s="1"/>
    </row>
    <row r="160" spans="2:23" ht="12.75">
      <c r="B160" s="14"/>
      <c r="C160" s="8"/>
      <c r="D160" s="8"/>
      <c r="F160" s="7"/>
      <c r="G160" s="8"/>
      <c r="H160" s="6"/>
      <c r="J160" s="19"/>
      <c r="K160" s="1"/>
      <c r="M160" s="19"/>
      <c r="N160" s="1"/>
      <c r="R160" s="1"/>
      <c r="S160" s="1"/>
      <c r="T160" s="1"/>
      <c r="U160" s="1"/>
      <c r="V160" s="1"/>
      <c r="W160" s="1"/>
    </row>
    <row r="161" spans="2:14" ht="12.75">
      <c r="B161" s="14"/>
      <c r="C161" s="8"/>
      <c r="D161" s="8"/>
      <c r="F161" s="7"/>
      <c r="G161" s="8"/>
      <c r="H161" s="6"/>
      <c r="J161" s="19"/>
      <c r="K161" s="1"/>
      <c r="M161" s="19"/>
      <c r="N161" s="1"/>
    </row>
    <row r="162" spans="2:14" ht="12.75">
      <c r="B162" s="15"/>
      <c r="C162" s="6"/>
      <c r="D162" s="6"/>
      <c r="F162" s="7"/>
      <c r="G162" s="8"/>
      <c r="H162" s="6"/>
      <c r="J162" s="19"/>
      <c r="K162" s="1"/>
      <c r="M162" s="19"/>
      <c r="N162" s="1"/>
    </row>
    <row r="163" spans="2:10" ht="12.75">
      <c r="B163" s="17"/>
      <c r="C163" s="8"/>
      <c r="D163" s="6"/>
      <c r="F163" s="7"/>
      <c r="G163" s="8"/>
      <c r="H163" s="6"/>
      <c r="J163" s="19"/>
    </row>
    <row r="164" spans="2:8" ht="12.75">
      <c r="B164" s="7"/>
      <c r="C164" s="8"/>
      <c r="D164" s="6"/>
      <c r="F164" s="7"/>
      <c r="G164" s="8"/>
      <c r="H164" s="6"/>
    </row>
    <row r="165" spans="2:8" ht="12.75">
      <c r="B165" s="4"/>
      <c r="C165" s="20"/>
      <c r="D165" s="5"/>
      <c r="F165" s="23"/>
      <c r="G165" s="8"/>
      <c r="H165" s="5"/>
    </row>
    <row r="167" spans="2:6" ht="12.75">
      <c r="B167" s="2"/>
      <c r="F167" s="2"/>
    </row>
    <row r="169" spans="6:7" ht="12.75">
      <c r="F169" s="19"/>
      <c r="G169" s="1"/>
    </row>
    <row r="170" spans="2:7" ht="12.75">
      <c r="B170" s="19"/>
      <c r="C170" s="3"/>
      <c r="F170" s="19"/>
      <c r="G170" s="1"/>
    </row>
    <row r="171" spans="2:7" ht="12.75">
      <c r="B171" s="18"/>
      <c r="C171" s="1"/>
      <c r="F171" s="18"/>
      <c r="G171" s="1"/>
    </row>
    <row r="172" spans="2:7" ht="12.75">
      <c r="B172" s="19"/>
      <c r="C172" s="1"/>
      <c r="F172" s="19"/>
      <c r="G172" s="1"/>
    </row>
    <row r="173" spans="2:7" ht="12.75">
      <c r="B173" s="19"/>
      <c r="C173" s="1"/>
      <c r="F173" s="19"/>
      <c r="G173" s="1"/>
    </row>
    <row r="174" spans="2:7" ht="12.75">
      <c r="B174" s="19"/>
      <c r="C174" s="1"/>
      <c r="F174" s="19"/>
      <c r="G174" s="1"/>
    </row>
    <row r="175" spans="2:7" ht="12.75">
      <c r="B175" s="19"/>
      <c r="C175" s="1"/>
      <c r="F175" s="18"/>
      <c r="G175" s="1"/>
    </row>
    <row r="176" spans="2:3" ht="12.75">
      <c r="B176" s="19"/>
      <c r="C176" s="1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mergeCells count="6">
    <mergeCell ref="G108:H108"/>
    <mergeCell ref="G133:H133"/>
    <mergeCell ref="G8:H8"/>
    <mergeCell ref="G33:H33"/>
    <mergeCell ref="G58:H58"/>
    <mergeCell ref="G83:H83"/>
  </mergeCells>
  <printOptions/>
  <pageMargins left="1.25" right="0.75" top="1" bottom="1" header="0.5" footer="0.5"/>
  <pageSetup fitToHeight="2" fitToWidth="1" horizontalDpi="1200" verticalDpi="12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10"/>
  <sheetViews>
    <sheetView workbookViewId="0" topLeftCell="A1">
      <selection activeCell="G20" sqref="G20"/>
    </sheetView>
  </sheetViews>
  <sheetFormatPr defaultColWidth="11.421875" defaultRowHeight="12.75"/>
  <cols>
    <col min="1" max="21" width="9.140625" style="0" customWidth="1"/>
    <col min="22" max="22" width="9.57421875" style="0" bestFit="1" customWidth="1"/>
    <col min="23" max="16384" width="9.140625" style="0" customWidth="1"/>
  </cols>
  <sheetData>
    <row r="2" spans="3:29" ht="12.75">
      <c r="C2" s="2" t="s">
        <v>42</v>
      </c>
      <c r="G2" s="1"/>
      <c r="AC2" s="10"/>
    </row>
    <row r="3" spans="4:29" ht="12.75">
      <c r="D3" s="2" t="s">
        <v>72</v>
      </c>
      <c r="L3" s="2" t="s">
        <v>63</v>
      </c>
      <c r="AC3" s="10"/>
    </row>
    <row r="4" spans="2:29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C4" s="10"/>
    </row>
    <row r="5" spans="2:2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C5" s="10"/>
    </row>
    <row r="6" spans="2:29" ht="12.75">
      <c r="B6" s="8"/>
      <c r="C6" s="8"/>
      <c r="D6" s="8"/>
      <c r="F6" s="8"/>
      <c r="G6" s="8"/>
      <c r="H6" s="8"/>
      <c r="AC6" s="10"/>
    </row>
    <row r="7" spans="2:2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+G23</f>
        <v>818706.7655099187</v>
      </c>
      <c r="L7" t="s">
        <v>37</v>
      </c>
      <c r="M7" s="19" t="s">
        <v>52</v>
      </c>
      <c r="N7" s="1">
        <f>+G22-K7</f>
        <v>5351768.334703744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C7" s="10"/>
    </row>
    <row r="8" spans="2:29" ht="14.25">
      <c r="B8" s="16" t="s">
        <v>12</v>
      </c>
      <c r="C8" s="8" t="s">
        <v>77</v>
      </c>
      <c r="D8" s="8"/>
      <c r="F8" s="17" t="s">
        <v>12</v>
      </c>
      <c r="G8" s="8" t="s">
        <v>78</v>
      </c>
      <c r="H8" s="6"/>
      <c r="J8" s="19" t="s">
        <v>50</v>
      </c>
      <c r="K8" s="1">
        <f>+G15*G22</f>
        <v>246819.0040085465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0.002889340360608172</v>
      </c>
      <c r="S8" s="1">
        <f>+K10/4</f>
        <v>2365.5225010907784</v>
      </c>
      <c r="T8" s="1">
        <f>+G21</f>
        <v>0.002889340360608172</v>
      </c>
      <c r="U8" s="1">
        <f>+N10</f>
        <v>15463.080250084313</v>
      </c>
      <c r="V8" s="1">
        <f>+G21</f>
        <v>0.002889340360608172</v>
      </c>
      <c r="W8" s="1">
        <f>+K12</f>
        <v>17828.60275117509</v>
      </c>
      <c r="AC8" s="10"/>
    </row>
    <row r="9" spans="2:29" ht="14.25">
      <c r="B9" s="14" t="s">
        <v>13</v>
      </c>
      <c r="C9" s="8">
        <v>23.74</v>
      </c>
      <c r="D9" s="8" t="s">
        <v>1</v>
      </c>
      <c r="F9" s="7" t="s">
        <v>14</v>
      </c>
      <c r="G9" s="8">
        <v>16.04</v>
      </c>
      <c r="H9" s="6" t="s">
        <v>1</v>
      </c>
      <c r="J9" s="19" t="s">
        <v>62</v>
      </c>
      <c r="K9" s="26">
        <f>+K8/K7</f>
        <v>0.3014742450000632</v>
      </c>
      <c r="M9" s="19" t="s">
        <v>71</v>
      </c>
      <c r="N9" s="27">
        <f>+N8/N7</f>
        <v>0</v>
      </c>
      <c r="R9" s="1">
        <f>+G25</f>
        <v>0.011557361442432688</v>
      </c>
      <c r="S9" s="1">
        <f>+K10</f>
        <v>9462.090004363114</v>
      </c>
      <c r="T9" s="1">
        <f>+G25</f>
        <v>0.011557361442432688</v>
      </c>
      <c r="U9" s="1">
        <f>+N10</f>
        <v>15463.080250084313</v>
      </c>
      <c r="V9" s="1">
        <f>+G25</f>
        <v>0.011557361442432688</v>
      </c>
      <c r="W9" s="1">
        <f>+N12</f>
        <v>24925.170254447425</v>
      </c>
      <c r="AC9" s="10"/>
    </row>
    <row r="10" spans="2:29" ht="15">
      <c r="B10" s="14" t="s">
        <v>18</v>
      </c>
      <c r="C10" s="8">
        <v>360</v>
      </c>
      <c r="D10" s="8" t="s">
        <v>1</v>
      </c>
      <c r="F10" s="7" t="s">
        <v>46</v>
      </c>
      <c r="G10" s="8">
        <v>15.89</v>
      </c>
      <c r="H10" s="6" t="s">
        <v>15</v>
      </c>
      <c r="J10" s="19" t="s">
        <v>51</v>
      </c>
      <c r="K10" s="1">
        <f>+K7*G25</f>
        <v>9462.090004363114</v>
      </c>
      <c r="L10" t="s">
        <v>4</v>
      </c>
      <c r="M10" s="19" t="s">
        <v>54</v>
      </c>
      <c r="N10" s="1">
        <f>+N7*G21</f>
        <v>15463.080250084313</v>
      </c>
      <c r="O10" t="s">
        <v>4</v>
      </c>
      <c r="R10" s="1">
        <f>+(G25+G21)</f>
        <v>0.01444670180304086</v>
      </c>
      <c r="S10" s="1">
        <f>+K11</f>
        <v>10175.234114410117</v>
      </c>
      <c r="T10" s="1">
        <f>+R10</f>
        <v>0.01444670180304086</v>
      </c>
      <c r="U10" s="1">
        <f>+N10</f>
        <v>15463.080250084313</v>
      </c>
      <c r="V10" s="1">
        <f>+G21+G25</f>
        <v>0.01444670180304086</v>
      </c>
      <c r="W10" s="1">
        <f>+K13</f>
        <v>25638.31436449443</v>
      </c>
      <c r="AC10" s="10"/>
    </row>
    <row r="11" spans="2:29" ht="14.25">
      <c r="B11" s="14"/>
      <c r="C11" s="8"/>
      <c r="D11" s="8"/>
      <c r="F11" s="7" t="s">
        <v>16</v>
      </c>
      <c r="G11" s="8">
        <v>1.07</v>
      </c>
      <c r="H11" s="6" t="s">
        <v>1</v>
      </c>
      <c r="J11" s="19" t="s">
        <v>57</v>
      </c>
      <c r="K11" s="1">
        <f>+K10+G21*K8</f>
        <v>10175.234114410117</v>
      </c>
      <c r="L11" t="s">
        <v>4</v>
      </c>
      <c r="M11" s="19"/>
      <c r="N11" s="1"/>
      <c r="AC11" s="21"/>
    </row>
    <row r="12" spans="2:15" ht="14.25">
      <c r="B12" s="15" t="s">
        <v>19</v>
      </c>
      <c r="C12" s="6"/>
      <c r="D12" s="6"/>
      <c r="F12" s="7" t="s">
        <v>17</v>
      </c>
      <c r="G12" s="8">
        <v>1.72</v>
      </c>
      <c r="H12" s="6" t="s">
        <v>1</v>
      </c>
      <c r="J12" s="19" t="s">
        <v>34</v>
      </c>
      <c r="K12" s="1">
        <f>+(K10)/4+N10</f>
        <v>17828.60275117509</v>
      </c>
      <c r="L12" t="s">
        <v>4</v>
      </c>
      <c r="M12" s="19" t="s">
        <v>58</v>
      </c>
      <c r="N12" s="1">
        <f>+N10+K10</f>
        <v>24925.170254447425</v>
      </c>
      <c r="O12" t="s">
        <v>4</v>
      </c>
    </row>
    <row r="13" spans="2:12" ht="14.25">
      <c r="B13" s="17"/>
      <c r="C13" s="8"/>
      <c r="D13" s="6"/>
      <c r="F13" s="7" t="s">
        <v>3</v>
      </c>
      <c r="G13" s="8">
        <v>78</v>
      </c>
      <c r="H13" s="6" t="s">
        <v>1</v>
      </c>
      <c r="J13" s="19" t="s">
        <v>38</v>
      </c>
      <c r="K13">
        <f>+N10+K11</f>
        <v>25638.31436449443</v>
      </c>
      <c r="L13" t="s">
        <v>4</v>
      </c>
    </row>
    <row r="14" spans="2:8" ht="14.25">
      <c r="B14" s="7" t="s">
        <v>20</v>
      </c>
      <c r="C14" s="8">
        <v>0</v>
      </c>
      <c r="D14" s="6" t="s">
        <v>1</v>
      </c>
      <c r="F14" s="7" t="s">
        <v>23</v>
      </c>
      <c r="G14" s="8">
        <v>55.8</v>
      </c>
      <c r="H14" s="6" t="s">
        <v>2</v>
      </c>
    </row>
    <row r="15" spans="2:8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</row>
    <row r="17" spans="2:6" ht="12.75">
      <c r="B17" s="2" t="s">
        <v>21</v>
      </c>
      <c r="F17" s="2" t="s">
        <v>27</v>
      </c>
    </row>
    <row r="19" spans="6:8" ht="12.75">
      <c r="F19" s="19" t="s">
        <v>26</v>
      </c>
      <c r="G19" s="1">
        <f>+(1-(G9/C10))/(0.95*C9)-(1/G13)</f>
        <v>0.029543892998865732</v>
      </c>
      <c r="H19" t="s">
        <v>5</v>
      </c>
    </row>
    <row r="20" spans="2:8" ht="14.25">
      <c r="B20" s="19" t="s">
        <v>22</v>
      </c>
      <c r="C20" s="3">
        <f>0.55*G14*(G9*G11+((G9-G12)*C14))</f>
        <v>526.7263320000001</v>
      </c>
      <c r="D20" t="s">
        <v>0</v>
      </c>
      <c r="F20" s="19" t="s">
        <v>34</v>
      </c>
      <c r="G20" s="1">
        <f>+C20/G19</f>
        <v>17828.60275117509</v>
      </c>
      <c r="H20" t="s">
        <v>4</v>
      </c>
    </row>
    <row r="21" spans="2:8" ht="14.25">
      <c r="B21" s="18" t="s">
        <v>24</v>
      </c>
      <c r="C21" s="1">
        <f>+G14/(C15*3^0.5)</f>
        <v>0.002889340360608172</v>
      </c>
      <c r="D21" t="s">
        <v>36</v>
      </c>
      <c r="F21" s="18" t="s">
        <v>35</v>
      </c>
      <c r="G21" s="1">
        <f>+C21</f>
        <v>0.002889340360608172</v>
      </c>
      <c r="H21" t="s">
        <v>36</v>
      </c>
    </row>
    <row r="22" spans="2:8" ht="14.25">
      <c r="B22" s="19" t="s">
        <v>30</v>
      </c>
      <c r="C22" s="1">
        <f>+C20/C21</f>
        <v>182299.85611287775</v>
      </c>
      <c r="D22" t="s">
        <v>31</v>
      </c>
      <c r="F22" s="19" t="s">
        <v>39</v>
      </c>
      <c r="G22" s="1">
        <f>+C22/G19</f>
        <v>6170475.100213663</v>
      </c>
      <c r="H22" t="s">
        <v>37</v>
      </c>
    </row>
    <row r="23" spans="2:8" ht="14.25">
      <c r="B23" s="19" t="s">
        <v>28</v>
      </c>
      <c r="C23" s="1">
        <f>+C20+0.55*G14*G9*G11*(3.45*G10*G12^2/(C9*G9*G11))</f>
        <v>736.3865629759057</v>
      </c>
      <c r="D23" t="s">
        <v>0</v>
      </c>
      <c r="F23" s="19" t="s">
        <v>40</v>
      </c>
      <c r="G23" s="1">
        <f>+C25/G19</f>
        <v>818706.7655099187</v>
      </c>
      <c r="H23" t="s">
        <v>37</v>
      </c>
    </row>
    <row r="24" spans="2:8" ht="14.25">
      <c r="B24" s="19" t="s">
        <v>29</v>
      </c>
      <c r="C24" s="1">
        <f>4*C21</f>
        <v>0.011557361442432688</v>
      </c>
      <c r="D24" t="s">
        <v>36</v>
      </c>
      <c r="F24" s="19" t="s">
        <v>38</v>
      </c>
      <c r="G24" s="1">
        <f>+G20+(C23-C20)/G19</f>
        <v>24925.170254447425</v>
      </c>
      <c r="H24" t="s">
        <v>4</v>
      </c>
    </row>
    <row r="25" spans="2:8" ht="14.25">
      <c r="B25" s="19" t="s">
        <v>32</v>
      </c>
      <c r="C25" s="1">
        <f>+(C23-C20)/(C24-C21)</f>
        <v>24187.785077672495</v>
      </c>
      <c r="D25" t="s">
        <v>31</v>
      </c>
      <c r="F25" s="18" t="s">
        <v>41</v>
      </c>
      <c r="G25" s="1">
        <f>4*G21</f>
        <v>0.011557361442432688</v>
      </c>
      <c r="H25" t="s">
        <v>36</v>
      </c>
    </row>
    <row r="26" spans="2:3" ht="14.25">
      <c r="B26" s="19" t="s">
        <v>33</v>
      </c>
      <c r="C26" s="1">
        <f>+C25/C22</f>
        <v>0.13268131743722128</v>
      </c>
    </row>
    <row r="27" spans="2:8" ht="12.75">
      <c r="B27" s="22"/>
      <c r="C27" s="11"/>
      <c r="D27" s="11"/>
      <c r="E27" s="10"/>
      <c r="F27" s="9"/>
      <c r="G27" s="10"/>
      <c r="H27" s="11"/>
    </row>
    <row r="28" spans="2:12" ht="12.75">
      <c r="B28" s="11"/>
      <c r="C28" s="11"/>
      <c r="D28" s="11"/>
      <c r="E28" s="10"/>
      <c r="F28" s="10"/>
      <c r="G28" s="10"/>
      <c r="H28" s="10"/>
      <c r="L28" s="2" t="s">
        <v>64</v>
      </c>
    </row>
    <row r="29" spans="2:27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A29" s="1"/>
    </row>
    <row r="30" spans="2:23" ht="12.75">
      <c r="B30" s="8"/>
      <c r="C30" s="7" t="s">
        <v>44</v>
      </c>
      <c r="D30" s="8" t="s">
        <v>45</v>
      </c>
      <c r="F30" s="6"/>
      <c r="G30" s="7" t="s">
        <v>43</v>
      </c>
      <c r="H30" s="8">
        <v>5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</row>
    <row r="31" spans="2:8" ht="12.75">
      <c r="B31" s="8"/>
      <c r="C31" s="8"/>
      <c r="D31" s="8"/>
      <c r="F31" s="8"/>
      <c r="G31" s="8"/>
      <c r="H31" s="8"/>
    </row>
    <row r="32" spans="2:23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1">
        <f>+G48</f>
        <v>2094619.6674059848</v>
      </c>
      <c r="L32" t="s">
        <v>37</v>
      </c>
      <c r="M32" s="19" t="s">
        <v>52</v>
      </c>
      <c r="N32" s="1">
        <f>+G47-K32</f>
        <v>22252446.65457235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2:23" ht="14.25">
      <c r="B33" s="16" t="s">
        <v>12</v>
      </c>
      <c r="C33" s="8" t="s">
        <v>73</v>
      </c>
      <c r="D33" s="8"/>
      <c r="F33" s="17" t="s">
        <v>12</v>
      </c>
      <c r="G33" s="8" t="s">
        <v>8</v>
      </c>
      <c r="H33" s="6"/>
      <c r="J33" s="19" t="s">
        <v>50</v>
      </c>
      <c r="K33" s="1">
        <f>+G40*G47</f>
        <v>973882.6528791334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0.0028479161260474817</v>
      </c>
      <c r="S33" s="1">
        <f>+K35/4</f>
        <v>5965.301128741717</v>
      </c>
      <c r="T33" s="1">
        <f>+G46</f>
        <v>0.0028479161260474817</v>
      </c>
      <c r="U33" s="1">
        <f>+N35</f>
        <v>63373.10167156793</v>
      </c>
      <c r="V33" s="1">
        <f>+G46</f>
        <v>0.0028479161260474817</v>
      </c>
      <c r="W33" s="1">
        <f>+K37</f>
        <v>69338.40280030965</v>
      </c>
    </row>
    <row r="34" spans="2:23" ht="14.25">
      <c r="B34" s="14" t="s">
        <v>13</v>
      </c>
      <c r="C34" s="8">
        <v>36.08</v>
      </c>
      <c r="D34" s="8" t="s">
        <v>1</v>
      </c>
      <c r="F34" s="7" t="s">
        <v>14</v>
      </c>
      <c r="G34" s="8">
        <v>18.29</v>
      </c>
      <c r="H34" s="6" t="s">
        <v>1</v>
      </c>
      <c r="J34" s="19" t="s">
        <v>62</v>
      </c>
      <c r="K34" s="26">
        <f>+K33/K32</f>
        <v>0.4649448623220498</v>
      </c>
      <c r="M34" s="19" t="s">
        <v>71</v>
      </c>
      <c r="N34" s="27">
        <f>+N33/N32</f>
        <v>0</v>
      </c>
      <c r="R34" s="1">
        <f>+G50</f>
        <v>0.011391664504189927</v>
      </c>
      <c r="S34" s="1">
        <f>+K35</f>
        <v>23861.204514966867</v>
      </c>
      <c r="T34" s="1">
        <f>+G50</f>
        <v>0.011391664504189927</v>
      </c>
      <c r="U34" s="1">
        <f>+N35</f>
        <v>63373.10167156793</v>
      </c>
      <c r="V34" s="1">
        <f>+G50</f>
        <v>0.011391664504189927</v>
      </c>
      <c r="W34" s="1">
        <f>+N37</f>
        <v>87234.3061865348</v>
      </c>
    </row>
    <row r="35" spans="2:23" ht="15">
      <c r="B35" s="14" t="s">
        <v>18</v>
      </c>
      <c r="C35" s="8">
        <v>411</v>
      </c>
      <c r="D35" s="8" t="s">
        <v>1</v>
      </c>
      <c r="F35" s="7" t="s">
        <v>46</v>
      </c>
      <c r="G35" s="8">
        <v>16.59</v>
      </c>
      <c r="H35" s="6" t="s">
        <v>15</v>
      </c>
      <c r="J35" s="19" t="s">
        <v>51</v>
      </c>
      <c r="K35" s="1">
        <f>+K32*G50</f>
        <v>23861.204514966867</v>
      </c>
      <c r="L35" t="s">
        <v>4</v>
      </c>
      <c r="M35" s="19" t="s">
        <v>54</v>
      </c>
      <c r="N35" s="1">
        <f>+N32*G46</f>
        <v>63373.10167156793</v>
      </c>
      <c r="O35" t="s">
        <v>4</v>
      </c>
      <c r="R35" s="1">
        <f>+(G50+G46)</f>
        <v>0.014239580630237409</v>
      </c>
      <c r="S35" s="1">
        <f>+K36</f>
        <v>26634.740626979252</v>
      </c>
      <c r="T35" s="1">
        <f>+R35</f>
        <v>0.014239580630237409</v>
      </c>
      <c r="U35" s="1">
        <f>+N35</f>
        <v>63373.10167156793</v>
      </c>
      <c r="V35" s="1">
        <f>+G46+G50</f>
        <v>0.014239580630237409</v>
      </c>
      <c r="W35" s="1">
        <f>+K38</f>
        <v>90007.84229854718</v>
      </c>
    </row>
    <row r="36" spans="2:14" ht="14.25">
      <c r="B36" s="14"/>
      <c r="C36" s="8"/>
      <c r="D36" s="8"/>
      <c r="F36" s="7" t="s">
        <v>16</v>
      </c>
      <c r="G36" s="8">
        <v>1.77</v>
      </c>
      <c r="H36" s="6" t="s">
        <v>1</v>
      </c>
      <c r="J36" s="19" t="s">
        <v>57</v>
      </c>
      <c r="K36" s="1">
        <f>+K35+G46*K33</f>
        <v>26634.740626979252</v>
      </c>
      <c r="L36" t="s">
        <v>4</v>
      </c>
      <c r="M36" s="19"/>
      <c r="N36" s="1"/>
    </row>
    <row r="37" spans="2:15" ht="14.25">
      <c r="B37" s="15" t="s">
        <v>19</v>
      </c>
      <c r="C37" s="6"/>
      <c r="D37" s="6"/>
      <c r="F37" s="7" t="s">
        <v>17</v>
      </c>
      <c r="G37" s="8">
        <v>2.845</v>
      </c>
      <c r="H37" s="6" t="s">
        <v>1</v>
      </c>
      <c r="J37" s="19" t="s">
        <v>34</v>
      </c>
      <c r="K37" s="1">
        <f>+(K35)/4+N35</f>
        <v>69338.40280030965</v>
      </c>
      <c r="L37" t="s">
        <v>4</v>
      </c>
      <c r="M37" s="19" t="s">
        <v>58</v>
      </c>
      <c r="N37" s="1">
        <f>+N35+K35</f>
        <v>87234.3061865348</v>
      </c>
      <c r="O37" t="s">
        <v>4</v>
      </c>
    </row>
    <row r="38" spans="2:12" ht="14.25">
      <c r="B38" s="17"/>
      <c r="C38" s="8"/>
      <c r="D38" s="6"/>
      <c r="F38" s="7" t="s">
        <v>3</v>
      </c>
      <c r="G38" s="8">
        <v>162</v>
      </c>
      <c r="H38" s="6" t="s">
        <v>1</v>
      </c>
      <c r="J38" s="19" t="s">
        <v>38</v>
      </c>
      <c r="K38">
        <f>+N35+K36</f>
        <v>90007.84229854718</v>
      </c>
      <c r="L38" t="s">
        <v>4</v>
      </c>
    </row>
    <row r="39" spans="2:8" ht="14.25">
      <c r="B39" s="7" t="s">
        <v>20</v>
      </c>
      <c r="C39" s="8">
        <v>1.125</v>
      </c>
      <c r="D39" s="6" t="s">
        <v>1</v>
      </c>
      <c r="F39" s="7" t="s">
        <v>23</v>
      </c>
      <c r="G39" s="8">
        <v>55</v>
      </c>
      <c r="H39" s="6" t="s">
        <v>2</v>
      </c>
    </row>
    <row r="40" spans="2:8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</row>
    <row r="42" spans="2:6" ht="12.75">
      <c r="B42" s="2" t="s">
        <v>21</v>
      </c>
      <c r="F42" s="2" t="s">
        <v>27</v>
      </c>
    </row>
    <row r="44" spans="6:8" ht="12.75">
      <c r="F44" s="19" t="s">
        <v>26</v>
      </c>
      <c r="G44" s="1">
        <f>+(1-(G34/C35))/(0.95*C34)-(1/G38)</f>
        <v>0.021703773384916785</v>
      </c>
      <c r="H44" t="s">
        <v>5</v>
      </c>
    </row>
    <row r="45" spans="2:8" ht="14.25">
      <c r="B45" s="19" t="s">
        <v>22</v>
      </c>
      <c r="C45" s="3">
        <f>0.55*G39*(G34*G36+((G34-G37)*C39))</f>
        <v>1504.9049812500002</v>
      </c>
      <c r="D45" t="s">
        <v>0</v>
      </c>
      <c r="F45" s="19" t="s">
        <v>34</v>
      </c>
      <c r="G45" s="1">
        <f>+C45/G44</f>
        <v>69338.40280030966</v>
      </c>
      <c r="H45" t="s">
        <v>4</v>
      </c>
    </row>
    <row r="46" spans="2:8" ht="14.25">
      <c r="B46" s="18" t="s">
        <v>24</v>
      </c>
      <c r="C46" s="1">
        <f>+G39/(C40*3^0.5)</f>
        <v>0.0028479161260474817</v>
      </c>
      <c r="D46" t="s">
        <v>36</v>
      </c>
      <c r="F46" s="18" t="s">
        <v>35</v>
      </c>
      <c r="G46" s="1">
        <f>+C46</f>
        <v>0.0028479161260474817</v>
      </c>
      <c r="H46" t="s">
        <v>36</v>
      </c>
    </row>
    <row r="47" spans="2:8" ht="14.25">
      <c r="B47" s="19" t="s">
        <v>30</v>
      </c>
      <c r="C47" s="1">
        <f>+C45/C46</f>
        <v>528423.2100397572</v>
      </c>
      <c r="D47" t="s">
        <v>31</v>
      </c>
      <c r="F47" s="19" t="s">
        <v>39</v>
      </c>
      <c r="G47" s="1">
        <f>+C47/G44</f>
        <v>24347066.321978334</v>
      </c>
      <c r="H47" t="s">
        <v>37</v>
      </c>
    </row>
    <row r="48" spans="2:8" ht="14.25">
      <c r="B48" s="19" t="s">
        <v>28</v>
      </c>
      <c r="C48" s="1">
        <f>+C45+0.55*G39*G34*G36*(3.45*G35*G37^2/(C34*G34*G36))</f>
        <v>1893.3136128629958</v>
      </c>
      <c r="D48" t="s">
        <v>0</v>
      </c>
      <c r="F48" s="19" t="s">
        <v>40</v>
      </c>
      <c r="G48" s="1">
        <f>+C50/G44</f>
        <v>2094619.6674059848</v>
      </c>
      <c r="H48" t="s">
        <v>37</v>
      </c>
    </row>
    <row r="49" spans="2:8" ht="14.25">
      <c r="B49" s="19" t="s">
        <v>29</v>
      </c>
      <c r="C49" s="1">
        <f>4*C46</f>
        <v>0.011391664504189927</v>
      </c>
      <c r="D49" t="s">
        <v>36</v>
      </c>
      <c r="F49" s="19" t="s">
        <v>38</v>
      </c>
      <c r="G49" s="1">
        <f>+G45+(C48-C45)/G44</f>
        <v>87234.30618653481</v>
      </c>
      <c r="H49" t="s">
        <v>4</v>
      </c>
    </row>
    <row r="50" spans="2:8" ht="14.25">
      <c r="B50" s="19" t="s">
        <v>32</v>
      </c>
      <c r="C50" s="1">
        <f>+(C48-C45)/(C49-C46)</f>
        <v>45461.15058896926</v>
      </c>
      <c r="D50" t="s">
        <v>31</v>
      </c>
      <c r="F50" s="18" t="s">
        <v>41</v>
      </c>
      <c r="G50" s="1">
        <f>4*G46</f>
        <v>0.011391664504189927</v>
      </c>
      <c r="H50" t="s">
        <v>36</v>
      </c>
    </row>
    <row r="51" spans="2:3" ht="14.25">
      <c r="B51" s="19" t="s">
        <v>33</v>
      </c>
      <c r="C51" s="1">
        <f>+C50/C47</f>
        <v>0.08603170664200932</v>
      </c>
    </row>
    <row r="53" ht="12.75">
      <c r="L53" s="2" t="s">
        <v>65</v>
      </c>
    </row>
    <row r="54" spans="2:22" ht="12.75">
      <c r="B54" s="12" t="s">
        <v>9</v>
      </c>
      <c r="C54" s="8"/>
      <c r="D54" s="8"/>
      <c r="F54" s="13" t="s">
        <v>6</v>
      </c>
      <c r="G54" s="6"/>
      <c r="H54" s="8" t="s">
        <v>7</v>
      </c>
      <c r="R54" s="2" t="s">
        <v>59</v>
      </c>
      <c r="T54" s="2" t="s">
        <v>60</v>
      </c>
      <c r="V54" s="2" t="s">
        <v>61</v>
      </c>
    </row>
    <row r="55" spans="2:23" ht="12.75">
      <c r="B55" s="8"/>
      <c r="C55" s="7" t="s">
        <v>44</v>
      </c>
      <c r="D55" s="8" t="s">
        <v>45</v>
      </c>
      <c r="F55" s="6"/>
      <c r="G55" s="7" t="s">
        <v>43</v>
      </c>
      <c r="H55" s="8">
        <v>4</v>
      </c>
      <c r="J55" s="2" t="s">
        <v>69</v>
      </c>
      <c r="M55" s="2" t="s">
        <v>70</v>
      </c>
      <c r="R55" s="25" t="s">
        <v>55</v>
      </c>
      <c r="S55" s="24" t="s">
        <v>56</v>
      </c>
      <c r="T55" s="25" t="s">
        <v>55</v>
      </c>
      <c r="U55" s="24" t="s">
        <v>56</v>
      </c>
      <c r="V55" s="25" t="s">
        <v>55</v>
      </c>
      <c r="W55" s="24" t="s">
        <v>56</v>
      </c>
    </row>
    <row r="56" spans="2:8" ht="12.75">
      <c r="B56" s="8"/>
      <c r="C56" s="8"/>
      <c r="D56" s="8"/>
      <c r="F56" s="8"/>
      <c r="G56" s="8"/>
      <c r="H56" s="8"/>
    </row>
    <row r="57" spans="2:23" ht="14.25">
      <c r="B57" s="14" t="s">
        <v>10</v>
      </c>
      <c r="C57" s="8"/>
      <c r="D57" s="8"/>
      <c r="F57" s="15" t="s">
        <v>11</v>
      </c>
      <c r="G57" s="6"/>
      <c r="H57" s="6"/>
      <c r="J57" s="19" t="s">
        <v>49</v>
      </c>
      <c r="K57" s="1">
        <f>+G73</f>
        <v>2094619.6674059848</v>
      </c>
      <c r="L57" t="s">
        <v>37</v>
      </c>
      <c r="M57" s="19" t="s">
        <v>52</v>
      </c>
      <c r="N57" s="1">
        <f>+G72-K57</f>
        <v>22252446.65457235</v>
      </c>
      <c r="O57" t="s">
        <v>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2:23" ht="14.25">
      <c r="B58" s="16" t="s">
        <v>12</v>
      </c>
      <c r="C58" s="8" t="s">
        <v>73</v>
      </c>
      <c r="D58" s="8"/>
      <c r="F58" s="17" t="s">
        <v>12</v>
      </c>
      <c r="G58" s="8" t="s">
        <v>8</v>
      </c>
      <c r="H58" s="6"/>
      <c r="J58" s="19" t="s">
        <v>50</v>
      </c>
      <c r="K58" s="1">
        <f>+G65*G72</f>
        <v>973882.6528791334</v>
      </c>
      <c r="L58" t="s">
        <v>37</v>
      </c>
      <c r="M58" s="19" t="s">
        <v>53</v>
      </c>
      <c r="N58" s="1">
        <v>0</v>
      </c>
      <c r="O58" t="s">
        <v>37</v>
      </c>
      <c r="R58" s="1">
        <f>+G71</f>
        <v>0.0028479161260474817</v>
      </c>
      <c r="S58" s="1">
        <f>+K60/4</f>
        <v>5965.301128741717</v>
      </c>
      <c r="T58" s="1">
        <f>+G71</f>
        <v>0.0028479161260474817</v>
      </c>
      <c r="U58" s="1">
        <f>+N60</f>
        <v>63373.10167156793</v>
      </c>
      <c r="V58" s="1">
        <f>+G71</f>
        <v>0.0028479161260474817</v>
      </c>
      <c r="W58" s="1">
        <f>+K62</f>
        <v>69338.40280030965</v>
      </c>
    </row>
    <row r="59" spans="2:23" ht="14.25">
      <c r="B59" s="14" t="s">
        <v>13</v>
      </c>
      <c r="C59" s="8">
        <v>36.08</v>
      </c>
      <c r="D59" s="8" t="s">
        <v>1</v>
      </c>
      <c r="F59" s="7" t="s">
        <v>14</v>
      </c>
      <c r="G59" s="8">
        <v>18.29</v>
      </c>
      <c r="H59" s="6" t="s">
        <v>1</v>
      </c>
      <c r="J59" s="19" t="s">
        <v>62</v>
      </c>
      <c r="K59" s="26">
        <f>+K58/K57</f>
        <v>0.4649448623220498</v>
      </c>
      <c r="M59" s="19" t="s">
        <v>71</v>
      </c>
      <c r="N59" s="27">
        <f>+N58/N57</f>
        <v>0</v>
      </c>
      <c r="R59" s="1">
        <f>+G75</f>
        <v>0.011391664504189927</v>
      </c>
      <c r="S59" s="1">
        <f>+K60</f>
        <v>23861.204514966867</v>
      </c>
      <c r="T59" s="1">
        <f>+G75</f>
        <v>0.011391664504189927</v>
      </c>
      <c r="U59" s="1">
        <f>+N60</f>
        <v>63373.10167156793</v>
      </c>
      <c r="V59" s="1">
        <f>+G75</f>
        <v>0.011391664504189927</v>
      </c>
      <c r="W59" s="1">
        <f>+N62</f>
        <v>87234.3061865348</v>
      </c>
    </row>
    <row r="60" spans="2:23" ht="15">
      <c r="B60" s="14" t="s">
        <v>18</v>
      </c>
      <c r="C60" s="8">
        <v>411</v>
      </c>
      <c r="D60" s="8" t="s">
        <v>1</v>
      </c>
      <c r="F60" s="7" t="s">
        <v>46</v>
      </c>
      <c r="G60" s="8">
        <v>16.59</v>
      </c>
      <c r="H60" s="6" t="s">
        <v>15</v>
      </c>
      <c r="J60" s="19" t="s">
        <v>51</v>
      </c>
      <c r="K60" s="1">
        <f>+K57*G75</f>
        <v>23861.204514966867</v>
      </c>
      <c r="L60" t="s">
        <v>4</v>
      </c>
      <c r="M60" s="19" t="s">
        <v>54</v>
      </c>
      <c r="N60" s="1">
        <f>+N57*G71</f>
        <v>63373.10167156793</v>
      </c>
      <c r="O60" t="s">
        <v>4</v>
      </c>
      <c r="R60" s="1">
        <f>+(G75+G71)</f>
        <v>0.014239580630237409</v>
      </c>
      <c r="S60" s="1">
        <f>+K61</f>
        <v>26634.740626979252</v>
      </c>
      <c r="T60" s="1">
        <f>+R60</f>
        <v>0.014239580630237409</v>
      </c>
      <c r="U60" s="1">
        <f>+N60</f>
        <v>63373.10167156793</v>
      </c>
      <c r="V60" s="1">
        <f>+G71+G75</f>
        <v>0.014239580630237409</v>
      </c>
      <c r="W60" s="1">
        <f>+K63</f>
        <v>90007.84229854718</v>
      </c>
    </row>
    <row r="61" spans="2:14" ht="14.25">
      <c r="B61" s="14"/>
      <c r="C61" s="8"/>
      <c r="D61" s="8"/>
      <c r="F61" s="7" t="s">
        <v>16</v>
      </c>
      <c r="G61" s="8">
        <v>1.77</v>
      </c>
      <c r="H61" s="6" t="s">
        <v>1</v>
      </c>
      <c r="J61" s="19" t="s">
        <v>57</v>
      </c>
      <c r="K61" s="1">
        <f>+K60+G71*K58</f>
        <v>26634.740626979252</v>
      </c>
      <c r="L61" t="s">
        <v>4</v>
      </c>
      <c r="M61" s="19"/>
      <c r="N61" s="1"/>
    </row>
    <row r="62" spans="2:15" ht="14.25">
      <c r="B62" s="15" t="s">
        <v>19</v>
      </c>
      <c r="C62" s="6"/>
      <c r="D62" s="6"/>
      <c r="F62" s="7" t="s">
        <v>17</v>
      </c>
      <c r="G62" s="8">
        <v>2.845</v>
      </c>
      <c r="H62" s="6" t="s">
        <v>1</v>
      </c>
      <c r="J62" s="19" t="s">
        <v>34</v>
      </c>
      <c r="K62" s="1">
        <f>+(K60)/4+N60</f>
        <v>69338.40280030965</v>
      </c>
      <c r="L62" t="s">
        <v>4</v>
      </c>
      <c r="M62" s="19" t="s">
        <v>58</v>
      </c>
      <c r="N62" s="1">
        <f>+N60+K60</f>
        <v>87234.3061865348</v>
      </c>
      <c r="O62" t="s">
        <v>4</v>
      </c>
    </row>
    <row r="63" spans="2:12" ht="14.25">
      <c r="B63" s="17"/>
      <c r="C63" s="8"/>
      <c r="D63" s="6"/>
      <c r="F63" s="7" t="s">
        <v>3</v>
      </c>
      <c r="G63" s="8">
        <v>162</v>
      </c>
      <c r="H63" s="6" t="s">
        <v>1</v>
      </c>
      <c r="J63" s="19" t="s">
        <v>38</v>
      </c>
      <c r="K63">
        <f>+N60+K61</f>
        <v>90007.84229854718</v>
      </c>
      <c r="L63" t="s">
        <v>4</v>
      </c>
    </row>
    <row r="64" spans="2:8" ht="14.25">
      <c r="B64" s="7" t="s">
        <v>20</v>
      </c>
      <c r="C64" s="8">
        <v>1.125</v>
      </c>
      <c r="D64" s="6" t="s">
        <v>1</v>
      </c>
      <c r="F64" s="7" t="s">
        <v>23</v>
      </c>
      <c r="G64" s="8">
        <v>55</v>
      </c>
      <c r="H64" s="6" t="s">
        <v>2</v>
      </c>
    </row>
    <row r="65" spans="2:8" ht="12.75">
      <c r="B65" s="4" t="s">
        <v>25</v>
      </c>
      <c r="C65" s="20">
        <v>11150</v>
      </c>
      <c r="D65" s="5" t="s">
        <v>2</v>
      </c>
      <c r="F65" s="23" t="s">
        <v>47</v>
      </c>
      <c r="G65" s="8">
        <v>0.04</v>
      </c>
      <c r="H65" s="5" t="s">
        <v>48</v>
      </c>
    </row>
    <row r="67" spans="2:6" ht="12.75">
      <c r="B67" s="2" t="s">
        <v>21</v>
      </c>
      <c r="F67" s="2" t="s">
        <v>27</v>
      </c>
    </row>
    <row r="69" spans="6:8" ht="12.75">
      <c r="F69" s="19" t="s">
        <v>26</v>
      </c>
      <c r="G69" s="1">
        <f>+(1-(G59/C60))/(0.95*C59)-(1/G63)</f>
        <v>0.021703773384916785</v>
      </c>
      <c r="H69" t="s">
        <v>5</v>
      </c>
    </row>
    <row r="70" spans="2:8" ht="14.25">
      <c r="B70" s="19" t="s">
        <v>22</v>
      </c>
      <c r="C70" s="3">
        <f>0.55*G64*(G59*G61+((G59-G62)*C64))</f>
        <v>1504.9049812500002</v>
      </c>
      <c r="D70" t="s">
        <v>0</v>
      </c>
      <c r="F70" s="19" t="s">
        <v>34</v>
      </c>
      <c r="G70" s="1">
        <f>+C70/G69</f>
        <v>69338.40280030966</v>
      </c>
      <c r="H70" t="s">
        <v>4</v>
      </c>
    </row>
    <row r="71" spans="2:8" ht="14.25">
      <c r="B71" s="18" t="s">
        <v>24</v>
      </c>
      <c r="C71" s="1">
        <f>+G64/(C65*3^0.5)</f>
        <v>0.0028479161260474817</v>
      </c>
      <c r="D71" t="s">
        <v>36</v>
      </c>
      <c r="F71" s="18" t="s">
        <v>35</v>
      </c>
      <c r="G71" s="1">
        <f>+C71</f>
        <v>0.0028479161260474817</v>
      </c>
      <c r="H71" t="s">
        <v>36</v>
      </c>
    </row>
    <row r="72" spans="2:8" ht="14.25">
      <c r="B72" s="19" t="s">
        <v>30</v>
      </c>
      <c r="C72" s="1">
        <f>+C70/C71</f>
        <v>528423.2100397572</v>
      </c>
      <c r="D72" t="s">
        <v>31</v>
      </c>
      <c r="F72" s="19" t="s">
        <v>39</v>
      </c>
      <c r="G72" s="1">
        <f>+C72/G69</f>
        <v>24347066.321978334</v>
      </c>
      <c r="H72" t="s">
        <v>37</v>
      </c>
    </row>
    <row r="73" spans="2:8" ht="14.25">
      <c r="B73" s="19" t="s">
        <v>28</v>
      </c>
      <c r="C73" s="1">
        <f>+C70+0.55*G64*G59*G61*(3.45*G60*G62^2/(C59*G59*G61))</f>
        <v>1893.3136128629958</v>
      </c>
      <c r="D73" t="s">
        <v>0</v>
      </c>
      <c r="F73" s="19" t="s">
        <v>40</v>
      </c>
      <c r="G73" s="1">
        <f>+C75/G69</f>
        <v>2094619.6674059848</v>
      </c>
      <c r="H73" t="s">
        <v>37</v>
      </c>
    </row>
    <row r="74" spans="2:8" ht="14.25">
      <c r="B74" s="19" t="s">
        <v>29</v>
      </c>
      <c r="C74" s="1">
        <f>4*C71</f>
        <v>0.011391664504189927</v>
      </c>
      <c r="D74" t="s">
        <v>36</v>
      </c>
      <c r="F74" s="19" t="s">
        <v>38</v>
      </c>
      <c r="G74" s="1">
        <f>+G70+(C73-C70)/G69</f>
        <v>87234.30618653481</v>
      </c>
      <c r="H74" t="s">
        <v>4</v>
      </c>
    </row>
    <row r="75" spans="2:8" ht="14.25">
      <c r="B75" s="19" t="s">
        <v>32</v>
      </c>
      <c r="C75" s="1">
        <f>+(C73-C70)/(C74-C71)</f>
        <v>45461.15058896926</v>
      </c>
      <c r="D75" t="s">
        <v>31</v>
      </c>
      <c r="F75" s="18" t="s">
        <v>41</v>
      </c>
      <c r="G75" s="1">
        <f>4*G71</f>
        <v>0.011391664504189927</v>
      </c>
      <c r="H75" t="s">
        <v>36</v>
      </c>
    </row>
    <row r="76" spans="2:3" ht="14.25">
      <c r="B76" s="19" t="s">
        <v>33</v>
      </c>
      <c r="C76" s="1">
        <f>+C75/C72</f>
        <v>0.08603170664200932</v>
      </c>
    </row>
    <row r="78" ht="12.75">
      <c r="L78" s="2" t="s">
        <v>66</v>
      </c>
    </row>
    <row r="79" spans="2:22" ht="12.75">
      <c r="B79" s="12" t="s">
        <v>9</v>
      </c>
      <c r="C79" s="8"/>
      <c r="D79" s="8"/>
      <c r="F79" s="13" t="s">
        <v>6</v>
      </c>
      <c r="G79" s="6"/>
      <c r="H79" s="8" t="s">
        <v>7</v>
      </c>
      <c r="R79" s="2" t="s">
        <v>59</v>
      </c>
      <c r="T79" s="2" t="s">
        <v>60</v>
      </c>
      <c r="V79" s="2" t="s">
        <v>61</v>
      </c>
    </row>
    <row r="80" spans="2:23" ht="12.75">
      <c r="B80" s="8"/>
      <c r="C80" s="7" t="s">
        <v>44</v>
      </c>
      <c r="D80" s="8" t="s">
        <v>45</v>
      </c>
      <c r="F80" s="6"/>
      <c r="G80" s="7" t="s">
        <v>43</v>
      </c>
      <c r="H80" s="8">
        <v>3</v>
      </c>
      <c r="J80" s="2" t="s">
        <v>69</v>
      </c>
      <c r="M80" s="2" t="s">
        <v>70</v>
      </c>
      <c r="R80" s="25" t="s">
        <v>55</v>
      </c>
      <c r="S80" s="24" t="s">
        <v>56</v>
      </c>
      <c r="T80" s="25" t="s">
        <v>55</v>
      </c>
      <c r="U80" s="24" t="s">
        <v>56</v>
      </c>
      <c r="V80" s="25" t="s">
        <v>55</v>
      </c>
      <c r="W80" s="24" t="s">
        <v>56</v>
      </c>
    </row>
    <row r="81" spans="2:8" ht="12.75">
      <c r="B81" s="8"/>
      <c r="C81" s="8"/>
      <c r="D81" s="8"/>
      <c r="F81" s="8"/>
      <c r="G81" s="8"/>
      <c r="H81" s="8"/>
    </row>
    <row r="82" spans="2:23" ht="14.25">
      <c r="B82" s="14" t="s">
        <v>10</v>
      </c>
      <c r="C82" s="8"/>
      <c r="D82" s="8"/>
      <c r="F82" s="15" t="s">
        <v>11</v>
      </c>
      <c r="G82" s="6"/>
      <c r="H82" s="6"/>
      <c r="J82" s="19" t="s">
        <v>49</v>
      </c>
      <c r="K82" s="1">
        <f>+G98</f>
        <v>2094619.6674059848</v>
      </c>
      <c r="L82" t="s">
        <v>37</v>
      </c>
      <c r="M82" s="19" t="s">
        <v>52</v>
      </c>
      <c r="N82" s="1">
        <f>+G97-K82</f>
        <v>22252446.65457235</v>
      </c>
      <c r="O82" t="s">
        <v>37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ht="14.25">
      <c r="B83" s="16" t="s">
        <v>12</v>
      </c>
      <c r="C83" s="8" t="s">
        <v>73</v>
      </c>
      <c r="D83" s="8"/>
      <c r="F83" s="17" t="s">
        <v>12</v>
      </c>
      <c r="G83" s="8" t="s">
        <v>8</v>
      </c>
      <c r="H83" s="6"/>
      <c r="J83" s="19" t="s">
        <v>50</v>
      </c>
      <c r="K83" s="1">
        <f>+G90*G97</f>
        <v>973882.6528791334</v>
      </c>
      <c r="L83" t="s">
        <v>37</v>
      </c>
      <c r="M83" s="19" t="s">
        <v>53</v>
      </c>
      <c r="N83" s="1">
        <v>0</v>
      </c>
      <c r="O83" t="s">
        <v>37</v>
      </c>
      <c r="R83" s="1">
        <f>+G96</f>
        <v>0.0028479161260474817</v>
      </c>
      <c r="S83" s="1">
        <f>+K85/4</f>
        <v>5965.301128741717</v>
      </c>
      <c r="T83" s="1">
        <f>+G96</f>
        <v>0.0028479161260474817</v>
      </c>
      <c r="U83" s="1">
        <f>+N85</f>
        <v>63373.10167156793</v>
      </c>
      <c r="V83" s="1">
        <f>+G96</f>
        <v>0.0028479161260474817</v>
      </c>
      <c r="W83" s="1">
        <f>+K87</f>
        <v>69338.40280030965</v>
      </c>
    </row>
    <row r="84" spans="2:23" ht="14.25">
      <c r="B84" s="14" t="s">
        <v>13</v>
      </c>
      <c r="C84" s="8">
        <v>36.08</v>
      </c>
      <c r="D84" s="8" t="s">
        <v>1</v>
      </c>
      <c r="F84" s="7" t="s">
        <v>14</v>
      </c>
      <c r="G84" s="8">
        <v>18.29</v>
      </c>
      <c r="H84" s="6" t="s">
        <v>1</v>
      </c>
      <c r="J84" s="19" t="s">
        <v>62</v>
      </c>
      <c r="K84" s="26">
        <f>+K83/K82</f>
        <v>0.4649448623220498</v>
      </c>
      <c r="M84" s="19" t="s">
        <v>71</v>
      </c>
      <c r="N84" s="27">
        <f>+N83/N82</f>
        <v>0</v>
      </c>
      <c r="R84" s="1">
        <f>+G100</f>
        <v>0.011391664504189927</v>
      </c>
      <c r="S84" s="1">
        <f>+K85</f>
        <v>23861.204514966867</v>
      </c>
      <c r="T84" s="1">
        <f>+G100</f>
        <v>0.011391664504189927</v>
      </c>
      <c r="U84" s="1">
        <f>+N85</f>
        <v>63373.10167156793</v>
      </c>
      <c r="V84" s="1">
        <f>+G100</f>
        <v>0.011391664504189927</v>
      </c>
      <c r="W84" s="1">
        <f>+N87</f>
        <v>87234.3061865348</v>
      </c>
    </row>
    <row r="85" spans="2:23" ht="15">
      <c r="B85" s="14" t="s">
        <v>18</v>
      </c>
      <c r="C85" s="8">
        <v>411</v>
      </c>
      <c r="D85" s="8" t="s">
        <v>1</v>
      </c>
      <c r="F85" s="7" t="s">
        <v>46</v>
      </c>
      <c r="G85" s="8">
        <v>16.59</v>
      </c>
      <c r="H85" s="6" t="s">
        <v>15</v>
      </c>
      <c r="J85" s="19" t="s">
        <v>51</v>
      </c>
      <c r="K85" s="1">
        <f>+K82*G100</f>
        <v>23861.204514966867</v>
      </c>
      <c r="L85" t="s">
        <v>4</v>
      </c>
      <c r="M85" s="19" t="s">
        <v>54</v>
      </c>
      <c r="N85" s="1">
        <f>+N82*G96</f>
        <v>63373.10167156793</v>
      </c>
      <c r="O85" t="s">
        <v>4</v>
      </c>
      <c r="R85" s="1">
        <f>+(G100+G96)</f>
        <v>0.014239580630237409</v>
      </c>
      <c r="S85" s="1">
        <f>+K86</f>
        <v>26634.740626979252</v>
      </c>
      <c r="T85" s="1">
        <f>+R85</f>
        <v>0.014239580630237409</v>
      </c>
      <c r="U85" s="1">
        <f>+N85</f>
        <v>63373.10167156793</v>
      </c>
      <c r="V85" s="1">
        <f>+G96+G100</f>
        <v>0.014239580630237409</v>
      </c>
      <c r="W85" s="1">
        <f>+K88</f>
        <v>90007.84229854718</v>
      </c>
    </row>
    <row r="86" spans="2:14" ht="14.25">
      <c r="B86" s="14"/>
      <c r="C86" s="8"/>
      <c r="D86" s="8"/>
      <c r="F86" s="7" t="s">
        <v>16</v>
      </c>
      <c r="G86" s="8">
        <v>1.77</v>
      </c>
      <c r="H86" s="6" t="s">
        <v>1</v>
      </c>
      <c r="J86" s="19" t="s">
        <v>57</v>
      </c>
      <c r="K86" s="1">
        <f>+K85+G96*K83</f>
        <v>26634.740626979252</v>
      </c>
      <c r="L86" t="s">
        <v>4</v>
      </c>
      <c r="M86" s="19"/>
      <c r="N86" s="1"/>
    </row>
    <row r="87" spans="2:15" ht="14.25">
      <c r="B87" s="15" t="s">
        <v>19</v>
      </c>
      <c r="C87" s="6"/>
      <c r="D87" s="6"/>
      <c r="F87" s="7" t="s">
        <v>17</v>
      </c>
      <c r="G87" s="8">
        <v>2.845</v>
      </c>
      <c r="H87" s="6" t="s">
        <v>1</v>
      </c>
      <c r="J87" s="19" t="s">
        <v>34</v>
      </c>
      <c r="K87" s="1">
        <f>+(K85)/4+N85</f>
        <v>69338.40280030965</v>
      </c>
      <c r="L87" t="s">
        <v>4</v>
      </c>
      <c r="M87" s="19" t="s">
        <v>58</v>
      </c>
      <c r="N87" s="1">
        <f>+N85+K85</f>
        <v>87234.3061865348</v>
      </c>
      <c r="O87" t="s">
        <v>4</v>
      </c>
    </row>
    <row r="88" spans="2:12" ht="14.25">
      <c r="B88" s="17"/>
      <c r="C88" s="8"/>
      <c r="D88" s="6"/>
      <c r="F88" s="7" t="s">
        <v>3</v>
      </c>
      <c r="G88" s="8">
        <v>162</v>
      </c>
      <c r="H88" s="6" t="s">
        <v>1</v>
      </c>
      <c r="J88" s="19" t="s">
        <v>38</v>
      </c>
      <c r="K88">
        <f>+N85+K86</f>
        <v>90007.84229854718</v>
      </c>
      <c r="L88" t="s">
        <v>4</v>
      </c>
    </row>
    <row r="89" spans="2:8" ht="14.25">
      <c r="B89" s="7" t="s">
        <v>20</v>
      </c>
      <c r="C89" s="8">
        <v>1.125</v>
      </c>
      <c r="D89" s="6" t="s">
        <v>1</v>
      </c>
      <c r="F89" s="7" t="s">
        <v>23</v>
      </c>
      <c r="G89" s="8">
        <v>55</v>
      </c>
      <c r="H89" s="6" t="s">
        <v>2</v>
      </c>
    </row>
    <row r="90" spans="2:8" ht="12.75">
      <c r="B90" s="4" t="s">
        <v>25</v>
      </c>
      <c r="C90" s="20">
        <v>11150</v>
      </c>
      <c r="D90" s="5" t="s">
        <v>2</v>
      </c>
      <c r="F90" s="23" t="s">
        <v>47</v>
      </c>
      <c r="G90" s="8">
        <v>0.04</v>
      </c>
      <c r="H90" s="5" t="s">
        <v>48</v>
      </c>
    </row>
    <row r="92" spans="2:6" ht="12.75">
      <c r="B92" s="2" t="s">
        <v>21</v>
      </c>
      <c r="F92" s="2" t="s">
        <v>27</v>
      </c>
    </row>
    <row r="94" spans="6:8" ht="12.75">
      <c r="F94" s="19" t="s">
        <v>26</v>
      </c>
      <c r="G94" s="1">
        <f>+(1-(G84/C85))/(0.95*C84)-(1/G88)</f>
        <v>0.021703773384916785</v>
      </c>
      <c r="H94" t="s">
        <v>5</v>
      </c>
    </row>
    <row r="95" spans="2:8" ht="14.25">
      <c r="B95" s="19" t="s">
        <v>22</v>
      </c>
      <c r="C95" s="3">
        <f>0.55*G89*(G84*G86+((G84-G87)*C89))</f>
        <v>1504.9049812500002</v>
      </c>
      <c r="D95" t="s">
        <v>0</v>
      </c>
      <c r="F95" s="19" t="s">
        <v>34</v>
      </c>
      <c r="G95" s="1">
        <f>+C95/G94</f>
        <v>69338.40280030966</v>
      </c>
      <c r="H95" t="s">
        <v>4</v>
      </c>
    </row>
    <row r="96" spans="2:8" ht="14.25">
      <c r="B96" s="18" t="s">
        <v>24</v>
      </c>
      <c r="C96" s="1">
        <f>+G89/(C90*3^0.5)</f>
        <v>0.0028479161260474817</v>
      </c>
      <c r="D96" t="s">
        <v>36</v>
      </c>
      <c r="F96" s="18" t="s">
        <v>35</v>
      </c>
      <c r="G96" s="1">
        <f>+C96</f>
        <v>0.0028479161260474817</v>
      </c>
      <c r="H96" t="s">
        <v>36</v>
      </c>
    </row>
    <row r="97" spans="2:8" ht="14.25">
      <c r="B97" s="19" t="s">
        <v>30</v>
      </c>
      <c r="C97" s="1">
        <f>+C95/C96</f>
        <v>528423.2100397572</v>
      </c>
      <c r="D97" t="s">
        <v>31</v>
      </c>
      <c r="F97" s="19" t="s">
        <v>39</v>
      </c>
      <c r="G97" s="1">
        <f>+C97/G94</f>
        <v>24347066.321978334</v>
      </c>
      <c r="H97" t="s">
        <v>37</v>
      </c>
    </row>
    <row r="98" spans="2:8" ht="14.25">
      <c r="B98" s="19" t="s">
        <v>28</v>
      </c>
      <c r="C98" s="1">
        <f>+C95+0.55*G89*G84*G86*(3.45*G85*G87^2/(C84*G84*G86))</f>
        <v>1893.3136128629958</v>
      </c>
      <c r="D98" t="s">
        <v>0</v>
      </c>
      <c r="F98" s="19" t="s">
        <v>40</v>
      </c>
      <c r="G98" s="1">
        <f>+C100/G94</f>
        <v>2094619.6674059848</v>
      </c>
      <c r="H98" t="s">
        <v>37</v>
      </c>
    </row>
    <row r="99" spans="2:8" ht="14.25">
      <c r="B99" s="19" t="s">
        <v>29</v>
      </c>
      <c r="C99" s="1">
        <f>4*C96</f>
        <v>0.011391664504189927</v>
      </c>
      <c r="D99" t="s">
        <v>36</v>
      </c>
      <c r="F99" s="19" t="s">
        <v>38</v>
      </c>
      <c r="G99" s="1">
        <f>+G95+(C98-C95)/G94</f>
        <v>87234.30618653481</v>
      </c>
      <c r="H99" t="s">
        <v>4</v>
      </c>
    </row>
    <row r="100" spans="2:8" ht="14.25">
      <c r="B100" s="19" t="s">
        <v>32</v>
      </c>
      <c r="C100" s="1">
        <f>+(C98-C95)/(C99-C96)</f>
        <v>45461.15058896926</v>
      </c>
      <c r="D100" t="s">
        <v>31</v>
      </c>
      <c r="F100" s="18" t="s">
        <v>41</v>
      </c>
      <c r="G100" s="1">
        <f>4*G96</f>
        <v>0.011391664504189927</v>
      </c>
      <c r="H100" t="s">
        <v>36</v>
      </c>
    </row>
    <row r="101" spans="2:3" ht="14.25">
      <c r="B101" s="19" t="s">
        <v>33</v>
      </c>
      <c r="C101" s="1">
        <f>+C100/C97</f>
        <v>0.08603170664200932</v>
      </c>
    </row>
    <row r="103" ht="12.75">
      <c r="L103" s="2" t="s">
        <v>67</v>
      </c>
    </row>
    <row r="104" spans="2:22" ht="12.75">
      <c r="B104" s="12" t="s">
        <v>9</v>
      </c>
      <c r="C104" s="8"/>
      <c r="D104" s="8"/>
      <c r="F104" s="13" t="s">
        <v>6</v>
      </c>
      <c r="G104" s="6"/>
      <c r="H104" s="8" t="s">
        <v>7</v>
      </c>
      <c r="R104" s="2" t="s">
        <v>59</v>
      </c>
      <c r="T104" s="2" t="s">
        <v>60</v>
      </c>
      <c r="V104" s="2" t="s">
        <v>61</v>
      </c>
    </row>
    <row r="105" spans="2:23" ht="12.75">
      <c r="B105" s="8"/>
      <c r="C105" s="7" t="s">
        <v>44</v>
      </c>
      <c r="D105" s="8" t="s">
        <v>45</v>
      </c>
      <c r="F105" s="6"/>
      <c r="G105" s="7" t="s">
        <v>43</v>
      </c>
      <c r="H105" s="8">
        <v>2</v>
      </c>
      <c r="J105" s="2" t="s">
        <v>69</v>
      </c>
      <c r="M105" s="2" t="s">
        <v>70</v>
      </c>
      <c r="R105" s="25" t="s">
        <v>55</v>
      </c>
      <c r="S105" s="24" t="s">
        <v>56</v>
      </c>
      <c r="T105" s="25" t="s">
        <v>55</v>
      </c>
      <c r="U105" s="24" t="s">
        <v>56</v>
      </c>
      <c r="V105" s="25" t="s">
        <v>55</v>
      </c>
      <c r="W105" s="24" t="s">
        <v>56</v>
      </c>
    </row>
    <row r="106" spans="2:8" ht="12.75">
      <c r="B106" s="8"/>
      <c r="C106" s="8"/>
      <c r="D106" s="8"/>
      <c r="F106" s="8"/>
      <c r="G106" s="8"/>
      <c r="H106" s="8"/>
    </row>
    <row r="107" spans="2:23" ht="14.25">
      <c r="B107" s="14" t="s">
        <v>10</v>
      </c>
      <c r="C107" s="8"/>
      <c r="D107" s="8"/>
      <c r="F107" s="15" t="s">
        <v>11</v>
      </c>
      <c r="G107" s="6"/>
      <c r="H107" s="6"/>
      <c r="J107" s="19" t="s">
        <v>49</v>
      </c>
      <c r="K107" s="1">
        <f>+G123</f>
        <v>2094619.6674059848</v>
      </c>
      <c r="L107" t="s">
        <v>37</v>
      </c>
      <c r="M107" s="19" t="s">
        <v>52</v>
      </c>
      <c r="N107" s="1">
        <f>+G122-K107</f>
        <v>22252446.65457235</v>
      </c>
      <c r="O107" t="s">
        <v>37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</row>
    <row r="108" spans="2:23" ht="14.25">
      <c r="B108" s="16" t="s">
        <v>12</v>
      </c>
      <c r="C108" s="8" t="s">
        <v>73</v>
      </c>
      <c r="D108" s="8"/>
      <c r="F108" s="17" t="s">
        <v>12</v>
      </c>
      <c r="G108" s="8" t="s">
        <v>8</v>
      </c>
      <c r="H108" s="6"/>
      <c r="J108" s="19" t="s">
        <v>50</v>
      </c>
      <c r="K108" s="1">
        <f>+G115*G122</f>
        <v>973882.6528791334</v>
      </c>
      <c r="L108" t="s">
        <v>37</v>
      </c>
      <c r="M108" s="19" t="s">
        <v>53</v>
      </c>
      <c r="N108" s="1">
        <v>0</v>
      </c>
      <c r="O108" t="s">
        <v>37</v>
      </c>
      <c r="R108" s="1">
        <f>+G121</f>
        <v>0.0028479161260474817</v>
      </c>
      <c r="S108" s="1">
        <f>+K110/4</f>
        <v>5965.301128741717</v>
      </c>
      <c r="T108" s="1">
        <f>+G121</f>
        <v>0.0028479161260474817</v>
      </c>
      <c r="U108" s="1">
        <f>+N110</f>
        <v>63373.10167156793</v>
      </c>
      <c r="V108" s="1">
        <f>+G121</f>
        <v>0.0028479161260474817</v>
      </c>
      <c r="W108" s="1">
        <f>+K112</f>
        <v>69338.40280030965</v>
      </c>
    </row>
    <row r="109" spans="2:23" ht="14.25">
      <c r="B109" s="14" t="s">
        <v>13</v>
      </c>
      <c r="C109" s="8">
        <v>36.08</v>
      </c>
      <c r="D109" s="8" t="s">
        <v>1</v>
      </c>
      <c r="F109" s="7" t="s">
        <v>14</v>
      </c>
      <c r="G109" s="8">
        <v>18.29</v>
      </c>
      <c r="H109" s="6" t="s">
        <v>1</v>
      </c>
      <c r="J109" s="19" t="s">
        <v>62</v>
      </c>
      <c r="K109" s="26">
        <f>+K108/K107</f>
        <v>0.4649448623220498</v>
      </c>
      <c r="M109" s="19" t="s">
        <v>71</v>
      </c>
      <c r="N109" s="27">
        <f>+N108/N107</f>
        <v>0</v>
      </c>
      <c r="R109" s="1">
        <f>+G125</f>
        <v>0.011391664504189927</v>
      </c>
      <c r="S109" s="1">
        <f>+K110</f>
        <v>23861.204514966867</v>
      </c>
      <c r="T109" s="1">
        <f>+G125</f>
        <v>0.011391664504189927</v>
      </c>
      <c r="U109" s="1">
        <f>+N110</f>
        <v>63373.10167156793</v>
      </c>
      <c r="V109" s="1">
        <f>+G125</f>
        <v>0.011391664504189927</v>
      </c>
      <c r="W109" s="1">
        <f>+N112</f>
        <v>87234.3061865348</v>
      </c>
    </row>
    <row r="110" spans="2:23" ht="15">
      <c r="B110" s="14" t="s">
        <v>18</v>
      </c>
      <c r="C110" s="8">
        <v>411</v>
      </c>
      <c r="D110" s="8" t="s">
        <v>1</v>
      </c>
      <c r="F110" s="7" t="s">
        <v>46</v>
      </c>
      <c r="G110" s="8">
        <v>16.59</v>
      </c>
      <c r="H110" s="6" t="s">
        <v>15</v>
      </c>
      <c r="J110" s="19" t="s">
        <v>51</v>
      </c>
      <c r="K110" s="1">
        <f>+K107*G125</f>
        <v>23861.204514966867</v>
      </c>
      <c r="L110" t="s">
        <v>4</v>
      </c>
      <c r="M110" s="19" t="s">
        <v>54</v>
      </c>
      <c r="N110" s="1">
        <f>+N107*G121</f>
        <v>63373.10167156793</v>
      </c>
      <c r="O110" t="s">
        <v>4</v>
      </c>
      <c r="R110" s="1">
        <f>+(G125+G121)</f>
        <v>0.014239580630237409</v>
      </c>
      <c r="S110" s="1">
        <f>+K111</f>
        <v>26634.740626979252</v>
      </c>
      <c r="T110" s="1">
        <f>+R110</f>
        <v>0.014239580630237409</v>
      </c>
      <c r="U110" s="1">
        <f>+N110</f>
        <v>63373.10167156793</v>
      </c>
      <c r="V110" s="1">
        <f>+G121+G125</f>
        <v>0.014239580630237409</v>
      </c>
      <c r="W110" s="1">
        <f>+K113</f>
        <v>90007.84229854718</v>
      </c>
    </row>
    <row r="111" spans="2:14" ht="14.25">
      <c r="B111" s="14"/>
      <c r="C111" s="8"/>
      <c r="D111" s="8"/>
      <c r="F111" s="7" t="s">
        <v>16</v>
      </c>
      <c r="G111" s="8">
        <v>1.77</v>
      </c>
      <c r="H111" s="6" t="s">
        <v>1</v>
      </c>
      <c r="J111" s="19" t="s">
        <v>57</v>
      </c>
      <c r="K111" s="1">
        <f>+K110+G121*K108</f>
        <v>26634.740626979252</v>
      </c>
      <c r="L111" t="s">
        <v>4</v>
      </c>
      <c r="M111" s="19"/>
      <c r="N111" s="1"/>
    </row>
    <row r="112" spans="2:15" ht="14.25">
      <c r="B112" s="15" t="s">
        <v>19</v>
      </c>
      <c r="C112" s="6"/>
      <c r="D112" s="6"/>
      <c r="F112" s="7" t="s">
        <v>17</v>
      </c>
      <c r="G112" s="8">
        <v>2.845</v>
      </c>
      <c r="H112" s="6" t="s">
        <v>1</v>
      </c>
      <c r="J112" s="19" t="s">
        <v>34</v>
      </c>
      <c r="K112" s="1">
        <f>+(K110)/4+N110</f>
        <v>69338.40280030965</v>
      </c>
      <c r="L112" t="s">
        <v>4</v>
      </c>
      <c r="M112" s="19" t="s">
        <v>58</v>
      </c>
      <c r="N112" s="1">
        <f>+N110+K110</f>
        <v>87234.3061865348</v>
      </c>
      <c r="O112" t="s">
        <v>4</v>
      </c>
    </row>
    <row r="113" spans="2:12" ht="14.25">
      <c r="B113" s="17"/>
      <c r="C113" s="8"/>
      <c r="D113" s="6"/>
      <c r="F113" s="7" t="s">
        <v>3</v>
      </c>
      <c r="G113" s="8">
        <v>162</v>
      </c>
      <c r="H113" s="6" t="s">
        <v>1</v>
      </c>
      <c r="J113" s="19" t="s">
        <v>38</v>
      </c>
      <c r="K113">
        <f>+N110+K111</f>
        <v>90007.84229854718</v>
      </c>
      <c r="L113" t="s">
        <v>4</v>
      </c>
    </row>
    <row r="114" spans="2:8" ht="14.25">
      <c r="B114" s="7" t="s">
        <v>20</v>
      </c>
      <c r="C114" s="8">
        <v>1.125</v>
      </c>
      <c r="D114" s="6" t="s">
        <v>1</v>
      </c>
      <c r="F114" s="7" t="s">
        <v>23</v>
      </c>
      <c r="G114" s="8">
        <v>55</v>
      </c>
      <c r="H114" s="6" t="s">
        <v>2</v>
      </c>
    </row>
    <row r="115" spans="2:8" ht="12.75">
      <c r="B115" s="4" t="s">
        <v>25</v>
      </c>
      <c r="C115" s="20">
        <v>11150</v>
      </c>
      <c r="D115" s="5" t="s">
        <v>2</v>
      </c>
      <c r="F115" s="23" t="s">
        <v>47</v>
      </c>
      <c r="G115" s="8">
        <v>0.04</v>
      </c>
      <c r="H115" s="5" t="s">
        <v>48</v>
      </c>
    </row>
    <row r="117" spans="2:6" ht="12.75">
      <c r="B117" s="2" t="s">
        <v>21</v>
      </c>
      <c r="F117" s="2" t="s">
        <v>27</v>
      </c>
    </row>
    <row r="119" spans="6:8" ht="12.75">
      <c r="F119" s="19" t="s">
        <v>26</v>
      </c>
      <c r="G119" s="1">
        <f>+(1-(G109/C110))/(0.95*C109)-(1/G113)</f>
        <v>0.021703773384916785</v>
      </c>
      <c r="H119" t="s">
        <v>5</v>
      </c>
    </row>
    <row r="120" spans="2:8" ht="14.25">
      <c r="B120" s="19" t="s">
        <v>22</v>
      </c>
      <c r="C120" s="3">
        <f>0.55*G114*(G109*G111+((G109-G112)*C114))</f>
        <v>1504.9049812500002</v>
      </c>
      <c r="D120" t="s">
        <v>0</v>
      </c>
      <c r="F120" s="19" t="s">
        <v>34</v>
      </c>
      <c r="G120" s="1">
        <f>+C120/G119</f>
        <v>69338.40280030966</v>
      </c>
      <c r="H120" t="s">
        <v>4</v>
      </c>
    </row>
    <row r="121" spans="2:8" ht="14.25">
      <c r="B121" s="18" t="s">
        <v>24</v>
      </c>
      <c r="C121" s="1">
        <f>+G114/(C115*3^0.5)</f>
        <v>0.0028479161260474817</v>
      </c>
      <c r="D121" t="s">
        <v>36</v>
      </c>
      <c r="F121" s="18" t="s">
        <v>35</v>
      </c>
      <c r="G121" s="1">
        <f>+C121</f>
        <v>0.0028479161260474817</v>
      </c>
      <c r="H121" t="s">
        <v>36</v>
      </c>
    </row>
    <row r="122" spans="2:8" ht="14.25">
      <c r="B122" s="19" t="s">
        <v>30</v>
      </c>
      <c r="C122" s="1">
        <f>+C120/C121</f>
        <v>528423.2100397572</v>
      </c>
      <c r="D122" t="s">
        <v>31</v>
      </c>
      <c r="F122" s="19" t="s">
        <v>39</v>
      </c>
      <c r="G122" s="1">
        <f>+C122/G119</f>
        <v>24347066.321978334</v>
      </c>
      <c r="H122" t="s">
        <v>37</v>
      </c>
    </row>
    <row r="123" spans="2:8" ht="14.25">
      <c r="B123" s="19" t="s">
        <v>28</v>
      </c>
      <c r="C123" s="1">
        <f>+C120+0.55*G114*G109*G111*(3.45*G110*G112^2/(C109*G109*G111))</f>
        <v>1893.3136128629958</v>
      </c>
      <c r="D123" t="s">
        <v>0</v>
      </c>
      <c r="F123" s="19" t="s">
        <v>40</v>
      </c>
      <c r="G123" s="1">
        <f>+C125/G119</f>
        <v>2094619.6674059848</v>
      </c>
      <c r="H123" t="s">
        <v>37</v>
      </c>
    </row>
    <row r="124" spans="2:8" ht="14.25">
      <c r="B124" s="19" t="s">
        <v>29</v>
      </c>
      <c r="C124" s="1">
        <f>4*C121</f>
        <v>0.011391664504189927</v>
      </c>
      <c r="D124" t="s">
        <v>36</v>
      </c>
      <c r="F124" s="19" t="s">
        <v>38</v>
      </c>
      <c r="G124" s="1">
        <f>+G120+(C123-C120)/G119</f>
        <v>87234.30618653481</v>
      </c>
      <c r="H124" t="s">
        <v>4</v>
      </c>
    </row>
    <row r="125" spans="2:8" ht="14.25">
      <c r="B125" s="19" t="s">
        <v>32</v>
      </c>
      <c r="C125" s="1">
        <f>+(C123-C120)/(C124-C121)</f>
        <v>45461.15058896926</v>
      </c>
      <c r="D125" t="s">
        <v>31</v>
      </c>
      <c r="F125" s="18" t="s">
        <v>41</v>
      </c>
      <c r="G125" s="1">
        <f>4*G121</f>
        <v>0.011391664504189927</v>
      </c>
      <c r="H125" t="s">
        <v>36</v>
      </c>
    </row>
    <row r="126" spans="2:3" ht="14.25">
      <c r="B126" s="19" t="s">
        <v>33</v>
      </c>
      <c r="C126" s="1">
        <f>+C125/C122</f>
        <v>0.08603170664200932</v>
      </c>
    </row>
    <row r="128" ht="12.75">
      <c r="L128" s="2" t="s">
        <v>68</v>
      </c>
    </row>
    <row r="129" spans="2:22" ht="12.75">
      <c r="B129" s="12" t="s">
        <v>9</v>
      </c>
      <c r="C129" s="8"/>
      <c r="D129" s="8"/>
      <c r="F129" s="13" t="s">
        <v>6</v>
      </c>
      <c r="G129" s="6"/>
      <c r="H129" s="8" t="s">
        <v>7</v>
      </c>
      <c r="R129" s="2" t="s">
        <v>59</v>
      </c>
      <c r="T129" s="2" t="s">
        <v>60</v>
      </c>
      <c r="V129" s="2" t="s">
        <v>61</v>
      </c>
    </row>
    <row r="130" spans="2:23" ht="12.75">
      <c r="B130" s="8"/>
      <c r="C130" s="7" t="s">
        <v>44</v>
      </c>
      <c r="D130" s="8" t="s">
        <v>45</v>
      </c>
      <c r="F130" s="6"/>
      <c r="G130" s="7" t="s">
        <v>43</v>
      </c>
      <c r="H130" s="8">
        <v>1</v>
      </c>
      <c r="J130" s="2" t="s">
        <v>69</v>
      </c>
      <c r="M130" s="2" t="s">
        <v>70</v>
      </c>
      <c r="R130" s="25" t="s">
        <v>55</v>
      </c>
      <c r="S130" s="24" t="s">
        <v>56</v>
      </c>
      <c r="T130" s="25" t="s">
        <v>55</v>
      </c>
      <c r="U130" s="24" t="s">
        <v>56</v>
      </c>
      <c r="V130" s="25" t="s">
        <v>55</v>
      </c>
      <c r="W130" s="24" t="s">
        <v>56</v>
      </c>
    </row>
    <row r="131" spans="2:8" ht="12.75">
      <c r="B131" s="8"/>
      <c r="C131" s="8"/>
      <c r="D131" s="8"/>
      <c r="F131" s="8"/>
      <c r="G131" s="8"/>
      <c r="H131" s="8"/>
    </row>
    <row r="132" spans="2:23" ht="14.25">
      <c r="B132" s="14" t="s">
        <v>10</v>
      </c>
      <c r="C132" s="8"/>
      <c r="D132" s="8"/>
      <c r="F132" s="15" t="s">
        <v>11</v>
      </c>
      <c r="G132" s="6"/>
      <c r="H132" s="6"/>
      <c r="J132" s="19" t="s">
        <v>49</v>
      </c>
      <c r="K132" s="1">
        <f>+G148</f>
        <v>2094619.6674059848</v>
      </c>
      <c r="L132" t="s">
        <v>37</v>
      </c>
      <c r="M132" s="19" t="s">
        <v>52</v>
      </c>
      <c r="N132" s="1">
        <f>+G147-K132</f>
        <v>22252446.65457235</v>
      </c>
      <c r="O132" t="s">
        <v>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2:23" ht="14.25">
      <c r="B133" s="16" t="s">
        <v>12</v>
      </c>
      <c r="C133" s="8" t="s">
        <v>73</v>
      </c>
      <c r="D133" s="8"/>
      <c r="F133" s="17" t="s">
        <v>12</v>
      </c>
      <c r="G133" s="8" t="s">
        <v>8</v>
      </c>
      <c r="H133" s="6"/>
      <c r="J133" s="19" t="s">
        <v>50</v>
      </c>
      <c r="K133" s="1">
        <f>+G140*G147</f>
        <v>973882.6528791334</v>
      </c>
      <c r="L133" t="s">
        <v>37</v>
      </c>
      <c r="M133" s="19" t="s">
        <v>53</v>
      </c>
      <c r="N133" s="1">
        <v>0</v>
      </c>
      <c r="O133" t="s">
        <v>37</v>
      </c>
      <c r="R133" s="1">
        <f>+G146</f>
        <v>0.0028479161260474817</v>
      </c>
      <c r="S133" s="1">
        <f>+K135/4</f>
        <v>5965.301128741717</v>
      </c>
      <c r="T133" s="1">
        <f>+G146</f>
        <v>0.0028479161260474817</v>
      </c>
      <c r="U133" s="1">
        <f>+N135</f>
        <v>63373.10167156793</v>
      </c>
      <c r="V133" s="1">
        <f>+G146</f>
        <v>0.0028479161260474817</v>
      </c>
      <c r="W133" s="1">
        <f>+K137</f>
        <v>69338.40280030965</v>
      </c>
    </row>
    <row r="134" spans="2:23" ht="14.25">
      <c r="B134" s="14" t="s">
        <v>13</v>
      </c>
      <c r="C134" s="8">
        <v>36.08</v>
      </c>
      <c r="D134" s="8" t="s">
        <v>1</v>
      </c>
      <c r="F134" s="7" t="s">
        <v>14</v>
      </c>
      <c r="G134" s="8">
        <v>18.29</v>
      </c>
      <c r="H134" s="6" t="s">
        <v>1</v>
      </c>
      <c r="J134" s="19" t="s">
        <v>62</v>
      </c>
      <c r="K134" s="26">
        <f>+K133/K132</f>
        <v>0.4649448623220498</v>
      </c>
      <c r="M134" s="19" t="s">
        <v>71</v>
      </c>
      <c r="N134" s="27">
        <f>+N133/N132</f>
        <v>0</v>
      </c>
      <c r="R134" s="1">
        <f>+G150</f>
        <v>0.011391664504189927</v>
      </c>
      <c r="S134" s="1">
        <f>+K135</f>
        <v>23861.204514966867</v>
      </c>
      <c r="T134" s="1">
        <f>+G150</f>
        <v>0.011391664504189927</v>
      </c>
      <c r="U134" s="1">
        <f>+N135</f>
        <v>63373.10167156793</v>
      </c>
      <c r="V134" s="1">
        <f>+G150</f>
        <v>0.011391664504189927</v>
      </c>
      <c r="W134" s="1">
        <f>+N137</f>
        <v>87234.3061865348</v>
      </c>
    </row>
    <row r="135" spans="2:23" ht="15">
      <c r="B135" s="14" t="s">
        <v>18</v>
      </c>
      <c r="C135" s="8">
        <v>411</v>
      </c>
      <c r="D135" s="8" t="s">
        <v>1</v>
      </c>
      <c r="F135" s="7" t="s">
        <v>46</v>
      </c>
      <c r="G135" s="8">
        <v>16.59</v>
      </c>
      <c r="H135" s="6" t="s">
        <v>15</v>
      </c>
      <c r="J135" s="19" t="s">
        <v>51</v>
      </c>
      <c r="K135" s="1">
        <f>+K132*G150</f>
        <v>23861.204514966867</v>
      </c>
      <c r="L135" t="s">
        <v>4</v>
      </c>
      <c r="M135" s="19" t="s">
        <v>54</v>
      </c>
      <c r="N135" s="1">
        <f>+N132*G146</f>
        <v>63373.10167156793</v>
      </c>
      <c r="O135" t="s">
        <v>4</v>
      </c>
      <c r="R135" s="1">
        <f>+(G150+G146)</f>
        <v>0.014239580630237409</v>
      </c>
      <c r="S135" s="1">
        <f>+K136</f>
        <v>26634.740626979252</v>
      </c>
      <c r="T135" s="1">
        <f>+R135</f>
        <v>0.014239580630237409</v>
      </c>
      <c r="U135" s="1">
        <f>+N135</f>
        <v>63373.10167156793</v>
      </c>
      <c r="V135" s="1">
        <f>+G146+G150</f>
        <v>0.014239580630237409</v>
      </c>
      <c r="W135" s="1">
        <f>+K138</f>
        <v>90007.84229854718</v>
      </c>
    </row>
    <row r="136" spans="2:14" ht="14.25">
      <c r="B136" s="14"/>
      <c r="C136" s="8"/>
      <c r="D136" s="8"/>
      <c r="F136" s="7" t="s">
        <v>16</v>
      </c>
      <c r="G136" s="8">
        <v>1.77</v>
      </c>
      <c r="H136" s="6" t="s">
        <v>1</v>
      </c>
      <c r="J136" s="19" t="s">
        <v>57</v>
      </c>
      <c r="K136" s="1">
        <f>+K135+G146*K133</f>
        <v>26634.740626979252</v>
      </c>
      <c r="L136" t="s">
        <v>4</v>
      </c>
      <c r="M136" s="19"/>
      <c r="N136" s="1"/>
    </row>
    <row r="137" spans="2:15" ht="14.25">
      <c r="B137" s="15" t="s">
        <v>19</v>
      </c>
      <c r="C137" s="6"/>
      <c r="D137" s="6"/>
      <c r="F137" s="7" t="s">
        <v>17</v>
      </c>
      <c r="G137" s="8">
        <v>2.845</v>
      </c>
      <c r="H137" s="6" t="s">
        <v>1</v>
      </c>
      <c r="J137" s="19" t="s">
        <v>34</v>
      </c>
      <c r="K137" s="1">
        <f>+(K135)/4+N135</f>
        <v>69338.40280030965</v>
      </c>
      <c r="L137" t="s">
        <v>4</v>
      </c>
      <c r="M137" s="19" t="s">
        <v>58</v>
      </c>
      <c r="N137" s="1">
        <f>+N135+K135</f>
        <v>87234.3061865348</v>
      </c>
      <c r="O137" t="s">
        <v>4</v>
      </c>
    </row>
    <row r="138" spans="2:12" ht="14.25">
      <c r="B138" s="17"/>
      <c r="C138" s="8"/>
      <c r="D138" s="6"/>
      <c r="F138" s="7" t="s">
        <v>3</v>
      </c>
      <c r="G138" s="8">
        <v>162</v>
      </c>
      <c r="H138" s="6" t="s">
        <v>1</v>
      </c>
      <c r="J138" s="19" t="s">
        <v>38</v>
      </c>
      <c r="K138">
        <f>+N135+K136</f>
        <v>90007.84229854718</v>
      </c>
      <c r="L138" t="s">
        <v>4</v>
      </c>
    </row>
    <row r="139" spans="2:8" ht="14.25">
      <c r="B139" s="7" t="s">
        <v>20</v>
      </c>
      <c r="C139" s="8">
        <v>1.125</v>
      </c>
      <c r="D139" s="6" t="s">
        <v>1</v>
      </c>
      <c r="F139" s="7" t="s">
        <v>23</v>
      </c>
      <c r="G139" s="8">
        <v>55</v>
      </c>
      <c r="H139" s="6" t="s">
        <v>2</v>
      </c>
    </row>
    <row r="140" spans="2:8" ht="12.75">
      <c r="B140" s="4" t="s">
        <v>25</v>
      </c>
      <c r="C140" s="20">
        <v>11150</v>
      </c>
      <c r="D140" s="5" t="s">
        <v>2</v>
      </c>
      <c r="F140" s="23" t="s">
        <v>47</v>
      </c>
      <c r="G140" s="8">
        <v>0.04</v>
      </c>
      <c r="H140" s="5" t="s">
        <v>48</v>
      </c>
    </row>
    <row r="142" spans="2:6" ht="12.75">
      <c r="B142" s="2" t="s">
        <v>21</v>
      </c>
      <c r="F142" s="2" t="s">
        <v>27</v>
      </c>
    </row>
    <row r="144" spans="6:8" ht="12.75">
      <c r="F144" s="19" t="s">
        <v>26</v>
      </c>
      <c r="G144" s="1">
        <f>+(1-(G134/C135))/(0.95*C134)-(1/G138)</f>
        <v>0.021703773384916785</v>
      </c>
      <c r="H144" t="s">
        <v>5</v>
      </c>
    </row>
    <row r="145" spans="2:8" ht="14.25">
      <c r="B145" s="19" t="s">
        <v>22</v>
      </c>
      <c r="C145" s="3">
        <f>0.55*G139*(G134*G136+((G134-G137)*C139))</f>
        <v>1504.9049812500002</v>
      </c>
      <c r="D145" t="s">
        <v>0</v>
      </c>
      <c r="F145" s="19" t="s">
        <v>34</v>
      </c>
      <c r="G145" s="1">
        <f>+C145/G144</f>
        <v>69338.40280030966</v>
      </c>
      <c r="H145" t="s">
        <v>4</v>
      </c>
    </row>
    <row r="146" spans="2:8" ht="14.25">
      <c r="B146" s="18" t="s">
        <v>24</v>
      </c>
      <c r="C146" s="1">
        <f>+G139/(C140*3^0.5)</f>
        <v>0.0028479161260474817</v>
      </c>
      <c r="D146" t="s">
        <v>36</v>
      </c>
      <c r="F146" s="18" t="s">
        <v>35</v>
      </c>
      <c r="G146" s="1">
        <f>+C146</f>
        <v>0.0028479161260474817</v>
      </c>
      <c r="H146" t="s">
        <v>36</v>
      </c>
    </row>
    <row r="147" spans="2:8" ht="14.25">
      <c r="B147" s="19" t="s">
        <v>30</v>
      </c>
      <c r="C147" s="1">
        <f>+C145/C146</f>
        <v>528423.2100397572</v>
      </c>
      <c r="D147" t="s">
        <v>31</v>
      </c>
      <c r="F147" s="19" t="s">
        <v>39</v>
      </c>
      <c r="G147" s="1">
        <f>+C147/G144</f>
        <v>24347066.321978334</v>
      </c>
      <c r="H147" t="s">
        <v>37</v>
      </c>
    </row>
    <row r="148" spans="2:8" ht="14.25">
      <c r="B148" s="19" t="s">
        <v>28</v>
      </c>
      <c r="C148" s="1">
        <f>+C145+0.55*G139*G134*G136*(3.45*G135*G137^2/(C134*G134*G136))</f>
        <v>1893.3136128629958</v>
      </c>
      <c r="D148" t="s">
        <v>0</v>
      </c>
      <c r="F148" s="19" t="s">
        <v>40</v>
      </c>
      <c r="G148" s="1">
        <f>+C150/G144</f>
        <v>2094619.6674059848</v>
      </c>
      <c r="H148" t="s">
        <v>37</v>
      </c>
    </row>
    <row r="149" spans="2:8" ht="14.25">
      <c r="B149" s="19" t="s">
        <v>29</v>
      </c>
      <c r="C149" s="1">
        <f>4*C146</f>
        <v>0.011391664504189927</v>
      </c>
      <c r="D149" t="s">
        <v>36</v>
      </c>
      <c r="F149" s="19" t="s">
        <v>38</v>
      </c>
      <c r="G149" s="1">
        <f>+G145+(C148-C145)/G144</f>
        <v>87234.30618653481</v>
      </c>
      <c r="H149" t="s">
        <v>4</v>
      </c>
    </row>
    <row r="150" spans="2:8" ht="14.25">
      <c r="B150" s="19" t="s">
        <v>32</v>
      </c>
      <c r="C150" s="1">
        <f>+(C148-C145)/(C149-C146)</f>
        <v>45461.15058896926</v>
      </c>
      <c r="D150" t="s">
        <v>31</v>
      </c>
      <c r="F150" s="18" t="s">
        <v>41</v>
      </c>
      <c r="G150" s="1">
        <f>4*G146</f>
        <v>0.011391664504189927</v>
      </c>
      <c r="H150" t="s">
        <v>36</v>
      </c>
    </row>
    <row r="151" spans="2:3" ht="14.25">
      <c r="B151" s="19" t="s">
        <v>33</v>
      </c>
      <c r="C151" s="1">
        <f>+C150/C147</f>
        <v>0.08603170664200932</v>
      </c>
    </row>
    <row r="153" ht="12.75">
      <c r="L153" s="2" t="s">
        <v>68</v>
      </c>
    </row>
    <row r="154" spans="2:22" ht="12.75">
      <c r="B154" s="12" t="s">
        <v>9</v>
      </c>
      <c r="C154" s="8"/>
      <c r="D154" s="8"/>
      <c r="F154" s="13" t="s">
        <v>6</v>
      </c>
      <c r="G154" s="6"/>
      <c r="H154" s="8" t="s">
        <v>7</v>
      </c>
      <c r="R154" s="2" t="s">
        <v>59</v>
      </c>
      <c r="T154" s="2" t="s">
        <v>60</v>
      </c>
      <c r="V154" s="2" t="s">
        <v>61</v>
      </c>
    </row>
    <row r="155" spans="2:23" ht="12.75">
      <c r="B155" s="8"/>
      <c r="C155" s="7" t="s">
        <v>44</v>
      </c>
      <c r="D155" s="8" t="s">
        <v>45</v>
      </c>
      <c r="F155" s="6"/>
      <c r="G155" s="7" t="s">
        <v>43</v>
      </c>
      <c r="H155" s="8">
        <v>1</v>
      </c>
      <c r="J155" s="2" t="s">
        <v>69</v>
      </c>
      <c r="M155" s="2" t="s">
        <v>70</v>
      </c>
      <c r="R155" s="25" t="s">
        <v>55</v>
      </c>
      <c r="S155" s="24" t="s">
        <v>56</v>
      </c>
      <c r="T155" s="25" t="s">
        <v>55</v>
      </c>
      <c r="U155" s="24" t="s">
        <v>56</v>
      </c>
      <c r="V155" s="25" t="s">
        <v>55</v>
      </c>
      <c r="W155" s="24" t="s">
        <v>56</v>
      </c>
    </row>
    <row r="156" spans="2:8" ht="12.75">
      <c r="B156" s="8"/>
      <c r="C156" s="8"/>
      <c r="D156" s="8"/>
      <c r="F156" s="8"/>
      <c r="G156" s="8"/>
      <c r="H156" s="8"/>
    </row>
    <row r="157" spans="2:23" ht="14.25">
      <c r="B157" s="14" t="s">
        <v>10</v>
      </c>
      <c r="C157" s="8"/>
      <c r="D157" s="8"/>
      <c r="F157" s="15" t="s">
        <v>11</v>
      </c>
      <c r="G157" s="6"/>
      <c r="H157" s="6"/>
      <c r="J157" s="19" t="s">
        <v>49</v>
      </c>
      <c r="K157" s="1">
        <f>+G173</f>
        <v>1826293.290587001</v>
      </c>
      <c r="L157" t="s">
        <v>37</v>
      </c>
      <c r="M157" s="19" t="s">
        <v>52</v>
      </c>
      <c r="N157" s="1">
        <f>+G172-K157</f>
        <v>14752362.63005152</v>
      </c>
      <c r="O157" t="s">
        <v>37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</row>
    <row r="158" spans="2:23" ht="14.25">
      <c r="B158" s="16" t="s">
        <v>12</v>
      </c>
      <c r="C158" s="8" t="s">
        <v>74</v>
      </c>
      <c r="D158" s="8"/>
      <c r="F158" s="17" t="s">
        <v>12</v>
      </c>
      <c r="G158" s="8" t="s">
        <v>75</v>
      </c>
      <c r="H158" s="6"/>
      <c r="J158" s="19" t="s">
        <v>50</v>
      </c>
      <c r="K158" s="1">
        <f>+G165*G172</f>
        <v>663146.2368255408</v>
      </c>
      <c r="L158" t="s">
        <v>37</v>
      </c>
      <c r="M158" s="19" t="s">
        <v>53</v>
      </c>
      <c r="N158" s="1">
        <v>0</v>
      </c>
      <c r="O158" t="s">
        <v>37</v>
      </c>
      <c r="R158" s="1">
        <f>+G171</f>
        <v>0.002889340360608172</v>
      </c>
      <c r="S158" s="1">
        <f>+K160/4</f>
        <v>5276.7829148009305</v>
      </c>
      <c r="T158" s="1">
        <f>+G171</f>
        <v>0.002889340360608172</v>
      </c>
      <c r="U158" s="1">
        <f>+N160</f>
        <v>42624.59676133558</v>
      </c>
      <c r="V158" s="1">
        <f>+G171</f>
        <v>0.002889340360608172</v>
      </c>
      <c r="W158" s="1">
        <f>+K162</f>
        <v>47901.379676136516</v>
      </c>
    </row>
    <row r="159" spans="2:23" ht="14.25">
      <c r="B159" s="14" t="s">
        <v>13</v>
      </c>
      <c r="C159" s="8">
        <v>35.85</v>
      </c>
      <c r="D159" s="8" t="s">
        <v>1</v>
      </c>
      <c r="F159" s="7" t="s">
        <v>14</v>
      </c>
      <c r="G159" s="8">
        <v>17.12</v>
      </c>
      <c r="H159" s="6" t="s">
        <v>1</v>
      </c>
      <c r="J159" s="19" t="s">
        <v>62</v>
      </c>
      <c r="K159" s="26">
        <f>+K158/K157</f>
        <v>0.363110481894392</v>
      </c>
      <c r="M159" s="19" t="s">
        <v>71</v>
      </c>
      <c r="N159" s="27">
        <f>+N158/N157</f>
        <v>0</v>
      </c>
      <c r="R159" s="1">
        <f>+G175</f>
        <v>0.011557361442432688</v>
      </c>
      <c r="S159" s="1">
        <f>+K160</f>
        <v>21107.131659203722</v>
      </c>
      <c r="T159" s="1">
        <f>+G175</f>
        <v>0.011557361442432688</v>
      </c>
      <c r="U159" s="1">
        <f>+N160</f>
        <v>42624.59676133558</v>
      </c>
      <c r="V159" s="1">
        <f>+G175</f>
        <v>0.011557361442432688</v>
      </c>
      <c r="W159" s="1">
        <f>+N162</f>
        <v>63731.72842053931</v>
      </c>
    </row>
    <row r="160" spans="2:23" ht="15">
      <c r="B160" s="14" t="s">
        <v>18</v>
      </c>
      <c r="C160" s="8">
        <v>360</v>
      </c>
      <c r="D160" s="8" t="s">
        <v>1</v>
      </c>
      <c r="F160" s="7" t="s">
        <v>46</v>
      </c>
      <c r="G160" s="8">
        <v>16.23</v>
      </c>
      <c r="H160" s="6" t="s">
        <v>15</v>
      </c>
      <c r="J160" s="19" t="s">
        <v>51</v>
      </c>
      <c r="K160" s="1">
        <f>+K157*G175</f>
        <v>21107.131659203722</v>
      </c>
      <c r="L160" t="s">
        <v>4</v>
      </c>
      <c r="M160" s="19" t="s">
        <v>54</v>
      </c>
      <c r="N160" s="1">
        <f>+N157*G171</f>
        <v>42624.59676133558</v>
      </c>
      <c r="O160" t="s">
        <v>4</v>
      </c>
      <c r="R160" s="1">
        <f>+(G175+G171)</f>
        <v>0.01444670180304086</v>
      </c>
      <c r="S160" s="1">
        <f>+K161</f>
        <v>23023.186846249184</v>
      </c>
      <c r="T160" s="1">
        <f>+R160</f>
        <v>0.01444670180304086</v>
      </c>
      <c r="U160" s="1">
        <f>+N160</f>
        <v>42624.59676133558</v>
      </c>
      <c r="V160" s="1">
        <f>+G171+G175</f>
        <v>0.01444670180304086</v>
      </c>
      <c r="W160" s="1">
        <f>+K163</f>
        <v>65647.78360758477</v>
      </c>
    </row>
    <row r="161" spans="2:14" ht="14.25">
      <c r="B161" s="14"/>
      <c r="C161" s="8"/>
      <c r="D161" s="8"/>
      <c r="F161" s="7" t="s">
        <v>16</v>
      </c>
      <c r="G161" s="8">
        <v>1.41</v>
      </c>
      <c r="H161" s="6" t="s">
        <v>1</v>
      </c>
      <c r="J161" s="19" t="s">
        <v>57</v>
      </c>
      <c r="K161" s="1">
        <f>+K160+G171*K158</f>
        <v>23023.186846249184</v>
      </c>
      <c r="L161" t="s">
        <v>4</v>
      </c>
      <c r="M161" s="19"/>
      <c r="N161" s="1"/>
    </row>
    <row r="162" spans="2:15" ht="14.25">
      <c r="B162" s="15" t="s">
        <v>19</v>
      </c>
      <c r="C162" s="6"/>
      <c r="D162" s="6"/>
      <c r="F162" s="7" t="s">
        <v>17</v>
      </c>
      <c r="G162" s="8">
        <v>2.26</v>
      </c>
      <c r="H162" s="6" t="s">
        <v>1</v>
      </c>
      <c r="J162" s="19" t="s">
        <v>34</v>
      </c>
      <c r="K162" s="1">
        <f>+(K160)/4+N160</f>
        <v>47901.379676136516</v>
      </c>
      <c r="L162" t="s">
        <v>4</v>
      </c>
      <c r="M162" s="19" t="s">
        <v>58</v>
      </c>
      <c r="N162" s="1">
        <f>+N160+K160</f>
        <v>63731.72842053931</v>
      </c>
      <c r="O162" t="s">
        <v>4</v>
      </c>
    </row>
    <row r="163" spans="2:12" ht="14.25">
      <c r="B163" s="17"/>
      <c r="C163" s="8"/>
      <c r="D163" s="6"/>
      <c r="F163" s="7" t="s">
        <v>3</v>
      </c>
      <c r="G163" s="8">
        <v>80</v>
      </c>
      <c r="H163" s="6" t="s">
        <v>1</v>
      </c>
      <c r="J163" s="19" t="s">
        <v>38</v>
      </c>
      <c r="K163">
        <f>+N160+K161</f>
        <v>65647.78360758477</v>
      </c>
      <c r="L163" t="s">
        <v>4</v>
      </c>
    </row>
    <row r="164" spans="2:8" ht="14.25">
      <c r="B164" s="7" t="s">
        <v>20</v>
      </c>
      <c r="C164" s="8">
        <v>0</v>
      </c>
      <c r="D164" s="6" t="s">
        <v>1</v>
      </c>
      <c r="F164" s="7" t="s">
        <v>23</v>
      </c>
      <c r="G164" s="8">
        <v>55.8</v>
      </c>
      <c r="H164" s="6" t="s">
        <v>2</v>
      </c>
    </row>
    <row r="165" spans="2:8" ht="12.75">
      <c r="B165" s="4" t="s">
        <v>25</v>
      </c>
      <c r="C165" s="20">
        <v>11150</v>
      </c>
      <c r="D165" s="5" t="s">
        <v>2</v>
      </c>
      <c r="F165" s="23" t="s">
        <v>47</v>
      </c>
      <c r="G165" s="8">
        <v>0.04</v>
      </c>
      <c r="H165" s="5" t="s">
        <v>48</v>
      </c>
    </row>
    <row r="167" spans="2:6" ht="12.75">
      <c r="B167" s="2" t="s">
        <v>21</v>
      </c>
      <c r="F167" s="2" t="s">
        <v>27</v>
      </c>
    </row>
    <row r="169" spans="6:8" ht="12.75">
      <c r="F169" s="19" t="s">
        <v>26</v>
      </c>
      <c r="G169" s="1">
        <f>+(1-(G159/C160))/(0.95*C159)-(1/G163)</f>
        <v>0.015465776831665404</v>
      </c>
      <c r="H169" t="s">
        <v>5</v>
      </c>
    </row>
    <row r="170" spans="2:8" ht="14.25">
      <c r="B170" s="19" t="s">
        <v>22</v>
      </c>
      <c r="C170" s="3">
        <f>0.55*G164*(G159*G161+((G159-G162)*C164))</f>
        <v>740.832048</v>
      </c>
      <c r="D170" t="s">
        <v>0</v>
      </c>
      <c r="F170" s="19" t="s">
        <v>34</v>
      </c>
      <c r="G170" s="1">
        <f>+C170/G169</f>
        <v>47901.3796761365</v>
      </c>
      <c r="H170" t="s">
        <v>4</v>
      </c>
    </row>
    <row r="171" spans="2:8" ht="14.25">
      <c r="B171" s="18" t="s">
        <v>24</v>
      </c>
      <c r="C171" s="1">
        <f>+G164/(C165*3^0.5)</f>
        <v>0.002889340360608172</v>
      </c>
      <c r="D171" t="s">
        <v>36</v>
      </c>
      <c r="F171" s="18" t="s">
        <v>35</v>
      </c>
      <c r="G171" s="1">
        <f>+C171</f>
        <v>0.002889340360608172</v>
      </c>
      <c r="H171" t="s">
        <v>36</v>
      </c>
    </row>
    <row r="172" spans="2:8" ht="14.25">
      <c r="B172" s="19" t="s">
        <v>30</v>
      </c>
      <c r="C172" s="1">
        <f>+C170/C171</f>
        <v>256401.7926375637</v>
      </c>
      <c r="D172" t="s">
        <v>31</v>
      </c>
      <c r="F172" s="19" t="s">
        <v>39</v>
      </c>
      <c r="G172" s="1">
        <f>+C172/G169</f>
        <v>16578655.92063852</v>
      </c>
      <c r="H172" t="s">
        <v>37</v>
      </c>
    </row>
    <row r="173" spans="2:8" ht="14.25">
      <c r="B173" s="19" t="s">
        <v>28</v>
      </c>
      <c r="C173" s="1">
        <f>+C170+0.55*G164*G159*G161*(3.45*G160*G162^2/(C159*G159*G161))</f>
        <v>985.6606888483682</v>
      </c>
      <c r="D173" t="s">
        <v>0</v>
      </c>
      <c r="F173" s="19" t="s">
        <v>40</v>
      </c>
      <c r="G173" s="1">
        <f>+C175/G169</f>
        <v>1826293.290587001</v>
      </c>
      <c r="H173" t="s">
        <v>37</v>
      </c>
    </row>
    <row r="174" spans="2:8" ht="14.25">
      <c r="B174" s="19" t="s">
        <v>29</v>
      </c>
      <c r="C174" s="1">
        <f>4*C171</f>
        <v>0.011557361442432688</v>
      </c>
      <c r="D174" t="s">
        <v>36</v>
      </c>
      <c r="F174" s="19" t="s">
        <v>38</v>
      </c>
      <c r="G174" s="1">
        <f>+G170+(C173-C170)/G169</f>
        <v>63731.72842053929</v>
      </c>
      <c r="H174" t="s">
        <v>4</v>
      </c>
    </row>
    <row r="175" spans="2:8" ht="14.25">
      <c r="B175" s="19" t="s">
        <v>32</v>
      </c>
      <c r="C175" s="1">
        <f>+(C173-C170)/(C174-C171)</f>
        <v>28245.044461386413</v>
      </c>
      <c r="D175" t="s">
        <v>31</v>
      </c>
      <c r="F175" s="18" t="s">
        <v>41</v>
      </c>
      <c r="G175" s="1">
        <f>4*G171</f>
        <v>0.011557361442432688</v>
      </c>
      <c r="H175" t="s">
        <v>36</v>
      </c>
    </row>
    <row r="176" spans="2:3" ht="14.25">
      <c r="B176" s="19" t="s">
        <v>33</v>
      </c>
      <c r="C176" s="1">
        <f>+C175/C172</f>
        <v>0.11015930961649768</v>
      </c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printOptions/>
  <pageMargins left="0.75" right="0.75" top="1" bottom="1" header="0.5" footer="0.5"/>
  <pageSetup fitToHeight="3" fitToWidth="1" horizontalDpi="1200" verticalDpi="12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10"/>
  <sheetViews>
    <sheetView workbookViewId="0" topLeftCell="A31">
      <selection activeCell="G24" sqref="G24"/>
    </sheetView>
  </sheetViews>
  <sheetFormatPr defaultColWidth="11.421875" defaultRowHeight="12.75"/>
  <cols>
    <col min="1" max="21" width="9.140625" style="0" customWidth="1"/>
    <col min="22" max="22" width="9.57421875" style="0" bestFit="1" customWidth="1"/>
    <col min="23" max="16384" width="9.140625" style="0" customWidth="1"/>
  </cols>
  <sheetData>
    <row r="2" spans="3:29" ht="12.75">
      <c r="C2" s="2" t="s">
        <v>42</v>
      </c>
      <c r="G2" s="1"/>
      <c r="AC2" s="10"/>
    </row>
    <row r="3" spans="3:29" ht="12.75">
      <c r="C3" s="2" t="s">
        <v>76</v>
      </c>
      <c r="L3" s="2" t="s">
        <v>63</v>
      </c>
      <c r="AC3" s="10"/>
    </row>
    <row r="4" spans="2:29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C4" s="10"/>
    </row>
    <row r="5" spans="2:2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C5" s="10"/>
    </row>
    <row r="6" spans="2:29" ht="12.75">
      <c r="B6" s="8"/>
      <c r="C6" s="8"/>
      <c r="D6" s="8"/>
      <c r="F6" s="8"/>
      <c r="G6" s="8"/>
      <c r="H6" s="8"/>
      <c r="AC6" s="10"/>
    </row>
    <row r="7" spans="2:2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+G24</f>
        <v>1640238.31325001</v>
      </c>
      <c r="L7" t="s">
        <v>37</v>
      </c>
      <c r="M7" s="19" t="s">
        <v>52</v>
      </c>
      <c r="N7" s="1">
        <f>+G22-K7</f>
        <v>10687241.955621038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C7" s="10"/>
    </row>
    <row r="8" spans="2:29" ht="14.25">
      <c r="B8" s="16" t="s">
        <v>12</v>
      </c>
      <c r="C8" s="8" t="s">
        <v>74</v>
      </c>
      <c r="D8" s="8"/>
      <c r="F8" s="17" t="s">
        <v>12</v>
      </c>
      <c r="G8" s="8" t="s">
        <v>8</v>
      </c>
      <c r="H8" s="6"/>
      <c r="J8" s="19" t="s">
        <v>50</v>
      </c>
      <c r="K8" s="1">
        <f>+G15*G22</f>
        <v>493099.210754842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0.0025890146600431652</v>
      </c>
      <c r="S8" s="1">
        <f>+K10/4</f>
        <v>4246.601038968749</v>
      </c>
      <c r="T8" s="1">
        <f>+G21</f>
        <v>0.0025890146600431652</v>
      </c>
      <c r="U8" s="1">
        <f>+N10</f>
        <v>27669.426098531254</v>
      </c>
      <c r="V8" s="1">
        <f>+G21</f>
        <v>0.0025890146600431652</v>
      </c>
      <c r="W8" s="1">
        <f>+K12</f>
        <v>31916.0271375</v>
      </c>
      <c r="AC8" s="10"/>
    </row>
    <row r="9" spans="2:29" ht="14.25">
      <c r="B9" s="14" t="s">
        <v>13</v>
      </c>
      <c r="C9" s="8">
        <v>35.85</v>
      </c>
      <c r="D9" s="8" t="s">
        <v>1</v>
      </c>
      <c r="F9" s="7" t="s">
        <v>14</v>
      </c>
      <c r="G9" s="8">
        <v>18.29</v>
      </c>
      <c r="H9" s="6" t="s">
        <v>1</v>
      </c>
      <c r="J9" s="19" t="s">
        <v>62</v>
      </c>
      <c r="K9" s="26">
        <f>+K8/K7</f>
        <v>0.3006265655249832</v>
      </c>
      <c r="M9" s="19" t="s">
        <v>71</v>
      </c>
      <c r="N9" s="27">
        <f>+N8/N7</f>
        <v>0</v>
      </c>
      <c r="R9" s="1">
        <f>+G25</f>
        <v>0.010356058640172661</v>
      </c>
      <c r="S9" s="1">
        <f>+K10</f>
        <v>16986.404155874996</v>
      </c>
      <c r="T9" s="1">
        <f>+G25</f>
        <v>0.010356058640172661</v>
      </c>
      <c r="U9" s="1">
        <f>+N10</f>
        <v>27669.426098531254</v>
      </c>
      <c r="V9" s="1">
        <f>+G25</f>
        <v>0.010356058640172661</v>
      </c>
      <c r="W9" s="1">
        <f>+N12</f>
        <v>44655.830254406246</v>
      </c>
      <c r="AC9" s="10"/>
    </row>
    <row r="10" spans="2:29" ht="15">
      <c r="B10" s="14" t="s">
        <v>18</v>
      </c>
      <c r="C10" s="8">
        <v>360</v>
      </c>
      <c r="D10" s="8" t="s">
        <v>1</v>
      </c>
      <c r="F10" s="7" t="s">
        <v>46</v>
      </c>
      <c r="G10" s="8">
        <v>16.59</v>
      </c>
      <c r="H10" s="6" t="s">
        <v>15</v>
      </c>
      <c r="J10" s="19" t="s">
        <v>51</v>
      </c>
      <c r="K10" s="1">
        <f>+K7*G25</f>
        <v>16986.404155874996</v>
      </c>
      <c r="L10" t="s">
        <v>4</v>
      </c>
      <c r="M10" s="19" t="s">
        <v>54</v>
      </c>
      <c r="N10" s="1">
        <f>+N7*G21</f>
        <v>27669.426098531254</v>
      </c>
      <c r="O10" t="s">
        <v>4</v>
      </c>
      <c r="R10" s="1">
        <f>+(G25+G21)</f>
        <v>0.012945073300215826</v>
      </c>
      <c r="S10" s="1">
        <f>+K11</f>
        <v>18263.045241374995</v>
      </c>
      <c r="T10" s="1">
        <f>+R10</f>
        <v>0.012945073300215826</v>
      </c>
      <c r="U10" s="1">
        <f>+N10</f>
        <v>27669.426098531254</v>
      </c>
      <c r="V10" s="1">
        <f>+G21+G25</f>
        <v>0.012945073300215826</v>
      </c>
      <c r="W10" s="1">
        <f>+K13</f>
        <v>45932.471339906246</v>
      </c>
      <c r="AC10" s="10"/>
    </row>
    <row r="11" spans="2:29" ht="14.25">
      <c r="B11" s="14"/>
      <c r="C11" s="8"/>
      <c r="D11" s="8"/>
      <c r="F11" s="7" t="s">
        <v>16</v>
      </c>
      <c r="G11" s="8">
        <v>1.77</v>
      </c>
      <c r="H11" s="6" t="s">
        <v>1</v>
      </c>
      <c r="J11" s="19" t="s">
        <v>57</v>
      </c>
      <c r="K11" s="1">
        <f>+K10+G21*K8</f>
        <v>18263.045241374995</v>
      </c>
      <c r="L11" t="s">
        <v>4</v>
      </c>
      <c r="M11" s="19"/>
      <c r="N11" s="1"/>
      <c r="AC11" s="21"/>
    </row>
    <row r="12" spans="2:15" ht="14.25">
      <c r="B12" s="15" t="s">
        <v>19</v>
      </c>
      <c r="C12" s="6"/>
      <c r="D12" s="6"/>
      <c r="F12" s="7" t="s">
        <v>17</v>
      </c>
      <c r="G12" s="8">
        <v>2.845</v>
      </c>
      <c r="H12" s="6" t="s">
        <v>1</v>
      </c>
      <c r="J12" s="19" t="s">
        <v>34</v>
      </c>
      <c r="K12" s="1">
        <f>+(K10)/4+N10</f>
        <v>31916.0271375</v>
      </c>
      <c r="L12" t="s">
        <v>4</v>
      </c>
      <c r="M12" s="19" t="s">
        <v>58</v>
      </c>
      <c r="N12" s="1">
        <f>+N10+K10</f>
        <v>44655.830254406246</v>
      </c>
      <c r="O12" t="s">
        <v>4</v>
      </c>
    </row>
    <row r="13" spans="2:12" ht="14.25">
      <c r="B13" s="17"/>
      <c r="C13" s="8"/>
      <c r="D13" s="6"/>
      <c r="F13" s="7" t="s">
        <v>3</v>
      </c>
      <c r="G13" s="8">
        <v>156</v>
      </c>
      <c r="H13" s="6" t="s">
        <v>1</v>
      </c>
      <c r="J13" s="19" t="s">
        <v>38</v>
      </c>
      <c r="K13">
        <f>+N10+K11</f>
        <v>45932.471339906246</v>
      </c>
      <c r="L13" t="s">
        <v>4</v>
      </c>
    </row>
    <row r="14" spans="2:8" ht="14.25">
      <c r="B14" s="7" t="s">
        <v>20</v>
      </c>
      <c r="C14" s="8">
        <v>0</v>
      </c>
      <c r="D14" s="6" t="s">
        <v>1</v>
      </c>
      <c r="F14" s="7" t="s">
        <v>23</v>
      </c>
      <c r="G14" s="8">
        <v>50</v>
      </c>
      <c r="H14" s="6" t="s">
        <v>2</v>
      </c>
    </row>
    <row r="15" spans="2:8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</row>
    <row r="17" spans="2:6" ht="12.75">
      <c r="B17" s="2" t="s">
        <v>21</v>
      </c>
      <c r="F17" s="2" t="s">
        <v>27</v>
      </c>
    </row>
    <row r="19" spans="6:7" ht="12.75">
      <c r="F19" s="19"/>
      <c r="G19" s="1"/>
    </row>
    <row r="20" spans="2:8" ht="14.25">
      <c r="B20" s="19" t="s">
        <v>22</v>
      </c>
      <c r="C20" s="3">
        <f>0.55*G14*(G9*G11+((G9-G12)*C14))</f>
        <v>890.2657500000001</v>
      </c>
      <c r="D20" t="s">
        <v>0</v>
      </c>
      <c r="F20" s="19" t="s">
        <v>34</v>
      </c>
      <c r="G20" s="1">
        <f>+C20*C9</f>
        <v>31916.027137500005</v>
      </c>
      <c r="H20" t="s">
        <v>4</v>
      </c>
    </row>
    <row r="21" spans="2:8" ht="14.25">
      <c r="B21" s="18" t="s">
        <v>24</v>
      </c>
      <c r="C21" s="1">
        <f>+G14/(C15*3^0.5)</f>
        <v>0.0025890146600431652</v>
      </c>
      <c r="D21" t="s">
        <v>36</v>
      </c>
      <c r="F21" s="18" t="s">
        <v>35</v>
      </c>
      <c r="G21" s="1">
        <f>+C21</f>
        <v>0.0025890146600431652</v>
      </c>
      <c r="H21" t="s">
        <v>36</v>
      </c>
    </row>
    <row r="22" spans="2:8" ht="14.25">
      <c r="B22" s="19" t="s">
        <v>30</v>
      </c>
      <c r="C22" s="1">
        <f>+C20/C21</f>
        <v>343862.7690061659</v>
      </c>
      <c r="D22" t="s">
        <v>31</v>
      </c>
      <c r="F22" s="19" t="s">
        <v>39</v>
      </c>
      <c r="G22" s="1">
        <f>+G20/G21</f>
        <v>12327480.268871048</v>
      </c>
      <c r="H22" t="s">
        <v>37</v>
      </c>
    </row>
    <row r="23" spans="2:8" ht="14.25">
      <c r="B23" s="19" t="s">
        <v>28</v>
      </c>
      <c r="C23" s="1">
        <f>+C20+0.55*G14*G9*G11*(3.45*G10*G12^2/(C9*G9*G11))</f>
        <v>1245.6298536793934</v>
      </c>
      <c r="D23" t="s">
        <v>0</v>
      </c>
      <c r="F23" s="19" t="s">
        <v>38</v>
      </c>
      <c r="G23" s="1">
        <f>+C23*C9</f>
        <v>44655.83025440625</v>
      </c>
      <c r="H23" t="s">
        <v>4</v>
      </c>
    </row>
    <row r="24" spans="2:8" ht="14.25">
      <c r="B24" s="19" t="s">
        <v>29</v>
      </c>
      <c r="C24" s="1">
        <f>4*C21</f>
        <v>0.010356058640172661</v>
      </c>
      <c r="D24" t="s">
        <v>36</v>
      </c>
      <c r="F24" s="19" t="s">
        <v>40</v>
      </c>
      <c r="G24" s="1">
        <f>+(G23-G20)/(3*C21)</f>
        <v>1640238.31325001</v>
      </c>
      <c r="H24" t="s">
        <v>37</v>
      </c>
    </row>
    <row r="25" spans="2:8" ht="14.25">
      <c r="B25" s="19" t="s">
        <v>32</v>
      </c>
      <c r="C25" s="1">
        <f>+(C23-C20)/(C24-C21)</f>
        <v>45752.81208507698</v>
      </c>
      <c r="D25" t="s">
        <v>31</v>
      </c>
      <c r="F25" s="18" t="s">
        <v>41</v>
      </c>
      <c r="G25" s="1">
        <f>4*G21</f>
        <v>0.010356058640172661</v>
      </c>
      <c r="H25" t="s">
        <v>36</v>
      </c>
    </row>
    <row r="26" spans="2:3" ht="14.25">
      <c r="B26" s="19" t="s">
        <v>33</v>
      </c>
      <c r="C26" s="1">
        <f>+C25/C22</f>
        <v>0.13305544016094564</v>
      </c>
    </row>
    <row r="27" spans="2:8" ht="12.75">
      <c r="B27" s="22"/>
      <c r="C27" s="11"/>
      <c r="D27" s="11"/>
      <c r="E27" s="10"/>
      <c r="F27" s="9"/>
      <c r="G27" s="10"/>
      <c r="H27" s="11"/>
    </row>
    <row r="28" spans="2:12" ht="12.75">
      <c r="B28" s="11"/>
      <c r="C28" s="11"/>
      <c r="D28" s="11"/>
      <c r="E28" s="10"/>
      <c r="F28" s="10"/>
      <c r="G28" s="10"/>
      <c r="H28" s="10"/>
      <c r="L28" s="2" t="s">
        <v>63</v>
      </c>
    </row>
    <row r="29" spans="2:27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A29" s="1"/>
    </row>
    <row r="30" spans="2:23" ht="12.75">
      <c r="B30" s="8"/>
      <c r="C30" s="7" t="s">
        <v>44</v>
      </c>
      <c r="D30" s="8" t="s">
        <v>45</v>
      </c>
      <c r="F30" s="6"/>
      <c r="G30" s="7" t="s">
        <v>43</v>
      </c>
      <c r="H30" s="8">
        <v>6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</row>
    <row r="31" spans="2:8" ht="12.75">
      <c r="B31" s="8"/>
      <c r="C31" s="8"/>
      <c r="D31" s="8"/>
      <c r="F31" s="8"/>
      <c r="G31" s="8"/>
      <c r="H31" s="8"/>
    </row>
    <row r="32" spans="2:23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1">
        <f>+G49</f>
        <v>961955.6017436676</v>
      </c>
      <c r="L32" t="s">
        <v>37</v>
      </c>
      <c r="M32" s="19" t="s">
        <v>52</v>
      </c>
      <c r="N32" s="1">
        <f>+G47-K32</f>
        <v>7770448.451010159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2:23" ht="14.25">
      <c r="B33" s="16" t="s">
        <v>12</v>
      </c>
      <c r="C33" s="8" t="s">
        <v>74</v>
      </c>
      <c r="D33" s="8"/>
      <c r="F33" s="17" t="s">
        <v>12</v>
      </c>
      <c r="G33" s="8" t="s">
        <v>75</v>
      </c>
      <c r="H33" s="6"/>
      <c r="J33" s="19" t="s">
        <v>50</v>
      </c>
      <c r="K33" s="1">
        <f>+G40*G47</f>
        <v>349296.16211015306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0.002889340360608172</v>
      </c>
      <c r="S33" s="1">
        <f>+K35/4</f>
        <v>2779.4171452310998</v>
      </c>
      <c r="T33" s="1">
        <f>+G46</f>
        <v>0.002889340360608172</v>
      </c>
      <c r="U33" s="1">
        <f>+N35</f>
        <v>22451.470329528904</v>
      </c>
      <c r="V33" s="1">
        <f>+G46</f>
        <v>0.002889340360608172</v>
      </c>
      <c r="W33" s="1">
        <f>+K37</f>
        <v>25230.887474760002</v>
      </c>
    </row>
    <row r="34" spans="2:23" ht="14.25">
      <c r="B34" s="14" t="s">
        <v>13</v>
      </c>
      <c r="C34" s="8">
        <v>35.85</v>
      </c>
      <c r="D34" s="8" t="s">
        <v>1</v>
      </c>
      <c r="F34" s="7" t="s">
        <v>14</v>
      </c>
      <c r="G34" s="8">
        <v>17.12</v>
      </c>
      <c r="H34" s="6" t="s">
        <v>1</v>
      </c>
      <c r="J34" s="19" t="s">
        <v>62</v>
      </c>
      <c r="K34" s="26">
        <f>+K33/K32</f>
        <v>0.3631104818943921</v>
      </c>
      <c r="M34" s="19" t="s">
        <v>71</v>
      </c>
      <c r="N34" s="27">
        <f>+N33/N32</f>
        <v>0</v>
      </c>
      <c r="R34" s="1">
        <f>+G50</f>
        <v>0.011557361442432688</v>
      </c>
      <c r="S34" s="1">
        <f>+K35</f>
        <v>11117.668580924399</v>
      </c>
      <c r="T34" s="1">
        <f>+G50</f>
        <v>0.011557361442432688</v>
      </c>
      <c r="U34" s="1">
        <f>+N35</f>
        <v>22451.470329528904</v>
      </c>
      <c r="V34" s="1">
        <f>+G50</f>
        <v>0.011557361442432688</v>
      </c>
      <c r="W34" s="1">
        <f>+N37</f>
        <v>33569.1389104533</v>
      </c>
    </row>
    <row r="35" spans="2:23" ht="15">
      <c r="B35" s="14" t="s">
        <v>18</v>
      </c>
      <c r="C35" s="8">
        <v>360</v>
      </c>
      <c r="D35" s="8" t="s">
        <v>1</v>
      </c>
      <c r="F35" s="7" t="s">
        <v>46</v>
      </c>
      <c r="G35" s="8">
        <v>16.23</v>
      </c>
      <c r="H35" s="6" t="s">
        <v>15</v>
      </c>
      <c r="J35" s="19" t="s">
        <v>51</v>
      </c>
      <c r="K35" s="1">
        <f>+K32*G50</f>
        <v>11117.668580924399</v>
      </c>
      <c r="L35" t="s">
        <v>4</v>
      </c>
      <c r="M35" s="19" t="s">
        <v>54</v>
      </c>
      <c r="N35" s="1">
        <f>+N32*G46</f>
        <v>22451.470329528904</v>
      </c>
      <c r="O35" t="s">
        <v>4</v>
      </c>
      <c r="R35" s="1">
        <f>+(G50+G46)</f>
        <v>0.01444670180304086</v>
      </c>
      <c r="S35" s="1">
        <f>+K36</f>
        <v>12126.904079914799</v>
      </c>
      <c r="T35" s="1">
        <f>+R35</f>
        <v>0.01444670180304086</v>
      </c>
      <c r="U35" s="1">
        <f>+N35</f>
        <v>22451.470329528904</v>
      </c>
      <c r="V35" s="1">
        <f>+G46+G50</f>
        <v>0.01444670180304086</v>
      </c>
      <c r="W35" s="1">
        <f>+K38</f>
        <v>34578.3744094437</v>
      </c>
    </row>
    <row r="36" spans="2:14" ht="14.25">
      <c r="B36" s="14"/>
      <c r="C36" s="8"/>
      <c r="D36" s="8"/>
      <c r="F36" s="7" t="s">
        <v>16</v>
      </c>
      <c r="G36" s="8">
        <v>1.41</v>
      </c>
      <c r="H36" s="6" t="s">
        <v>1</v>
      </c>
      <c r="J36" s="19" t="s">
        <v>57</v>
      </c>
      <c r="K36" s="1">
        <f>+K35+G46*K33</f>
        <v>12126.904079914799</v>
      </c>
      <c r="L36" t="s">
        <v>4</v>
      </c>
      <c r="M36" s="19"/>
      <c r="N36" s="1"/>
    </row>
    <row r="37" spans="2:15" ht="14.25">
      <c r="B37" s="15" t="s">
        <v>19</v>
      </c>
      <c r="C37" s="6"/>
      <c r="D37" s="6"/>
      <c r="F37" s="7" t="s">
        <v>17</v>
      </c>
      <c r="G37" s="8">
        <v>2.26</v>
      </c>
      <c r="H37" s="6" t="s">
        <v>1</v>
      </c>
      <c r="J37" s="19" t="s">
        <v>34</v>
      </c>
      <c r="K37" s="1">
        <f>+(K35)/4+N35</f>
        <v>25230.887474760002</v>
      </c>
      <c r="L37" t="s">
        <v>4</v>
      </c>
      <c r="M37" s="19" t="s">
        <v>58</v>
      </c>
      <c r="N37" s="1">
        <f>+N35+K35</f>
        <v>33569.1389104533</v>
      </c>
      <c r="O37" t="s">
        <v>4</v>
      </c>
    </row>
    <row r="38" spans="2:12" ht="14.25">
      <c r="B38" s="17"/>
      <c r="C38" s="8"/>
      <c r="D38" s="6"/>
      <c r="F38" s="7" t="s">
        <v>3</v>
      </c>
      <c r="G38" s="8">
        <v>80</v>
      </c>
      <c r="H38" s="6" t="s">
        <v>1</v>
      </c>
      <c r="J38" s="19" t="s">
        <v>38</v>
      </c>
      <c r="K38">
        <f>+N35+K36</f>
        <v>34578.3744094437</v>
      </c>
      <c r="L38" t="s">
        <v>4</v>
      </c>
    </row>
    <row r="39" spans="2:8" ht="14.25">
      <c r="B39" s="7" t="s">
        <v>20</v>
      </c>
      <c r="C39" s="8">
        <v>0</v>
      </c>
      <c r="D39" s="6" t="s">
        <v>1</v>
      </c>
      <c r="F39" s="7" t="s">
        <v>23</v>
      </c>
      <c r="G39" s="8">
        <v>55.8</v>
      </c>
      <c r="H39" s="6" t="s">
        <v>2</v>
      </c>
    </row>
    <row r="40" spans="2:8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</row>
    <row r="42" spans="2:6" ht="12.75">
      <c r="B42" s="2" t="s">
        <v>21</v>
      </c>
      <c r="F42" s="2" t="s">
        <v>27</v>
      </c>
    </row>
    <row r="44" spans="6:7" ht="12.75">
      <c r="F44" s="19"/>
      <c r="G44" s="1"/>
    </row>
    <row r="45" spans="2:8" ht="14.25">
      <c r="B45" s="19" t="s">
        <v>22</v>
      </c>
      <c r="C45" s="3">
        <f>0.55*G39*(G34*G36+((G34-G37)*C39))</f>
        <v>740.832048</v>
      </c>
      <c r="D45" t="s">
        <v>0</v>
      </c>
      <c r="F45" s="19" t="s">
        <v>34</v>
      </c>
      <c r="G45" s="1">
        <f>+C45*0.95*C34</f>
        <v>25230.887474760002</v>
      </c>
      <c r="H45" t="s">
        <v>4</v>
      </c>
    </row>
    <row r="46" spans="2:8" ht="14.25">
      <c r="B46" s="18" t="s">
        <v>24</v>
      </c>
      <c r="C46" s="1">
        <f>+G39/(C40*3^0.5)</f>
        <v>0.002889340360608172</v>
      </c>
      <c r="D46" t="s">
        <v>36</v>
      </c>
      <c r="F46" s="18" t="s">
        <v>35</v>
      </c>
      <c r="G46" s="1">
        <f>+C46</f>
        <v>0.002889340360608172</v>
      </c>
      <c r="H46" t="s">
        <v>36</v>
      </c>
    </row>
    <row r="47" spans="2:8" ht="14.25">
      <c r="B47" s="19" t="s">
        <v>30</v>
      </c>
      <c r="C47" s="1">
        <f>+C45/C46</f>
        <v>256401.7926375637</v>
      </c>
      <c r="D47" t="s">
        <v>31</v>
      </c>
      <c r="F47" s="19" t="s">
        <v>39</v>
      </c>
      <c r="G47" s="1">
        <f>+G45/G46</f>
        <v>8732404.052753827</v>
      </c>
      <c r="H47" t="s">
        <v>37</v>
      </c>
    </row>
    <row r="48" spans="2:8" ht="14.25">
      <c r="B48" s="19" t="s">
        <v>28</v>
      </c>
      <c r="C48" s="1">
        <f>+C45+0.55*G39*G34*G36*(3.45*G35*G37^2/(C34*G34*G36))</f>
        <v>985.6606888483682</v>
      </c>
      <c r="D48" t="s">
        <v>0</v>
      </c>
      <c r="F48" s="19" t="s">
        <v>38</v>
      </c>
      <c r="G48" s="1">
        <f>+C48*0.95*C34</f>
        <v>33569.1389104533</v>
      </c>
      <c r="H48" t="s">
        <v>4</v>
      </c>
    </row>
    <row r="49" spans="2:8" ht="14.25">
      <c r="B49" s="19" t="s">
        <v>29</v>
      </c>
      <c r="C49" s="1">
        <f>4*C46</f>
        <v>0.011557361442432688</v>
      </c>
      <c r="D49" t="s">
        <v>36</v>
      </c>
      <c r="F49" s="19" t="s">
        <v>40</v>
      </c>
      <c r="G49" s="1">
        <f>+(G48-G45)/(3*C46)</f>
        <v>961955.6017436676</v>
      </c>
      <c r="H49" t="s">
        <v>37</v>
      </c>
    </row>
    <row r="50" spans="2:8" ht="14.25">
      <c r="B50" s="19" t="s">
        <v>32</v>
      </c>
      <c r="C50" s="1">
        <f>+(C48-C45)/(C49-C46)</f>
        <v>28245.044461386413</v>
      </c>
      <c r="D50" t="s">
        <v>31</v>
      </c>
      <c r="F50" s="18" t="s">
        <v>41</v>
      </c>
      <c r="G50" s="1">
        <f>4*G46</f>
        <v>0.011557361442432688</v>
      </c>
      <c r="H50" t="s">
        <v>36</v>
      </c>
    </row>
    <row r="51" spans="2:3" ht="14.25">
      <c r="B51" s="19" t="s">
        <v>33</v>
      </c>
      <c r="C51" s="1">
        <f>+C50/C47</f>
        <v>0.11015930961649768</v>
      </c>
    </row>
    <row r="52" spans="2:8" ht="12.75">
      <c r="B52" s="22"/>
      <c r="C52" s="11"/>
      <c r="D52" s="11"/>
      <c r="E52" s="10"/>
      <c r="F52" s="9"/>
      <c r="G52" s="10"/>
      <c r="H52" s="11"/>
    </row>
    <row r="53" ht="12.75">
      <c r="L53" s="2"/>
    </row>
    <row r="54" spans="2:22" ht="12.75">
      <c r="B54" s="12"/>
      <c r="C54" s="8"/>
      <c r="D54" s="8"/>
      <c r="F54" s="13"/>
      <c r="G54" s="6"/>
      <c r="H54" s="8"/>
      <c r="R54" s="2"/>
      <c r="T54" s="2"/>
      <c r="V54" s="2"/>
    </row>
    <row r="55" spans="2:23" ht="12.75">
      <c r="B55" s="8"/>
      <c r="C55" s="7"/>
      <c r="D55" s="8"/>
      <c r="F55" s="6"/>
      <c r="G55" s="7"/>
      <c r="H55" s="8"/>
      <c r="J55" s="2"/>
      <c r="M55" s="2"/>
      <c r="R55" s="25"/>
      <c r="S55" s="24"/>
      <c r="T55" s="25"/>
      <c r="U55" s="24"/>
      <c r="V55" s="25"/>
      <c r="W55" s="24"/>
    </row>
    <row r="56" spans="2:8" ht="12.75">
      <c r="B56" s="8"/>
      <c r="C56" s="8"/>
      <c r="D56" s="8"/>
      <c r="F56" s="8"/>
      <c r="G56" s="8"/>
      <c r="H56" s="8"/>
    </row>
    <row r="57" spans="2:23" ht="12.75">
      <c r="B57" s="14"/>
      <c r="C57" s="8"/>
      <c r="D57" s="8"/>
      <c r="F57" s="15"/>
      <c r="G57" s="6"/>
      <c r="H57" s="6"/>
      <c r="J57" s="19"/>
      <c r="K57" s="1"/>
      <c r="M57" s="19"/>
      <c r="N57" s="1"/>
      <c r="R57" s="1"/>
      <c r="S57" s="1"/>
      <c r="T57" s="1"/>
      <c r="U57" s="1"/>
      <c r="V57" s="1"/>
      <c r="W57" s="1"/>
    </row>
    <row r="58" spans="2:23" ht="12.75">
      <c r="B58" s="16"/>
      <c r="C58" s="8"/>
      <c r="D58" s="8"/>
      <c r="F58" s="17"/>
      <c r="G58" s="8"/>
      <c r="H58" s="6"/>
      <c r="J58" s="19"/>
      <c r="K58" s="1"/>
      <c r="M58" s="19"/>
      <c r="N58" s="1"/>
      <c r="R58" s="1"/>
      <c r="S58" s="1"/>
      <c r="T58" s="1"/>
      <c r="U58" s="1"/>
      <c r="V58" s="1"/>
      <c r="W58" s="1"/>
    </row>
    <row r="59" spans="2:23" ht="12.75">
      <c r="B59" s="14"/>
      <c r="C59" s="8"/>
      <c r="D59" s="8"/>
      <c r="F59" s="7"/>
      <c r="G59" s="8"/>
      <c r="H59" s="6"/>
      <c r="J59" s="19"/>
      <c r="K59" s="26"/>
      <c r="M59" s="19"/>
      <c r="N59" s="27"/>
      <c r="R59" s="1"/>
      <c r="S59" s="1"/>
      <c r="T59" s="1"/>
      <c r="U59" s="1"/>
      <c r="V59" s="1"/>
      <c r="W59" s="1"/>
    </row>
    <row r="60" spans="2:23" ht="12.75">
      <c r="B60" s="14"/>
      <c r="C60" s="8"/>
      <c r="D60" s="8"/>
      <c r="F60" s="7"/>
      <c r="G60" s="8"/>
      <c r="H60" s="6"/>
      <c r="J60" s="19"/>
      <c r="K60" s="1"/>
      <c r="M60" s="19"/>
      <c r="N60" s="1"/>
      <c r="R60" s="1"/>
      <c r="S60" s="1"/>
      <c r="T60" s="1"/>
      <c r="U60" s="1"/>
      <c r="V60" s="1"/>
      <c r="W60" s="1"/>
    </row>
    <row r="61" spans="2:14" ht="12.75">
      <c r="B61" s="14"/>
      <c r="C61" s="8"/>
      <c r="D61" s="8"/>
      <c r="F61" s="7"/>
      <c r="G61" s="8"/>
      <c r="H61" s="6"/>
      <c r="J61" s="19"/>
      <c r="K61" s="1"/>
      <c r="M61" s="19"/>
      <c r="N61" s="1"/>
    </row>
    <row r="62" spans="2:14" ht="12.75">
      <c r="B62" s="15"/>
      <c r="C62" s="6"/>
      <c r="D62" s="6"/>
      <c r="F62" s="7"/>
      <c r="G62" s="8"/>
      <c r="H62" s="6"/>
      <c r="J62" s="19"/>
      <c r="K62" s="1"/>
      <c r="M62" s="19"/>
      <c r="N62" s="1"/>
    </row>
    <row r="63" spans="2:10" ht="12.75">
      <c r="B63" s="17"/>
      <c r="C63" s="8"/>
      <c r="D63" s="6"/>
      <c r="F63" s="7"/>
      <c r="G63" s="8"/>
      <c r="H63" s="6"/>
      <c r="J63" s="19"/>
    </row>
    <row r="64" spans="2:8" ht="12.75">
      <c r="B64" s="7"/>
      <c r="C64" s="8"/>
      <c r="D64" s="6"/>
      <c r="F64" s="7"/>
      <c r="G64" s="8"/>
      <c r="H64" s="6"/>
    </row>
    <row r="65" spans="2:8" ht="12.75">
      <c r="B65" s="4"/>
      <c r="C65" s="20"/>
      <c r="D65" s="5"/>
      <c r="F65" s="23"/>
      <c r="G65" s="8"/>
      <c r="H65" s="5"/>
    </row>
    <row r="67" spans="2:6" ht="12.75">
      <c r="B67" s="2"/>
      <c r="F67" s="2"/>
    </row>
    <row r="69" spans="6:7" ht="12.75">
      <c r="F69" s="19"/>
      <c r="G69" s="1"/>
    </row>
    <row r="70" spans="2:7" ht="12.75">
      <c r="B70" s="19"/>
      <c r="C70" s="3"/>
      <c r="F70" s="19"/>
      <c r="G70" s="1"/>
    </row>
    <row r="71" spans="2:7" ht="12.75">
      <c r="B71" s="18"/>
      <c r="C71" s="1"/>
      <c r="F71" s="18"/>
      <c r="G71" s="1"/>
    </row>
    <row r="72" spans="2:7" ht="12.75">
      <c r="B72" s="19"/>
      <c r="C72" s="1"/>
      <c r="F72" s="19"/>
      <c r="G72" s="1"/>
    </row>
    <row r="73" spans="2:7" ht="12.75">
      <c r="B73" s="19"/>
      <c r="C73" s="1"/>
      <c r="F73" s="19"/>
      <c r="G73" s="1"/>
    </row>
    <row r="74" spans="2:7" ht="12.75">
      <c r="B74" s="19"/>
      <c r="C74" s="1"/>
      <c r="F74" s="19"/>
      <c r="G74" s="1"/>
    </row>
    <row r="75" spans="2:7" ht="12.75">
      <c r="B75" s="19"/>
      <c r="C75" s="1"/>
      <c r="F75" s="18"/>
      <c r="G75" s="1"/>
    </row>
    <row r="76" spans="2:3" ht="12.75">
      <c r="B76" s="19"/>
      <c r="C76" s="1"/>
    </row>
    <row r="78" ht="12.75">
      <c r="L78" s="2"/>
    </row>
    <row r="79" spans="2:22" ht="12.75">
      <c r="B79" s="12"/>
      <c r="C79" s="8"/>
      <c r="D79" s="8"/>
      <c r="F79" s="13"/>
      <c r="G79" s="6"/>
      <c r="H79" s="8"/>
      <c r="R79" s="2"/>
      <c r="T79" s="2"/>
      <c r="V79" s="2"/>
    </row>
    <row r="80" spans="2:23" ht="12.75">
      <c r="B80" s="8"/>
      <c r="C80" s="7"/>
      <c r="D80" s="8"/>
      <c r="F80" s="6"/>
      <c r="G80" s="7"/>
      <c r="H80" s="8"/>
      <c r="J80" s="2"/>
      <c r="M80" s="2"/>
      <c r="R80" s="25"/>
      <c r="S80" s="24"/>
      <c r="T80" s="25"/>
      <c r="U80" s="24"/>
      <c r="V80" s="25"/>
      <c r="W80" s="24"/>
    </row>
    <row r="81" spans="2:8" ht="12.75">
      <c r="B81" s="8"/>
      <c r="C81" s="8"/>
      <c r="D81" s="8"/>
      <c r="F81" s="8"/>
      <c r="G81" s="8"/>
      <c r="H81" s="8"/>
    </row>
    <row r="82" spans="2:23" ht="12.75">
      <c r="B82" s="14"/>
      <c r="C82" s="8"/>
      <c r="D82" s="8"/>
      <c r="F82" s="15"/>
      <c r="G82" s="6"/>
      <c r="H82" s="6"/>
      <c r="J82" s="19"/>
      <c r="K82" s="1"/>
      <c r="M82" s="19"/>
      <c r="N82" s="1"/>
      <c r="R82" s="1"/>
      <c r="S82" s="1"/>
      <c r="T82" s="1"/>
      <c r="U82" s="1"/>
      <c r="V82" s="1"/>
      <c r="W82" s="1"/>
    </row>
    <row r="83" spans="2:23" ht="12.75">
      <c r="B83" s="16"/>
      <c r="C83" s="8"/>
      <c r="D83" s="8"/>
      <c r="F83" s="17"/>
      <c r="G83" s="8"/>
      <c r="H83" s="6"/>
      <c r="J83" s="19"/>
      <c r="K83" s="1"/>
      <c r="M83" s="19"/>
      <c r="N83" s="1"/>
      <c r="R83" s="1"/>
      <c r="S83" s="1"/>
      <c r="T83" s="1"/>
      <c r="U83" s="1"/>
      <c r="V83" s="1"/>
      <c r="W83" s="1"/>
    </row>
    <row r="84" spans="2:23" ht="12.75">
      <c r="B84" s="14"/>
      <c r="C84" s="8"/>
      <c r="D84" s="8"/>
      <c r="F84" s="7"/>
      <c r="G84" s="8"/>
      <c r="H84" s="6"/>
      <c r="J84" s="19"/>
      <c r="K84" s="26"/>
      <c r="M84" s="19"/>
      <c r="N84" s="27"/>
      <c r="R84" s="1"/>
      <c r="S84" s="1"/>
      <c r="T84" s="1"/>
      <c r="U84" s="1"/>
      <c r="V84" s="1"/>
      <c r="W84" s="1"/>
    </row>
    <row r="85" spans="2:23" ht="12.75">
      <c r="B85" s="14"/>
      <c r="C85" s="8"/>
      <c r="D85" s="8"/>
      <c r="F85" s="7"/>
      <c r="G85" s="8"/>
      <c r="H85" s="6"/>
      <c r="J85" s="19"/>
      <c r="K85" s="1"/>
      <c r="M85" s="19"/>
      <c r="N85" s="1"/>
      <c r="R85" s="1"/>
      <c r="S85" s="1"/>
      <c r="T85" s="1"/>
      <c r="U85" s="1"/>
      <c r="V85" s="1"/>
      <c r="W85" s="1"/>
    </row>
    <row r="86" spans="2:14" ht="12.75">
      <c r="B86" s="14"/>
      <c r="C86" s="8"/>
      <c r="D86" s="8"/>
      <c r="F86" s="7"/>
      <c r="G86" s="8"/>
      <c r="H86" s="6"/>
      <c r="J86" s="19"/>
      <c r="K86" s="1"/>
      <c r="M86" s="19"/>
      <c r="N86" s="1"/>
    </row>
    <row r="87" spans="2:14" ht="12.75">
      <c r="B87" s="15"/>
      <c r="C87" s="6"/>
      <c r="D87" s="6"/>
      <c r="F87" s="7"/>
      <c r="G87" s="8"/>
      <c r="H87" s="6"/>
      <c r="J87" s="19"/>
      <c r="K87" s="1"/>
      <c r="M87" s="19"/>
      <c r="N87" s="1"/>
    </row>
    <row r="88" spans="2:10" ht="12.75">
      <c r="B88" s="17"/>
      <c r="C88" s="8"/>
      <c r="D88" s="6"/>
      <c r="F88" s="7"/>
      <c r="G88" s="8"/>
      <c r="H88" s="6"/>
      <c r="J88" s="19"/>
    </row>
    <row r="89" spans="2:8" ht="12.75">
      <c r="B89" s="7"/>
      <c r="C89" s="8"/>
      <c r="D89" s="6"/>
      <c r="F89" s="7"/>
      <c r="G89" s="8"/>
      <c r="H89" s="6"/>
    </row>
    <row r="90" spans="2:8" ht="12.75">
      <c r="B90" s="4"/>
      <c r="C90" s="20"/>
      <c r="D90" s="5"/>
      <c r="F90" s="23"/>
      <c r="G90" s="8"/>
      <c r="H90" s="5"/>
    </row>
    <row r="92" spans="2:6" ht="12.75">
      <c r="B92" s="2"/>
      <c r="F92" s="2"/>
    </row>
    <row r="94" spans="6:7" ht="12.75">
      <c r="F94" s="19"/>
      <c r="G94" s="1"/>
    </row>
    <row r="95" spans="2:7" ht="12.75">
      <c r="B95" s="19"/>
      <c r="C95" s="3"/>
      <c r="F95" s="19"/>
      <c r="G95" s="1"/>
    </row>
    <row r="96" spans="2:7" ht="12.75">
      <c r="B96" s="18"/>
      <c r="C96" s="1"/>
      <c r="F96" s="18"/>
      <c r="G96" s="1"/>
    </row>
    <row r="97" spans="2:7" ht="12.75">
      <c r="B97" s="19"/>
      <c r="C97" s="1"/>
      <c r="F97" s="19"/>
      <c r="G97" s="1"/>
    </row>
    <row r="98" spans="2:7" ht="12.75">
      <c r="B98" s="19"/>
      <c r="C98" s="1"/>
      <c r="F98" s="19"/>
      <c r="G98" s="1"/>
    </row>
    <row r="99" spans="2:7" ht="12.75">
      <c r="B99" s="19"/>
      <c r="C99" s="1"/>
      <c r="F99" s="19"/>
      <c r="G99" s="1"/>
    </row>
    <row r="100" spans="2:7" ht="12.75">
      <c r="B100" s="19"/>
      <c r="C100" s="1"/>
      <c r="F100" s="18"/>
      <c r="G100" s="1"/>
    </row>
    <row r="101" spans="2:3" ht="12.75">
      <c r="B101" s="19"/>
      <c r="C101" s="1"/>
    </row>
    <row r="103" ht="12.75">
      <c r="L103" s="2"/>
    </row>
    <row r="104" spans="2:22" ht="12.75">
      <c r="B104" s="12"/>
      <c r="C104" s="8"/>
      <c r="D104" s="8"/>
      <c r="F104" s="13"/>
      <c r="G104" s="6"/>
      <c r="H104" s="8"/>
      <c r="R104" s="2"/>
      <c r="T104" s="2"/>
      <c r="V104" s="2"/>
    </row>
    <row r="105" spans="2:23" ht="12.75">
      <c r="B105" s="8"/>
      <c r="C105" s="7"/>
      <c r="D105" s="8"/>
      <c r="F105" s="6"/>
      <c r="G105" s="7"/>
      <c r="H105" s="8"/>
      <c r="J105" s="2"/>
      <c r="M105" s="2"/>
      <c r="R105" s="25"/>
      <c r="S105" s="24"/>
      <c r="T105" s="25"/>
      <c r="U105" s="24"/>
      <c r="V105" s="25"/>
      <c r="W105" s="24"/>
    </row>
    <row r="106" spans="2:8" ht="12.75">
      <c r="B106" s="8"/>
      <c r="C106" s="8"/>
      <c r="D106" s="8"/>
      <c r="F106" s="8"/>
      <c r="G106" s="8"/>
      <c r="H106" s="8"/>
    </row>
    <row r="107" spans="2:23" ht="12.75">
      <c r="B107" s="14"/>
      <c r="C107" s="8"/>
      <c r="D107" s="8"/>
      <c r="F107" s="15"/>
      <c r="G107" s="6"/>
      <c r="H107" s="6"/>
      <c r="J107" s="19"/>
      <c r="K107" s="1"/>
      <c r="M107" s="19"/>
      <c r="N107" s="1"/>
      <c r="R107" s="1"/>
      <c r="S107" s="1"/>
      <c r="T107" s="1"/>
      <c r="U107" s="1"/>
      <c r="V107" s="1"/>
      <c r="W107" s="1"/>
    </row>
    <row r="108" spans="2:23" ht="12.75">
      <c r="B108" s="16"/>
      <c r="C108" s="8"/>
      <c r="D108" s="8"/>
      <c r="F108" s="17"/>
      <c r="G108" s="8"/>
      <c r="H108" s="6"/>
      <c r="J108" s="19"/>
      <c r="K108" s="1"/>
      <c r="M108" s="19"/>
      <c r="N108" s="1"/>
      <c r="R108" s="1"/>
      <c r="S108" s="1"/>
      <c r="T108" s="1"/>
      <c r="U108" s="1"/>
      <c r="V108" s="1"/>
      <c r="W108" s="1"/>
    </row>
    <row r="109" spans="2:23" ht="12.75">
      <c r="B109" s="14"/>
      <c r="C109" s="8"/>
      <c r="D109" s="8"/>
      <c r="F109" s="7"/>
      <c r="G109" s="8"/>
      <c r="H109" s="6"/>
      <c r="J109" s="19"/>
      <c r="K109" s="26"/>
      <c r="M109" s="19"/>
      <c r="N109" s="27"/>
      <c r="R109" s="1"/>
      <c r="S109" s="1"/>
      <c r="T109" s="1"/>
      <c r="U109" s="1"/>
      <c r="V109" s="1"/>
      <c r="W109" s="1"/>
    </row>
    <row r="110" spans="2:23" ht="12.75">
      <c r="B110" s="14"/>
      <c r="C110" s="8"/>
      <c r="D110" s="8"/>
      <c r="F110" s="7"/>
      <c r="G110" s="8"/>
      <c r="H110" s="6"/>
      <c r="J110" s="19"/>
      <c r="K110" s="1"/>
      <c r="M110" s="19"/>
      <c r="N110" s="1"/>
      <c r="R110" s="1"/>
      <c r="S110" s="1"/>
      <c r="T110" s="1"/>
      <c r="U110" s="1"/>
      <c r="V110" s="1"/>
      <c r="W110" s="1"/>
    </row>
    <row r="111" spans="2:14" ht="12.75">
      <c r="B111" s="14"/>
      <c r="C111" s="8"/>
      <c r="D111" s="8"/>
      <c r="F111" s="7"/>
      <c r="G111" s="8"/>
      <c r="H111" s="6"/>
      <c r="J111" s="19"/>
      <c r="K111" s="1"/>
      <c r="M111" s="19"/>
      <c r="N111" s="1"/>
    </row>
    <row r="112" spans="2:14" ht="12.75">
      <c r="B112" s="15"/>
      <c r="C112" s="6"/>
      <c r="D112" s="6"/>
      <c r="F112" s="7"/>
      <c r="G112" s="8"/>
      <c r="H112" s="6"/>
      <c r="J112" s="19"/>
      <c r="K112" s="1"/>
      <c r="M112" s="19"/>
      <c r="N112" s="1"/>
    </row>
    <row r="113" spans="2:10" ht="12.75">
      <c r="B113" s="17"/>
      <c r="C113" s="8"/>
      <c r="D113" s="6"/>
      <c r="F113" s="7"/>
      <c r="G113" s="8"/>
      <c r="H113" s="6"/>
      <c r="J113" s="19"/>
    </row>
    <row r="114" spans="2:8" ht="12.75">
      <c r="B114" s="7"/>
      <c r="C114" s="8"/>
      <c r="D114" s="6"/>
      <c r="F114" s="7"/>
      <c r="G114" s="8"/>
      <c r="H114" s="6"/>
    </row>
    <row r="115" spans="2:8" ht="12.75">
      <c r="B115" s="4"/>
      <c r="C115" s="20"/>
      <c r="D115" s="5"/>
      <c r="F115" s="23"/>
      <c r="G115" s="8"/>
      <c r="H115" s="5"/>
    </row>
    <row r="117" spans="2:6" ht="12.75">
      <c r="B117" s="2"/>
      <c r="F117" s="2"/>
    </row>
    <row r="119" spans="6:7" ht="12.75">
      <c r="F119" s="19"/>
      <c r="G119" s="1"/>
    </row>
    <row r="120" spans="2:7" ht="12.75">
      <c r="B120" s="19"/>
      <c r="C120" s="3"/>
      <c r="F120" s="19"/>
      <c r="G120" s="1"/>
    </row>
    <row r="121" spans="2:7" ht="12.75">
      <c r="B121" s="18"/>
      <c r="C121" s="1"/>
      <c r="F121" s="18"/>
      <c r="G121" s="1"/>
    </row>
    <row r="122" spans="2:7" ht="12.75">
      <c r="B122" s="19"/>
      <c r="C122" s="1"/>
      <c r="F122" s="19"/>
      <c r="G122" s="1"/>
    </row>
    <row r="123" spans="2:7" ht="12.75">
      <c r="B123" s="19"/>
      <c r="C123" s="1"/>
      <c r="F123" s="19"/>
      <c r="G123" s="1"/>
    </row>
    <row r="124" spans="2:7" ht="12.75">
      <c r="B124" s="19"/>
      <c r="C124" s="1"/>
      <c r="F124" s="19"/>
      <c r="G124" s="1"/>
    </row>
    <row r="125" spans="2:7" ht="12.75">
      <c r="B125" s="19"/>
      <c r="C125" s="1"/>
      <c r="F125" s="18"/>
      <c r="G125" s="1"/>
    </row>
    <row r="126" spans="2:3" ht="12.75">
      <c r="B126" s="19"/>
      <c r="C126" s="1"/>
    </row>
    <row r="128" ht="12.75">
      <c r="L128" s="2"/>
    </row>
    <row r="129" spans="2:22" ht="12.75">
      <c r="B129" s="12"/>
      <c r="C129" s="8"/>
      <c r="D129" s="8"/>
      <c r="F129" s="13"/>
      <c r="G129" s="6"/>
      <c r="H129" s="8"/>
      <c r="R129" s="2"/>
      <c r="T129" s="2"/>
      <c r="V129" s="2"/>
    </row>
    <row r="130" spans="2:23" ht="12.75">
      <c r="B130" s="8"/>
      <c r="C130" s="7"/>
      <c r="D130" s="8"/>
      <c r="F130" s="6"/>
      <c r="G130" s="7"/>
      <c r="H130" s="8"/>
      <c r="J130" s="2"/>
      <c r="M130" s="2"/>
      <c r="R130" s="25"/>
      <c r="S130" s="24"/>
      <c r="T130" s="25"/>
      <c r="U130" s="24"/>
      <c r="V130" s="25"/>
      <c r="W130" s="24"/>
    </row>
    <row r="131" spans="2:8" ht="12.75">
      <c r="B131" s="8"/>
      <c r="C131" s="8"/>
      <c r="D131" s="8"/>
      <c r="F131" s="8"/>
      <c r="G131" s="8"/>
      <c r="H131" s="8"/>
    </row>
    <row r="132" spans="2:23" ht="12.75">
      <c r="B132" s="14"/>
      <c r="C132" s="8"/>
      <c r="D132" s="8"/>
      <c r="F132" s="15"/>
      <c r="G132" s="6"/>
      <c r="H132" s="6"/>
      <c r="J132" s="19"/>
      <c r="K132" s="1"/>
      <c r="M132" s="19"/>
      <c r="N132" s="1"/>
      <c r="R132" s="1"/>
      <c r="S132" s="1"/>
      <c r="T132" s="1"/>
      <c r="U132" s="1"/>
      <c r="V132" s="1"/>
      <c r="W132" s="1"/>
    </row>
    <row r="133" spans="2:23" ht="12.75">
      <c r="B133" s="16"/>
      <c r="C133" s="8"/>
      <c r="D133" s="8"/>
      <c r="F133" s="17"/>
      <c r="G133" s="8"/>
      <c r="H133" s="6"/>
      <c r="J133" s="19"/>
      <c r="K133" s="1"/>
      <c r="M133" s="19"/>
      <c r="N133" s="1"/>
      <c r="R133" s="1"/>
      <c r="S133" s="1"/>
      <c r="T133" s="1"/>
      <c r="U133" s="1"/>
      <c r="V133" s="1"/>
      <c r="W133" s="1"/>
    </row>
    <row r="134" spans="2:23" ht="12.75">
      <c r="B134" s="14"/>
      <c r="C134" s="8"/>
      <c r="D134" s="8"/>
      <c r="F134" s="7"/>
      <c r="G134" s="8"/>
      <c r="H134" s="6"/>
      <c r="J134" s="19"/>
      <c r="K134" s="26"/>
      <c r="M134" s="19"/>
      <c r="N134" s="27"/>
      <c r="R134" s="1"/>
      <c r="S134" s="1"/>
      <c r="T134" s="1"/>
      <c r="U134" s="1"/>
      <c r="V134" s="1"/>
      <c r="W134" s="1"/>
    </row>
    <row r="135" spans="2:23" ht="12.75">
      <c r="B135" s="14"/>
      <c r="C135" s="8"/>
      <c r="D135" s="8"/>
      <c r="F135" s="7"/>
      <c r="G135" s="8"/>
      <c r="H135" s="6"/>
      <c r="J135" s="19"/>
      <c r="K135" s="1"/>
      <c r="M135" s="19"/>
      <c r="N135" s="1"/>
      <c r="R135" s="1"/>
      <c r="S135" s="1"/>
      <c r="T135" s="1"/>
      <c r="U135" s="1"/>
      <c r="V135" s="1"/>
      <c r="W135" s="1"/>
    </row>
    <row r="136" spans="2:14" ht="12.75">
      <c r="B136" s="14"/>
      <c r="C136" s="8"/>
      <c r="D136" s="8"/>
      <c r="F136" s="7"/>
      <c r="G136" s="8"/>
      <c r="H136" s="6"/>
      <c r="J136" s="19"/>
      <c r="K136" s="1"/>
      <c r="M136" s="19"/>
      <c r="N136" s="1"/>
    </row>
    <row r="137" spans="2:14" ht="12.75">
      <c r="B137" s="15"/>
      <c r="C137" s="6"/>
      <c r="D137" s="6"/>
      <c r="F137" s="7"/>
      <c r="G137" s="8"/>
      <c r="H137" s="6"/>
      <c r="J137" s="19"/>
      <c r="K137" s="1"/>
      <c r="M137" s="19"/>
      <c r="N137" s="1"/>
    </row>
    <row r="138" spans="2:10" ht="12.75">
      <c r="B138" s="17"/>
      <c r="C138" s="8"/>
      <c r="D138" s="6"/>
      <c r="F138" s="7"/>
      <c r="G138" s="8"/>
      <c r="H138" s="6"/>
      <c r="J138" s="19"/>
    </row>
    <row r="139" spans="2:8" ht="12.75">
      <c r="B139" s="7"/>
      <c r="C139" s="8"/>
      <c r="D139" s="6"/>
      <c r="F139" s="7"/>
      <c r="G139" s="8"/>
      <c r="H139" s="6"/>
    </row>
    <row r="140" spans="2:8" ht="12.75">
      <c r="B140" s="4"/>
      <c r="C140" s="20"/>
      <c r="D140" s="5"/>
      <c r="F140" s="23"/>
      <c r="G140" s="8"/>
      <c r="H140" s="5"/>
    </row>
    <row r="142" spans="2:6" ht="12.75">
      <c r="B142" s="2"/>
      <c r="F142" s="2"/>
    </row>
    <row r="144" spans="6:7" ht="12.75">
      <c r="F144" s="19"/>
      <c r="G144" s="1"/>
    </row>
    <row r="145" spans="2:7" ht="12.75">
      <c r="B145" s="19"/>
      <c r="C145" s="3"/>
      <c r="F145" s="19"/>
      <c r="G145" s="1"/>
    </row>
    <row r="146" spans="2:7" ht="12.75">
      <c r="B146" s="18"/>
      <c r="C146" s="1"/>
      <c r="F146" s="18"/>
      <c r="G146" s="1"/>
    </row>
    <row r="147" spans="2:7" ht="12.75">
      <c r="B147" s="19"/>
      <c r="C147" s="1"/>
      <c r="F147" s="19"/>
      <c r="G147" s="1"/>
    </row>
    <row r="148" spans="2:7" ht="12.75">
      <c r="B148" s="19"/>
      <c r="C148" s="1"/>
      <c r="F148" s="19"/>
      <c r="G148" s="1"/>
    </row>
    <row r="149" spans="2:7" ht="12.75">
      <c r="B149" s="19"/>
      <c r="C149" s="1"/>
      <c r="F149" s="19"/>
      <c r="G149" s="1"/>
    </row>
    <row r="150" spans="2:7" ht="12.75">
      <c r="B150" s="19"/>
      <c r="C150" s="1"/>
      <c r="F150" s="18"/>
      <c r="G150" s="1"/>
    </row>
    <row r="151" spans="2:3" ht="12.75">
      <c r="B151" s="19"/>
      <c r="C151" s="1"/>
    </row>
    <row r="153" ht="12.75">
      <c r="L153" s="2"/>
    </row>
    <row r="154" spans="2:22" ht="12.75">
      <c r="B154" s="12"/>
      <c r="C154" s="8"/>
      <c r="D154" s="8"/>
      <c r="F154" s="13"/>
      <c r="G154" s="6"/>
      <c r="H154" s="8"/>
      <c r="R154" s="2"/>
      <c r="T154" s="2"/>
      <c r="V154" s="2"/>
    </row>
    <row r="155" spans="2:23" ht="12.75">
      <c r="B155" s="8"/>
      <c r="C155" s="7"/>
      <c r="D155" s="8"/>
      <c r="F155" s="6"/>
      <c r="G155" s="7"/>
      <c r="H155" s="8"/>
      <c r="J155" s="2"/>
      <c r="M155" s="2"/>
      <c r="R155" s="25"/>
      <c r="S155" s="24"/>
      <c r="T155" s="25"/>
      <c r="U155" s="24"/>
      <c r="V155" s="25"/>
      <c r="W155" s="24"/>
    </row>
    <row r="156" spans="2:8" ht="12.75">
      <c r="B156" s="8"/>
      <c r="C156" s="8"/>
      <c r="D156" s="8"/>
      <c r="F156" s="8"/>
      <c r="G156" s="8"/>
      <c r="H156" s="8"/>
    </row>
    <row r="157" spans="2:23" ht="12.75">
      <c r="B157" s="14"/>
      <c r="C157" s="8"/>
      <c r="D157" s="8"/>
      <c r="F157" s="15"/>
      <c r="G157" s="6"/>
      <c r="H157" s="6"/>
      <c r="J157" s="19"/>
      <c r="K157" s="1"/>
      <c r="M157" s="19"/>
      <c r="N157" s="1"/>
      <c r="R157" s="1"/>
      <c r="S157" s="1"/>
      <c r="T157" s="1"/>
      <c r="U157" s="1"/>
      <c r="V157" s="1"/>
      <c r="W157" s="1"/>
    </row>
    <row r="158" spans="2:23" ht="12.75">
      <c r="B158" s="16"/>
      <c r="C158" s="8"/>
      <c r="D158" s="8"/>
      <c r="F158" s="17"/>
      <c r="G158" s="8"/>
      <c r="H158" s="6"/>
      <c r="J158" s="19"/>
      <c r="K158" s="1"/>
      <c r="M158" s="19"/>
      <c r="N158" s="1"/>
      <c r="R158" s="1"/>
      <c r="S158" s="1"/>
      <c r="T158" s="1"/>
      <c r="U158" s="1"/>
      <c r="V158" s="1"/>
      <c r="W158" s="1"/>
    </row>
    <row r="159" spans="2:23" ht="12.75">
      <c r="B159" s="14"/>
      <c r="C159" s="8"/>
      <c r="D159" s="8"/>
      <c r="F159" s="7"/>
      <c r="G159" s="8"/>
      <c r="H159" s="6"/>
      <c r="J159" s="19"/>
      <c r="K159" s="26"/>
      <c r="M159" s="19"/>
      <c r="N159" s="27"/>
      <c r="R159" s="1"/>
      <c r="S159" s="1"/>
      <c r="T159" s="1"/>
      <c r="U159" s="1"/>
      <c r="V159" s="1"/>
      <c r="W159" s="1"/>
    </row>
    <row r="160" spans="2:23" ht="12.75">
      <c r="B160" s="14"/>
      <c r="C160" s="8"/>
      <c r="D160" s="8"/>
      <c r="F160" s="7"/>
      <c r="G160" s="8"/>
      <c r="H160" s="6"/>
      <c r="J160" s="19"/>
      <c r="K160" s="1"/>
      <c r="M160" s="19"/>
      <c r="N160" s="1"/>
      <c r="R160" s="1"/>
      <c r="S160" s="1"/>
      <c r="T160" s="1"/>
      <c r="U160" s="1"/>
      <c r="V160" s="1"/>
      <c r="W160" s="1"/>
    </row>
    <row r="161" spans="2:14" ht="12.75">
      <c r="B161" s="14"/>
      <c r="C161" s="8"/>
      <c r="D161" s="8"/>
      <c r="F161" s="7"/>
      <c r="G161" s="8"/>
      <c r="H161" s="6"/>
      <c r="J161" s="19"/>
      <c r="K161" s="1"/>
      <c r="M161" s="19"/>
      <c r="N161" s="1"/>
    </row>
    <row r="162" spans="2:14" ht="12.75">
      <c r="B162" s="15"/>
      <c r="C162" s="6"/>
      <c r="D162" s="6"/>
      <c r="F162" s="7"/>
      <c r="G162" s="8"/>
      <c r="H162" s="6"/>
      <c r="J162" s="19"/>
      <c r="K162" s="1"/>
      <c r="M162" s="19"/>
      <c r="N162" s="1"/>
    </row>
    <row r="163" spans="2:10" ht="12.75">
      <c r="B163" s="17"/>
      <c r="C163" s="8"/>
      <c r="D163" s="6"/>
      <c r="F163" s="7"/>
      <c r="G163" s="8"/>
      <c r="H163" s="6"/>
      <c r="J163" s="19"/>
    </row>
    <row r="164" spans="2:8" ht="12.75">
      <c r="B164" s="7"/>
      <c r="C164" s="8"/>
      <c r="D164" s="6"/>
      <c r="F164" s="7"/>
      <c r="G164" s="8"/>
      <c r="H164" s="6"/>
    </row>
    <row r="165" spans="2:8" ht="12.75">
      <c r="B165" s="4"/>
      <c r="C165" s="20"/>
      <c r="D165" s="5"/>
      <c r="F165" s="23"/>
      <c r="G165" s="8"/>
      <c r="H165" s="5"/>
    </row>
    <row r="167" spans="2:6" ht="12.75">
      <c r="B167" s="2"/>
      <c r="F167" s="2"/>
    </row>
    <row r="169" spans="6:7" ht="12.75">
      <c r="F169" s="19"/>
      <c r="G169" s="1"/>
    </row>
    <row r="170" spans="2:7" ht="12.75">
      <c r="B170" s="19"/>
      <c r="C170" s="3"/>
      <c r="F170" s="19"/>
      <c r="G170" s="1"/>
    </row>
    <row r="171" spans="2:7" ht="12.75">
      <c r="B171" s="18"/>
      <c r="C171" s="1"/>
      <c r="F171" s="18"/>
      <c r="G171" s="1"/>
    </row>
    <row r="172" spans="2:7" ht="12.75">
      <c r="B172" s="19"/>
      <c r="C172" s="1"/>
      <c r="F172" s="19"/>
      <c r="G172" s="1"/>
    </row>
    <row r="173" spans="2:7" ht="12.75">
      <c r="B173" s="19"/>
      <c r="C173" s="1"/>
      <c r="F173" s="19"/>
      <c r="G173" s="1"/>
    </row>
    <row r="174" spans="2:7" ht="12.75">
      <c r="B174" s="19"/>
      <c r="C174" s="1"/>
      <c r="F174" s="19"/>
      <c r="G174" s="1"/>
    </row>
    <row r="175" spans="2:7" ht="12.75">
      <c r="B175" s="19"/>
      <c r="C175" s="1"/>
      <c r="F175" s="18"/>
      <c r="G175" s="1"/>
    </row>
    <row r="176" spans="2:3" ht="12.75">
      <c r="B176" s="19"/>
      <c r="C176" s="1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printOptions/>
  <pageMargins left="0.75" right="0.75" top="1" bottom="1" header="0.5" footer="0.5"/>
  <pageSetup fitToHeight="3" fitToWidth="1" horizontalDpi="1200" verticalDpi="12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e4200 600</dc:creator>
  <cp:keywords/>
  <dc:description/>
  <cp:lastModifiedBy>Familia Emen</cp:lastModifiedBy>
  <cp:lastPrinted>2002-04-06T21:47:30Z</cp:lastPrinted>
  <dcterms:created xsi:type="dcterms:W3CDTF">2000-08-03T04:24:48Z</dcterms:created>
  <dcterms:modified xsi:type="dcterms:W3CDTF">2007-06-26T00:15:45Z</dcterms:modified>
  <cp:category/>
  <cp:version/>
  <cp:contentType/>
  <cp:contentStatus/>
</cp:coreProperties>
</file>