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firstSheet="8" activeTab="13"/>
  </bookViews>
  <sheets>
    <sheet name="Datos" sheetId="1" r:id="rId1"/>
    <sheet name="C. Produccion" sheetId="2" r:id="rId2"/>
    <sheet name="Gastos " sheetId="3" r:id="rId3"/>
    <sheet name="Depreciacion " sheetId="4" r:id="rId4"/>
    <sheet name="Inv. Inicial" sheetId="5" r:id="rId5"/>
    <sheet name="Préstamo" sheetId="6" r:id="rId6"/>
    <sheet name="Tasa de dscto" sheetId="7" r:id="rId7"/>
    <sheet name="Tasa de Mercado" sheetId="8" r:id="rId8"/>
    <sheet name="Valor de Desecho" sheetId="9" r:id="rId9"/>
    <sheet name="Capital Trabajo" sheetId="10" r:id="rId10"/>
    <sheet name="Payback " sheetId="11" r:id="rId11"/>
    <sheet name="Flujo de Caja" sheetId="12" r:id="rId12"/>
    <sheet name="CB_DATA_" sheetId="13" state="veryHidden" r:id="rId13"/>
    <sheet name="Flujo de Caja-Crystall  " sheetId="14" r:id="rId14"/>
  </sheets>
  <definedNames>
    <definedName name="CB_04ecb92c0b954291ba506b2956d204e3" localSheetId="13" hidden="1">'Flujo de Caja-Crystall  '!$E$13</definedName>
    <definedName name="CB_0971079002fe434f8d200bfdd2595507" localSheetId="13" hidden="1">'Flujo de Caja-Crystall  '!$K$90</definedName>
    <definedName name="CB_22ab3d2fb2f64875977aae6916e43cc0" localSheetId="13" hidden="1">'Flujo de Caja-Crystall  '!$L$14</definedName>
    <definedName name="CB_2783660364f34012b71ca7feaaa1788b" localSheetId="13" hidden="1">'Flujo de Caja-Crystall  '!$M$14</definedName>
    <definedName name="CB_282846245de34519bc1aa7ae77a25278" localSheetId="13" hidden="1">'Flujo de Caja-Crystall  '!$J$13</definedName>
    <definedName name="CB_29f032b94c59422ab0dc3973059d0cf0" localSheetId="13" hidden="1">'Flujo de Caja-Crystall  '!$M$13</definedName>
    <definedName name="CB_2c5c273b03b440188851d64839c9f8c4" localSheetId="13" hidden="1">'Flujo de Caja-Crystall  '!$E$14</definedName>
    <definedName name="CB_3dd5aa05f66d4af8a5138a4bdc27b308" localSheetId="13" hidden="1">'Flujo de Caja-Crystall  '!$H$13</definedName>
    <definedName name="CB_4499b6b7782443339cfbc323b494fab6" localSheetId="12" hidden="1">#N/A</definedName>
    <definedName name="CB_47f5a227ff5b44e0bd48b0245b620314" localSheetId="13" hidden="1">'Flujo de Caja-Crystall  '!$M$90</definedName>
    <definedName name="CB_48fdfc0a906446f48604ce1d8904a8bc" localSheetId="13" hidden="1">'Flujo de Caja-Crystall  '!$F$13</definedName>
    <definedName name="CB_4e0e2da2ecf64dedb70257df355a95b2" localSheetId="13" hidden="1">'Flujo de Caja-Crystall  '!$K$13</definedName>
    <definedName name="CB_572796a38bbe4e0899c5cfcf5e63c639" localSheetId="12" hidden="1">#N/A</definedName>
    <definedName name="CB_5d6d75fff8454554af088f62103258e2" localSheetId="13" hidden="1">'Flujo de Caja-Crystall  '!$D$90</definedName>
    <definedName name="CB_645b7f5a6baa427aa37e8043620aa7b4" localSheetId="13" hidden="1">'Flujo de Caja-Crystall  '!$H$90</definedName>
    <definedName name="CB_64d62416d38b4fb1bdd229c9dd8cac82" localSheetId="13" hidden="1">'Flujo de Caja-Crystall  '!$F$14</definedName>
    <definedName name="CB_73c90260f8af4668893fbda26145c701" localSheetId="13" hidden="1">'Flujo de Caja-Crystall  '!$C$93</definedName>
    <definedName name="CB_7701c6c7ba984aa3968240c97f4d2765" localSheetId="13" hidden="1">'Flujo de Caja-Crystall  '!$G$14</definedName>
    <definedName name="CB_7c18fc7e6b804592a77811863d48e8c7" localSheetId="13" hidden="1">'Flujo de Caja-Crystall  '!$L$13</definedName>
    <definedName name="CB_7e3149b0a58f49aeb41c8fccf3f85110" localSheetId="13" hidden="1">'Flujo de Caja-Crystall  '!$D$14</definedName>
    <definedName name="CB_8599c851518742408d7b8e95c105694f" localSheetId="13" hidden="1">'Flujo de Caja-Crystall  '!$I$13</definedName>
    <definedName name="CB_8743846c6c2e4f118eb39352926ee2f8" localSheetId="13" hidden="1">'Flujo de Caja-Crystall  '!$K$14</definedName>
    <definedName name="CB_8ce78399ec604aedb4c0a0b91dfddc3c" localSheetId="13" hidden="1">'Flujo de Caja-Crystall  '!$H$14</definedName>
    <definedName name="CB_95c64c27cfee42d9a3ec2074a5af491a" localSheetId="13" hidden="1">'Flujo de Caja-Crystall  '!$G$13</definedName>
    <definedName name="CB_95ce63b1d97b4359ab2b28e76b5888bd" localSheetId="12" hidden="1">#N/A</definedName>
    <definedName name="CB_9cbdb6ca4cbc4b9186dd2bf40dc2355a" localSheetId="13" hidden="1">'Flujo de Caja-Crystall  '!$I$14</definedName>
    <definedName name="CB_9ef9fd16f35e4c369b64f896b224f53f" localSheetId="13" hidden="1">'Flujo de Caja-Crystall  '!$E$90</definedName>
    <definedName name="CB_b106841e28254e8fafb8f21253abf23a" localSheetId="13" hidden="1">'Flujo de Caja-Crystall  '!$L$90</definedName>
    <definedName name="CB_b33fb0cd8b3a47af9e5c01d19b398b4d" localSheetId="13" hidden="1">'Flujo de Caja-Crystall  '!$D$13</definedName>
    <definedName name="CB_bc6a224fc97d4dfb9a751c251a6e26a9" localSheetId="13" hidden="1">'Flujo de Caja-Crystall  '!$G$90</definedName>
    <definedName name="CB_be4746705a564f92aa58df8c0b549d6c" localSheetId="13" hidden="1">'Flujo de Caja-Crystall  '!$I$90</definedName>
    <definedName name="CB_c49afbc817cf4f7b9cbba5c98895836a" localSheetId="13" hidden="1">'Flujo de Caja-Crystall  '!$C$91</definedName>
    <definedName name="CB_c6776c9594704f86a16f2fc191642bc5" localSheetId="13" hidden="1">'Flujo de Caja-Crystall  '!$J$90</definedName>
    <definedName name="CB_ceee89d2253844e999edd5d98be37dd5" localSheetId="12" hidden="1">#N/A</definedName>
    <definedName name="CB_d46ab0714b4b4a7a99295d5d17ef15f6" localSheetId="13" hidden="1">'Flujo de Caja-Crystall  '!$C$92</definedName>
    <definedName name="CB_d9c563856dc544e495ece7e07f72867f" localSheetId="13" hidden="1">'Flujo de Caja-Crystall  '!$F$90</definedName>
    <definedName name="CB_ea72febee3aa4ca9b3a4ab735c65ac03" localSheetId="13" hidden="1">'Flujo de Caja-Crystall  '!$J$14</definedName>
    <definedName name="CBWorkbookPriority" localSheetId="12" hidden="1">-1084508725</definedName>
    <definedName name="CBx_255cb735b5e84cbdaab838aa25b29381" localSheetId="12" hidden="1">"'CB_DATA_'!$A$1"</definedName>
    <definedName name="CBx_2e78d70041fe4dc08ec8e1f438de1093" localSheetId="12" hidden="1">"'Flujo de Caja-Crystall  '!$A$1"</definedName>
    <definedName name="CBx_Sheet_Guid" localSheetId="12" hidden="1">"'255cb735-b5e8-4cbd-aab8-38aa25b29381"</definedName>
    <definedName name="CBx_Sheet_Guid" localSheetId="13" hidden="1">"'2e78d700-41fe-4dc0-8ec8-e1f438de1093"</definedName>
    <definedName name="CBx_StorageType" localSheetId="12" hidden="1">1</definedName>
    <definedName name="CBx_StorageType" localSheetId="13" hidden="1">1</definedName>
  </definedNames>
  <calcPr fullCalcOnLoad="1"/>
</workbook>
</file>

<file path=xl/comments10.xml><?xml version="1.0" encoding="utf-8"?>
<comments xmlns="http://schemas.openxmlformats.org/spreadsheetml/2006/main">
  <authors>
    <author>end3rkid</author>
  </authors>
  <commentList>
    <comment ref="B35" authorId="0">
      <text>
        <r>
          <rPr>
            <b/>
            <sz val="8"/>
            <rFont val="Tahoma"/>
            <family val="2"/>
          </rPr>
          <t>end3rkid:</t>
        </r>
        <r>
          <rPr>
            <sz val="8"/>
            <rFont val="Tahoma"/>
            <family val="2"/>
          </rPr>
          <t xml:space="preserve">
Unidades de Producto</t>
        </r>
      </text>
    </comment>
  </commentList>
</comments>
</file>

<file path=xl/sharedStrings.xml><?xml version="1.0" encoding="utf-8"?>
<sst xmlns="http://schemas.openxmlformats.org/spreadsheetml/2006/main" count="874" uniqueCount="611">
  <si>
    <t>Año 1</t>
  </si>
  <si>
    <t>Año 2</t>
  </si>
  <si>
    <t>Año 3</t>
  </si>
  <si>
    <t>Año 4</t>
  </si>
  <si>
    <t>Año 5</t>
  </si>
  <si>
    <t>Población Objetivo</t>
  </si>
  <si>
    <t>% Compradores</t>
  </si>
  <si>
    <t>% Mercado</t>
  </si>
  <si>
    <t>Q</t>
  </si>
  <si>
    <t>Frecuencia esperada</t>
  </si>
  <si>
    <t>Q venta</t>
  </si>
  <si>
    <t>Año 6</t>
  </si>
  <si>
    <t>Año 7</t>
  </si>
  <si>
    <t>Año 8</t>
  </si>
  <si>
    <t>Año 9</t>
  </si>
  <si>
    <t>Año 10</t>
  </si>
  <si>
    <t>Año 0</t>
  </si>
  <si>
    <t>Participación Trabajadores (15%)</t>
  </si>
  <si>
    <t>Impuestos (25%)</t>
  </si>
  <si>
    <t>Capital de Trabajo</t>
  </si>
  <si>
    <t>Valor Desecho Proyecto</t>
  </si>
  <si>
    <t xml:space="preserve">Flujo Anual </t>
  </si>
  <si>
    <t>TMAR</t>
  </si>
  <si>
    <t>VAN</t>
  </si>
  <si>
    <t>TIR</t>
  </si>
  <si>
    <t>Cargo</t>
  </si>
  <si>
    <t>No. Puestos</t>
  </si>
  <si>
    <t>Remuneración Mensual</t>
  </si>
  <si>
    <t>Remuneración Anual</t>
  </si>
  <si>
    <t>Gerente General</t>
  </si>
  <si>
    <t>Supervisor</t>
  </si>
  <si>
    <t>Jefe de Mantenimiento</t>
  </si>
  <si>
    <t>Asistente Administrativa</t>
  </si>
  <si>
    <t>Obreros</t>
  </si>
  <si>
    <t>Chofer</t>
  </si>
  <si>
    <t>Conserje</t>
  </si>
  <si>
    <t>TOTAL</t>
  </si>
  <si>
    <t>Agua</t>
  </si>
  <si>
    <t>Luz</t>
  </si>
  <si>
    <t>Internet</t>
  </si>
  <si>
    <t>TOTAL COSTOS FIJOS</t>
  </si>
  <si>
    <t>COSTOS VARIABLES</t>
  </si>
  <si>
    <t>COSTOS FIJOS</t>
  </si>
  <si>
    <t>Materia Prima/unidad</t>
  </si>
  <si>
    <t>Mano de Obra directa</t>
  </si>
  <si>
    <t>Mano de Obra Indirecta</t>
  </si>
  <si>
    <t>PRECIO ESPERADO</t>
  </si>
  <si>
    <t>INVERSIÓN INICIAL</t>
  </si>
  <si>
    <t>MAQUINARIA</t>
  </si>
  <si>
    <t>Re</t>
  </si>
  <si>
    <t>Rd</t>
  </si>
  <si>
    <t>L</t>
  </si>
  <si>
    <t>T</t>
  </si>
  <si>
    <t>Rk (TASA DE DESCUENTO)</t>
  </si>
  <si>
    <t>Material Directo</t>
  </si>
  <si>
    <t>Costo Materia Prima</t>
  </si>
  <si>
    <t>Costo Materiales Directos</t>
  </si>
  <si>
    <t>Costo Mano Obra Directa</t>
  </si>
  <si>
    <t>Gastos Varios</t>
  </si>
  <si>
    <t>Kw/hora</t>
  </si>
  <si>
    <t>Horas/día</t>
  </si>
  <si>
    <t>Diario</t>
  </si>
  <si>
    <t>Mensual</t>
  </si>
  <si>
    <t>Anual</t>
  </si>
  <si>
    <t>Total $</t>
  </si>
  <si>
    <t>Tostadora</t>
  </si>
  <si>
    <t xml:space="preserve">Molino </t>
  </si>
  <si>
    <t>Split</t>
  </si>
  <si>
    <t>A.A. Split</t>
  </si>
  <si>
    <t>Focos 20 watts</t>
  </si>
  <si>
    <t>Computadoras</t>
  </si>
  <si>
    <t xml:space="preserve">HORAS /DIA </t>
  </si>
  <si>
    <t>Teléfono</t>
  </si>
  <si>
    <t>Alquiler planta</t>
  </si>
  <si>
    <t>GASTOS ADMINISTRATIVOS</t>
  </si>
  <si>
    <t>Sueldos Personal Administrativo</t>
  </si>
  <si>
    <t>Consumo Telefonía Fija e Internet</t>
  </si>
  <si>
    <t>Nombre/Medio</t>
  </si>
  <si>
    <t>Detalle</t>
  </si>
  <si>
    <t>Total</t>
  </si>
  <si>
    <t>Revistas</t>
  </si>
  <si>
    <t xml:space="preserve">   La Revista</t>
  </si>
  <si>
    <t>Diario El Universo</t>
  </si>
  <si>
    <t>Afiches</t>
  </si>
  <si>
    <t>50 cm x 70 cm</t>
  </si>
  <si>
    <t>Suministros de Oficina</t>
  </si>
  <si>
    <t>OTROS GASTOS</t>
  </si>
  <si>
    <t xml:space="preserve">Mensual </t>
  </si>
  <si>
    <t xml:space="preserve">Anual </t>
  </si>
  <si>
    <t>Cantidad</t>
  </si>
  <si>
    <t>Costo / Unidad</t>
  </si>
  <si>
    <t>Costo Total</t>
  </si>
  <si>
    <t>Vida Útil</t>
  </si>
  <si>
    <t>Maquinaria</t>
  </si>
  <si>
    <t>Molino</t>
  </si>
  <si>
    <t>Extractor</t>
  </si>
  <si>
    <t>Evaporador de placas</t>
  </si>
  <si>
    <t>Deshidratador</t>
  </si>
  <si>
    <t>Computadora paquete completo</t>
  </si>
  <si>
    <t>Impresora multifunción</t>
  </si>
  <si>
    <t>Teléfono alámbrico</t>
  </si>
  <si>
    <t>Teléfono inalámbrico</t>
  </si>
  <si>
    <t>Teléfono Fax</t>
  </si>
  <si>
    <t>Perchas</t>
  </si>
  <si>
    <t>Muebles para estación de trabajo</t>
  </si>
  <si>
    <t>Camión</t>
  </si>
  <si>
    <t>Total Maquinarias y Equipos</t>
  </si>
  <si>
    <t xml:space="preserve">Impresora láser </t>
  </si>
  <si>
    <t xml:space="preserve">EQUIPOS DE COMPUTO </t>
  </si>
  <si>
    <t>MUEBLES Y ENSERES</t>
  </si>
  <si>
    <t xml:space="preserve">     Molino</t>
  </si>
  <si>
    <t xml:space="preserve">     Extractor</t>
  </si>
  <si>
    <t xml:space="preserve">     Evaporador de placas</t>
  </si>
  <si>
    <t xml:space="preserve">     Deshidratador</t>
  </si>
  <si>
    <t xml:space="preserve">     Computadora paquete completo</t>
  </si>
  <si>
    <t xml:space="preserve">     Impresora multifunción</t>
  </si>
  <si>
    <t xml:space="preserve">     Impresora láser </t>
  </si>
  <si>
    <t xml:space="preserve">     Teléfono Fax</t>
  </si>
  <si>
    <t xml:space="preserve">     Perchas</t>
  </si>
  <si>
    <t xml:space="preserve">     Muebles para estación de trabajo</t>
  </si>
  <si>
    <t xml:space="preserve">     Camión</t>
  </si>
  <si>
    <t xml:space="preserve">     Supervisor</t>
  </si>
  <si>
    <t xml:space="preserve"> EQUIPOS DE OFICINA </t>
  </si>
  <si>
    <t xml:space="preserve">VEHÍCULOS </t>
  </si>
  <si>
    <t xml:space="preserve">MATERIA PRIMA DIRECTA </t>
  </si>
  <si>
    <t xml:space="preserve">MATERIA PRIMA INDIRECTA </t>
  </si>
  <si>
    <t xml:space="preserve">MANO OBRA DIRECTA </t>
  </si>
  <si>
    <t>MANO OBRA INDIRECTA</t>
  </si>
  <si>
    <t xml:space="preserve">     Asistente Administrativa</t>
  </si>
  <si>
    <t xml:space="preserve">     Gerente General</t>
  </si>
  <si>
    <t xml:space="preserve">     Chofer</t>
  </si>
  <si>
    <t xml:space="preserve">     Conserje</t>
  </si>
  <si>
    <t xml:space="preserve">     Alquiler de la Planta </t>
  </si>
  <si>
    <t xml:space="preserve">     Teléfono</t>
  </si>
  <si>
    <t xml:space="preserve">GASTOS ADMINISTRATIVOS </t>
  </si>
  <si>
    <t xml:space="preserve">GASTOS DE ALQUILER </t>
  </si>
  <si>
    <t xml:space="preserve">     La Revista</t>
  </si>
  <si>
    <t xml:space="preserve">     Diario El Universo</t>
  </si>
  <si>
    <t xml:space="preserve">     Afiches</t>
  </si>
  <si>
    <t xml:space="preserve">     Suministros de Oficina</t>
  </si>
  <si>
    <t xml:space="preserve">     Jefe de Mantenimiento</t>
  </si>
  <si>
    <t xml:space="preserve">     Obreros</t>
  </si>
  <si>
    <t xml:space="preserve">     Internet</t>
  </si>
  <si>
    <t xml:space="preserve">     Teléfono alámbrico</t>
  </si>
  <si>
    <t xml:space="preserve">     Split</t>
  </si>
  <si>
    <t xml:space="preserve">     Teléfono inalámbrico</t>
  </si>
  <si>
    <t xml:space="preserve">   Costo Envase vidrio</t>
  </si>
  <si>
    <t xml:space="preserve">   Costo tapa plástico</t>
  </si>
  <si>
    <t xml:space="preserve">   Costo Etiqueta</t>
  </si>
  <si>
    <t xml:space="preserve">     Tostadora</t>
  </si>
  <si>
    <t xml:space="preserve">Gasto eléctrico </t>
  </si>
  <si>
    <t xml:space="preserve">     Derecho de inscripción teléfono</t>
  </si>
  <si>
    <t>TOTAL INVERSIÓN INICIAL</t>
  </si>
  <si>
    <t xml:space="preserve">     UPS</t>
  </si>
  <si>
    <t xml:space="preserve">     Router</t>
  </si>
  <si>
    <t>Población 18 años en adelante</t>
  </si>
  <si>
    <t>Población Segmentada</t>
  </si>
  <si>
    <t>Frecuencia Esperada</t>
  </si>
  <si>
    <t>Mercado Potencial</t>
  </si>
  <si>
    <t>% Mercado (Porter)</t>
  </si>
  <si>
    <t>% crecimiento poblacional</t>
  </si>
  <si>
    <t>% crecimiento de mercado</t>
  </si>
  <si>
    <t>Precio</t>
  </si>
  <si>
    <t>GASTOS DE PUBLICIDAD</t>
  </si>
  <si>
    <t xml:space="preserve">GASTOS DE PUBLICIDAD </t>
  </si>
  <si>
    <t>GASTOS DE VENTA</t>
  </si>
  <si>
    <t xml:space="preserve">     Transportación</t>
  </si>
  <si>
    <t>GASTOS DE DISTRIBUCIÓN</t>
  </si>
  <si>
    <t>Gasto Deprec. Tostadora</t>
  </si>
  <si>
    <t>Gasto Deprec. Molino</t>
  </si>
  <si>
    <t>Gasto Deprec. Extractor</t>
  </si>
  <si>
    <t>Gasto Deprec. Evaporador a placas</t>
  </si>
  <si>
    <t>Gasto Deprec. Deshidratador</t>
  </si>
  <si>
    <t>Gasto Deprec. Computadoras</t>
  </si>
  <si>
    <t>Gasto Deprec. Vehículo</t>
  </si>
  <si>
    <t>Utilidad Venta Tostadora</t>
  </si>
  <si>
    <t>Utilidad Venta Molino</t>
  </si>
  <si>
    <t>Utilidad Venta Extractor</t>
  </si>
  <si>
    <t>Utilidad Venta Evaporador a placas</t>
  </si>
  <si>
    <t>Utilidad Venta Deshidratador</t>
  </si>
  <si>
    <t>Utilidad Venta Computadoras</t>
  </si>
  <si>
    <t>Valor Libros Tostadora</t>
  </si>
  <si>
    <t>Valor Libros Extractor</t>
  </si>
  <si>
    <t>Valor Libros Evaporador a placas</t>
  </si>
  <si>
    <t>Valor Libros Deshidratador</t>
  </si>
  <si>
    <t>Valor Libros Computadoras</t>
  </si>
  <si>
    <t>Valor Libros Vehículo</t>
  </si>
  <si>
    <t>Inv. Inicial Muebles de Oficina</t>
  </si>
  <si>
    <t>Inv. Inicial Vehículo</t>
  </si>
  <si>
    <t>Depreciación Anual</t>
  </si>
  <si>
    <t>Valor Comercial</t>
  </si>
  <si>
    <t>ACTIVOS FIJOS</t>
  </si>
  <si>
    <t>Punto Medio</t>
  </si>
  <si>
    <t>1 - 3 tzs.</t>
  </si>
  <si>
    <t>4 - 7 tzs.</t>
  </si>
  <si>
    <t>8 - 11 tzs.</t>
  </si>
  <si>
    <t>12 - 14 tzs.</t>
  </si>
  <si>
    <t>19 - 21 tzs.</t>
  </si>
  <si>
    <t>Más de 21 tzs.</t>
  </si>
  <si>
    <t>%Encuestados</t>
  </si>
  <si>
    <t>Tazas</t>
  </si>
  <si>
    <t>Consumo/Esperado/Tazas</t>
  </si>
  <si>
    <t>Gramos/Taza</t>
  </si>
  <si>
    <t>Consumo/Esperado/Gramos</t>
  </si>
  <si>
    <t>Frasco/Taza</t>
  </si>
  <si>
    <t>Consumo/Esperado/Frascos</t>
  </si>
  <si>
    <t>Meses</t>
  </si>
  <si>
    <t>Semanas</t>
  </si>
  <si>
    <t>Consumo/Esperado</t>
  </si>
  <si>
    <t>Demanda Potencial</t>
  </si>
  <si>
    <t>Demanda Efectiva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</si>
  <si>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</si>
  <si>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</si>
  <si>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</si>
  <si>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</si>
  <si>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</si>
  <si>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</si>
  <si>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</si>
  <si>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</si>
  <si>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</si>
  <si>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</si>
  <si>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</si>
  <si>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</si>
  <si>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Cantidades</t>
  </si>
  <si>
    <t>Ingresos Vtas.</t>
  </si>
  <si>
    <t>Gastos Operativos</t>
  </si>
  <si>
    <t>Flujo Mensual</t>
  </si>
  <si>
    <t>Saldo Acumulado</t>
  </si>
  <si>
    <t>Población Objetivo (Guayaquil)</t>
  </si>
  <si>
    <t>1 vez por semana</t>
  </si>
  <si>
    <t>2 - 3 veces por semana</t>
  </si>
  <si>
    <t>4 - 5 veces por semana</t>
  </si>
  <si>
    <t>6 -7 veces por semana</t>
  </si>
  <si>
    <t>Más de 7 veces por sem</t>
  </si>
  <si>
    <t>1.20 - 1.30</t>
  </si>
  <si>
    <t>1.31 - 1.40</t>
  </si>
  <si>
    <t>1.41 - 1.50</t>
  </si>
  <si>
    <t>Precio Esperado</t>
  </si>
  <si>
    <t>Consumo Kw/hora (*)</t>
  </si>
  <si>
    <t>Consumo Mensual</t>
  </si>
  <si>
    <t>Consumo Anual</t>
  </si>
  <si>
    <t>GASTOS DE CONSTITUCIÓN</t>
  </si>
  <si>
    <t xml:space="preserve">     Costo Materia Prima/Unidad (70g.)</t>
  </si>
  <si>
    <t xml:space="preserve">     Costo Unitario Envase vidrio</t>
  </si>
  <si>
    <t xml:space="preserve">     Costo Unitario tapa plástico</t>
  </si>
  <si>
    <t xml:space="preserve">     Costo Unitario Etiqueta</t>
  </si>
  <si>
    <t xml:space="preserve">   MAQUINARIA</t>
  </si>
  <si>
    <t xml:space="preserve">   EQUIPOS DE COMPUTO </t>
  </si>
  <si>
    <t xml:space="preserve">   EQUIPOS DE OFICINA </t>
  </si>
  <si>
    <t xml:space="preserve">   VEHÍCULOS </t>
  </si>
  <si>
    <t>COMPRA DE ACTIVOS</t>
  </si>
  <si>
    <t>Activo Fijo</t>
  </si>
  <si>
    <t>Valor Libros Molino</t>
  </si>
  <si>
    <t>Sueldos Personal de Planta</t>
  </si>
  <si>
    <t>Consumo Energía Eléctrica en Planta</t>
  </si>
  <si>
    <t>Consumo Energía Eléctrica en Área Administrativa</t>
  </si>
  <si>
    <t xml:space="preserve">DEPRECIACIÓN DE ACTIVOS FIJOS </t>
  </si>
  <si>
    <t>DETERMINACIÓN DE LA DEMANDA</t>
  </si>
  <si>
    <t xml:space="preserve">COSTO DE FABRICACIÓN </t>
  </si>
  <si>
    <t>V. Residual Contable</t>
  </si>
  <si>
    <t>Depreciación Acumulada</t>
  </si>
  <si>
    <t>Inv. Inicial Gastos Constitución</t>
  </si>
  <si>
    <t>Inv. Inicial Maquinaria</t>
  </si>
  <si>
    <t>Inv. Inicial Equipo de Cómputo</t>
  </si>
  <si>
    <t>Inv. Inicial Equipo de Oficina</t>
  </si>
  <si>
    <t>Vantas Promedio Año</t>
  </si>
  <si>
    <t>Costos de Producción</t>
  </si>
  <si>
    <t>%Ventas</t>
  </si>
  <si>
    <t>METODO DÉFICIT MÁXIMO ACUMULADO</t>
  </si>
  <si>
    <t>Q venta (Frascos 50 gramos)</t>
  </si>
  <si>
    <t>Costo Fijo de Producción</t>
  </si>
  <si>
    <t>Gastos Administrativos</t>
  </si>
  <si>
    <t>Gastos de Distribución</t>
  </si>
  <si>
    <t>Gastos de Publicidad</t>
  </si>
  <si>
    <t>Gasto de Arrendamiento</t>
  </si>
  <si>
    <t>Consumo Mensual / Q</t>
  </si>
  <si>
    <t xml:space="preserve">Consumo Mensual </t>
  </si>
  <si>
    <t xml:space="preserve">Consumo Anual </t>
  </si>
  <si>
    <t>Total anual</t>
  </si>
  <si>
    <t xml:space="preserve">Total </t>
  </si>
  <si>
    <t>Viajes al año</t>
  </si>
  <si>
    <t>Costo al año</t>
  </si>
  <si>
    <t>Diario Súper</t>
  </si>
  <si>
    <t xml:space="preserve">     Diario Súper</t>
  </si>
  <si>
    <t>1/4 pág. Vertical</t>
  </si>
  <si>
    <t>DATOS DE LA EMPRESA PROYECTO</t>
  </si>
  <si>
    <r>
      <t>B</t>
    </r>
    <r>
      <rPr>
        <vertAlign val="subscript"/>
        <sz val="14"/>
        <color indexed="8"/>
        <rFont val="Calibri"/>
        <family val="2"/>
      </rPr>
      <t>Apalancado</t>
    </r>
    <r>
      <rPr>
        <sz val="14"/>
        <color indexed="8"/>
        <rFont val="Calibri"/>
        <family val="2"/>
      </rPr>
      <t>=</t>
    </r>
  </si>
  <si>
    <r>
      <t>(1 - L) B</t>
    </r>
    <r>
      <rPr>
        <vertAlign val="subscript"/>
        <sz val="16"/>
        <color indexed="8"/>
        <rFont val="Calibri"/>
        <family val="2"/>
      </rPr>
      <t>desapalancado</t>
    </r>
  </si>
  <si>
    <t>(1 - T * L)</t>
  </si>
  <si>
    <t>Politica de Dividendos</t>
  </si>
  <si>
    <t>Politica de Reinversion</t>
  </si>
  <si>
    <t>T=</t>
  </si>
  <si>
    <t>L=</t>
  </si>
  <si>
    <t>PRÉSTAMO</t>
  </si>
  <si>
    <t>CAPITAL PROPIO</t>
  </si>
  <si>
    <r>
      <t>B</t>
    </r>
    <r>
      <rPr>
        <b/>
        <vertAlign val="subscript"/>
        <sz val="14"/>
        <color indexed="9"/>
        <rFont val="Calibri"/>
        <family val="2"/>
      </rPr>
      <t>D</t>
    </r>
    <r>
      <rPr>
        <b/>
        <sz val="14"/>
        <color indexed="9"/>
        <rFont val="Calibri"/>
        <family val="2"/>
      </rPr>
      <t>=</t>
    </r>
  </si>
  <si>
    <r>
      <t>B</t>
    </r>
    <r>
      <rPr>
        <b/>
        <vertAlign val="subscript"/>
        <sz val="14"/>
        <color indexed="9"/>
        <rFont val="Calibri"/>
        <family val="2"/>
      </rPr>
      <t>A</t>
    </r>
    <r>
      <rPr>
        <b/>
        <sz val="14"/>
        <color indexed="9"/>
        <rFont val="Calibri"/>
        <family val="2"/>
      </rPr>
      <t>=</t>
    </r>
  </si>
  <si>
    <r>
      <t>r</t>
    </r>
    <r>
      <rPr>
        <b/>
        <vertAlign val="subscript"/>
        <sz val="16"/>
        <color indexed="9"/>
        <rFont val="Calibri"/>
        <family val="2"/>
      </rPr>
      <t xml:space="preserve">e </t>
    </r>
    <r>
      <rPr>
        <b/>
        <sz val="16"/>
        <color indexed="9"/>
        <rFont val="Calibri"/>
        <family val="2"/>
      </rPr>
      <t>=</t>
    </r>
  </si>
  <si>
    <r>
      <t>r</t>
    </r>
    <r>
      <rPr>
        <b/>
        <vertAlign val="subscript"/>
        <sz val="16"/>
        <color indexed="9"/>
        <rFont val="Calibri"/>
        <family val="2"/>
      </rPr>
      <t xml:space="preserve">f </t>
    </r>
    <r>
      <rPr>
        <b/>
        <sz val="16"/>
        <color indexed="9"/>
        <rFont val="Calibri"/>
        <family val="2"/>
      </rPr>
      <t>=</t>
    </r>
  </si>
  <si>
    <r>
      <t>B</t>
    </r>
    <r>
      <rPr>
        <b/>
        <vertAlign val="subscript"/>
        <sz val="16"/>
        <color indexed="9"/>
        <rFont val="Calibri"/>
        <family val="2"/>
      </rPr>
      <t xml:space="preserve"> </t>
    </r>
    <r>
      <rPr>
        <b/>
        <sz val="16"/>
        <color indexed="9"/>
        <rFont val="Calibri"/>
        <family val="2"/>
      </rPr>
      <t>=</t>
    </r>
  </si>
  <si>
    <r>
      <t>r</t>
    </r>
    <r>
      <rPr>
        <b/>
        <vertAlign val="subscript"/>
        <sz val="16"/>
        <color indexed="9"/>
        <rFont val="Calibri"/>
        <family val="2"/>
      </rPr>
      <t xml:space="preserve">m </t>
    </r>
    <r>
      <rPr>
        <b/>
        <sz val="16"/>
        <color indexed="9"/>
        <rFont val="Calibri"/>
        <family val="2"/>
      </rPr>
      <t>=</t>
    </r>
  </si>
  <si>
    <r>
      <t>r</t>
    </r>
    <r>
      <rPr>
        <b/>
        <vertAlign val="subscript"/>
        <sz val="16"/>
        <color indexed="9"/>
        <rFont val="Calibri"/>
        <family val="2"/>
      </rPr>
      <t xml:space="preserve">f_Ecuador </t>
    </r>
    <r>
      <rPr>
        <b/>
        <sz val="16"/>
        <color indexed="9"/>
        <rFont val="Calibri"/>
        <family val="2"/>
      </rPr>
      <t>=</t>
    </r>
  </si>
  <si>
    <r>
      <t>r</t>
    </r>
    <r>
      <rPr>
        <b/>
        <vertAlign val="subscript"/>
        <sz val="16"/>
        <color indexed="9"/>
        <rFont val="Calibri"/>
        <family val="2"/>
      </rPr>
      <t xml:space="preserve">k </t>
    </r>
    <r>
      <rPr>
        <b/>
        <sz val="16"/>
        <color indexed="9"/>
        <rFont val="Calibri"/>
        <family val="2"/>
      </rPr>
      <t>=</t>
    </r>
  </si>
  <si>
    <r>
      <t>r</t>
    </r>
    <r>
      <rPr>
        <b/>
        <vertAlign val="subscript"/>
        <sz val="16"/>
        <color indexed="9"/>
        <rFont val="Calibri"/>
        <family val="2"/>
      </rPr>
      <t>d</t>
    </r>
    <r>
      <rPr>
        <b/>
        <sz val="16"/>
        <color indexed="9"/>
        <rFont val="Calibri"/>
        <family val="2"/>
      </rPr>
      <t>=</t>
    </r>
  </si>
  <si>
    <t>UPS</t>
  </si>
  <si>
    <t>Router</t>
  </si>
  <si>
    <t xml:space="preserve">   MUEBLES Y ENSERES</t>
  </si>
  <si>
    <t>EQUIPOS DE CÓMPUTO</t>
  </si>
  <si>
    <t>EQUIPOS DE OFICINA</t>
  </si>
  <si>
    <t>VEHÍCULOS</t>
  </si>
  <si>
    <t>Gasto Deprec. Impresora Multifunc.</t>
  </si>
  <si>
    <t>Gasto Deprec. Impresora Láser</t>
  </si>
  <si>
    <t>Gasto Deprec. Split</t>
  </si>
  <si>
    <t>Gasto Deprec. Perchas</t>
  </si>
  <si>
    <t>Gasto Deprec. Muebles estac. Trab.</t>
  </si>
  <si>
    <t>Utilidad Venta Impresora Multifunc.</t>
  </si>
  <si>
    <t>Utilidad Venta Impresora Láser</t>
  </si>
  <si>
    <t>Utilidad Venta Split</t>
  </si>
  <si>
    <t>Utilidad Venta Perchas</t>
  </si>
  <si>
    <t>Utilidad Venta Muebles estac. Trab.</t>
  </si>
  <si>
    <t>Utilidad Venta Camión</t>
  </si>
  <si>
    <t>Gasto de Interés</t>
  </si>
  <si>
    <t>Valor Libros Impresora Multifunc.</t>
  </si>
  <si>
    <t>Valor Libros Impresora Láser</t>
  </si>
  <si>
    <t>Valor Libros Split</t>
  </si>
  <si>
    <t>Valor Libros Perchas</t>
  </si>
  <si>
    <t>Valor Libros Muebles estac. Trab.</t>
  </si>
  <si>
    <t>Préstamo</t>
  </si>
  <si>
    <t>Amortización</t>
  </si>
  <si>
    <t>Tasa Banco Pacífico</t>
  </si>
  <si>
    <t>PERÍODO</t>
  </si>
  <si>
    <t>PAGO</t>
  </si>
  <si>
    <t>INTERÉS</t>
  </si>
  <si>
    <t>CAPITAL</t>
  </si>
  <si>
    <t>SALDO</t>
  </si>
  <si>
    <t>PORCENTAJE</t>
  </si>
  <si>
    <t>Inversión Inicial</t>
  </si>
  <si>
    <t>Monto Requerido</t>
  </si>
  <si>
    <t>Capital Propio</t>
  </si>
  <si>
    <t>% Var Indice</t>
  </si>
  <si>
    <t>21.38</t>
  </si>
  <si>
    <t>22.70</t>
  </si>
  <si>
    <t>20.74</t>
  </si>
  <si>
    <t>22.01</t>
  </si>
  <si>
    <t>21.24</t>
  </si>
  <si>
    <t>22.15</t>
  </si>
  <si>
    <t>19.29</t>
  </si>
  <si>
    <t>21.62</t>
  </si>
  <si>
    <t>20.14</t>
  </si>
  <si>
    <t>23.00</t>
  </si>
  <si>
    <t>19.92</t>
  </si>
  <si>
    <t>21.55</t>
  </si>
  <si>
    <t>23.29</t>
  </si>
  <si>
    <t>24.04</t>
  </si>
  <si>
    <t>19.45</t>
  </si>
  <si>
    <t>20.32</t>
  </si>
  <si>
    <t>21.97</t>
  </si>
  <si>
    <t>24.64</t>
  </si>
  <si>
    <t>20.25</t>
  </si>
  <si>
    <t>23.25</t>
  </si>
  <si>
    <t>22.36</t>
  </si>
  <si>
    <t>23.16</t>
  </si>
  <si>
    <t>17.79</t>
  </si>
  <si>
    <t>22.57</t>
  </si>
  <si>
    <t>27.35</t>
  </si>
  <si>
    <t>28.69</t>
  </si>
  <si>
    <t>19.06</t>
  </si>
  <si>
    <t>22.46</t>
  </si>
  <si>
    <t>26.71</t>
  </si>
  <si>
    <t>29.75</t>
  </si>
  <si>
    <t>27.92</t>
  </si>
  <si>
    <t>22.84</t>
  </si>
  <si>
    <t>27.77</t>
  </si>
  <si>
    <t>19.68</t>
  </si>
  <si>
    <t>26.24</t>
  </si>
  <si>
    <t>19.82</t>
  </si>
  <si>
    <t>22.65</t>
  </si>
  <si>
    <t>18.50</t>
  </si>
  <si>
    <t>19.49</t>
  </si>
  <si>
    <t>23.30</t>
  </si>
  <si>
    <t>24.00</t>
  </si>
  <si>
    <t>23.26</t>
  </si>
  <si>
    <t>24.85</t>
  </si>
  <si>
    <t>22.58</t>
  </si>
  <si>
    <t>23.36</t>
  </si>
  <si>
    <t>24.40</t>
  </si>
  <si>
    <t>25.11</t>
  </si>
  <si>
    <t>21.75</t>
  </si>
  <si>
    <t>23.23</t>
  </si>
  <si>
    <t>23.38</t>
  </si>
  <si>
    <t>23.90</t>
  </si>
  <si>
    <t>19.89</t>
  </si>
  <si>
    <t>23.51</t>
  </si>
  <si>
    <t>22.03</t>
  </si>
  <si>
    <t>24.31</t>
  </si>
  <si>
    <t>23.41</t>
  </si>
  <si>
    <t>28.97</t>
  </si>
  <si>
    <t>29.25</t>
  </si>
  <si>
    <t>21.54</t>
  </si>
  <si>
    <t>21.94</t>
  </si>
  <si>
    <t>26.82</t>
  </si>
  <si>
    <t>30.37</t>
  </si>
  <si>
    <t>25.59</t>
  </si>
  <si>
    <t>29.07</t>
  </si>
  <si>
    <t>27.00</t>
  </si>
  <si>
    <t>29.83</t>
  </si>
  <si>
    <t>25.68</t>
  </si>
  <si>
    <t>26.72</t>
  </si>
  <si>
    <t>28.01</t>
  </si>
  <si>
    <t>29.20</t>
  </si>
  <si>
    <t>27.27</t>
  </si>
  <si>
    <t>25.15</t>
  </si>
  <si>
    <t>28.31</t>
  </si>
  <si>
    <t>24.66</t>
  </si>
  <si>
    <t>27.91</t>
  </si>
  <si>
    <t>23.96</t>
  </si>
  <si>
    <t>28.75</t>
  </si>
  <si>
    <t>22.98</t>
  </si>
  <si>
    <t>25.26</t>
  </si>
  <si>
    <t>26.39</t>
  </si>
  <si>
    <t>23.75</t>
  </si>
  <si>
    <t>23.99</t>
  </si>
  <si>
    <t>26.21</t>
  </si>
  <si>
    <t>26.48</t>
  </si>
  <si>
    <t>24.60</t>
  </si>
  <si>
    <t>24.63</t>
  </si>
  <si>
    <t>25.91</t>
  </si>
  <si>
    <t>26.97</t>
  </si>
  <si>
    <t>25.05</t>
  </si>
  <si>
    <t>26.07</t>
  </si>
  <si>
    <t>27.72</t>
  </si>
  <si>
    <t>29.17</t>
  </si>
  <si>
    <t>25.90</t>
  </si>
  <si>
    <t>25.94</t>
  </si>
  <si>
    <t>25.03</t>
  </si>
  <si>
    <t>28.25</t>
  </si>
  <si>
    <t>24.94</t>
  </si>
  <si>
    <t>27.62</t>
  </si>
  <si>
    <t>25.98</t>
  </si>
  <si>
    <t>26.60</t>
  </si>
  <si>
    <t>25.00</t>
  </si>
  <si>
    <t>25.35</t>
  </si>
  <si>
    <t>26.14</t>
  </si>
  <si>
    <t>26.78</t>
  </si>
  <si>
    <t>25.85</t>
  </si>
  <si>
    <t>25.42</t>
  </si>
  <si>
    <t>27.56</t>
  </si>
  <si>
    <t>25.14</t>
  </si>
  <si>
    <t>26.73</t>
  </si>
  <si>
    <t>27.78</t>
  </si>
  <si>
    <t>25.39</t>
  </si>
  <si>
    <t>25.45</t>
  </si>
  <si>
    <t>24.96</t>
  </si>
  <si>
    <t>27.87</t>
  </si>
  <si>
    <t>24.29</t>
  </si>
  <si>
    <t>26.75</t>
  </si>
  <si>
    <t>25.29</t>
  </si>
  <si>
    <t>26.81</t>
  </si>
  <si>
    <t>24.72</t>
  </si>
  <si>
    <t>25.01</t>
  </si>
  <si>
    <t>28.27</t>
  </si>
  <si>
    <t>28.90</t>
  </si>
  <si>
    <t>24.43</t>
  </si>
  <si>
    <t>25.21</t>
  </si>
  <si>
    <t>30.00</t>
  </si>
  <si>
    <t>30.90</t>
  </si>
  <si>
    <t>28.37</t>
  </si>
  <si>
    <t>30.22</t>
  </si>
  <si>
    <t>28.21</t>
  </si>
  <si>
    <t>30.19</t>
  </si>
  <si>
    <t>31.40</t>
  </si>
  <si>
    <t>32.76</t>
  </si>
  <si>
    <t>28.67</t>
  </si>
  <si>
    <t>28.99</t>
  </si>
  <si>
    <t>30.11</t>
  </si>
  <si>
    <t>31.49</t>
  </si>
  <si>
    <t>28.65</t>
  </si>
  <si>
    <t>31.14</t>
  </si>
  <si>
    <t>30.05</t>
  </si>
  <si>
    <t>28.19</t>
  </si>
  <si>
    <t>30.81</t>
  </si>
  <si>
    <t>31.91</t>
  </si>
  <si>
    <t>29.76</t>
  </si>
  <si>
    <t>29.94</t>
  </si>
  <si>
    <t>30.35</t>
  </si>
  <si>
    <t>31.66</t>
  </si>
  <si>
    <t>29.15</t>
  </si>
  <si>
    <t>30.82</t>
  </si>
  <si>
    <t>31.03</t>
  </si>
  <si>
    <t>32.63</t>
  </si>
  <si>
    <t>33.35</t>
  </si>
  <si>
    <t>33.41</t>
  </si>
  <si>
    <t>31.05</t>
  </si>
  <si>
    <t>30.59</t>
  </si>
  <si>
    <t>33.39</t>
  </si>
  <si>
    <t>29.78</t>
  </si>
  <si>
    <t>33.27</t>
  </si>
  <si>
    <t>31.36</t>
  </si>
  <si>
    <t>31.85</t>
  </si>
  <si>
    <t>28.62</t>
  </si>
  <si>
    <t>30.61</t>
  </si>
  <si>
    <t>34.30</t>
  </si>
  <si>
    <t>34.87</t>
  </si>
  <si>
    <t>29.10</t>
  </si>
  <si>
    <t>31.27</t>
  </si>
  <si>
    <t>33.12</t>
  </si>
  <si>
    <t>37.28</t>
  </si>
  <si>
    <t>32.34</t>
  </si>
  <si>
    <t>34.21</t>
  </si>
  <si>
    <t>28.41</t>
  </si>
  <si>
    <t>34.12</t>
  </si>
  <si>
    <t>33.04</t>
  </si>
  <si>
    <t>25.25</t>
  </si>
  <si>
    <t>29.41</t>
  </si>
  <si>
    <t>25.07</t>
  </si>
  <si>
    <t>28.39</t>
  </si>
  <si>
    <t>24.50</t>
  </si>
  <si>
    <t>27.44</t>
  </si>
  <si>
    <t>25.30</t>
  </si>
  <si>
    <t>24.17</t>
  </si>
  <si>
    <t>25.18</t>
  </si>
  <si>
    <t>23.10</t>
  </si>
  <si>
    <t>24.65</t>
  </si>
  <si>
    <t>25.19</t>
  </si>
  <si>
    <t>24.22</t>
  </si>
  <si>
    <t>26.29</t>
  </si>
  <si>
    <t>26.50</t>
  </si>
  <si>
    <t>23.05</t>
  </si>
  <si>
    <t>25.36</t>
  </si>
  <si>
    <t>25.28</t>
  </si>
  <si>
    <t>27.42</t>
  </si>
  <si>
    <t>26.47</t>
  </si>
  <si>
    <t>25.58</t>
  </si>
  <si>
    <t>26.74</t>
  </si>
  <si>
    <t>25.16</t>
  </si>
  <si>
    <t>26.15</t>
  </si>
  <si>
    <t>22.90</t>
  </si>
  <si>
    <t>25.49</t>
  </si>
  <si>
    <t>23.45</t>
  </si>
  <si>
    <t>21.90</t>
  </si>
  <si>
    <t>23.39</t>
  </si>
  <si>
    <t>24.18</t>
  </si>
  <si>
    <t>21.36</t>
  </si>
  <si>
    <t>25.23</t>
  </si>
  <si>
    <t>25.80</t>
  </si>
  <si>
    <t>23.55</t>
  </si>
  <si>
    <t>24.24</t>
  </si>
  <si>
    <t>22.82</t>
  </si>
  <si>
    <t>22.67</t>
  </si>
  <si>
    <t>24.99</t>
  </si>
  <si>
    <t>21.30</t>
  </si>
  <si>
    <t>22.78</t>
  </si>
  <si>
    <t>21.08</t>
  </si>
  <si>
    <t>21.82</t>
  </si>
  <si>
    <t>20.36</t>
  </si>
  <si>
    <t>21.70</t>
  </si>
  <si>
    <t>20.10</t>
  </si>
  <si>
    <t>17.70</t>
  </si>
  <si>
    <t>20.90</t>
  </si>
  <si>
    <t>16.96</t>
  </si>
  <si>
    <t>20.48</t>
  </si>
  <si>
    <t>17.00</t>
  </si>
  <si>
    <t>17.80</t>
  </si>
  <si>
    <t>16.92</t>
  </si>
  <si>
    <t>17.56</t>
  </si>
  <si>
    <t>PROMEDIO</t>
  </si>
  <si>
    <t>Fecha</t>
  </si>
  <si>
    <t>Abierto</t>
  </si>
  <si>
    <t>Alto</t>
  </si>
  <si>
    <t>Bajo</t>
  </si>
  <si>
    <t>Cerrado</t>
  </si>
  <si>
    <t>Volumen</t>
  </si>
  <si>
    <t>Adj Close</t>
  </si>
  <si>
    <t>NASDAQ Composite (^IXIC)</t>
  </si>
  <si>
    <t xml:space="preserve">Flujo Caja Promedio Anual </t>
  </si>
  <si>
    <t>Tasa de Descuento</t>
  </si>
  <si>
    <t>CAPITAL DE TRABAJO</t>
  </si>
  <si>
    <t>INGRESO</t>
  </si>
  <si>
    <t>COSTO TOTAL DE FABRICACIÓN</t>
  </si>
  <si>
    <t>UTILIDAD OPERACIONAL</t>
  </si>
  <si>
    <t>UTILIDAD ANTES DE IMPUESTOS</t>
  </si>
  <si>
    <t>UTILIDAD DESPUÉS DE IMPUESTOS</t>
  </si>
  <si>
    <t>GASTOS</t>
  </si>
  <si>
    <t>Costo/kw./hora</t>
  </si>
  <si>
    <t>MONTOS</t>
  </si>
  <si>
    <t>Tasa de Interés</t>
  </si>
  <si>
    <t>TABLA DE LAS COTIZACIONES DEL INDICE BURSATIL NASDAQ PARA OBTENER LA RM</t>
  </si>
  <si>
    <t>PEET'S COFFEE &amp;TEA</t>
  </si>
  <si>
    <r>
      <t xml:space="preserve">Rm </t>
    </r>
    <r>
      <rPr>
        <vertAlign val="subscript"/>
        <sz val="10"/>
        <color indexed="9"/>
        <rFont val="Bookman Old Style"/>
        <family val="1"/>
      </rPr>
      <t>ANUAL</t>
    </r>
  </si>
  <si>
    <t>Colocación de Stand en Centro Comercial</t>
  </si>
  <si>
    <t>Costo Unitario</t>
  </si>
  <si>
    <t>Stands</t>
  </si>
  <si>
    <t>Impulsadoras</t>
  </si>
  <si>
    <t>Muestras gratis café de habas 5 g. en sobre</t>
  </si>
  <si>
    <t>FLUJO DE CAJA</t>
  </si>
  <si>
    <t>RENTABILIDAD EXIGIDA</t>
  </si>
  <si>
    <t>RECUPERACIÓN INVERSIÓN</t>
  </si>
  <si>
    <t>SALDO INVERSIÓN</t>
  </si>
  <si>
    <t>% aumento gasto de publicidad</t>
  </si>
  <si>
    <t>Consumo Café Tradicional</t>
  </si>
  <si>
    <t>Consumo Café de habas</t>
  </si>
  <si>
    <t>Gasto de Publicidad en el Primer Año</t>
  </si>
  <si>
    <t>Transportación</t>
  </si>
  <si>
    <t>Costo Semanal</t>
  </si>
  <si>
    <t>Tasa crec. Cantidad anual vendida</t>
  </si>
  <si>
    <t>2,786% + 0,42 (4,39% - 2,786%) + 38,64%</t>
  </si>
  <si>
    <t>11,83% * (1 - 20%) (40%) + (1 - 40%) * 42,11%</t>
  </si>
  <si>
    <t xml:space="preserve">Kw/ MES </t>
  </si>
  <si>
    <t>Costo anuncio</t>
  </si>
  <si>
    <t xml:space="preserve">TMAR </t>
  </si>
  <si>
    <t>Crystal Ball Data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</si>
</sst>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_€_-;\-* #,##0.00\ _€_-;_-* &quot;-&quot;??\ _€_-;_-@_-"/>
    <numFmt numFmtId="181" formatCode="&quot;$&quot;#,##0"/>
    <numFmt numFmtId="182" formatCode="&quot;$&quot;#,##0.00"/>
    <numFmt numFmtId="183" formatCode="_(&quot;$&quot;\ * #,##0.000_);_(&quot;$&quot;\ * \(#,##0.000\);_(&quot;$&quot;\ * &quot;-&quot;??_);_(@_)"/>
    <numFmt numFmtId="184" formatCode="_(&quot;$&quot;\ * #,##0.00000_);_(&quot;$&quot;\ * \(#,##0.00000\);_(&quot;$&quot;\ * &quot;-&quot;??_);_(@_)"/>
    <numFmt numFmtId="185" formatCode="_(&quot;$&quot;\ * #,##0.000_);_(&quot;$&quot;\ * \(#,##0.000\);_(&quot;$&quot;\ * &quot;-&quot;???_);_(@_)"/>
    <numFmt numFmtId="186" formatCode="0.000"/>
    <numFmt numFmtId="187" formatCode="&quot;$&quot;\ #,##0.00"/>
    <numFmt numFmtId="188" formatCode="0.0"/>
    <numFmt numFmtId="189" formatCode="_ &quot;$&quot;\ * #,##0.000_ ;_ &quot;$&quot;\ * \-#,##0.000_ ;_ &quot;$&quot;\ * &quot;-&quot;???_ ;_ @_ "/>
    <numFmt numFmtId="190" formatCode="0.000%"/>
    <numFmt numFmtId="191" formatCode="0.0%"/>
    <numFmt numFmtId="192" formatCode="&quot;$&quot;\ #,##0"/>
    <numFmt numFmtId="193" formatCode="0.0000000"/>
    <numFmt numFmtId="194" formatCode="0.000000"/>
    <numFmt numFmtId="195" formatCode="0.00000"/>
    <numFmt numFmtId="196" formatCode="0.0000"/>
    <numFmt numFmtId="197" formatCode="_ &quot;$&quot;\ * #,##0.0_ ;_ &quot;$&quot;\ * \-#,##0.0_ ;_ &quot;$&quot;\ * &quot;-&quot;??_ ;_ @_ "/>
    <numFmt numFmtId="198" formatCode="_ &quot;$&quot;\ * #,##0_ ;_ &quot;$&quot;\ * \-#,##0_ ;_ &quot;$&quot;\ * &quot;-&quot;??_ ;_ @_ "/>
    <numFmt numFmtId="199" formatCode="#,##0.0"/>
    <numFmt numFmtId="200" formatCode="\ &quot;$&quot;\ #,##0.00\ ;\ &quot;$&quot;\ \-#,##0.00\ "/>
    <numFmt numFmtId="201" formatCode="&quot;$&quot;\ #,##0.00;\-&quot;$&quot;\ \-#,##0.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u val="double"/>
      <sz val="10"/>
      <color indexed="56"/>
      <name val="Arial"/>
      <family val="2"/>
    </font>
    <font>
      <b/>
      <i/>
      <u val="double"/>
      <sz val="12"/>
      <color indexed="8"/>
      <name val="Times New Roman"/>
      <family val="1"/>
    </font>
    <font>
      <b/>
      <i/>
      <sz val="10"/>
      <color indexed="8"/>
      <name val="Bookman Old Style"/>
      <family val="1"/>
    </font>
    <font>
      <b/>
      <i/>
      <sz val="10"/>
      <color indexed="8"/>
      <name val="Courier New"/>
      <family val="3"/>
    </font>
    <font>
      <b/>
      <i/>
      <sz val="10"/>
      <color indexed="8"/>
      <name val="Prestige Elite Std"/>
      <family val="3"/>
    </font>
    <font>
      <b/>
      <i/>
      <sz val="10"/>
      <color indexed="8"/>
      <name val="Segoe Print"/>
      <family val="0"/>
    </font>
    <font>
      <b/>
      <i/>
      <sz val="10"/>
      <color indexed="8"/>
      <name val="WST_Swed"/>
      <family val="5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i/>
      <u val="double"/>
      <sz val="11"/>
      <color indexed="56"/>
      <name val="Bookman Old Style"/>
      <family val="1"/>
    </font>
    <font>
      <b/>
      <sz val="10"/>
      <color indexed="8"/>
      <name val="Bookman Old Style"/>
      <family val="1"/>
    </font>
    <font>
      <b/>
      <u val="double"/>
      <sz val="11"/>
      <color indexed="9"/>
      <name val="Calibri"/>
      <family val="2"/>
    </font>
    <font>
      <b/>
      <sz val="9"/>
      <color indexed="57"/>
      <name val="Bookman Old Style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u val="double"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6"/>
      <color indexed="8"/>
      <name val="Calibri"/>
      <family val="2"/>
    </font>
    <font>
      <b/>
      <sz val="14"/>
      <color indexed="9"/>
      <name val="Calibri"/>
      <family val="2"/>
    </font>
    <font>
      <b/>
      <vertAlign val="subscript"/>
      <sz val="14"/>
      <color indexed="9"/>
      <name val="Calibri"/>
      <family val="2"/>
    </font>
    <font>
      <b/>
      <sz val="8.1"/>
      <color indexed="9"/>
      <name val="Verdana"/>
      <family val="2"/>
    </font>
    <font>
      <sz val="11"/>
      <color indexed="9"/>
      <name val="Arial"/>
      <family val="2"/>
    </font>
    <font>
      <b/>
      <sz val="16"/>
      <color indexed="9"/>
      <name val="Calibri"/>
      <family val="2"/>
    </font>
    <font>
      <b/>
      <vertAlign val="subscript"/>
      <sz val="16"/>
      <color indexed="9"/>
      <name val="Calibri"/>
      <family val="2"/>
    </font>
    <font>
      <b/>
      <u val="double"/>
      <sz val="11"/>
      <color indexed="9"/>
      <name val="Bookman Old Style"/>
      <family val="1"/>
    </font>
    <font>
      <sz val="9"/>
      <name val="Arial"/>
      <family val="2"/>
    </font>
    <font>
      <b/>
      <sz val="9"/>
      <color indexed="9"/>
      <name val="Bookman Old Style"/>
      <family val="1"/>
    </font>
    <font>
      <b/>
      <i/>
      <sz val="9"/>
      <color indexed="21"/>
      <name val="Bookman Old Style"/>
      <family val="1"/>
    </font>
    <font>
      <u val="doubleAccounting"/>
      <sz val="10"/>
      <color indexed="8"/>
      <name val="Arial"/>
      <family val="2"/>
    </font>
    <font>
      <b/>
      <i/>
      <sz val="9"/>
      <name val="Bookman Old Style"/>
      <family val="1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color indexed="21"/>
      <name val="Bookman Old Style"/>
      <family val="1"/>
    </font>
    <font>
      <b/>
      <i/>
      <sz val="11"/>
      <color indexed="21"/>
      <name val="Bookman Old Style"/>
      <family val="1"/>
    </font>
    <font>
      <b/>
      <sz val="11"/>
      <color indexed="21"/>
      <name val="Bookman Old Style"/>
      <family val="1"/>
    </font>
    <font>
      <sz val="11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10"/>
      <color indexed="9"/>
      <name val="Bookman Old Style"/>
      <family val="1"/>
    </font>
    <font>
      <b/>
      <sz val="10"/>
      <color indexed="8"/>
      <name val="Calibri"/>
      <family val="2"/>
    </font>
    <font>
      <b/>
      <i/>
      <u val="single"/>
      <sz val="10"/>
      <color indexed="57"/>
      <name val="Bookman Old Style"/>
      <family val="1"/>
    </font>
    <font>
      <b/>
      <i/>
      <sz val="10"/>
      <color indexed="57"/>
      <name val="Bookman Old Style"/>
      <family val="1"/>
    </font>
    <font>
      <b/>
      <u val="double"/>
      <sz val="10"/>
      <color indexed="9"/>
      <name val="Bookman Old Style"/>
      <family val="1"/>
    </font>
    <font>
      <b/>
      <sz val="8.1"/>
      <color indexed="9"/>
      <name val="Bookman Old Style"/>
      <family val="1"/>
    </font>
    <font>
      <b/>
      <i/>
      <sz val="11"/>
      <color indexed="9"/>
      <name val="Bookman Old Style"/>
      <family val="1"/>
    </font>
    <font>
      <b/>
      <i/>
      <sz val="12"/>
      <color indexed="21"/>
      <name val="Bookman Old Style"/>
      <family val="1"/>
    </font>
    <font>
      <vertAlign val="subscript"/>
      <sz val="10"/>
      <color indexed="9"/>
      <name val="Bookman Old Style"/>
      <family val="1"/>
    </font>
    <font>
      <sz val="10"/>
      <color indexed="9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21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9"/>
      <color indexed="57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theme="6" tint="-0.24997000396251678"/>
      <name val="Bookman Old Style"/>
      <family val="1"/>
    </font>
    <font>
      <b/>
      <i/>
      <sz val="10"/>
      <color theme="6" tint="-0.24997000396251678"/>
      <name val="Bookman Old Style"/>
      <family val="1"/>
    </font>
    <font>
      <b/>
      <i/>
      <sz val="9"/>
      <color theme="6" tint="-0.24997000396251678"/>
      <name val="Bookman Old Style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/>
    </border>
    <border>
      <left>
        <color indexed="63"/>
      </left>
      <right style="thick">
        <color indexed="55"/>
      </right>
      <top style="thick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101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107" fillId="21" borderId="5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01" fillId="0" borderId="8" applyNumberFormat="0" applyFill="0" applyAlignment="0" applyProtection="0"/>
    <xf numFmtId="0" fontId="113" fillId="0" borderId="9" applyNumberFormat="0" applyFill="0" applyAlignment="0" applyProtection="0"/>
  </cellStyleXfs>
  <cellXfs count="608"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/>
    </xf>
    <xf numFmtId="44" fontId="7" fillId="0" borderId="10" xfId="5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Fill="1" applyBorder="1" applyAlignment="1">
      <alignment vertical="top"/>
    </xf>
    <xf numFmtId="0" fontId="18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44" fontId="5" fillId="0" borderId="0" xfId="50" applyFont="1" applyBorder="1" applyAlignment="1">
      <alignment horizontal="right"/>
    </xf>
    <xf numFmtId="44" fontId="5" fillId="0" borderId="0" xfId="50" applyFont="1" applyBorder="1" applyAlignment="1">
      <alignment horizontal="center"/>
    </xf>
    <xf numFmtId="44" fontId="5" fillId="0" borderId="11" xfId="50" applyNumberFormat="1" applyFont="1" applyBorder="1" applyAlignment="1">
      <alignment horizontal="right"/>
    </xf>
    <xf numFmtId="44" fontId="5" fillId="0" borderId="12" xfId="50" applyNumberFormat="1" applyFont="1" applyBorder="1" applyAlignment="1">
      <alignment horizontal="right"/>
    </xf>
    <xf numFmtId="44" fontId="0" fillId="0" borderId="0" xfId="0" applyNumberForma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180" fontId="1" fillId="0" borderId="0" xfId="48" applyNumberFormat="1" applyFont="1" applyFill="1" applyAlignment="1">
      <alignment/>
    </xf>
    <xf numFmtId="0" fontId="21" fillId="0" borderId="0" xfId="0" applyFont="1" applyFill="1" applyAlignment="1">
      <alignment/>
    </xf>
    <xf numFmtId="44" fontId="0" fillId="0" borderId="0" xfId="5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44" fontId="0" fillId="0" borderId="0" xfId="5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44" fontId="5" fillId="0" borderId="10" xfId="50" applyNumberFormat="1" applyFont="1" applyBorder="1" applyAlignment="1">
      <alignment horizontal="right"/>
    </xf>
    <xf numFmtId="44" fontId="5" fillId="0" borderId="13" xfId="5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1" fontId="2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24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4" fontId="24" fillId="0" borderId="0" xfId="50" applyFont="1" applyFill="1" applyBorder="1" applyAlignment="1">
      <alignment horizontal="center"/>
    </xf>
    <xf numFmtId="44" fontId="1" fillId="0" borderId="0" xfId="50" applyFont="1" applyBorder="1" applyAlignment="1">
      <alignment horizontal="center"/>
    </xf>
    <xf numFmtId="181" fontId="24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50" applyNumberFormat="1" applyFont="1" applyFill="1" applyBorder="1" applyAlignment="1">
      <alignment horizontal="center"/>
    </xf>
    <xf numFmtId="183" fontId="21" fillId="0" borderId="0" xfId="50" applyNumberFormat="1" applyFont="1" applyFill="1" applyBorder="1" applyAlignment="1">
      <alignment horizontal="center"/>
    </xf>
    <xf numFmtId="185" fontId="21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8" fontId="24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4" fontId="6" fillId="0" borderId="13" xfId="5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182" fontId="0" fillId="0" borderId="0" xfId="0" applyNumberFormat="1" applyFill="1" applyBorder="1" applyAlignment="1">
      <alignment horizontal="center"/>
    </xf>
    <xf numFmtId="182" fontId="6" fillId="0" borderId="0" xfId="0" applyNumberFormat="1" applyFont="1" applyFill="1" applyBorder="1" applyAlignment="1">
      <alignment/>
    </xf>
    <xf numFmtId="183" fontId="7" fillId="0" borderId="10" xfId="50" applyNumberFormat="1" applyFont="1" applyBorder="1" applyAlignment="1">
      <alignment horizontal="center"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44" fontId="5" fillId="0" borderId="15" xfId="5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7" xfId="50" applyFont="1" applyBorder="1" applyAlignment="1">
      <alignment/>
    </xf>
    <xf numFmtId="0" fontId="38" fillId="0" borderId="16" xfId="0" applyFont="1" applyBorder="1" applyAlignment="1">
      <alignment/>
    </xf>
    <xf numFmtId="0" fontId="5" fillId="0" borderId="18" xfId="0" applyFont="1" applyBorder="1" applyAlignment="1">
      <alignment/>
    </xf>
    <xf numFmtId="44" fontId="5" fillId="0" borderId="19" xfId="50" applyFont="1" applyBorder="1" applyAlignment="1">
      <alignment/>
    </xf>
    <xf numFmtId="181" fontId="4" fillId="0" borderId="13" xfId="0" applyNumberFormat="1" applyFont="1" applyBorder="1" applyAlignment="1">
      <alignment horizontal="right"/>
    </xf>
    <xf numFmtId="44" fontId="6" fillId="0" borderId="13" xfId="50" applyFont="1" applyBorder="1" applyAlignment="1">
      <alignment horizontal="right"/>
    </xf>
    <xf numFmtId="0" fontId="3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4" fontId="5" fillId="0" borderId="10" xfId="50" applyFont="1" applyBorder="1" applyAlignment="1">
      <alignment horizontal="right"/>
    </xf>
    <xf numFmtId="181" fontId="4" fillId="0" borderId="13" xfId="0" applyNumberFormat="1" applyFont="1" applyBorder="1" applyAlignment="1">
      <alignment horizontal="center"/>
    </xf>
    <xf numFmtId="44" fontId="4" fillId="0" borderId="13" xfId="50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4" fillId="0" borderId="13" xfId="5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44" fontId="5" fillId="0" borderId="10" xfId="5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5" fillId="0" borderId="10" xfId="5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4" fontId="6" fillId="0" borderId="13" xfId="50" applyFont="1" applyFill="1" applyBorder="1" applyAlignment="1">
      <alignment horizontal="center"/>
    </xf>
    <xf numFmtId="44" fontId="6" fillId="0" borderId="0" xfId="5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44" fontId="5" fillId="0" borderId="10" xfId="50" applyFont="1" applyBorder="1" applyAlignment="1">
      <alignment/>
    </xf>
    <xf numFmtId="44" fontId="5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23" xfId="53" applyFont="1" applyBorder="1">
      <alignment/>
      <protection/>
    </xf>
    <xf numFmtId="0" fontId="36" fillId="0" borderId="24" xfId="53" applyFont="1" applyBorder="1">
      <alignment/>
      <protection/>
    </xf>
    <xf numFmtId="9" fontId="36" fillId="0" borderId="24" xfId="56" applyNumberFormat="1" applyFont="1" applyBorder="1" applyAlignment="1">
      <alignment/>
    </xf>
    <xf numFmtId="9" fontId="36" fillId="0" borderId="24" xfId="53" applyNumberFormat="1" applyFont="1" applyBorder="1">
      <alignment/>
      <protection/>
    </xf>
    <xf numFmtId="0" fontId="7" fillId="0" borderId="0" xfId="53">
      <alignment/>
      <protection/>
    </xf>
    <xf numFmtId="10" fontId="7" fillId="0" borderId="0" xfId="53" applyNumberFormat="1">
      <alignment/>
      <protection/>
    </xf>
    <xf numFmtId="9" fontId="7" fillId="0" borderId="10" xfId="53" applyNumberFormat="1" applyBorder="1" applyAlignment="1">
      <alignment horizontal="right"/>
      <protection/>
    </xf>
    <xf numFmtId="10" fontId="1" fillId="0" borderId="10" xfId="56" applyNumberFormat="1" applyFont="1" applyBorder="1" applyAlignment="1">
      <alignment horizontal="right"/>
    </xf>
    <xf numFmtId="0" fontId="45" fillId="33" borderId="25" xfId="53" applyFont="1" applyFill="1" applyBorder="1" applyAlignment="1">
      <alignment horizontal="left"/>
      <protection/>
    </xf>
    <xf numFmtId="2" fontId="48" fillId="33" borderId="26" xfId="53" applyNumberFormat="1" applyFont="1" applyFill="1" applyBorder="1">
      <alignment/>
      <protection/>
    </xf>
    <xf numFmtId="0" fontId="49" fillId="33" borderId="10" xfId="53" applyFont="1" applyFill="1" applyBorder="1" applyAlignment="1">
      <alignment horizontal="left"/>
      <protection/>
    </xf>
    <xf numFmtId="0" fontId="7" fillId="0" borderId="0" xfId="53" applyAlignment="1">
      <alignment horizontal="right"/>
      <protection/>
    </xf>
    <xf numFmtId="0" fontId="0" fillId="0" borderId="0" xfId="0" applyAlignment="1">
      <alignment horizontal="right"/>
    </xf>
    <xf numFmtId="2" fontId="7" fillId="34" borderId="10" xfId="53" applyNumberFormat="1" applyFill="1" applyBorder="1" applyAlignment="1">
      <alignment horizontal="right"/>
      <protection/>
    </xf>
    <xf numFmtId="10" fontId="7" fillId="0" borderId="10" xfId="53" applyNumberFormat="1" applyFont="1" applyFill="1" applyBorder="1" applyAlignment="1">
      <alignment horizontal="right"/>
      <protection/>
    </xf>
    <xf numFmtId="10" fontId="7" fillId="0" borderId="27" xfId="53" applyNumberFormat="1" applyBorder="1" applyAlignment="1">
      <alignment horizontal="right"/>
      <protection/>
    </xf>
    <xf numFmtId="191" fontId="6" fillId="0" borderId="22" xfId="53" applyNumberFormat="1" applyFont="1" applyBorder="1" applyAlignment="1">
      <alignment horizontal="right"/>
      <protection/>
    </xf>
    <xf numFmtId="10" fontId="7" fillId="0" borderId="0" xfId="53" applyNumberFormat="1" applyAlignment="1">
      <alignment horizontal="right"/>
      <protection/>
    </xf>
    <xf numFmtId="10" fontId="6" fillId="0" borderId="28" xfId="53" applyNumberFormat="1" applyFont="1" applyFill="1" applyBorder="1" applyAlignment="1">
      <alignment horizontal="right"/>
      <protection/>
    </xf>
    <xf numFmtId="0" fontId="5" fillId="0" borderId="29" xfId="0" applyFont="1" applyBorder="1" applyAlignment="1">
      <alignment/>
    </xf>
    <xf numFmtId="1" fontId="5" fillId="0" borderId="30" xfId="0" applyNumberFormat="1" applyFont="1" applyBorder="1" applyAlignment="1">
      <alignment/>
    </xf>
    <xf numFmtId="0" fontId="5" fillId="0" borderId="23" xfId="0" applyFont="1" applyBorder="1" applyAlignment="1">
      <alignment/>
    </xf>
    <xf numFmtId="1" fontId="5" fillId="0" borderId="31" xfId="0" applyNumberFormat="1" applyFont="1" applyBorder="1" applyAlignment="1">
      <alignment/>
    </xf>
    <xf numFmtId="10" fontId="5" fillId="0" borderId="31" xfId="0" applyNumberFormat="1" applyFont="1" applyBorder="1" applyAlignment="1">
      <alignment/>
    </xf>
    <xf numFmtId="9" fontId="5" fillId="0" borderId="31" xfId="0" applyNumberFormat="1" applyFont="1" applyBorder="1" applyAlignment="1">
      <alignment/>
    </xf>
    <xf numFmtId="9" fontId="7" fillId="0" borderId="31" xfId="0" applyNumberFormat="1" applyFont="1" applyBorder="1" applyAlignment="1">
      <alignment/>
    </xf>
    <xf numFmtId="0" fontId="5" fillId="0" borderId="23" xfId="0" applyFont="1" applyBorder="1" applyAlignment="1">
      <alignment/>
    </xf>
    <xf numFmtId="2" fontId="5" fillId="0" borderId="31" xfId="0" applyNumberFormat="1" applyFont="1" applyBorder="1" applyAlignment="1">
      <alignment/>
    </xf>
    <xf numFmtId="10" fontId="5" fillId="0" borderId="31" xfId="0" applyNumberFormat="1" applyFont="1" applyBorder="1" applyAlignment="1">
      <alignment/>
    </xf>
    <xf numFmtId="10" fontId="5" fillId="0" borderId="32" xfId="0" applyNumberFormat="1" applyFont="1" applyBorder="1" applyAlignment="1">
      <alignment/>
    </xf>
    <xf numFmtId="0" fontId="28" fillId="0" borderId="29" xfId="0" applyFont="1" applyBorder="1" applyAlignment="1">
      <alignment/>
    </xf>
    <xf numFmtId="0" fontId="21" fillId="0" borderId="30" xfId="0" applyFont="1" applyFill="1" applyBorder="1" applyAlignment="1">
      <alignment horizontal="center"/>
    </xf>
    <xf numFmtId="0" fontId="28" fillId="0" borderId="23" xfId="0" applyFont="1" applyBorder="1" applyAlignment="1">
      <alignment/>
    </xf>
    <xf numFmtId="184" fontId="0" fillId="0" borderId="31" xfId="50" applyNumberFormat="1" applyFont="1" applyBorder="1" applyAlignment="1">
      <alignment horizontal="center"/>
    </xf>
    <xf numFmtId="44" fontId="0" fillId="0" borderId="30" xfId="50" applyNumberFormat="1" applyFont="1" applyBorder="1" applyAlignment="1">
      <alignment horizontal="center" vertical="top" wrapText="1"/>
    </xf>
    <xf numFmtId="44" fontId="0" fillId="0" borderId="31" xfId="50" applyFont="1" applyBorder="1" applyAlignment="1">
      <alignment horizontal="center"/>
    </xf>
    <xf numFmtId="44" fontId="20" fillId="0" borderId="31" xfId="50" applyNumberFormat="1" applyFont="1" applyBorder="1" applyAlignment="1">
      <alignment horizontal="center"/>
    </xf>
    <xf numFmtId="0" fontId="28" fillId="0" borderId="23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26" fillId="0" borderId="23" xfId="0" applyFont="1" applyBorder="1" applyAlignment="1">
      <alignment/>
    </xf>
    <xf numFmtId="10" fontId="1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33" xfId="0" applyFont="1" applyBorder="1" applyAlignment="1">
      <alignment vertical="center"/>
    </xf>
    <xf numFmtId="0" fontId="0" fillId="0" borderId="24" xfId="0" applyBorder="1" applyAlignment="1">
      <alignment/>
    </xf>
    <xf numFmtId="44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34" xfId="0" applyBorder="1" applyAlignment="1">
      <alignment/>
    </xf>
    <xf numFmtId="0" fontId="54" fillId="0" borderId="30" xfId="0" applyFont="1" applyBorder="1" applyAlignment="1">
      <alignment horizontal="left"/>
    </xf>
    <xf numFmtId="0" fontId="5" fillId="0" borderId="23" xfId="0" applyFont="1" applyFill="1" applyBorder="1" applyAlignment="1">
      <alignment/>
    </xf>
    <xf numFmtId="44" fontId="5" fillId="0" borderId="31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5" xfId="0" applyFont="1" applyFill="1" applyBorder="1" applyAlignment="1">
      <alignment/>
    </xf>
    <xf numFmtId="44" fontId="5" fillId="0" borderId="32" xfId="0" applyNumberFormat="1" applyFont="1" applyBorder="1" applyAlignment="1">
      <alignment/>
    </xf>
    <xf numFmtId="44" fontId="5" fillId="0" borderId="26" xfId="0" applyNumberFormat="1" applyFont="1" applyBorder="1" applyAlignment="1">
      <alignment/>
    </xf>
    <xf numFmtId="44" fontId="5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4" fontId="5" fillId="0" borderId="0" xfId="0" applyNumberFormat="1" applyFont="1" applyBorder="1" applyAlignment="1">
      <alignment/>
    </xf>
    <xf numFmtId="44" fontId="5" fillId="0" borderId="36" xfId="0" applyNumberFormat="1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44" fontId="5" fillId="0" borderId="36" xfId="0" applyNumberFormat="1" applyFont="1" applyFill="1" applyBorder="1" applyAlignment="1">
      <alignment/>
    </xf>
    <xf numFmtId="0" fontId="3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 horizontal="center"/>
    </xf>
    <xf numFmtId="44" fontId="22" fillId="0" borderId="39" xfId="50" applyFont="1" applyBorder="1" applyAlignment="1">
      <alignment horizontal="right"/>
    </xf>
    <xf numFmtId="0" fontId="22" fillId="0" borderId="39" xfId="0" applyFont="1" applyBorder="1" applyAlignment="1">
      <alignment horizontal="center" vertical="top"/>
    </xf>
    <xf numFmtId="44" fontId="22" fillId="0" borderId="11" xfId="50" applyFont="1" applyBorder="1" applyAlignment="1">
      <alignment horizontal="right"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 horizontal="center"/>
    </xf>
    <xf numFmtId="44" fontId="22" fillId="0" borderId="10" xfId="50" applyFont="1" applyBorder="1" applyAlignment="1">
      <alignment horizontal="right"/>
    </xf>
    <xf numFmtId="0" fontId="22" fillId="0" borderId="10" xfId="0" applyFont="1" applyBorder="1" applyAlignment="1">
      <alignment horizontal="center" vertical="top"/>
    </xf>
    <xf numFmtId="44" fontId="22" fillId="0" borderId="17" xfId="50" applyFont="1" applyBorder="1" applyAlignment="1">
      <alignment horizontal="right"/>
    </xf>
    <xf numFmtId="44" fontId="23" fillId="0" borderId="40" xfId="50" applyFont="1" applyBorder="1" applyAlignment="1">
      <alignment horizontal="right"/>
    </xf>
    <xf numFmtId="0" fontId="23" fillId="0" borderId="4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4" fontId="22" fillId="0" borderId="17" xfId="50" applyFont="1" applyFill="1" applyBorder="1" applyAlignment="1">
      <alignment horizontal="right"/>
    </xf>
    <xf numFmtId="44" fontId="57" fillId="0" borderId="19" xfId="50" applyFont="1" applyBorder="1" applyAlignment="1">
      <alignment horizontal="right"/>
    </xf>
    <xf numFmtId="0" fontId="22" fillId="34" borderId="39" xfId="0" applyFont="1" applyFill="1" applyBorder="1" applyAlignment="1">
      <alignment horizontal="center"/>
    </xf>
    <xf numFmtId="44" fontId="22" fillId="0" borderId="41" xfId="50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44" fontId="22" fillId="34" borderId="11" xfId="50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23" xfId="0" applyFont="1" applyFill="1" applyBorder="1" applyAlignment="1">
      <alignment/>
    </xf>
    <xf numFmtId="44" fontId="22" fillId="0" borderId="10" xfId="50" applyFont="1" applyBorder="1" applyAlignment="1">
      <alignment horizontal="center"/>
    </xf>
    <xf numFmtId="44" fontId="22" fillId="0" borderId="10" xfId="5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27" xfId="0" applyFont="1" applyBorder="1" applyAlignment="1">
      <alignment horizontal="center"/>
    </xf>
    <xf numFmtId="44" fontId="22" fillId="0" borderId="27" xfId="50" applyFont="1" applyBorder="1" applyAlignment="1">
      <alignment horizontal="center"/>
    </xf>
    <xf numFmtId="44" fontId="22" fillId="0" borderId="22" xfId="5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44" fontId="22" fillId="0" borderId="22" xfId="50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44" fontId="22" fillId="0" borderId="27" xfId="0" applyNumberFormat="1" applyFont="1" applyBorder="1" applyAlignment="1">
      <alignment/>
    </xf>
    <xf numFmtId="0" fontId="22" fillId="0" borderId="27" xfId="0" applyFont="1" applyFill="1" applyBorder="1" applyAlignment="1">
      <alignment horizontal="center"/>
    </xf>
    <xf numFmtId="44" fontId="22" fillId="0" borderId="27" xfId="50" applyFont="1" applyFill="1" applyBorder="1" applyAlignment="1">
      <alignment horizontal="center"/>
    </xf>
    <xf numFmtId="0" fontId="52" fillId="0" borderId="27" xfId="0" applyFont="1" applyBorder="1" applyAlignment="1">
      <alignment horizontal="center"/>
    </xf>
    <xf numFmtId="44" fontId="22" fillId="0" borderId="22" xfId="0" applyNumberFormat="1" applyFont="1" applyBorder="1" applyAlignment="1">
      <alignment/>
    </xf>
    <xf numFmtId="44" fontId="22" fillId="0" borderId="39" xfId="50" applyFont="1" applyBorder="1" applyAlignment="1">
      <alignment horizontal="center"/>
    </xf>
    <xf numFmtId="192" fontId="22" fillId="0" borderId="11" xfId="50" applyNumberFormat="1" applyFont="1" applyBorder="1" applyAlignment="1">
      <alignment horizontal="center"/>
    </xf>
    <xf numFmtId="192" fontId="22" fillId="0" borderId="17" xfId="50" applyNumberFormat="1" applyFont="1" applyBorder="1" applyAlignment="1">
      <alignment horizontal="center"/>
    </xf>
    <xf numFmtId="192" fontId="22" fillId="0" borderId="43" xfId="50" applyNumberFormat="1" applyFont="1" applyBorder="1" applyAlignment="1">
      <alignment horizontal="center"/>
    </xf>
    <xf numFmtId="192" fontId="22" fillId="0" borderId="15" xfId="50" applyNumberFormat="1" applyFont="1" applyBorder="1" applyAlignment="1">
      <alignment horizontal="center"/>
    </xf>
    <xf numFmtId="44" fontId="22" fillId="0" borderId="0" xfId="0" applyNumberFormat="1" applyFont="1" applyBorder="1" applyAlignment="1">
      <alignment/>
    </xf>
    <xf numFmtId="44" fontId="22" fillId="0" borderId="0" xfId="50" applyFont="1" applyBorder="1" applyAlignment="1">
      <alignment/>
    </xf>
    <xf numFmtId="192" fontId="22" fillId="0" borderId="31" xfId="5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 horizontal="center"/>
    </xf>
    <xf numFmtId="44" fontId="22" fillId="0" borderId="45" xfId="50" applyFont="1" applyBorder="1" applyAlignment="1">
      <alignment horizontal="center"/>
    </xf>
    <xf numFmtId="192" fontId="22" fillId="0" borderId="46" xfId="5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0" fontId="6" fillId="35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6" fillId="0" borderId="37" xfId="53" applyFont="1" applyBorder="1">
      <alignment/>
      <protection/>
    </xf>
    <xf numFmtId="0" fontId="6" fillId="0" borderId="16" xfId="53" applyFont="1" applyBorder="1">
      <alignment/>
      <protection/>
    </xf>
    <xf numFmtId="0" fontId="6" fillId="36" borderId="16" xfId="53" applyFont="1" applyFill="1" applyBorder="1">
      <alignment/>
      <protection/>
    </xf>
    <xf numFmtId="0" fontId="6" fillId="0" borderId="18" xfId="53" applyFont="1" applyBorder="1">
      <alignment/>
      <protection/>
    </xf>
    <xf numFmtId="0" fontId="3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0" fontId="21" fillId="0" borderId="30" xfId="0" applyNumberFormat="1" applyFont="1" applyBorder="1" applyAlignment="1">
      <alignment horizontal="right" vertical="center" wrapText="1"/>
    </xf>
    <xf numFmtId="10" fontId="0" fillId="0" borderId="47" xfId="56" applyNumberFormat="1" applyFont="1" applyBorder="1" applyAlignment="1">
      <alignment vertical="center"/>
    </xf>
    <xf numFmtId="14" fontId="0" fillId="0" borderId="16" xfId="0" applyNumberFormat="1" applyBorder="1" applyAlignment="1">
      <alignment/>
    </xf>
    <xf numFmtId="0" fontId="21" fillId="0" borderId="17" xfId="0" applyFont="1" applyBorder="1" applyAlignment="1">
      <alignment horizontal="right" vertical="center" wrapText="1"/>
    </xf>
    <xf numFmtId="14" fontId="0" fillId="0" borderId="18" xfId="0" applyNumberFormat="1" applyBorder="1" applyAlignment="1">
      <alignment/>
    </xf>
    <xf numFmtId="0" fontId="21" fillId="0" borderId="19" xfId="0" applyFont="1" applyBorder="1" applyAlignment="1">
      <alignment horizontal="right" vertical="center" wrapText="1"/>
    </xf>
    <xf numFmtId="14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0" fontId="21" fillId="0" borderId="15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0" fontId="7" fillId="0" borderId="27" xfId="53" applyNumberFormat="1" applyFill="1" applyBorder="1" applyAlignment="1">
      <alignment horizontal="right"/>
      <protection/>
    </xf>
    <xf numFmtId="0" fontId="54" fillId="0" borderId="35" xfId="0" applyFont="1" applyFill="1" applyBorder="1" applyAlignment="1">
      <alignment/>
    </xf>
    <xf numFmtId="179" fontId="0" fillId="0" borderId="0" xfId="0" applyNumberFormat="1" applyFont="1" applyAlignment="1">
      <alignment/>
    </xf>
    <xf numFmtId="178" fontId="6" fillId="37" borderId="10" xfId="0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2" fontId="21" fillId="0" borderId="26" xfId="0" applyNumberFormat="1" applyFont="1" applyFill="1" applyBorder="1" applyAlignment="1">
      <alignment/>
    </xf>
    <xf numFmtId="44" fontId="0" fillId="0" borderId="31" xfId="50" applyNumberFormat="1" applyFont="1" applyBorder="1" applyAlignment="1">
      <alignment horizontal="center" vertical="top" wrapText="1"/>
    </xf>
    <xf numFmtId="0" fontId="61" fillId="0" borderId="29" xfId="0" applyFont="1" applyBorder="1" applyAlignment="1">
      <alignment/>
    </xf>
    <xf numFmtId="0" fontId="61" fillId="0" borderId="35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44" fontId="5" fillId="0" borderId="15" xfId="50" applyNumberFormat="1" applyFont="1" applyFill="1" applyBorder="1" applyAlignment="1">
      <alignment horizontal="right"/>
    </xf>
    <xf numFmtId="184" fontId="5" fillId="0" borderId="31" xfId="50" applyNumberFormat="1" applyFont="1" applyFill="1" applyBorder="1" applyAlignment="1">
      <alignment horizontal="center"/>
    </xf>
    <xf numFmtId="44" fontId="5" fillId="0" borderId="31" xfId="50" applyNumberFormat="1" applyFont="1" applyBorder="1" applyAlignment="1">
      <alignment horizontal="center"/>
    </xf>
    <xf numFmtId="183" fontId="5" fillId="0" borderId="31" xfId="50" applyNumberFormat="1" applyFont="1" applyBorder="1" applyAlignment="1">
      <alignment horizontal="center"/>
    </xf>
    <xf numFmtId="183" fontId="5" fillId="0" borderId="31" xfId="5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44" fontId="5" fillId="0" borderId="31" xfId="50" applyFont="1" applyBorder="1" applyAlignment="1">
      <alignment horizontal="center"/>
    </xf>
    <xf numFmtId="0" fontId="5" fillId="0" borderId="23" xfId="0" applyFont="1" applyFill="1" applyBorder="1" applyAlignment="1">
      <alignment vertical="top"/>
    </xf>
    <xf numFmtId="44" fontId="5" fillId="0" borderId="31" xfId="50" applyNumberFormat="1" applyFont="1" applyBorder="1" applyAlignment="1">
      <alignment horizontal="center" vertical="top" wrapText="1"/>
    </xf>
    <xf numFmtId="44" fontId="5" fillId="0" borderId="30" xfId="50" applyFont="1" applyBorder="1" applyAlignment="1">
      <alignment horizontal="center"/>
    </xf>
    <xf numFmtId="44" fontId="5" fillId="0" borderId="32" xfId="50" applyFont="1" applyBorder="1" applyAlignment="1">
      <alignment horizontal="center"/>
    </xf>
    <xf numFmtId="0" fontId="5" fillId="0" borderId="29" xfId="0" applyFont="1" applyFill="1" applyBorder="1" applyAlignment="1">
      <alignment/>
    </xf>
    <xf numFmtId="10" fontId="5" fillId="0" borderId="30" xfId="0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10" fontId="5" fillId="0" borderId="31" xfId="0" applyNumberFormat="1" applyFont="1" applyBorder="1" applyAlignment="1">
      <alignment horizontal="right"/>
    </xf>
    <xf numFmtId="0" fontId="5" fillId="0" borderId="23" xfId="0" applyFont="1" applyFill="1" applyBorder="1" applyAlignment="1">
      <alignment/>
    </xf>
    <xf numFmtId="9" fontId="5" fillId="0" borderId="31" xfId="0" applyNumberFormat="1" applyFont="1" applyBorder="1" applyAlignment="1">
      <alignment horizontal="right"/>
    </xf>
    <xf numFmtId="10" fontId="5" fillId="0" borderId="32" xfId="0" applyNumberFormat="1" applyFont="1" applyBorder="1" applyAlignment="1">
      <alignment horizontal="right"/>
    </xf>
    <xf numFmtId="9" fontId="5" fillId="0" borderId="30" xfId="56" applyFont="1" applyBorder="1" applyAlignment="1">
      <alignment/>
    </xf>
    <xf numFmtId="9" fontId="5" fillId="0" borderId="32" xfId="56" applyFont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top" wrapText="1"/>
    </xf>
    <xf numFmtId="10" fontId="19" fillId="0" borderId="2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5" fillId="34" borderId="21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86" fontId="19" fillId="0" borderId="10" xfId="0" applyNumberFormat="1" applyFont="1" applyBorder="1" applyAlignment="1">
      <alignment horizontal="center"/>
    </xf>
    <xf numFmtId="0" fontId="66" fillId="0" borderId="10" xfId="0" applyFont="1" applyFill="1" applyBorder="1" applyAlignment="1">
      <alignment/>
    </xf>
    <xf numFmtId="2" fontId="66" fillId="0" borderId="10" xfId="0" applyNumberFormat="1" applyFont="1" applyBorder="1" applyAlignment="1">
      <alignment horizontal="center"/>
    </xf>
    <xf numFmtId="10" fontId="5" fillId="3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Border="1" applyAlignment="1">
      <alignment/>
    </xf>
    <xf numFmtId="9" fontId="5" fillId="34" borderId="10" xfId="0" applyNumberFormat="1" applyFont="1" applyFill="1" applyBorder="1" applyAlignment="1">
      <alignment horizontal="right" vertical="top" wrapText="1"/>
    </xf>
    <xf numFmtId="0" fontId="66" fillId="0" borderId="10" xfId="0" applyFont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19" fillId="0" borderId="22" xfId="0" applyFont="1" applyBorder="1" applyAlignment="1">
      <alignment/>
    </xf>
    <xf numFmtId="2" fontId="19" fillId="0" borderId="22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44" fontId="5" fillId="34" borderId="32" xfId="50" applyFont="1" applyFill="1" applyBorder="1" applyAlignment="1">
      <alignment/>
    </xf>
    <xf numFmtId="0" fontId="66" fillId="0" borderId="49" xfId="0" applyFont="1" applyBorder="1" applyAlignment="1">
      <alignment horizontal="right"/>
    </xf>
    <xf numFmtId="0" fontId="67" fillId="0" borderId="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distributed" vertical="center"/>
    </xf>
    <xf numFmtId="181" fontId="65" fillId="33" borderId="10" xfId="0" applyNumberFormat="1" applyFont="1" applyFill="1" applyBorder="1" applyAlignment="1">
      <alignment horizontal="distributed" vertical="center"/>
    </xf>
    <xf numFmtId="0" fontId="65" fillId="33" borderId="10" xfId="0" applyFont="1" applyFill="1" applyBorder="1" applyAlignment="1">
      <alignment horizontal="center" vertical="center"/>
    </xf>
    <xf numFmtId="181" fontId="65" fillId="33" borderId="10" xfId="0" applyNumberFormat="1" applyFont="1" applyFill="1" applyBorder="1" applyAlignment="1">
      <alignment horizontal="distributed"/>
    </xf>
    <xf numFmtId="0" fontId="65" fillId="33" borderId="10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vertical="center" wrapText="1"/>
    </xf>
    <xf numFmtId="44" fontId="5" fillId="0" borderId="10" xfId="5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9" fillId="0" borderId="0" xfId="0" applyFont="1" applyFill="1" applyBorder="1" applyAlignment="1">
      <alignment vertical="center" wrapText="1"/>
    </xf>
    <xf numFmtId="0" fontId="69" fillId="0" borderId="50" xfId="0" applyFont="1" applyFill="1" applyBorder="1" applyAlignment="1">
      <alignment vertical="center"/>
    </xf>
    <xf numFmtId="0" fontId="65" fillId="33" borderId="51" xfId="0" applyFont="1" applyFill="1" applyBorder="1" applyAlignment="1">
      <alignment horizontal="center"/>
    </xf>
    <xf numFmtId="0" fontId="65" fillId="33" borderId="52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47" fillId="0" borderId="0" xfId="0" applyFont="1" applyFill="1" applyBorder="1" applyAlignment="1">
      <alignment/>
    </xf>
    <xf numFmtId="190" fontId="7" fillId="0" borderId="10" xfId="53" applyNumberFormat="1" applyBorder="1" applyAlignment="1">
      <alignment horizontal="right"/>
      <protection/>
    </xf>
    <xf numFmtId="0" fontId="65" fillId="33" borderId="53" xfId="0" applyFont="1" applyFill="1" applyBorder="1" applyAlignment="1">
      <alignment horizontal="center"/>
    </xf>
    <xf numFmtId="0" fontId="65" fillId="33" borderId="54" xfId="53" applyFont="1" applyFill="1" applyBorder="1" applyAlignment="1">
      <alignment horizontal="center"/>
      <protection/>
    </xf>
    <xf numFmtId="0" fontId="65" fillId="33" borderId="41" xfId="53" applyFont="1" applyFill="1" applyBorder="1" applyAlignment="1">
      <alignment horizontal="center"/>
      <protection/>
    </xf>
    <xf numFmtId="0" fontId="65" fillId="33" borderId="37" xfId="0" applyFont="1" applyFill="1" applyBorder="1" applyAlignment="1">
      <alignment horizontal="left"/>
    </xf>
    <xf numFmtId="0" fontId="65" fillId="33" borderId="53" xfId="0" applyFont="1" applyFill="1" applyBorder="1" applyAlignment="1">
      <alignment horizontal="center" vertical="distributed"/>
    </xf>
    <xf numFmtId="0" fontId="65" fillId="33" borderId="51" xfId="0" applyFont="1" applyFill="1" applyBorder="1" applyAlignment="1">
      <alignment horizontal="center" vertical="distributed"/>
    </xf>
    <xf numFmtId="0" fontId="65" fillId="33" borderId="52" xfId="0" applyFont="1" applyFill="1" applyBorder="1" applyAlignment="1">
      <alignment horizontal="center" vertical="distributed" wrapText="1"/>
    </xf>
    <xf numFmtId="0" fontId="7" fillId="0" borderId="11" xfId="53" applyFont="1" applyBorder="1">
      <alignment/>
      <protection/>
    </xf>
    <xf numFmtId="0" fontId="7" fillId="0" borderId="17" xfId="53" applyFont="1" applyBorder="1">
      <alignment/>
      <protection/>
    </xf>
    <xf numFmtId="9" fontId="7" fillId="36" borderId="17" xfId="53" applyNumberFormat="1" applyFont="1" applyFill="1" applyBorder="1">
      <alignment/>
      <protection/>
    </xf>
    <xf numFmtId="9" fontId="7" fillId="0" borderId="17" xfId="53" applyNumberFormat="1" applyFont="1" applyBorder="1">
      <alignment/>
      <protection/>
    </xf>
    <xf numFmtId="9" fontId="7" fillId="0" borderId="19" xfId="53" applyNumberFormat="1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/>
    </xf>
    <xf numFmtId="178" fontId="7" fillId="0" borderId="11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174" fontId="7" fillId="0" borderId="10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74" fontId="7" fillId="0" borderId="40" xfId="0" applyNumberFormat="1" applyFont="1" applyBorder="1" applyAlignment="1">
      <alignment/>
    </xf>
    <xf numFmtId="178" fontId="7" fillId="0" borderId="40" xfId="0" applyNumberFormat="1" applyFont="1" applyBorder="1" applyAlignment="1">
      <alignment/>
    </xf>
    <xf numFmtId="178" fontId="7" fillId="0" borderId="19" xfId="0" applyNumberFormat="1" applyFont="1" applyBorder="1" applyAlignment="1">
      <alignment/>
    </xf>
    <xf numFmtId="44" fontId="5" fillId="0" borderId="39" xfId="50" applyFont="1" applyBorder="1" applyAlignment="1">
      <alignment/>
    </xf>
    <xf numFmtId="44" fontId="5" fillId="36" borderId="10" xfId="50" applyFont="1" applyFill="1" applyBorder="1" applyAlignment="1">
      <alignment/>
    </xf>
    <xf numFmtId="44" fontId="5" fillId="0" borderId="40" xfId="50" applyFont="1" applyBorder="1" applyAlignment="1">
      <alignment/>
    </xf>
    <xf numFmtId="0" fontId="64" fillId="33" borderId="53" xfId="0" applyFont="1" applyFill="1" applyBorder="1" applyAlignment="1">
      <alignment horizontal="center"/>
    </xf>
    <xf numFmtId="0" fontId="64" fillId="33" borderId="51" xfId="0" applyFont="1" applyFill="1" applyBorder="1" applyAlignment="1">
      <alignment horizontal="center"/>
    </xf>
    <xf numFmtId="0" fontId="64" fillId="33" borderId="52" xfId="0" applyFont="1" applyFill="1" applyBorder="1" applyAlignment="1">
      <alignment horizontal="center"/>
    </xf>
    <xf numFmtId="0" fontId="6" fillId="0" borderId="53" xfId="0" applyFont="1" applyBorder="1" applyAlignment="1">
      <alignment/>
    </xf>
    <xf numFmtId="0" fontId="4" fillId="0" borderId="37" xfId="0" applyFont="1" applyBorder="1" applyAlignment="1">
      <alignment/>
    </xf>
    <xf numFmtId="9" fontId="5" fillId="0" borderId="39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9" fontId="5" fillId="0" borderId="0" xfId="56" applyFont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178" fontId="5" fillId="0" borderId="10" xfId="0" applyNumberFormat="1" applyFont="1" applyBorder="1" applyAlignment="1">
      <alignment horizontal="center"/>
    </xf>
    <xf numFmtId="178" fontId="5" fillId="0" borderId="17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178" fontId="5" fillId="0" borderId="40" xfId="0" applyNumberFormat="1" applyFont="1" applyBorder="1" applyAlignment="1">
      <alignment/>
    </xf>
    <xf numFmtId="178" fontId="5" fillId="0" borderId="40" xfId="0" applyNumberFormat="1" applyFont="1" applyFill="1" applyBorder="1" applyAlignment="1">
      <alignment/>
    </xf>
    <xf numFmtId="178" fontId="5" fillId="34" borderId="40" xfId="0" applyNumberFormat="1" applyFont="1" applyFill="1" applyBorder="1" applyAlignment="1">
      <alignment/>
    </xf>
    <xf numFmtId="178" fontId="5" fillId="0" borderId="19" xfId="0" applyNumberFormat="1" applyFont="1" applyBorder="1" applyAlignment="1">
      <alignment/>
    </xf>
    <xf numFmtId="1" fontId="5" fillId="0" borderId="52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/>
    </xf>
    <xf numFmtId="9" fontId="5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0" fontId="5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0" fontId="5" fillId="0" borderId="0" xfId="0" applyNumberFormat="1" applyFont="1" applyBorder="1" applyAlignment="1">
      <alignment horizontal="center"/>
    </xf>
    <xf numFmtId="178" fontId="5" fillId="0" borderId="10" xfId="5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178" fontId="5" fillId="36" borderId="10" xfId="50" applyNumberFormat="1" applyFont="1" applyFill="1" applyBorder="1" applyAlignment="1">
      <alignment/>
    </xf>
    <xf numFmtId="178" fontId="5" fillId="0" borderId="10" xfId="50" applyNumberFormat="1" applyFont="1" applyBorder="1" applyAlignment="1">
      <alignment/>
    </xf>
    <xf numFmtId="178" fontId="7" fillId="0" borderId="10" xfId="5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178" fontId="5" fillId="36" borderId="10" xfId="50" applyNumberFormat="1" applyFont="1" applyFill="1" applyBorder="1" applyAlignment="1">
      <alignment/>
    </xf>
    <xf numFmtId="178" fontId="5" fillId="0" borderId="10" xfId="5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36" borderId="10" xfId="0" applyNumberFormat="1" applyFont="1" applyFill="1" applyBorder="1" applyAlignment="1">
      <alignment/>
    </xf>
    <xf numFmtId="172" fontId="5" fillId="0" borderId="10" xfId="50" applyNumberFormat="1" applyFont="1" applyBorder="1" applyAlignment="1">
      <alignment/>
    </xf>
    <xf numFmtId="174" fontId="5" fillId="0" borderId="10" xfId="50" applyNumberFormat="1" applyFont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65" fillId="33" borderId="37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1" fontId="5" fillId="34" borderId="39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65" fillId="33" borderId="16" xfId="0" applyFont="1" applyFill="1" applyBorder="1" applyAlignment="1">
      <alignment/>
    </xf>
    <xf numFmtId="9" fontId="5" fillId="34" borderId="17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0" fontId="65" fillId="33" borderId="18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1" fontId="5" fillId="34" borderId="40" xfId="0" applyNumberFormat="1" applyFont="1" applyFill="1" applyBorder="1" applyAlignment="1">
      <alignment horizontal="center"/>
    </xf>
    <xf numFmtId="1" fontId="5" fillId="34" borderId="19" xfId="0" applyNumberFormat="1" applyFont="1" applyFill="1" applyBorder="1" applyAlignment="1">
      <alignment horizontal="center"/>
    </xf>
    <xf numFmtId="0" fontId="65" fillId="33" borderId="54" xfId="0" applyFont="1" applyFill="1" applyBorder="1" applyAlignment="1">
      <alignment horizontal="center"/>
    </xf>
    <xf numFmtId="0" fontId="65" fillId="33" borderId="38" xfId="0" applyFont="1" applyFill="1" applyBorder="1" applyAlignment="1">
      <alignment horizontal="center"/>
    </xf>
    <xf numFmtId="0" fontId="65" fillId="33" borderId="41" xfId="0" applyFont="1" applyFill="1" applyBorder="1" applyAlignment="1">
      <alignment horizontal="center"/>
    </xf>
    <xf numFmtId="0" fontId="74" fillId="33" borderId="37" xfId="0" applyFont="1" applyFill="1" applyBorder="1" applyAlignment="1">
      <alignment horizontal="left"/>
    </xf>
    <xf numFmtId="0" fontId="5" fillId="0" borderId="39" xfId="0" applyFont="1" applyBorder="1" applyAlignment="1">
      <alignment/>
    </xf>
    <xf numFmtId="1" fontId="5" fillId="0" borderId="3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4" fillId="33" borderId="16" xfId="0" applyFont="1" applyFill="1" applyBorder="1" applyAlignment="1">
      <alignment horizontal="left"/>
    </xf>
    <xf numFmtId="178" fontId="5" fillId="0" borderId="17" xfId="50" applyNumberFormat="1" applyFont="1" applyBorder="1" applyAlignment="1">
      <alignment/>
    </xf>
    <xf numFmtId="0" fontId="65" fillId="33" borderId="16" xfId="0" applyFont="1" applyFill="1" applyBorder="1" applyAlignment="1">
      <alignment horizontal="left"/>
    </xf>
    <xf numFmtId="178" fontId="5" fillId="36" borderId="17" xfId="50" applyNumberFormat="1" applyFont="1" applyFill="1" applyBorder="1" applyAlignment="1">
      <alignment/>
    </xf>
    <xf numFmtId="178" fontId="5" fillId="0" borderId="17" xfId="50" applyNumberFormat="1" applyFont="1" applyBorder="1" applyAlignment="1">
      <alignment/>
    </xf>
    <xf numFmtId="178" fontId="7" fillId="0" borderId="17" xfId="50" applyNumberFormat="1" applyFont="1" applyBorder="1" applyAlignment="1">
      <alignment/>
    </xf>
    <xf numFmtId="178" fontId="5" fillId="36" borderId="17" xfId="50" applyNumberFormat="1" applyFont="1" applyFill="1" applyBorder="1" applyAlignment="1">
      <alignment/>
    </xf>
    <xf numFmtId="178" fontId="5" fillId="0" borderId="17" xfId="50" applyNumberFormat="1" applyFont="1" applyBorder="1" applyAlignment="1">
      <alignment/>
    </xf>
    <xf numFmtId="0" fontId="74" fillId="33" borderId="16" xfId="0" applyFont="1" applyFill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36" borderId="17" xfId="0" applyNumberFormat="1" applyFont="1" applyFill="1" applyBorder="1" applyAlignment="1">
      <alignment/>
    </xf>
    <xf numFmtId="172" fontId="5" fillId="0" borderId="17" xfId="50" applyNumberFormat="1" applyFont="1" applyBorder="1" applyAlignment="1">
      <alignment/>
    </xf>
    <xf numFmtId="178" fontId="5" fillId="0" borderId="17" xfId="0" applyNumberFormat="1" applyFont="1" applyFill="1" applyBorder="1" applyAlignment="1">
      <alignment/>
    </xf>
    <xf numFmtId="0" fontId="75" fillId="36" borderId="18" xfId="0" applyFont="1" applyFill="1" applyBorder="1" applyAlignment="1">
      <alignment horizontal="center"/>
    </xf>
    <xf numFmtId="178" fontId="5" fillId="36" borderId="4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0" fontId="7" fillId="34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187" fontId="7" fillId="34" borderId="0" xfId="0" applyNumberFormat="1" applyFont="1" applyFill="1" applyBorder="1" applyAlignment="1">
      <alignment horizontal="center" vertical="center" wrapText="1"/>
    </xf>
    <xf numFmtId="187" fontId="7" fillId="34" borderId="24" xfId="0" applyNumberFormat="1" applyFont="1" applyFill="1" applyBorder="1" applyAlignment="1">
      <alignment horizontal="center" vertical="center" wrapText="1"/>
    </xf>
    <xf numFmtId="187" fontId="7" fillId="34" borderId="31" xfId="0" applyNumberFormat="1" applyFont="1" applyFill="1" applyBorder="1" applyAlignment="1">
      <alignment horizontal="center" vertical="center"/>
    </xf>
    <xf numFmtId="187" fontId="7" fillId="34" borderId="0" xfId="0" applyNumberFormat="1" applyFont="1" applyFill="1" applyBorder="1" applyAlignment="1">
      <alignment horizontal="center" vertical="center"/>
    </xf>
    <xf numFmtId="187" fontId="7" fillId="34" borderId="24" xfId="0" applyNumberFormat="1" applyFont="1" applyFill="1" applyBorder="1" applyAlignment="1">
      <alignment horizontal="center" vertical="center"/>
    </xf>
    <xf numFmtId="187" fontId="7" fillId="34" borderId="31" xfId="0" applyNumberFormat="1" applyFont="1" applyFill="1" applyBorder="1" applyAlignment="1">
      <alignment vertical="center"/>
    </xf>
    <xf numFmtId="187" fontId="7" fillId="34" borderId="36" xfId="0" applyNumberFormat="1" applyFont="1" applyFill="1" applyBorder="1" applyAlignment="1">
      <alignment horizontal="center" vertical="center"/>
    </xf>
    <xf numFmtId="187" fontId="7" fillId="34" borderId="34" xfId="0" applyNumberFormat="1" applyFont="1" applyFill="1" applyBorder="1" applyAlignment="1">
      <alignment horizontal="center" vertical="center"/>
    </xf>
    <xf numFmtId="187" fontId="7" fillId="34" borderId="32" xfId="0" applyNumberFormat="1" applyFont="1" applyFill="1" applyBorder="1" applyAlignment="1">
      <alignment vertical="center"/>
    </xf>
    <xf numFmtId="44" fontId="22" fillId="0" borderId="41" xfId="50" applyFont="1" applyBorder="1" applyAlignment="1">
      <alignment horizontal="right"/>
    </xf>
    <xf numFmtId="44" fontId="22" fillId="0" borderId="15" xfId="50" applyFont="1" applyBorder="1" applyAlignment="1">
      <alignment horizontal="right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55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178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7" fillId="33" borderId="18" xfId="0" applyFont="1" applyFill="1" applyBorder="1" applyAlignment="1">
      <alignment/>
    </xf>
    <xf numFmtId="44" fontId="0" fillId="0" borderId="19" xfId="50" applyFont="1" applyBorder="1" applyAlignment="1">
      <alignment/>
    </xf>
    <xf numFmtId="0" fontId="5" fillId="0" borderId="35" xfId="0" applyFont="1" applyFill="1" applyBorder="1" applyAlignment="1">
      <alignment vertical="top"/>
    </xf>
    <xf numFmtId="44" fontId="5" fillId="0" borderId="32" xfId="5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187" fontId="7" fillId="0" borderId="24" xfId="0" applyNumberFormat="1" applyFont="1" applyFill="1" applyBorder="1" applyAlignment="1">
      <alignment horizontal="center" vertical="center"/>
    </xf>
    <xf numFmtId="187" fontId="7" fillId="0" borderId="24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38" borderId="0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/>
    </xf>
    <xf numFmtId="10" fontId="5" fillId="34" borderId="17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44" fontId="22" fillId="0" borderId="56" xfId="50" applyFont="1" applyBorder="1" applyAlignment="1">
      <alignment horizontal="right"/>
    </xf>
    <xf numFmtId="44" fontId="23" fillId="0" borderId="57" xfId="50" applyFont="1" applyBorder="1" applyAlignment="1">
      <alignment horizontal="right"/>
    </xf>
    <xf numFmtId="44" fontId="23" fillId="0" borderId="19" xfId="50" applyFont="1" applyBorder="1" applyAlignment="1">
      <alignment horizontal="right"/>
    </xf>
    <xf numFmtId="44" fontId="23" fillId="0" borderId="58" xfId="50" applyFont="1" applyBorder="1" applyAlignment="1">
      <alignment horizontal="right"/>
    </xf>
    <xf numFmtId="44" fontId="23" fillId="0" borderId="59" xfId="50" applyFont="1" applyBorder="1" applyAlignment="1">
      <alignment horizontal="right"/>
    </xf>
    <xf numFmtId="10" fontId="76" fillId="0" borderId="60" xfId="0" applyNumberFormat="1" applyFont="1" applyBorder="1" applyAlignment="1">
      <alignment/>
    </xf>
    <xf numFmtId="175" fontId="76" fillId="0" borderId="61" xfId="0" applyNumberFormat="1" applyFont="1" applyBorder="1" applyAlignment="1">
      <alignment/>
    </xf>
    <xf numFmtId="10" fontId="76" fillId="0" borderId="62" xfId="0" applyNumberFormat="1" applyFont="1" applyBorder="1" applyAlignment="1">
      <alignment/>
    </xf>
    <xf numFmtId="0" fontId="75" fillId="35" borderId="63" xfId="0" applyFont="1" applyFill="1" applyBorder="1" applyAlignment="1">
      <alignment/>
    </xf>
    <xf numFmtId="0" fontId="75" fillId="35" borderId="64" xfId="0" applyFont="1" applyFill="1" applyBorder="1" applyAlignment="1">
      <alignment/>
    </xf>
    <xf numFmtId="0" fontId="75" fillId="35" borderId="65" xfId="0" applyFont="1" applyFill="1" applyBorder="1" applyAlignment="1">
      <alignment/>
    </xf>
    <xf numFmtId="44" fontId="5" fillId="0" borderId="32" xfId="50" applyNumberFormat="1" applyFont="1" applyBorder="1" applyAlignment="1">
      <alignment horizontal="center" vertical="center"/>
    </xf>
    <xf numFmtId="44" fontId="0" fillId="0" borderId="30" xfId="50" applyFont="1" applyBorder="1" applyAlignment="1">
      <alignment/>
    </xf>
    <xf numFmtId="187" fontId="7" fillId="0" borderId="0" xfId="0" applyNumberFormat="1" applyFont="1" applyFill="1" applyBorder="1" applyAlignment="1">
      <alignment horizontal="center" vertical="center"/>
    </xf>
    <xf numFmtId="187" fontId="7" fillId="0" borderId="31" xfId="0" applyNumberFormat="1" applyFont="1" applyFill="1" applyBorder="1" applyAlignment="1">
      <alignment vertical="center"/>
    </xf>
    <xf numFmtId="0" fontId="7" fillId="39" borderId="24" xfId="0" applyFont="1" applyFill="1" applyBorder="1" applyAlignment="1">
      <alignment horizontal="center" vertical="center"/>
    </xf>
    <xf numFmtId="187" fontId="7" fillId="39" borderId="0" xfId="0" applyNumberFormat="1" applyFont="1" applyFill="1" applyBorder="1" applyAlignment="1">
      <alignment horizontal="center" vertical="center"/>
    </xf>
    <xf numFmtId="187" fontId="7" fillId="39" borderId="24" xfId="0" applyNumberFormat="1" applyFont="1" applyFill="1" applyBorder="1" applyAlignment="1">
      <alignment horizontal="center" vertical="center"/>
    </xf>
    <xf numFmtId="187" fontId="7" fillId="39" borderId="31" xfId="0" applyNumberFormat="1" applyFont="1" applyFill="1" applyBorder="1" applyAlignment="1">
      <alignment vertical="center"/>
    </xf>
    <xf numFmtId="181" fontId="65" fillId="33" borderId="10" xfId="0" applyNumberFormat="1" applyFont="1" applyFill="1" applyBorder="1" applyAlignment="1">
      <alignment horizontal="center" vertical="distributed"/>
    </xf>
    <xf numFmtId="1" fontId="5" fillId="40" borderId="39" xfId="0" applyNumberFormat="1" applyFont="1" applyFill="1" applyBorder="1" applyAlignment="1">
      <alignment horizontal="center"/>
    </xf>
    <xf numFmtId="1" fontId="5" fillId="40" borderId="11" xfId="0" applyNumberFormat="1" applyFont="1" applyFill="1" applyBorder="1" applyAlignment="1">
      <alignment horizontal="center"/>
    </xf>
    <xf numFmtId="178" fontId="5" fillId="40" borderId="10" xfId="50" applyNumberFormat="1" applyFont="1" applyFill="1" applyBorder="1" applyAlignment="1">
      <alignment/>
    </xf>
    <xf numFmtId="178" fontId="5" fillId="41" borderId="40" xfId="0" applyNumberFormat="1" applyFont="1" applyFill="1" applyBorder="1" applyAlignment="1">
      <alignment/>
    </xf>
    <xf numFmtId="10" fontId="0" fillId="40" borderId="32" xfId="0" applyNumberFormat="1" applyFont="1" applyFill="1" applyBorder="1" applyAlignment="1">
      <alignment/>
    </xf>
    <xf numFmtId="175" fontId="76" fillId="41" borderId="30" xfId="0" applyNumberFormat="1" applyFont="1" applyFill="1" applyBorder="1" applyAlignment="1">
      <alignment/>
    </xf>
    <xf numFmtId="10" fontId="76" fillId="41" borderId="26" xfId="0" applyNumberFormat="1" applyFont="1" applyFill="1" applyBorder="1" applyAlignment="1">
      <alignment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65" fillId="33" borderId="25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66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115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77" fillId="0" borderId="50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27" fillId="36" borderId="25" xfId="0" applyFont="1" applyFill="1" applyBorder="1" applyAlignment="1">
      <alignment horizontal="left"/>
    </xf>
    <xf numFmtId="0" fontId="27" fillId="36" borderId="55" xfId="0" applyFont="1" applyFill="1" applyBorder="1" applyAlignment="1">
      <alignment horizontal="left"/>
    </xf>
    <xf numFmtId="0" fontId="27" fillId="36" borderId="47" xfId="0" applyFont="1" applyFill="1" applyBorder="1" applyAlignment="1">
      <alignment horizontal="left"/>
    </xf>
    <xf numFmtId="0" fontId="56" fillId="36" borderId="25" xfId="0" applyFont="1" applyFill="1" applyBorder="1" applyAlignment="1">
      <alignment horizontal="left"/>
    </xf>
    <xf numFmtId="0" fontId="56" fillId="36" borderId="55" xfId="0" applyFont="1" applyFill="1" applyBorder="1" applyAlignment="1">
      <alignment horizontal="left"/>
    </xf>
    <xf numFmtId="0" fontId="56" fillId="36" borderId="47" xfId="0" applyFont="1" applyFill="1" applyBorder="1" applyAlignment="1">
      <alignment horizontal="left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116" fillId="0" borderId="29" xfId="0" applyFont="1" applyBorder="1" applyAlignment="1">
      <alignment/>
    </xf>
    <xf numFmtId="0" fontId="116" fillId="0" borderId="69" xfId="0" applyFont="1" applyBorder="1" applyAlignment="1">
      <alignment/>
    </xf>
    <xf numFmtId="0" fontId="116" fillId="0" borderId="30" xfId="0" applyFont="1" applyBorder="1" applyAlignment="1">
      <alignment/>
    </xf>
    <xf numFmtId="0" fontId="116" fillId="0" borderId="35" xfId="0" applyFont="1" applyBorder="1" applyAlignment="1">
      <alignment/>
    </xf>
    <xf numFmtId="0" fontId="116" fillId="0" borderId="36" xfId="0" applyFont="1" applyBorder="1" applyAlignment="1">
      <alignment/>
    </xf>
    <xf numFmtId="0" fontId="116" fillId="0" borderId="32" xfId="0" applyFont="1" applyBorder="1" applyAlignment="1">
      <alignment/>
    </xf>
    <xf numFmtId="0" fontId="116" fillId="0" borderId="23" xfId="0" applyFont="1" applyBorder="1" applyAlignment="1">
      <alignment/>
    </xf>
    <xf numFmtId="0" fontId="116" fillId="0" borderId="0" xfId="0" applyFont="1" applyBorder="1" applyAlignment="1">
      <alignment/>
    </xf>
    <xf numFmtId="0" fontId="116" fillId="0" borderId="31" xfId="0" applyFont="1" applyBorder="1" applyAlignment="1">
      <alignment/>
    </xf>
    <xf numFmtId="0" fontId="65" fillId="33" borderId="63" xfId="0" applyFont="1" applyFill="1" applyBorder="1" applyAlignment="1">
      <alignment horizontal="center" vertical="distributed"/>
    </xf>
    <xf numFmtId="0" fontId="65" fillId="33" borderId="70" xfId="0" applyFont="1" applyFill="1" applyBorder="1" applyAlignment="1">
      <alignment horizontal="center" vertical="distributed"/>
    </xf>
    <xf numFmtId="0" fontId="65" fillId="33" borderId="71" xfId="0" applyFont="1" applyFill="1" applyBorder="1" applyAlignment="1">
      <alignment horizontal="center" vertical="distributed" wrapText="1"/>
    </xf>
    <xf numFmtId="0" fontId="65" fillId="33" borderId="72" xfId="0" applyFont="1" applyFill="1" applyBorder="1" applyAlignment="1">
      <alignment horizontal="center" vertical="distributed" wrapText="1"/>
    </xf>
    <xf numFmtId="0" fontId="65" fillId="33" borderId="63" xfId="0" applyFont="1" applyFill="1" applyBorder="1" applyAlignment="1">
      <alignment horizontal="center" vertical="distributed" wrapText="1"/>
    </xf>
    <xf numFmtId="0" fontId="65" fillId="33" borderId="70" xfId="0" applyFont="1" applyFill="1" applyBorder="1" applyAlignment="1">
      <alignment horizontal="center" vertical="distributed" wrapText="1"/>
    </xf>
    <xf numFmtId="0" fontId="65" fillId="33" borderId="71" xfId="0" applyFont="1" applyFill="1" applyBorder="1" applyAlignment="1">
      <alignment horizontal="center" vertical="distributed"/>
    </xf>
    <xf numFmtId="0" fontId="65" fillId="33" borderId="72" xfId="0" applyFont="1" applyFill="1" applyBorder="1" applyAlignment="1">
      <alignment horizontal="center" vertical="distributed"/>
    </xf>
    <xf numFmtId="0" fontId="30" fillId="0" borderId="0" xfId="0" applyFont="1" applyBorder="1" applyAlignment="1">
      <alignment horizontal="right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116" fillId="0" borderId="29" xfId="0" applyFont="1" applyBorder="1" applyAlignment="1">
      <alignment horizontal="left"/>
    </xf>
    <xf numFmtId="0" fontId="116" fillId="0" borderId="69" xfId="0" applyFont="1" applyBorder="1" applyAlignment="1">
      <alignment horizontal="left"/>
    </xf>
    <xf numFmtId="0" fontId="116" fillId="0" borderId="30" xfId="0" applyFont="1" applyBorder="1" applyAlignment="1">
      <alignment horizontal="left"/>
    </xf>
    <xf numFmtId="0" fontId="58" fillId="42" borderId="18" xfId="0" applyFont="1" applyFill="1" applyBorder="1" applyAlignment="1">
      <alignment horizontal="center"/>
    </xf>
    <xf numFmtId="0" fontId="58" fillId="42" borderId="19" xfId="0" applyFont="1" applyFill="1" applyBorder="1" applyAlignment="1">
      <alignment horizontal="center"/>
    </xf>
    <xf numFmtId="10" fontId="7" fillId="0" borderId="20" xfId="53" applyNumberFormat="1" applyFont="1" applyBorder="1" applyAlignment="1">
      <alignment horizontal="right"/>
      <protection/>
    </xf>
    <xf numFmtId="10" fontId="7" fillId="0" borderId="66" xfId="53" applyNumberFormat="1" applyFont="1" applyBorder="1" applyAlignment="1">
      <alignment horizontal="right"/>
      <protection/>
    </xf>
    <xf numFmtId="10" fontId="7" fillId="0" borderId="21" xfId="53" applyNumberFormat="1" applyFont="1" applyBorder="1" applyAlignment="1">
      <alignment horizontal="right"/>
      <protection/>
    </xf>
    <xf numFmtId="0" fontId="41" fillId="0" borderId="73" xfId="53" applyFont="1" applyBorder="1" applyAlignment="1">
      <alignment horizontal="right" vertical="center"/>
      <protection/>
    </xf>
    <xf numFmtId="0" fontId="41" fillId="0" borderId="74" xfId="53" applyFont="1" applyBorder="1" applyAlignment="1">
      <alignment horizontal="right" vertical="center"/>
      <protection/>
    </xf>
    <xf numFmtId="0" fontId="43" fillId="0" borderId="75" xfId="53" applyFont="1" applyBorder="1" applyAlignment="1">
      <alignment horizontal="center"/>
      <protection/>
    </xf>
    <xf numFmtId="0" fontId="43" fillId="0" borderId="76" xfId="53" applyFont="1" applyBorder="1" applyAlignment="1">
      <alignment horizontal="center"/>
      <protection/>
    </xf>
    <xf numFmtId="0" fontId="70" fillId="33" borderId="25" xfId="0" applyFont="1" applyFill="1" applyBorder="1" applyAlignment="1">
      <alignment horizontal="center"/>
    </xf>
    <xf numFmtId="0" fontId="70" fillId="33" borderId="47" xfId="0" applyFont="1" applyFill="1" applyBorder="1" applyAlignment="1">
      <alignment horizontal="center"/>
    </xf>
    <xf numFmtId="0" fontId="43" fillId="0" borderId="77" xfId="53" applyFont="1" applyBorder="1" applyAlignment="1">
      <alignment horizontal="center"/>
      <protection/>
    </xf>
    <xf numFmtId="0" fontId="43" fillId="0" borderId="78" xfId="53" applyFont="1" applyBorder="1" applyAlignment="1">
      <alignment horizontal="center"/>
      <protection/>
    </xf>
    <xf numFmtId="0" fontId="7" fillId="0" borderId="20" xfId="53" applyFont="1" applyBorder="1" applyAlignment="1">
      <alignment horizontal="right"/>
      <protection/>
    </xf>
    <xf numFmtId="0" fontId="7" fillId="0" borderId="66" xfId="53" applyFont="1" applyBorder="1" applyAlignment="1">
      <alignment horizontal="right"/>
      <protection/>
    </xf>
    <xf numFmtId="0" fontId="7" fillId="0" borderId="21" xfId="53" applyFont="1" applyBorder="1" applyAlignment="1">
      <alignment horizontal="right"/>
      <protection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69" xfId="0" applyFont="1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72" fillId="0" borderId="36" xfId="0" applyFont="1" applyBorder="1" applyAlignment="1">
      <alignment horizontal="left"/>
    </xf>
    <xf numFmtId="0" fontId="51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142875</xdr:rowOff>
    </xdr:from>
    <xdr:to>
      <xdr:col>2</xdr:col>
      <xdr:colOff>1171575</xdr:colOff>
      <xdr:row>18</xdr:row>
      <xdr:rowOff>47625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00425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0</xdr:rowOff>
    </xdr:from>
    <xdr:to>
      <xdr:col>5</xdr:col>
      <xdr:colOff>161925</xdr:colOff>
      <xdr:row>31</xdr:row>
      <xdr:rowOff>161925</xdr:rowOff>
    </xdr:to>
    <xdr:grpSp>
      <xdr:nvGrpSpPr>
        <xdr:cNvPr id="2" name="5 Grupo"/>
        <xdr:cNvGrpSpPr>
          <a:grpSpLocks/>
        </xdr:cNvGrpSpPr>
      </xdr:nvGrpSpPr>
      <xdr:grpSpPr>
        <a:xfrm>
          <a:off x="771525" y="3829050"/>
          <a:ext cx="4886325" cy="2638425"/>
          <a:chOff x="85725" y="45862875"/>
          <a:chExt cx="3733800" cy="2457450"/>
        </a:xfrm>
        <a:solidFill>
          <a:srgbClr val="FFFFFF"/>
        </a:solidFill>
      </xdr:grpSpPr>
      <xdr:pic>
        <xdr:nvPicPr>
          <xdr:cNvPr id="3" name="Picture 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725" y="45862875"/>
            <a:ext cx="3733800" cy="8478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060" y="46758001"/>
            <a:ext cx="3428562" cy="15623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9525</xdr:colOff>
      <xdr:row>42</xdr:row>
      <xdr:rowOff>104775</xdr:rowOff>
    </xdr:from>
    <xdr:to>
      <xdr:col>4</xdr:col>
      <xdr:colOff>152400</xdr:colOff>
      <xdr:row>45</xdr:row>
      <xdr:rowOff>28575</xdr:rowOff>
    </xdr:to>
    <xdr:pic>
      <xdr:nvPicPr>
        <xdr:cNvPr id="5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9191625"/>
          <a:ext cx="3733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</xdr:row>
      <xdr:rowOff>28575</xdr:rowOff>
    </xdr:from>
    <xdr:to>
      <xdr:col>3</xdr:col>
      <xdr:colOff>228600</xdr:colOff>
      <xdr:row>53</xdr:row>
      <xdr:rowOff>104775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9686925"/>
          <a:ext cx="3048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7</xdr:row>
      <xdr:rowOff>133350</xdr:rowOff>
    </xdr:from>
    <xdr:to>
      <xdr:col>6</xdr:col>
      <xdr:colOff>590550</xdr:colOff>
      <xdr:row>9</xdr:row>
      <xdr:rowOff>123825</xdr:rowOff>
    </xdr:to>
    <xdr:sp>
      <xdr:nvSpPr>
        <xdr:cNvPr id="1" name="1 Flecha curvada hacia la derecha" descr="626c65a8-0cb3-4059-a675-c0fc9de41b68"/>
        <xdr:cNvSpPr>
          <a:spLocks/>
        </xdr:cNvSpPr>
      </xdr:nvSpPr>
      <xdr:spPr>
        <a:xfrm flipV="1">
          <a:off x="5667375" y="1619250"/>
          <a:ext cx="495300" cy="371475"/>
        </a:xfrm>
        <a:prstGeom prst="curvedRightArrow">
          <a:avLst>
            <a:gd name="adj1" fmla="val 2143"/>
            <a:gd name="adj2" fmla="val 38037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3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2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3.7109375" style="0" customWidth="1"/>
    <col min="2" max="2" width="43.28125" style="0" customWidth="1"/>
    <col min="3" max="3" width="14.8515625" style="40" bestFit="1" customWidth="1"/>
    <col min="4" max="4" width="10.421875" style="0" customWidth="1"/>
    <col min="5" max="5" width="17.00390625" style="23" bestFit="1" customWidth="1"/>
    <col min="6" max="6" width="24.28125" style="0" customWidth="1"/>
    <col min="7" max="7" width="17.140625" style="0" customWidth="1"/>
    <col min="8" max="8" width="26.421875" style="0" customWidth="1"/>
    <col min="9" max="9" width="10.28125" style="0" customWidth="1"/>
    <col min="10" max="10" width="13.7109375" style="0" bestFit="1" customWidth="1"/>
    <col min="11" max="11" width="21.7109375" style="0" customWidth="1"/>
    <col min="12" max="12" width="15.57421875" style="0" customWidth="1"/>
    <col min="13" max="13" width="26.421875" style="0" bestFit="1" customWidth="1"/>
  </cols>
  <sheetData>
    <row r="1" ht="15.75" thickBot="1"/>
    <row r="2" spans="2:14" ht="30.75" thickBot="1">
      <c r="B2" s="523" t="s">
        <v>257</v>
      </c>
      <c r="C2" s="524"/>
      <c r="D2" s="484"/>
      <c r="E2" s="485"/>
      <c r="F2" s="486" t="s">
        <v>599</v>
      </c>
      <c r="G2" s="487" t="s">
        <v>192</v>
      </c>
      <c r="H2" s="488" t="s">
        <v>199</v>
      </c>
      <c r="I2" s="489" t="s">
        <v>200</v>
      </c>
      <c r="J2" s="490"/>
      <c r="K2" s="486" t="s">
        <v>600</v>
      </c>
      <c r="L2" s="489" t="s">
        <v>192</v>
      </c>
      <c r="M2" s="489" t="s">
        <v>199</v>
      </c>
      <c r="N2" s="489" t="s">
        <v>200</v>
      </c>
    </row>
    <row r="3" spans="2:18" ht="15">
      <c r="B3" s="161" t="s">
        <v>228</v>
      </c>
      <c r="C3" s="162">
        <v>2465954</v>
      </c>
      <c r="D3" s="5"/>
      <c r="F3" s="315" t="s">
        <v>193</v>
      </c>
      <c r="G3" s="316">
        <v>2.5</v>
      </c>
      <c r="H3" s="317">
        <v>0.488</v>
      </c>
      <c r="I3" s="318">
        <f aca="true" t="shared" si="0" ref="I3:I8">H3*G3</f>
        <v>1.22</v>
      </c>
      <c r="K3" s="331" t="s">
        <v>229</v>
      </c>
      <c r="L3" s="315">
        <v>1</v>
      </c>
      <c r="M3" s="327">
        <v>0.331</v>
      </c>
      <c r="N3" s="318">
        <f>M3*L3</f>
        <v>0.331</v>
      </c>
      <c r="O3" s="32"/>
      <c r="P3" s="32"/>
      <c r="Q3" s="32"/>
      <c r="R3" s="32"/>
    </row>
    <row r="4" spans="2:18" ht="15">
      <c r="B4" s="163" t="s">
        <v>155</v>
      </c>
      <c r="C4" s="164">
        <v>1278857</v>
      </c>
      <c r="D4" s="5"/>
      <c r="F4" s="315" t="s">
        <v>194</v>
      </c>
      <c r="G4" s="319">
        <f>(4+7)/2</f>
        <v>5.5</v>
      </c>
      <c r="H4" s="317">
        <v>0.288</v>
      </c>
      <c r="I4" s="318">
        <f t="shared" si="0"/>
        <v>1.5839999999999999</v>
      </c>
      <c r="K4" s="331" t="s">
        <v>230</v>
      </c>
      <c r="L4" s="315">
        <v>2.5</v>
      </c>
      <c r="M4" s="327">
        <v>0.344</v>
      </c>
      <c r="N4" s="318">
        <f>M4*L4</f>
        <v>0.8599999999999999</v>
      </c>
      <c r="O4" s="32"/>
      <c r="P4" s="32"/>
      <c r="Q4" s="32"/>
      <c r="R4" s="32"/>
    </row>
    <row r="5" spans="2:18" ht="15">
      <c r="B5" s="163" t="s">
        <v>156</v>
      </c>
      <c r="C5" s="165">
        <v>0.166</v>
      </c>
      <c r="D5" s="5"/>
      <c r="F5" s="315" t="s">
        <v>195</v>
      </c>
      <c r="G5" s="319">
        <f>(8+11)/2</f>
        <v>9.5</v>
      </c>
      <c r="H5" s="317">
        <v>0.063</v>
      </c>
      <c r="I5" s="318">
        <f t="shared" si="0"/>
        <v>0.5985</v>
      </c>
      <c r="K5" s="331" t="s">
        <v>231</v>
      </c>
      <c r="L5" s="315">
        <v>4.5</v>
      </c>
      <c r="M5" s="327">
        <v>0.113</v>
      </c>
      <c r="N5" s="318">
        <f>M5*L5</f>
        <v>0.5085000000000001</v>
      </c>
      <c r="O5" s="32"/>
      <c r="P5" s="32"/>
      <c r="Q5" s="32"/>
      <c r="R5" s="32"/>
    </row>
    <row r="6" spans="2:18" ht="15">
      <c r="B6" s="163" t="s">
        <v>158</v>
      </c>
      <c r="C6" s="164">
        <f>C4*C5</f>
        <v>212290.26200000002</v>
      </c>
      <c r="D6" s="5"/>
      <c r="F6" s="315" t="s">
        <v>196</v>
      </c>
      <c r="G6" s="319">
        <f>(12+14)/2</f>
        <v>13</v>
      </c>
      <c r="H6" s="317">
        <v>0.059</v>
      </c>
      <c r="I6" s="318">
        <f t="shared" si="0"/>
        <v>0.7669999999999999</v>
      </c>
      <c r="K6" s="331" t="s">
        <v>232</v>
      </c>
      <c r="L6" s="315">
        <v>6.5</v>
      </c>
      <c r="M6" s="329">
        <v>0.12</v>
      </c>
      <c r="N6" s="318">
        <f>M6*L6</f>
        <v>0.78</v>
      </c>
      <c r="O6" s="32"/>
      <c r="P6" s="32"/>
      <c r="Q6" s="32"/>
      <c r="R6" s="32"/>
    </row>
    <row r="7" spans="2:18" ht="15">
      <c r="B7" s="163" t="s">
        <v>6</v>
      </c>
      <c r="C7" s="166">
        <v>0.8</v>
      </c>
      <c r="D7" s="5"/>
      <c r="F7" s="315" t="s">
        <v>197</v>
      </c>
      <c r="G7" s="319">
        <f>(19+21)/2</f>
        <v>20</v>
      </c>
      <c r="H7" s="317">
        <v>0.025</v>
      </c>
      <c r="I7" s="318">
        <f t="shared" si="0"/>
        <v>0.5</v>
      </c>
      <c r="K7" s="331" t="s">
        <v>233</v>
      </c>
      <c r="L7" s="315">
        <v>7</v>
      </c>
      <c r="M7" s="327">
        <v>0.092</v>
      </c>
      <c r="N7" s="318">
        <f>M7*L7</f>
        <v>0.644</v>
      </c>
      <c r="O7" s="32"/>
      <c r="P7" s="32"/>
      <c r="Q7" s="32"/>
      <c r="R7" s="32"/>
    </row>
    <row r="8" spans="2:18" ht="15">
      <c r="B8" s="163" t="s">
        <v>159</v>
      </c>
      <c r="C8" s="167">
        <v>0.05</v>
      </c>
      <c r="D8" s="5"/>
      <c r="F8" s="315" t="s">
        <v>198</v>
      </c>
      <c r="G8" s="318">
        <v>21</v>
      </c>
      <c r="H8" s="317">
        <v>0.019</v>
      </c>
      <c r="I8" s="318">
        <f t="shared" si="0"/>
        <v>0.39899999999999997</v>
      </c>
      <c r="K8" s="32"/>
      <c r="L8" s="32"/>
      <c r="M8" s="332" t="s">
        <v>201</v>
      </c>
      <c r="N8" s="333">
        <f>SUM(N3:N7)</f>
        <v>3.1235</v>
      </c>
      <c r="O8" s="32"/>
      <c r="P8" s="32"/>
      <c r="Q8" s="32"/>
      <c r="R8" s="32"/>
    </row>
    <row r="9" spans="2:18" ht="15">
      <c r="B9" s="168" t="s">
        <v>157</v>
      </c>
      <c r="C9" s="169">
        <f>N15</f>
        <v>9.9952</v>
      </c>
      <c r="D9" s="5"/>
      <c r="F9" s="32"/>
      <c r="G9" s="32"/>
      <c r="H9" s="320" t="s">
        <v>201</v>
      </c>
      <c r="I9" s="321">
        <f>SUM(I3:I8)</f>
        <v>5.068499999999999</v>
      </c>
      <c r="J9" s="46"/>
      <c r="K9" s="32"/>
      <c r="L9" s="32"/>
      <c r="M9" s="320" t="s">
        <v>202</v>
      </c>
      <c r="N9" s="322">
        <f>50/15</f>
        <v>3.3333333333333335</v>
      </c>
      <c r="O9" s="32"/>
      <c r="P9" s="32"/>
      <c r="Q9" s="32"/>
      <c r="R9" s="32"/>
    </row>
    <row r="10" spans="2:18" ht="15">
      <c r="B10" s="168" t="s">
        <v>160</v>
      </c>
      <c r="C10" s="170">
        <v>0.024</v>
      </c>
      <c r="D10" s="5"/>
      <c r="F10" s="32"/>
      <c r="G10" s="32"/>
      <c r="H10" s="320" t="s">
        <v>202</v>
      </c>
      <c r="I10" s="322">
        <f>50/15</f>
        <v>3.3333333333333335</v>
      </c>
      <c r="K10" s="32"/>
      <c r="L10" s="32"/>
      <c r="M10" s="320" t="s">
        <v>203</v>
      </c>
      <c r="N10" s="321">
        <f>N9*N8</f>
        <v>10.411666666666667</v>
      </c>
      <c r="O10" s="32"/>
      <c r="P10" s="32"/>
      <c r="Q10" s="32"/>
      <c r="R10" s="32"/>
    </row>
    <row r="11" spans="2:18" ht="15">
      <c r="B11" s="168" t="s">
        <v>161</v>
      </c>
      <c r="C11" s="170">
        <v>0.01</v>
      </c>
      <c r="D11" s="7"/>
      <c r="F11" s="32"/>
      <c r="G11" s="32"/>
      <c r="H11" s="320" t="s">
        <v>203</v>
      </c>
      <c r="I11" s="321">
        <f>I10*I9</f>
        <v>16.895</v>
      </c>
      <c r="K11" s="32"/>
      <c r="L11" s="32"/>
      <c r="M11" s="320" t="s">
        <v>204</v>
      </c>
      <c r="N11" s="321">
        <f>N9/50</f>
        <v>0.06666666666666667</v>
      </c>
      <c r="O11" s="32"/>
      <c r="P11" s="32"/>
      <c r="Q11" s="32"/>
      <c r="R11" s="32"/>
    </row>
    <row r="12" spans="2:18" ht="15.75" thickBot="1">
      <c r="B12" s="483" t="s">
        <v>598</v>
      </c>
      <c r="C12" s="171">
        <f>0.15%</f>
        <v>0.0015</v>
      </c>
      <c r="D12" s="7"/>
      <c r="F12" s="32"/>
      <c r="G12" s="32"/>
      <c r="H12" s="320" t="s">
        <v>204</v>
      </c>
      <c r="I12" s="321">
        <f>I10/50</f>
        <v>0.06666666666666667</v>
      </c>
      <c r="K12" s="32"/>
      <c r="L12" s="32"/>
      <c r="M12" s="323" t="s">
        <v>205</v>
      </c>
      <c r="N12" s="321">
        <f>N11*N8</f>
        <v>0.20823333333333333</v>
      </c>
      <c r="O12" s="32"/>
      <c r="P12" s="32"/>
      <c r="Q12" s="32"/>
      <c r="R12" s="32"/>
    </row>
    <row r="13" spans="2:18" ht="15.75" thickBot="1">
      <c r="B13" s="5"/>
      <c r="C13" s="41"/>
      <c r="D13" s="7"/>
      <c r="F13" s="32"/>
      <c r="G13" s="32"/>
      <c r="H13" s="323" t="s">
        <v>205</v>
      </c>
      <c r="I13" s="324">
        <f>I12*I9</f>
        <v>0.3379</v>
      </c>
      <c r="K13" s="32"/>
      <c r="L13" s="32"/>
      <c r="M13" s="323" t="s">
        <v>207</v>
      </c>
      <c r="N13" s="321">
        <v>4</v>
      </c>
      <c r="O13" s="32"/>
      <c r="P13" s="32"/>
      <c r="Q13" s="32"/>
      <c r="R13" s="32"/>
    </row>
    <row r="14" spans="2:18" ht="15.75" thickBot="1">
      <c r="B14" s="291" t="s">
        <v>46</v>
      </c>
      <c r="C14" s="287">
        <v>1.25</v>
      </c>
      <c r="D14" s="7"/>
      <c r="F14" s="32"/>
      <c r="G14" s="32"/>
      <c r="H14" s="323" t="s">
        <v>207</v>
      </c>
      <c r="I14" s="321">
        <v>4</v>
      </c>
      <c r="K14" s="32"/>
      <c r="L14" s="32"/>
      <c r="M14" s="323" t="s">
        <v>206</v>
      </c>
      <c r="N14" s="321">
        <v>12</v>
      </c>
      <c r="O14" s="32"/>
      <c r="P14" s="32"/>
      <c r="Q14" s="32"/>
      <c r="R14" s="32"/>
    </row>
    <row r="15" spans="2:18" ht="15.75" thickBot="1">
      <c r="B15" s="6"/>
      <c r="C15" s="42"/>
      <c r="D15" s="7"/>
      <c r="E15" s="30"/>
      <c r="F15" s="32"/>
      <c r="G15" s="32"/>
      <c r="H15" s="323" t="s">
        <v>206</v>
      </c>
      <c r="I15" s="321">
        <v>12</v>
      </c>
      <c r="K15" s="32"/>
      <c r="L15" s="32"/>
      <c r="M15" s="325" t="s">
        <v>208</v>
      </c>
      <c r="N15" s="326">
        <f>N12*N13*N14</f>
        <v>9.9952</v>
      </c>
      <c r="O15" s="32"/>
      <c r="P15" s="32"/>
      <c r="Q15" s="32"/>
      <c r="R15" s="32"/>
    </row>
    <row r="16" spans="2:9" ht="15.75" thickBot="1">
      <c r="B16" s="525" t="s">
        <v>258</v>
      </c>
      <c r="C16" s="526"/>
      <c r="D16" s="7"/>
      <c r="F16" s="32"/>
      <c r="G16" s="32"/>
      <c r="H16" s="325" t="s">
        <v>208</v>
      </c>
      <c r="I16" s="326">
        <f>I13*I14*I15</f>
        <v>16.2192</v>
      </c>
    </row>
    <row r="17" spans="2:10" ht="15">
      <c r="B17" s="172" t="s">
        <v>124</v>
      </c>
      <c r="C17" s="173"/>
      <c r="D17" s="8"/>
      <c r="I17" s="46"/>
      <c r="J17" s="18"/>
    </row>
    <row r="18" spans="2:10" ht="15">
      <c r="B18" s="191" t="s">
        <v>242</v>
      </c>
      <c r="C18" s="295">
        <v>0.05775</v>
      </c>
      <c r="D18" s="8"/>
      <c r="J18" s="18"/>
    </row>
    <row r="19" spans="2:10" ht="15">
      <c r="B19" s="174" t="s">
        <v>126</v>
      </c>
      <c r="C19" s="175"/>
      <c r="D19" s="8"/>
      <c r="F19" s="292" t="s">
        <v>162</v>
      </c>
      <c r="G19" s="292" t="s">
        <v>192</v>
      </c>
      <c r="H19" s="292" t="s">
        <v>199</v>
      </c>
      <c r="I19" s="293"/>
      <c r="J19" s="18"/>
    </row>
    <row r="20" spans="2:10" ht="15">
      <c r="B20" s="191" t="s">
        <v>141</v>
      </c>
      <c r="C20" s="296">
        <v>255</v>
      </c>
      <c r="D20" s="8"/>
      <c r="F20" s="315" t="s">
        <v>234</v>
      </c>
      <c r="G20" s="320">
        <f>(1.2+1.3)/2</f>
        <v>1.25</v>
      </c>
      <c r="H20" s="327">
        <v>0.949</v>
      </c>
      <c r="I20" s="328">
        <f>G20*H20</f>
        <v>1.18625</v>
      </c>
      <c r="J20" s="18"/>
    </row>
    <row r="21" spans="2:10" ht="15">
      <c r="B21" s="174" t="s">
        <v>125</v>
      </c>
      <c r="C21" s="175"/>
      <c r="D21" s="8"/>
      <c r="F21" s="315" t="s">
        <v>235</v>
      </c>
      <c r="G21" s="320">
        <f>(1.31+1.4)/2</f>
        <v>1.355</v>
      </c>
      <c r="H21" s="329">
        <v>0.01</v>
      </c>
      <c r="I21" s="328">
        <f>G21*H21</f>
        <v>0.01355</v>
      </c>
      <c r="J21" s="32"/>
    </row>
    <row r="22" spans="2:10" ht="15">
      <c r="B22" s="191" t="s">
        <v>243</v>
      </c>
      <c r="C22" s="296">
        <v>0.07</v>
      </c>
      <c r="D22" s="8"/>
      <c r="F22" s="315" t="s">
        <v>236</v>
      </c>
      <c r="G22" s="320">
        <f>(1.41+1.5)/2</f>
        <v>1.455</v>
      </c>
      <c r="H22" s="329">
        <v>0.04</v>
      </c>
      <c r="I22" s="328">
        <f>G22*H22</f>
        <v>0.0582</v>
      </c>
      <c r="J22" s="19"/>
    </row>
    <row r="23" spans="2:10" ht="15">
      <c r="B23" s="191" t="s">
        <v>244</v>
      </c>
      <c r="C23" s="297">
        <v>0.001</v>
      </c>
      <c r="D23" s="8"/>
      <c r="F23" s="32"/>
      <c r="G23" s="32"/>
      <c r="H23" s="330" t="s">
        <v>237</v>
      </c>
      <c r="I23" s="328">
        <f>SUM(I20:I22)</f>
        <v>1.258</v>
      </c>
      <c r="J23" s="32"/>
    </row>
    <row r="24" spans="2:10" ht="15">
      <c r="B24" s="191" t="s">
        <v>245</v>
      </c>
      <c r="C24" s="298">
        <v>0.02</v>
      </c>
      <c r="D24" s="8"/>
      <c r="J24" s="20"/>
    </row>
    <row r="25" spans="2:14" ht="15">
      <c r="B25" s="174" t="s">
        <v>127</v>
      </c>
      <c r="C25" s="175"/>
      <c r="D25" s="8"/>
      <c r="K25" s="27"/>
      <c r="L25" s="27"/>
      <c r="M25" s="27"/>
      <c r="N25" s="27"/>
    </row>
    <row r="26" spans="2:14" s="27" customFormat="1" ht="15" customHeight="1">
      <c r="B26" s="191" t="s">
        <v>121</v>
      </c>
      <c r="C26" s="296">
        <v>560</v>
      </c>
      <c r="D26" s="25"/>
      <c r="E26" s="26"/>
      <c r="J26" s="28"/>
      <c r="K26"/>
      <c r="L26"/>
      <c r="M26"/>
      <c r="N26"/>
    </row>
    <row r="27" spans="2:14" ht="15" customHeight="1" thickBot="1">
      <c r="B27" s="299" t="s">
        <v>140</v>
      </c>
      <c r="C27" s="507">
        <v>505</v>
      </c>
      <c r="D27" s="8"/>
      <c r="J27" s="21"/>
      <c r="K27" s="27"/>
      <c r="L27" s="27"/>
      <c r="M27" s="27"/>
      <c r="N27" s="27"/>
    </row>
    <row r="28" spans="2:10" s="27" customFormat="1" ht="16.5" customHeight="1" thickBot="1">
      <c r="B28" s="29"/>
      <c r="C28" s="48"/>
      <c r="D28" s="25"/>
      <c r="E28" s="26"/>
      <c r="J28" s="28"/>
    </row>
    <row r="29" spans="2:10" s="27" customFormat="1" ht="16.5" customHeight="1" thickBot="1">
      <c r="B29" s="525" t="s">
        <v>582</v>
      </c>
      <c r="C29" s="526"/>
      <c r="D29" s="25"/>
      <c r="E29" s="26"/>
      <c r="J29" s="28"/>
    </row>
    <row r="30" spans="2:10" s="27" customFormat="1" ht="15" customHeight="1">
      <c r="B30" s="172" t="s">
        <v>134</v>
      </c>
      <c r="C30" s="176"/>
      <c r="D30" s="25"/>
      <c r="E30" s="26"/>
      <c r="J30" s="28"/>
    </row>
    <row r="31" spans="2:10" s="27" customFormat="1" ht="15" customHeight="1">
      <c r="B31" s="300" t="s">
        <v>129</v>
      </c>
      <c r="C31" s="296">
        <v>700</v>
      </c>
      <c r="D31" s="25"/>
      <c r="E31" s="26"/>
      <c r="J31" s="28"/>
    </row>
    <row r="32" spans="2:10" s="27" customFormat="1" ht="15" customHeight="1">
      <c r="B32" s="300" t="s">
        <v>128</v>
      </c>
      <c r="C32" s="296">
        <v>300</v>
      </c>
      <c r="D32" s="25"/>
      <c r="E32" s="26"/>
      <c r="J32" s="28"/>
    </row>
    <row r="33" spans="2:5" s="27" customFormat="1" ht="15" customHeight="1">
      <c r="B33" s="300" t="s">
        <v>130</v>
      </c>
      <c r="C33" s="296">
        <v>300</v>
      </c>
      <c r="D33" s="25"/>
      <c r="E33" s="26"/>
    </row>
    <row r="34" spans="2:5" s="27" customFormat="1" ht="15" customHeight="1">
      <c r="B34" s="300" t="s">
        <v>131</v>
      </c>
      <c r="C34" s="296">
        <v>218</v>
      </c>
      <c r="D34" s="25"/>
      <c r="E34" s="26"/>
    </row>
    <row r="35" spans="2:5" s="27" customFormat="1" ht="15" customHeight="1">
      <c r="B35" s="163" t="s">
        <v>139</v>
      </c>
      <c r="C35" s="296">
        <v>200</v>
      </c>
      <c r="D35" s="25"/>
      <c r="E35" s="26"/>
    </row>
    <row r="36" spans="2:5" s="27" customFormat="1" ht="15" customHeight="1">
      <c r="B36" s="163" t="s">
        <v>133</v>
      </c>
      <c r="C36" s="301">
        <v>20</v>
      </c>
      <c r="D36" s="25"/>
      <c r="E36" s="26"/>
    </row>
    <row r="37" spans="2:5" s="27" customFormat="1" ht="15" customHeight="1">
      <c r="B37" s="163" t="s">
        <v>142</v>
      </c>
      <c r="C37" s="301">
        <v>50</v>
      </c>
      <c r="D37" s="25"/>
      <c r="E37" s="26"/>
    </row>
    <row r="38" spans="2:5" s="27" customFormat="1" ht="15" customHeight="1">
      <c r="B38" s="174" t="s">
        <v>163</v>
      </c>
      <c r="C38" s="178"/>
      <c r="D38" s="25"/>
      <c r="E38" s="26"/>
    </row>
    <row r="39" spans="2:5" s="27" customFormat="1" ht="15" customHeight="1">
      <c r="B39" s="300" t="s">
        <v>136</v>
      </c>
      <c r="C39" s="301">
        <v>952</v>
      </c>
      <c r="D39" s="25"/>
      <c r="E39" s="26"/>
    </row>
    <row r="40" spans="2:5" s="27" customFormat="1" ht="15" customHeight="1">
      <c r="B40" s="300" t="s">
        <v>137</v>
      </c>
      <c r="C40" s="301">
        <v>957</v>
      </c>
      <c r="D40" s="25"/>
      <c r="E40" s="26"/>
    </row>
    <row r="41" spans="2:5" s="27" customFormat="1" ht="15" customHeight="1">
      <c r="B41" s="300" t="s">
        <v>283</v>
      </c>
      <c r="C41" s="301">
        <v>800</v>
      </c>
      <c r="D41" s="25"/>
      <c r="E41" s="26"/>
    </row>
    <row r="42" spans="2:14" s="27" customFormat="1" ht="15" customHeight="1">
      <c r="B42" s="163" t="s">
        <v>138</v>
      </c>
      <c r="C42" s="301">
        <v>0.85</v>
      </c>
      <c r="D42" s="25"/>
      <c r="E42" s="26"/>
      <c r="K42"/>
      <c r="L42"/>
      <c r="M42"/>
      <c r="N42"/>
    </row>
    <row r="43" spans="2:10" ht="15" customHeight="1">
      <c r="B43" s="174" t="s">
        <v>135</v>
      </c>
      <c r="C43" s="177"/>
      <c r="D43" s="31"/>
      <c r="E43" s="32"/>
      <c r="J43" s="21"/>
    </row>
    <row r="44" spans="2:10" ht="15" customHeight="1">
      <c r="B44" s="302" t="s">
        <v>132</v>
      </c>
      <c r="C44" s="303">
        <v>1500</v>
      </c>
      <c r="D44" s="31"/>
      <c r="E44" s="32"/>
      <c r="J44" s="21"/>
    </row>
    <row r="45" spans="2:10" ht="15" customHeight="1">
      <c r="B45" s="179" t="s">
        <v>165</v>
      </c>
      <c r="C45" s="288"/>
      <c r="D45" s="31"/>
      <c r="E45" s="32"/>
      <c r="J45" s="21"/>
    </row>
    <row r="46" spans="2:10" ht="15" customHeight="1" thickBot="1">
      <c r="B46" s="477" t="s">
        <v>166</v>
      </c>
      <c r="C46" s="478">
        <v>40</v>
      </c>
      <c r="D46" s="31"/>
      <c r="E46" s="32"/>
      <c r="J46" s="21"/>
    </row>
    <row r="47" spans="2:10" ht="15.75" thickBot="1">
      <c r="B47" s="29"/>
      <c r="C47" s="43"/>
      <c r="D47" s="5"/>
      <c r="E47" s="32"/>
      <c r="J47" s="22"/>
    </row>
    <row r="48" spans="2:10" ht="15.75" thickBot="1">
      <c r="B48" s="525" t="s">
        <v>47</v>
      </c>
      <c r="C48" s="526"/>
      <c r="D48" s="5"/>
      <c r="E48" s="32"/>
      <c r="J48" s="22"/>
    </row>
    <row r="49" spans="2:10" ht="15">
      <c r="B49" s="180" t="s">
        <v>241</v>
      </c>
      <c r="C49" s="304">
        <v>1200</v>
      </c>
      <c r="D49" s="5"/>
      <c r="E49" s="33"/>
      <c r="J49" s="22"/>
    </row>
    <row r="50" spans="2:8" ht="16.5" customHeight="1">
      <c r="B50" s="179" t="s">
        <v>250</v>
      </c>
      <c r="C50" s="181"/>
      <c r="D50" s="5"/>
      <c r="E50" s="33"/>
      <c r="F50" s="17"/>
      <c r="G50" s="17"/>
      <c r="H50" s="17"/>
    </row>
    <row r="51" spans="2:8" ht="15" customHeight="1">
      <c r="B51" s="182" t="s">
        <v>48</v>
      </c>
      <c r="C51" s="181"/>
      <c r="D51" s="33"/>
      <c r="E51" s="33"/>
      <c r="F51" s="17"/>
      <c r="G51" s="17"/>
      <c r="H51" s="17"/>
    </row>
    <row r="52" spans="2:8" ht="15" customHeight="1">
      <c r="B52" s="191" t="s">
        <v>149</v>
      </c>
      <c r="C52" s="301">
        <v>10846</v>
      </c>
      <c r="D52" s="33"/>
      <c r="E52" s="33"/>
      <c r="F52" s="16"/>
      <c r="G52" s="16"/>
      <c r="H52" s="17"/>
    </row>
    <row r="53" spans="2:8" ht="15" customHeight="1">
      <c r="B53" s="191" t="s">
        <v>110</v>
      </c>
      <c r="C53" s="301">
        <v>22008</v>
      </c>
      <c r="D53" s="33"/>
      <c r="E53" s="33"/>
      <c r="F53" s="17"/>
      <c r="G53" s="17"/>
      <c r="H53" s="17"/>
    </row>
    <row r="54" spans="2:8" ht="15" customHeight="1">
      <c r="B54" s="191" t="s">
        <v>111</v>
      </c>
      <c r="C54" s="301">
        <v>16500</v>
      </c>
      <c r="D54" s="33"/>
      <c r="E54" s="33"/>
      <c r="F54" s="17"/>
      <c r="G54" s="17"/>
      <c r="H54" s="17"/>
    </row>
    <row r="55" spans="2:8" ht="15" customHeight="1">
      <c r="B55" s="191" t="s">
        <v>112</v>
      </c>
      <c r="C55" s="301">
        <v>10300</v>
      </c>
      <c r="D55" s="33"/>
      <c r="E55" s="33"/>
      <c r="F55" s="8"/>
      <c r="G55" s="8"/>
      <c r="H55" s="8"/>
    </row>
    <row r="56" spans="2:5" ht="15" customHeight="1">
      <c r="B56" s="191" t="s">
        <v>113</v>
      </c>
      <c r="C56" s="301">
        <v>4000</v>
      </c>
      <c r="D56" s="33"/>
      <c r="E56" s="33"/>
    </row>
    <row r="57" spans="2:5" ht="15" customHeight="1">
      <c r="B57" s="182" t="s">
        <v>108</v>
      </c>
      <c r="C57" s="177"/>
      <c r="D57" s="33"/>
      <c r="E57" s="33"/>
    </row>
    <row r="58" spans="2:5" ht="15" customHeight="1">
      <c r="B58" s="191" t="s">
        <v>114</v>
      </c>
      <c r="C58" s="301">
        <v>540</v>
      </c>
      <c r="D58" s="33"/>
      <c r="E58" s="33"/>
    </row>
    <row r="59" spans="2:5" ht="15" customHeight="1">
      <c r="B59" s="191" t="s">
        <v>115</v>
      </c>
      <c r="C59" s="301">
        <v>80</v>
      </c>
      <c r="D59" s="33"/>
      <c r="E59" s="33"/>
    </row>
    <row r="60" spans="2:5" ht="15" customHeight="1">
      <c r="B60" s="191" t="s">
        <v>116</v>
      </c>
      <c r="C60" s="301">
        <v>110</v>
      </c>
      <c r="D60" s="33"/>
      <c r="E60" s="33"/>
    </row>
    <row r="61" spans="2:5" ht="15" customHeight="1">
      <c r="B61" s="191" t="s">
        <v>153</v>
      </c>
      <c r="C61" s="301">
        <v>300</v>
      </c>
      <c r="D61" s="33"/>
      <c r="E61" s="33"/>
    </row>
    <row r="62" spans="2:5" ht="15">
      <c r="B62" s="191" t="s">
        <v>154</v>
      </c>
      <c r="C62" s="301">
        <v>90</v>
      </c>
      <c r="D62" s="5"/>
      <c r="E62" s="33"/>
    </row>
    <row r="63" spans="2:5" ht="15">
      <c r="B63" s="182" t="s">
        <v>122</v>
      </c>
      <c r="C63" s="181"/>
      <c r="D63" s="33"/>
      <c r="E63" s="33"/>
    </row>
    <row r="64" spans="2:5" ht="15">
      <c r="B64" s="191" t="s">
        <v>144</v>
      </c>
      <c r="C64" s="301">
        <v>555.88</v>
      </c>
      <c r="D64" s="33"/>
      <c r="E64" s="33"/>
    </row>
    <row r="65" spans="2:5" ht="15">
      <c r="B65" s="191" t="s">
        <v>143</v>
      </c>
      <c r="C65" s="301">
        <v>14</v>
      </c>
      <c r="D65" s="33"/>
      <c r="E65" s="33"/>
    </row>
    <row r="66" spans="2:5" ht="15">
      <c r="B66" s="191" t="s">
        <v>145</v>
      </c>
      <c r="C66" s="301">
        <v>47</v>
      </c>
      <c r="D66" s="33"/>
      <c r="E66" s="33"/>
    </row>
    <row r="67" spans="2:5" ht="15">
      <c r="B67" s="191" t="s">
        <v>117</v>
      </c>
      <c r="C67" s="301">
        <v>105.84</v>
      </c>
      <c r="D67" s="10"/>
      <c r="E67" s="34"/>
    </row>
    <row r="68" spans="2:5" ht="15">
      <c r="B68" s="191" t="s">
        <v>151</v>
      </c>
      <c r="C68" s="301">
        <v>49.9</v>
      </c>
      <c r="D68" s="9"/>
      <c r="E68" s="33"/>
    </row>
    <row r="69" spans="2:5" ht="15">
      <c r="B69" s="182" t="s">
        <v>109</v>
      </c>
      <c r="C69" s="183"/>
      <c r="D69" s="33"/>
      <c r="E69" s="33"/>
    </row>
    <row r="70" spans="2:5" ht="15">
      <c r="B70" s="191" t="s">
        <v>118</v>
      </c>
      <c r="C70" s="301">
        <v>200</v>
      </c>
      <c r="D70" s="33"/>
      <c r="E70" s="33"/>
    </row>
    <row r="71" spans="2:5" ht="15">
      <c r="B71" s="191" t="s">
        <v>119</v>
      </c>
      <c r="C71" s="301">
        <v>400</v>
      </c>
      <c r="D71" s="5"/>
      <c r="E71" s="33"/>
    </row>
    <row r="72" spans="2:5" ht="15">
      <c r="B72" s="182" t="s">
        <v>123</v>
      </c>
      <c r="C72" s="181"/>
      <c r="D72" s="33"/>
      <c r="E72" s="33"/>
    </row>
    <row r="73" spans="2:3" ht="15.75" thickBot="1">
      <c r="B73" s="194" t="s">
        <v>120</v>
      </c>
      <c r="C73" s="305">
        <v>22000</v>
      </c>
    </row>
    <row r="74" ht="15.75" thickBot="1"/>
    <row r="75" spans="2:3" ht="15">
      <c r="B75" s="306" t="s">
        <v>49</v>
      </c>
      <c r="C75" s="307">
        <f>'Tasa de dscto'!C40</f>
        <v>0.421051974103572</v>
      </c>
    </row>
    <row r="76" spans="2:3" ht="15">
      <c r="B76" s="308" t="s">
        <v>50</v>
      </c>
      <c r="C76" s="309">
        <f>'Tasa de dscto'!C56</f>
        <v>0.1183</v>
      </c>
    </row>
    <row r="77" spans="2:3" ht="15">
      <c r="B77" s="310" t="s">
        <v>51</v>
      </c>
      <c r="C77" s="311">
        <f>C81</f>
        <v>0.4</v>
      </c>
    </row>
    <row r="78" spans="2:3" ht="15">
      <c r="B78" s="310" t="s">
        <v>52</v>
      </c>
      <c r="C78" s="311">
        <f>'Tasa de dscto'!C12</f>
        <v>0.2</v>
      </c>
    </row>
    <row r="79" spans="2:3" ht="15.75" thickBot="1">
      <c r="B79" s="283" t="s">
        <v>53</v>
      </c>
      <c r="C79" s="312">
        <f>C76*(1-C78)*C77+(1-C77)*C75</f>
        <v>0.29048718446214317</v>
      </c>
    </row>
    <row r="80" ht="15.75" thickBot="1"/>
    <row r="81" spans="2:3" ht="15">
      <c r="B81" s="289" t="s">
        <v>293</v>
      </c>
      <c r="C81" s="313">
        <v>0.4</v>
      </c>
    </row>
    <row r="82" spans="2:3" ht="15.75" thickBot="1">
      <c r="B82" s="290" t="s">
        <v>294</v>
      </c>
      <c r="C82" s="314">
        <f>100%-C81</f>
        <v>0.6</v>
      </c>
    </row>
  </sheetData>
  <sheetProtection/>
  <mergeCells count="4">
    <mergeCell ref="B2:C2"/>
    <mergeCell ref="B16:C16"/>
    <mergeCell ref="B29:C29"/>
    <mergeCell ref="B48:C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B1">
      <selection activeCell="C14" sqref="C14"/>
    </sheetView>
  </sheetViews>
  <sheetFormatPr defaultColWidth="11.421875" defaultRowHeight="15"/>
  <cols>
    <col min="2" max="2" width="23.28125" style="0" customWidth="1"/>
    <col min="3" max="3" width="11.57421875" style="0" bestFit="1" customWidth="1"/>
    <col min="4" max="4" width="14.00390625" style="0" customWidth="1"/>
    <col min="5" max="5" width="12.28125" style="0" bestFit="1" customWidth="1"/>
    <col min="6" max="6" width="13.8515625" style="0" customWidth="1"/>
    <col min="7" max="8" width="14.140625" style="0" customWidth="1"/>
    <col min="9" max="9" width="14.421875" style="0" customWidth="1"/>
    <col min="10" max="10" width="13.57421875" style="0" customWidth="1"/>
    <col min="11" max="11" width="14.00390625" style="0" bestFit="1" customWidth="1"/>
    <col min="12" max="12" width="12.421875" style="0" bestFit="1" customWidth="1"/>
    <col min="13" max="13" width="13.140625" style="0" bestFit="1" customWidth="1"/>
    <col min="14" max="14" width="14.00390625" style="0" customWidth="1"/>
  </cols>
  <sheetData>
    <row r="1" spans="2:4" ht="18.75" customHeight="1">
      <c r="B1" s="607" t="s">
        <v>268</v>
      </c>
      <c r="C1" s="607"/>
      <c r="D1" s="607"/>
    </row>
    <row r="2" ht="15.75" thickBot="1"/>
    <row r="3" spans="2:14" ht="15.75" thickBot="1">
      <c r="B3" s="85"/>
      <c r="C3" s="379" t="s">
        <v>211</v>
      </c>
      <c r="D3" s="380" t="s">
        <v>212</v>
      </c>
      <c r="E3" s="380" t="s">
        <v>213</v>
      </c>
      <c r="F3" s="380" t="s">
        <v>214</v>
      </c>
      <c r="G3" s="380" t="s">
        <v>215</v>
      </c>
      <c r="H3" s="380" t="s">
        <v>216</v>
      </c>
      <c r="I3" s="380" t="s">
        <v>217</v>
      </c>
      <c r="J3" s="380" t="s">
        <v>218</v>
      </c>
      <c r="K3" s="380" t="s">
        <v>219</v>
      </c>
      <c r="L3" s="380" t="s">
        <v>220</v>
      </c>
      <c r="M3" s="380" t="s">
        <v>221</v>
      </c>
      <c r="N3" s="381" t="s">
        <v>222</v>
      </c>
    </row>
    <row r="4" spans="2:15" ht="15">
      <c r="B4" s="383" t="s">
        <v>267</v>
      </c>
      <c r="C4" s="384">
        <v>0.05</v>
      </c>
      <c r="D4" s="384">
        <v>0.05</v>
      </c>
      <c r="E4" s="384">
        <v>0.05</v>
      </c>
      <c r="F4" s="384">
        <v>0.05</v>
      </c>
      <c r="G4" s="384">
        <v>0.05</v>
      </c>
      <c r="H4" s="384">
        <v>0.1</v>
      </c>
      <c r="I4" s="384">
        <v>0.1</v>
      </c>
      <c r="J4" s="384">
        <v>0.15</v>
      </c>
      <c r="K4" s="384">
        <v>0.15</v>
      </c>
      <c r="L4" s="384">
        <v>0.1</v>
      </c>
      <c r="M4" s="384">
        <v>0.1</v>
      </c>
      <c r="N4" s="385">
        <v>0.05</v>
      </c>
      <c r="O4" s="386">
        <f>SUM(C4:N4)</f>
        <v>1</v>
      </c>
    </row>
    <row r="5" spans="2:15" ht="15">
      <c r="B5" s="387" t="s">
        <v>223</v>
      </c>
      <c r="C5" s="399">
        <f aca="true" t="shared" si="0" ref="C5:N5">$C$12*C4</f>
        <v>9177.146899095213</v>
      </c>
      <c r="D5" s="399">
        <f t="shared" si="0"/>
        <v>9177.146899095213</v>
      </c>
      <c r="E5" s="399">
        <f t="shared" si="0"/>
        <v>9177.146899095213</v>
      </c>
      <c r="F5" s="399">
        <f t="shared" si="0"/>
        <v>9177.146899095213</v>
      </c>
      <c r="G5" s="399">
        <f t="shared" si="0"/>
        <v>9177.146899095213</v>
      </c>
      <c r="H5" s="399">
        <f t="shared" si="0"/>
        <v>18354.293798190425</v>
      </c>
      <c r="I5" s="399">
        <f t="shared" si="0"/>
        <v>18354.293798190425</v>
      </c>
      <c r="J5" s="399">
        <f t="shared" si="0"/>
        <v>27531.440697285638</v>
      </c>
      <c r="K5" s="399">
        <f t="shared" si="0"/>
        <v>27531.440697285638</v>
      </c>
      <c r="L5" s="399">
        <f t="shared" si="0"/>
        <v>18354.293798190425</v>
      </c>
      <c r="M5" s="399">
        <f t="shared" si="0"/>
        <v>18354.293798190425</v>
      </c>
      <c r="N5" s="400">
        <f t="shared" si="0"/>
        <v>9177.146899095213</v>
      </c>
      <c r="O5" s="95"/>
    </row>
    <row r="6" spans="2:15" ht="15">
      <c r="B6" s="388" t="s">
        <v>162</v>
      </c>
      <c r="C6" s="389">
        <f>Datos!C14</f>
        <v>1.25</v>
      </c>
      <c r="D6" s="389">
        <f>C6</f>
        <v>1.25</v>
      </c>
      <c r="E6" s="389">
        <f aca="true" t="shared" si="1" ref="E6:N6">D6</f>
        <v>1.25</v>
      </c>
      <c r="F6" s="389">
        <f t="shared" si="1"/>
        <v>1.25</v>
      </c>
      <c r="G6" s="389">
        <f t="shared" si="1"/>
        <v>1.25</v>
      </c>
      <c r="H6" s="389">
        <f t="shared" si="1"/>
        <v>1.25</v>
      </c>
      <c r="I6" s="389">
        <f t="shared" si="1"/>
        <v>1.25</v>
      </c>
      <c r="J6" s="389">
        <f t="shared" si="1"/>
        <v>1.25</v>
      </c>
      <c r="K6" s="389">
        <f t="shared" si="1"/>
        <v>1.25</v>
      </c>
      <c r="L6" s="389">
        <f t="shared" si="1"/>
        <v>1.25</v>
      </c>
      <c r="M6" s="389">
        <f t="shared" si="1"/>
        <v>1.25</v>
      </c>
      <c r="N6" s="390">
        <f t="shared" si="1"/>
        <v>1.25</v>
      </c>
      <c r="O6" s="95"/>
    </row>
    <row r="7" spans="2:15" ht="15">
      <c r="B7" s="388" t="s">
        <v>224</v>
      </c>
      <c r="C7" s="391">
        <f>C5*C6</f>
        <v>11471.433623869016</v>
      </c>
      <c r="D7" s="391">
        <f aca="true" t="shared" si="2" ref="D7:N7">D5*D6</f>
        <v>11471.433623869016</v>
      </c>
      <c r="E7" s="391">
        <f t="shared" si="2"/>
        <v>11471.433623869016</v>
      </c>
      <c r="F7" s="391">
        <f t="shared" si="2"/>
        <v>11471.433623869016</v>
      </c>
      <c r="G7" s="391">
        <f t="shared" si="2"/>
        <v>11471.433623869016</v>
      </c>
      <c r="H7" s="391">
        <f t="shared" si="2"/>
        <v>22942.86724773803</v>
      </c>
      <c r="I7" s="391">
        <f t="shared" si="2"/>
        <v>22942.86724773803</v>
      </c>
      <c r="J7" s="391">
        <f t="shared" si="2"/>
        <v>34414.30087160705</v>
      </c>
      <c r="K7" s="391">
        <f t="shared" si="2"/>
        <v>34414.30087160705</v>
      </c>
      <c r="L7" s="391">
        <f t="shared" si="2"/>
        <v>22942.86724773803</v>
      </c>
      <c r="M7" s="391">
        <f t="shared" si="2"/>
        <v>22942.86724773803</v>
      </c>
      <c r="N7" s="392">
        <f t="shared" si="2"/>
        <v>11471.433623869016</v>
      </c>
      <c r="O7" s="95"/>
    </row>
    <row r="8" spans="2:15" ht="15">
      <c r="B8" s="388" t="s">
        <v>266</v>
      </c>
      <c r="C8" s="391">
        <f>('Flujo de Caja'!$D$20/'Flujo de Caja'!$D$13)*C5</f>
        <v>4546.311175226321</v>
      </c>
      <c r="D8" s="391">
        <f>('Flujo de Caja'!$D$20/'Flujo de Caja'!$D$13)*D5</f>
        <v>4546.311175226321</v>
      </c>
      <c r="E8" s="391">
        <f>('Flujo de Caja'!$D$20/'Flujo de Caja'!$D$13)*E5</f>
        <v>4546.311175226321</v>
      </c>
      <c r="F8" s="391">
        <f>('Flujo de Caja'!$D$20/'Flujo de Caja'!$D$13)*F5</f>
        <v>4546.311175226321</v>
      </c>
      <c r="G8" s="391">
        <f>('Flujo de Caja'!$D$20/'Flujo de Caja'!$D$13)*G5</f>
        <v>4546.311175226321</v>
      </c>
      <c r="H8" s="391">
        <f>('Flujo de Caja'!$D$20/'Flujo de Caja'!$D$13)*H5</f>
        <v>9092.622350452642</v>
      </c>
      <c r="I8" s="391">
        <f>('Flujo de Caja'!$D$20/'Flujo de Caja'!$D$13)*I5</f>
        <v>9092.622350452642</v>
      </c>
      <c r="J8" s="391">
        <f>('Flujo de Caja'!$D$20/'Flujo de Caja'!$D$13)*J5</f>
        <v>13638.933525678964</v>
      </c>
      <c r="K8" s="391">
        <f>('Flujo de Caja'!$D$20/'Flujo de Caja'!$D$13)*K5</f>
        <v>13638.933525678964</v>
      </c>
      <c r="L8" s="391">
        <f>('Flujo de Caja'!$D$20/'Flujo de Caja'!$D$13)*L5</f>
        <v>9092.622350452642</v>
      </c>
      <c r="M8" s="391">
        <f>('Flujo de Caja'!$D$20/'Flujo de Caja'!$D$13)*M5</f>
        <v>9092.622350452642</v>
      </c>
      <c r="N8" s="392">
        <f>('Flujo de Caja'!$D$20/'Flujo de Caja'!$D$13)*N5</f>
        <v>4546.311175226321</v>
      </c>
      <c r="O8" s="95"/>
    </row>
    <row r="9" spans="2:15" ht="15">
      <c r="B9" s="388" t="s">
        <v>225</v>
      </c>
      <c r="C9" s="391">
        <f>SUM('Flujo de Caja'!$D$21:$D$25)/12</f>
        <v>4568.2812</v>
      </c>
      <c r="D9" s="391">
        <f>SUM('Flujo de Caja'!$D$21:$D$25)/12</f>
        <v>4568.2812</v>
      </c>
      <c r="E9" s="391">
        <f>SUM('Flujo de Caja'!$D$21:$D$25)/12</f>
        <v>4568.2812</v>
      </c>
      <c r="F9" s="391">
        <f>SUM('Flujo de Caja'!$D$21:$D$25)/12</f>
        <v>4568.2812</v>
      </c>
      <c r="G9" s="391">
        <f>SUM('Flujo de Caja'!$D$21:$D$25)/12</f>
        <v>4568.2812</v>
      </c>
      <c r="H9" s="391">
        <f>SUM('Flujo de Caja'!$D$21:$D$25)/12</f>
        <v>4568.2812</v>
      </c>
      <c r="I9" s="391">
        <f>SUM('Flujo de Caja'!$D$21:$D$25)/12</f>
        <v>4568.2812</v>
      </c>
      <c r="J9" s="391">
        <f>SUM('Flujo de Caja'!$D$21:$D$25)/12</f>
        <v>4568.2812</v>
      </c>
      <c r="K9" s="391">
        <f>SUM('Flujo de Caja'!$D$21:$D$25)/12</f>
        <v>4568.2812</v>
      </c>
      <c r="L9" s="391">
        <f>SUM('Flujo de Caja'!$D$21:$D$25)/12</f>
        <v>4568.2812</v>
      </c>
      <c r="M9" s="391">
        <f>SUM('Flujo de Caja'!$D$21:$D$25)/12</f>
        <v>4568.2812</v>
      </c>
      <c r="N9" s="392">
        <f>SUM('Flujo de Caja'!$D$21:$D$25)/12</f>
        <v>4568.2812</v>
      </c>
      <c r="O9" s="95"/>
    </row>
    <row r="10" spans="2:15" ht="15">
      <c r="B10" s="388" t="s">
        <v>226</v>
      </c>
      <c r="C10" s="391">
        <f>C7-C8-C9</f>
        <v>2356.841248642694</v>
      </c>
      <c r="D10" s="391">
        <f aca="true" t="shared" si="3" ref="D10:N10">D7-D8-D9</f>
        <v>2356.841248642694</v>
      </c>
      <c r="E10" s="391">
        <f t="shared" si="3"/>
        <v>2356.841248642694</v>
      </c>
      <c r="F10" s="391">
        <f t="shared" si="3"/>
        <v>2356.841248642694</v>
      </c>
      <c r="G10" s="391">
        <f t="shared" si="3"/>
        <v>2356.841248642694</v>
      </c>
      <c r="H10" s="391">
        <f t="shared" si="3"/>
        <v>9281.963697285388</v>
      </c>
      <c r="I10" s="391">
        <f t="shared" si="3"/>
        <v>9281.963697285388</v>
      </c>
      <c r="J10" s="391">
        <f t="shared" si="3"/>
        <v>16207.086145928082</v>
      </c>
      <c r="K10" s="391">
        <f t="shared" si="3"/>
        <v>16207.086145928082</v>
      </c>
      <c r="L10" s="391">
        <f t="shared" si="3"/>
        <v>9281.963697285388</v>
      </c>
      <c r="M10" s="391">
        <f t="shared" si="3"/>
        <v>9281.963697285388</v>
      </c>
      <c r="N10" s="392">
        <f t="shared" si="3"/>
        <v>2356.841248642694</v>
      </c>
      <c r="O10" s="95"/>
    </row>
    <row r="11" spans="2:15" ht="15.75" thickBot="1">
      <c r="B11" s="393" t="s">
        <v>227</v>
      </c>
      <c r="C11" s="394">
        <f>C10</f>
        <v>2356.841248642694</v>
      </c>
      <c r="D11" s="394">
        <f>D10+C11</f>
        <v>4713.682497285388</v>
      </c>
      <c r="E11" s="394">
        <f>E10+D11</f>
        <v>7070.5237459280825</v>
      </c>
      <c r="F11" s="394">
        <f aca="true" t="shared" si="4" ref="F11:M11">F10+E11</f>
        <v>9427.364994570777</v>
      </c>
      <c r="G11" s="395">
        <f t="shared" si="4"/>
        <v>11784.20624321347</v>
      </c>
      <c r="H11" s="394">
        <f t="shared" si="4"/>
        <v>21066.169940498858</v>
      </c>
      <c r="I11" s="396">
        <f t="shared" si="4"/>
        <v>30348.133637784245</v>
      </c>
      <c r="J11" s="394">
        <f t="shared" si="4"/>
        <v>46555.219783712324</v>
      </c>
      <c r="K11" s="394">
        <f t="shared" si="4"/>
        <v>62762.30592964041</v>
      </c>
      <c r="L11" s="394">
        <f t="shared" si="4"/>
        <v>72044.2696269258</v>
      </c>
      <c r="M11" s="394">
        <f t="shared" si="4"/>
        <v>81326.23332421119</v>
      </c>
      <c r="N11" s="397">
        <f>N10+M11</f>
        <v>83683.07457285389</v>
      </c>
      <c r="O11" s="95"/>
    </row>
    <row r="12" spans="2:15" ht="15.75" thickBot="1">
      <c r="B12" s="382" t="s">
        <v>265</v>
      </c>
      <c r="C12" s="398">
        <f>AVERAGE('Flujo de Caja'!D9:M9)</f>
        <v>183542.93798190425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ht="15">
      <c r="D13" s="85"/>
    </row>
    <row r="14" spans="2:7" ht="15">
      <c r="B14" s="286" t="s">
        <v>576</v>
      </c>
      <c r="C14" s="285">
        <f>MIN(C11:N11)</f>
        <v>2356.841248642694</v>
      </c>
      <c r="F14" s="84"/>
      <c r="G14" s="84"/>
    </row>
    <row r="15" spans="4:7" ht="15">
      <c r="D15" s="84"/>
      <c r="E15" s="84"/>
      <c r="F15" s="84"/>
      <c r="G15" s="84"/>
    </row>
    <row r="16" spans="2:14" ht="15">
      <c r="B16" s="1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2:14" ht="15">
      <c r="B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2:14" ht="15">
      <c r="B18" s="91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2:14" ht="15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2:14" ht="1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2:14" ht="15">
      <c r="B21" s="86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2:14" ht="15">
      <c r="B22" s="86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2:14" ht="15">
      <c r="B23" s="8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2:14" ht="15">
      <c r="B24" s="8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2:14" ht="1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4" ht="15">
      <c r="B26" s="87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2:14" ht="15">
      <c r="B27" s="8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2:14" ht="15">
      <c r="B28" s="87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2:14" ht="15">
      <c r="B29" s="87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2:14" ht="15">
      <c r="B30" s="88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2:14" ht="15">
      <c r="B31" s="88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5" spans="2:3" ht="15">
      <c r="B35" s="44" t="s">
        <v>265</v>
      </c>
      <c r="C35" s="44">
        <v>669817.69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4:F15"/>
  <sheetViews>
    <sheetView zoomScalePageLayoutView="0" workbookViewId="0" topLeftCell="A1">
      <selection activeCell="F19" sqref="F19"/>
    </sheetView>
  </sheetViews>
  <sheetFormatPr defaultColWidth="11.421875" defaultRowHeight="15"/>
  <cols>
    <col min="4" max="4" width="18.00390625" style="0" customWidth="1"/>
    <col min="5" max="5" width="17.57421875" style="0" customWidth="1"/>
    <col min="6" max="6" width="13.7109375" style="0" customWidth="1"/>
  </cols>
  <sheetData>
    <row r="3" ht="15.75" thickBot="1"/>
    <row r="4" spans="2:6" ht="26.25" thickBot="1">
      <c r="B4" s="468" t="s">
        <v>330</v>
      </c>
      <c r="C4" s="469" t="s">
        <v>594</v>
      </c>
      <c r="D4" s="468" t="s">
        <v>595</v>
      </c>
      <c r="E4" s="468" t="s">
        <v>596</v>
      </c>
      <c r="F4" s="470" t="s">
        <v>597</v>
      </c>
    </row>
    <row r="5" spans="2:6" ht="15">
      <c r="B5" s="454">
        <v>0</v>
      </c>
      <c r="C5" s="457"/>
      <c r="D5" s="458"/>
      <c r="E5" s="458"/>
      <c r="F5" s="459">
        <f>-Préstamo!C13</f>
        <v>-62610.49574592808</v>
      </c>
    </row>
    <row r="6" spans="2:6" ht="15">
      <c r="B6" s="455">
        <v>1</v>
      </c>
      <c r="C6" s="460">
        <f>'Flujo de Caja'!D90</f>
        <v>1891.9553743135293</v>
      </c>
      <c r="D6" s="461">
        <f>F5*Datos!$C$79</f>
        <v>-18187.54662701364</v>
      </c>
      <c r="E6" s="461">
        <f>C6+D6</f>
        <v>-16295.59125270011</v>
      </c>
      <c r="F6" s="462">
        <f>F5+E6</f>
        <v>-78906.08699862819</v>
      </c>
    </row>
    <row r="7" spans="2:6" ht="15">
      <c r="B7" s="455">
        <v>2</v>
      </c>
      <c r="C7" s="460">
        <f>'Flujo de Caja'!E90</f>
        <v>20132.85869989471</v>
      </c>
      <c r="D7" s="461">
        <f>F6*Datos!$C$79</f>
        <v>-22921.207049156423</v>
      </c>
      <c r="E7" s="461">
        <f aca="true" t="shared" si="0" ref="E7:E15">C7+D7</f>
        <v>-2788.3483492617124</v>
      </c>
      <c r="F7" s="462">
        <f aca="true" t="shared" si="1" ref="F7:F15">F6+E7</f>
        <v>-81694.4353478899</v>
      </c>
    </row>
    <row r="8" spans="2:6" ht="15">
      <c r="B8" s="455">
        <v>3</v>
      </c>
      <c r="C8" s="460">
        <f>'Flujo de Caja'!F90</f>
        <v>29524.927758731617</v>
      </c>
      <c r="D8" s="461">
        <f>F7*Datos!$C$79</f>
        <v>-23731.186510433123</v>
      </c>
      <c r="E8" s="461">
        <f t="shared" si="0"/>
        <v>5793.741248298495</v>
      </c>
      <c r="F8" s="462">
        <f t="shared" si="1"/>
        <v>-75900.6940995914</v>
      </c>
    </row>
    <row r="9" spans="2:6" ht="15">
      <c r="B9" s="511">
        <v>4</v>
      </c>
      <c r="C9" s="512">
        <f>'Flujo de Caja'!G90</f>
        <v>43816.72686118024</v>
      </c>
      <c r="D9" s="513">
        <f>F8*Datos!$C$79</f>
        <v>-22048.17892771271</v>
      </c>
      <c r="E9" s="513">
        <f t="shared" si="0"/>
        <v>21768.547933467533</v>
      </c>
      <c r="F9" s="514">
        <f t="shared" si="1"/>
        <v>-54132.14616612387</v>
      </c>
    </row>
    <row r="10" spans="2:6" ht="15">
      <c r="B10" s="479">
        <v>5</v>
      </c>
      <c r="C10" s="480">
        <f>'Flujo de Caja'!H90</f>
        <v>40733.40867678186</v>
      </c>
      <c r="D10" s="480">
        <f>F9*Datos!$C$79</f>
        <v>-15724.694728690522</v>
      </c>
      <c r="E10" s="480">
        <f t="shared" si="0"/>
        <v>25008.71394809134</v>
      </c>
      <c r="F10" s="481">
        <f t="shared" si="1"/>
        <v>-29123.432218032533</v>
      </c>
    </row>
    <row r="11" spans="2:6" ht="15">
      <c r="B11" s="455">
        <v>6</v>
      </c>
      <c r="C11" s="460">
        <f>'Flujo de Caja'!I90</f>
        <v>67355.76130990987</v>
      </c>
      <c r="D11" s="461">
        <f>F10*Datos!$C$79</f>
        <v>-8459.98382689034</v>
      </c>
      <c r="E11" s="461">
        <f t="shared" si="0"/>
        <v>58895.77748301953</v>
      </c>
      <c r="F11" s="462">
        <f t="shared" si="1"/>
        <v>29772.345264986994</v>
      </c>
    </row>
    <row r="12" spans="2:6" ht="15">
      <c r="B12" s="479">
        <v>7</v>
      </c>
      <c r="C12" s="509">
        <f>'Flujo de Caja'!J90</f>
        <v>83232.66398528499</v>
      </c>
      <c r="D12" s="480">
        <f>F11*Datos!$C$79</f>
        <v>8648.484750860891</v>
      </c>
      <c r="E12" s="480">
        <f t="shared" si="0"/>
        <v>91881.14873614589</v>
      </c>
      <c r="F12" s="510">
        <f t="shared" si="1"/>
        <v>121653.49400113287</v>
      </c>
    </row>
    <row r="13" spans="2:6" ht="15">
      <c r="B13" s="455">
        <v>8</v>
      </c>
      <c r="C13" s="460">
        <f>'Flujo de Caja'!K90</f>
        <v>97466.84839349678</v>
      </c>
      <c r="D13" s="461">
        <f>F12*Datos!$C$79</f>
        <v>35338.780952371315</v>
      </c>
      <c r="E13" s="461">
        <f t="shared" si="0"/>
        <v>132805.6293458681</v>
      </c>
      <c r="F13" s="462">
        <f t="shared" si="1"/>
        <v>254459.12334700098</v>
      </c>
    </row>
    <row r="14" spans="2:6" ht="15">
      <c r="B14" s="455">
        <v>9</v>
      </c>
      <c r="C14" s="460">
        <f>'Flujo de Caja'!L90</f>
        <v>110072.77734117307</v>
      </c>
      <c r="D14" s="461">
        <f>F13*Datos!$C$79</f>
        <v>73917.11430177551</v>
      </c>
      <c r="E14" s="461">
        <f t="shared" si="0"/>
        <v>183989.89164294858</v>
      </c>
      <c r="F14" s="462">
        <f t="shared" si="1"/>
        <v>438449.01498994953</v>
      </c>
    </row>
    <row r="15" spans="2:6" ht="15.75" thickBot="1">
      <c r="B15" s="456">
        <v>10</v>
      </c>
      <c r="C15" s="463">
        <f>'Flujo de Caja'!M90</f>
        <v>294184.93673570413</v>
      </c>
      <c r="D15" s="464">
        <f>F14*Datos!$C$79</f>
        <v>127363.81989463045</v>
      </c>
      <c r="E15" s="464">
        <f t="shared" si="0"/>
        <v>421548.7566303346</v>
      </c>
      <c r="F15" s="465">
        <f t="shared" si="1"/>
        <v>859997.7716202841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xSplit="2" ySplit="2" topLeftCell="C6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93" sqref="E93"/>
    </sheetView>
  </sheetViews>
  <sheetFormatPr defaultColWidth="11.421875" defaultRowHeight="15"/>
  <cols>
    <col min="1" max="1" width="1.421875" style="0" customWidth="1"/>
    <col min="2" max="2" width="37.8515625" style="50" bestFit="1" customWidth="1"/>
    <col min="3" max="3" width="13.140625" style="49" customWidth="1"/>
    <col min="4" max="4" width="12.8515625" style="49" bestFit="1" customWidth="1"/>
    <col min="5" max="7" width="13.140625" style="49" bestFit="1" customWidth="1"/>
    <col min="8" max="8" width="13.28125" style="49" bestFit="1" customWidth="1"/>
    <col min="9" max="13" width="13.140625" style="49" bestFit="1" customWidth="1"/>
  </cols>
  <sheetData>
    <row r="1" spans="4:13" ht="7.5" customHeight="1" thickBot="1"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thickBot="1">
      <c r="B2" s="51"/>
      <c r="C2" s="353" t="s">
        <v>16</v>
      </c>
      <c r="D2" s="348" t="s">
        <v>0</v>
      </c>
      <c r="E2" s="348" t="s">
        <v>1</v>
      </c>
      <c r="F2" s="348" t="s">
        <v>2</v>
      </c>
      <c r="G2" s="348" t="s">
        <v>3</v>
      </c>
      <c r="H2" s="348" t="s">
        <v>4</v>
      </c>
      <c r="I2" s="348" t="s">
        <v>11</v>
      </c>
      <c r="J2" s="348" t="s">
        <v>12</v>
      </c>
      <c r="K2" s="348" t="s">
        <v>13</v>
      </c>
      <c r="L2" s="348" t="s">
        <v>14</v>
      </c>
      <c r="M2" s="349" t="s">
        <v>15</v>
      </c>
    </row>
    <row r="3" spans="1:13" ht="15">
      <c r="A3" s="1"/>
      <c r="B3" s="420" t="s">
        <v>5</v>
      </c>
      <c r="C3" s="421"/>
      <c r="D3" s="422">
        <f>Datos!C6</f>
        <v>212290.26200000002</v>
      </c>
      <c r="E3" s="422">
        <f>D3*(1+Datos!$C$10)^1</f>
        <v>217385.228288</v>
      </c>
      <c r="F3" s="422">
        <f>E3*(1+Datos!$C$10)^1</f>
        <v>222602.473766912</v>
      </c>
      <c r="G3" s="422">
        <f>F3*(1+Datos!$C$10)^1</f>
        <v>227944.9331373179</v>
      </c>
      <c r="H3" s="422">
        <f>G3*(1+Datos!$C$10)^1</f>
        <v>233415.61153261352</v>
      </c>
      <c r="I3" s="422">
        <f>H3*(1+Datos!$C$10)^1</f>
        <v>239017.58620939625</v>
      </c>
      <c r="J3" s="422">
        <f>I3*(1+Datos!$C$10)^1</f>
        <v>244754.00827842177</v>
      </c>
      <c r="K3" s="422">
        <f>J3*(1+Datos!$C$10)^1</f>
        <v>250628.1044771039</v>
      </c>
      <c r="L3" s="422">
        <f>K3*(1+Datos!$C$10)^1</f>
        <v>256643.1789845544</v>
      </c>
      <c r="M3" s="423">
        <f>L3*(1+Datos!$C$10)^1</f>
        <v>262802.61528018373</v>
      </c>
    </row>
    <row r="4" spans="1:13" ht="15">
      <c r="A4" s="1"/>
      <c r="B4" s="424" t="s">
        <v>6</v>
      </c>
      <c r="C4" s="401"/>
      <c r="D4" s="402">
        <f>Datos!$C$7</f>
        <v>0.8</v>
      </c>
      <c r="E4" s="402">
        <f>Datos!$C$7</f>
        <v>0.8</v>
      </c>
      <c r="F4" s="402">
        <f>Datos!$C$7</f>
        <v>0.8</v>
      </c>
      <c r="G4" s="402">
        <f>Datos!$C$7</f>
        <v>0.8</v>
      </c>
      <c r="H4" s="402">
        <f>Datos!$C$7</f>
        <v>0.8</v>
      </c>
      <c r="I4" s="402">
        <f>Datos!$C$7</f>
        <v>0.8</v>
      </c>
      <c r="J4" s="402">
        <f>Datos!$C$7</f>
        <v>0.8</v>
      </c>
      <c r="K4" s="402">
        <f>Datos!$C$7</f>
        <v>0.8</v>
      </c>
      <c r="L4" s="402">
        <f>Datos!$C$7</f>
        <v>0.8</v>
      </c>
      <c r="M4" s="425">
        <f>Datos!$C$7</f>
        <v>0.8</v>
      </c>
    </row>
    <row r="5" spans="2:13" ht="15">
      <c r="B5" s="424" t="s">
        <v>209</v>
      </c>
      <c r="C5" s="401"/>
      <c r="D5" s="403">
        <f>D3*D4</f>
        <v>169832.20960000003</v>
      </c>
      <c r="E5" s="403">
        <f aca="true" t="shared" si="0" ref="E5:M5">E3*E4</f>
        <v>173908.18263040003</v>
      </c>
      <c r="F5" s="403">
        <f t="shared" si="0"/>
        <v>178081.9790135296</v>
      </c>
      <c r="G5" s="403">
        <f t="shared" si="0"/>
        <v>182355.94650985432</v>
      </c>
      <c r="H5" s="403">
        <f t="shared" si="0"/>
        <v>186732.48922609084</v>
      </c>
      <c r="I5" s="403">
        <f t="shared" si="0"/>
        <v>191214.068967517</v>
      </c>
      <c r="J5" s="403">
        <f t="shared" si="0"/>
        <v>195803.20662273743</v>
      </c>
      <c r="K5" s="403">
        <f t="shared" si="0"/>
        <v>200502.48358168313</v>
      </c>
      <c r="L5" s="403">
        <f t="shared" si="0"/>
        <v>205314.54318764352</v>
      </c>
      <c r="M5" s="426">
        <f t="shared" si="0"/>
        <v>210242.092224147</v>
      </c>
    </row>
    <row r="6" spans="2:13" ht="15">
      <c r="B6" s="424" t="s">
        <v>7</v>
      </c>
      <c r="C6" s="401"/>
      <c r="D6" s="404">
        <f>Datos!$C$8</f>
        <v>0.05</v>
      </c>
      <c r="E6" s="404">
        <f>D6+Datos!$C$11</f>
        <v>0.060000000000000005</v>
      </c>
      <c r="F6" s="404">
        <f>E6+Datos!$C$11</f>
        <v>0.07</v>
      </c>
      <c r="G6" s="404">
        <f>F6+Datos!$C$11</f>
        <v>0.08</v>
      </c>
      <c r="H6" s="404">
        <f>G6+Datos!$C$11</f>
        <v>0.09</v>
      </c>
      <c r="I6" s="404">
        <f>H6+Datos!$C$11</f>
        <v>0.09999999999999999</v>
      </c>
      <c r="J6" s="404">
        <f>I6+Datos!$C$11</f>
        <v>0.10999999999999999</v>
      </c>
      <c r="K6" s="404">
        <f>J6+Datos!$C$11</f>
        <v>0.11999999999999998</v>
      </c>
      <c r="L6" s="404">
        <f>K6+Datos!$C$11</f>
        <v>0.12999999999999998</v>
      </c>
      <c r="M6" s="493">
        <f>L6+Datos!$C$11</f>
        <v>0.13999999999999999</v>
      </c>
    </row>
    <row r="7" spans="2:13" ht="15">
      <c r="B7" s="424" t="s">
        <v>210</v>
      </c>
      <c r="C7" s="401"/>
      <c r="D7" s="403">
        <f>D5*D6</f>
        <v>8491.610480000001</v>
      </c>
      <c r="E7" s="403">
        <f aca="true" t="shared" si="1" ref="E7:M7">E5*E6</f>
        <v>10434.490957824002</v>
      </c>
      <c r="F7" s="403">
        <f t="shared" si="1"/>
        <v>12465.738530947074</v>
      </c>
      <c r="G7" s="403">
        <f t="shared" si="1"/>
        <v>14588.475720788345</v>
      </c>
      <c r="H7" s="403">
        <f t="shared" si="1"/>
        <v>16805.924030348175</v>
      </c>
      <c r="I7" s="403">
        <f t="shared" si="1"/>
        <v>19121.406896751698</v>
      </c>
      <c r="J7" s="403">
        <f t="shared" si="1"/>
        <v>21538.352728501115</v>
      </c>
      <c r="K7" s="403">
        <f t="shared" si="1"/>
        <v>24060.298029801972</v>
      </c>
      <c r="L7" s="403">
        <f t="shared" si="1"/>
        <v>26690.89061439365</v>
      </c>
      <c r="M7" s="426">
        <f t="shared" si="1"/>
        <v>29433.892911380575</v>
      </c>
    </row>
    <row r="8" spans="2:13" ht="15">
      <c r="B8" s="424" t="s">
        <v>9</v>
      </c>
      <c r="C8" s="401"/>
      <c r="D8" s="403">
        <f>Datos!$C$9</f>
        <v>9.9952</v>
      </c>
      <c r="E8" s="403">
        <f>Datos!$C$9</f>
        <v>9.9952</v>
      </c>
      <c r="F8" s="403">
        <f>Datos!$C$9</f>
        <v>9.9952</v>
      </c>
      <c r="G8" s="403">
        <f>Datos!$C$9</f>
        <v>9.9952</v>
      </c>
      <c r="H8" s="403">
        <f>Datos!$C$9</f>
        <v>9.9952</v>
      </c>
      <c r="I8" s="403">
        <f>Datos!$C$9</f>
        <v>9.9952</v>
      </c>
      <c r="J8" s="403">
        <f>Datos!$C$9</f>
        <v>9.9952</v>
      </c>
      <c r="K8" s="403">
        <f>Datos!$C$9</f>
        <v>9.9952</v>
      </c>
      <c r="L8" s="403">
        <f>Datos!$C$9</f>
        <v>9.9952</v>
      </c>
      <c r="M8" s="426">
        <f>Datos!$C$9</f>
        <v>9.9952</v>
      </c>
    </row>
    <row r="9" spans="2:13" ht="15.75" thickBot="1">
      <c r="B9" s="427" t="s">
        <v>269</v>
      </c>
      <c r="C9" s="428"/>
      <c r="D9" s="429">
        <f>D7*D8</f>
        <v>84875.34506969602</v>
      </c>
      <c r="E9" s="429">
        <f aca="true" t="shared" si="2" ref="E9:M9">E7*E8</f>
        <v>104294.82402164247</v>
      </c>
      <c r="F9" s="429">
        <f t="shared" si="2"/>
        <v>124597.54976452219</v>
      </c>
      <c r="G9" s="429">
        <f t="shared" si="2"/>
        <v>145814.73252442369</v>
      </c>
      <c r="H9" s="429">
        <f t="shared" si="2"/>
        <v>167978.5718681361</v>
      </c>
      <c r="I9" s="429">
        <f t="shared" si="2"/>
        <v>191122.28621441257</v>
      </c>
      <c r="J9" s="429">
        <f t="shared" si="2"/>
        <v>215280.14319191437</v>
      </c>
      <c r="K9" s="429">
        <f t="shared" si="2"/>
        <v>240487.49086747668</v>
      </c>
      <c r="L9" s="429">
        <f t="shared" si="2"/>
        <v>266780.78986898746</v>
      </c>
      <c r="M9" s="430">
        <f t="shared" si="2"/>
        <v>294197.64642783115</v>
      </c>
    </row>
    <row r="10" spans="2:13" ht="15">
      <c r="B10" s="52" t="s">
        <v>604</v>
      </c>
      <c r="C10" s="405"/>
      <c r="D10" s="492"/>
      <c r="E10" s="406">
        <f>(E9/D9)-1</f>
        <v>0.22880000000000011</v>
      </c>
      <c r="F10" s="406">
        <f aca="true" t="shared" si="3" ref="F10:M10">(F9/E9)-1</f>
        <v>0.19466666666666654</v>
      </c>
      <c r="G10" s="406">
        <f t="shared" si="3"/>
        <v>0.17028571428571437</v>
      </c>
      <c r="H10" s="406">
        <f t="shared" si="3"/>
        <v>0.1519999999999999</v>
      </c>
      <c r="I10" s="406">
        <f t="shared" si="3"/>
        <v>0.13777777777777755</v>
      </c>
      <c r="J10" s="406">
        <f t="shared" si="3"/>
        <v>0.1264000000000003</v>
      </c>
      <c r="K10" s="406">
        <f t="shared" si="3"/>
        <v>0.11709090909090891</v>
      </c>
      <c r="L10" s="406">
        <f t="shared" si="3"/>
        <v>0.10933333333333328</v>
      </c>
      <c r="M10" s="406">
        <f t="shared" si="3"/>
        <v>0.10276923076923095</v>
      </c>
    </row>
    <row r="11" ht="15.75" thickBot="1"/>
    <row r="12" spans="3:13" ht="15.75" thickBot="1">
      <c r="C12" s="431" t="s">
        <v>16</v>
      </c>
      <c r="D12" s="432" t="s">
        <v>0</v>
      </c>
      <c r="E12" s="432" t="s">
        <v>1</v>
      </c>
      <c r="F12" s="432" t="s">
        <v>2</v>
      </c>
      <c r="G12" s="432" t="s">
        <v>3</v>
      </c>
      <c r="H12" s="432" t="s">
        <v>4</v>
      </c>
      <c r="I12" s="432" t="s">
        <v>11</v>
      </c>
      <c r="J12" s="432" t="s">
        <v>12</v>
      </c>
      <c r="K12" s="432" t="s">
        <v>13</v>
      </c>
      <c r="L12" s="432" t="s">
        <v>14</v>
      </c>
      <c r="M12" s="433" t="s">
        <v>15</v>
      </c>
    </row>
    <row r="13" spans="2:13" ht="15.75">
      <c r="B13" s="434" t="s">
        <v>10</v>
      </c>
      <c r="C13" s="435"/>
      <c r="D13" s="436">
        <f>D9</f>
        <v>84875.34506969602</v>
      </c>
      <c r="E13" s="436">
        <f aca="true" t="shared" si="4" ref="E13:M13">E9</f>
        <v>104294.82402164247</v>
      </c>
      <c r="F13" s="436">
        <f t="shared" si="4"/>
        <v>124597.54976452219</v>
      </c>
      <c r="G13" s="436">
        <f t="shared" si="4"/>
        <v>145814.73252442369</v>
      </c>
      <c r="H13" s="436">
        <f t="shared" si="4"/>
        <v>167978.5718681361</v>
      </c>
      <c r="I13" s="436">
        <f t="shared" si="4"/>
        <v>191122.28621441257</v>
      </c>
      <c r="J13" s="436">
        <f t="shared" si="4"/>
        <v>215280.14319191437</v>
      </c>
      <c r="K13" s="436">
        <f t="shared" si="4"/>
        <v>240487.49086747668</v>
      </c>
      <c r="L13" s="436">
        <f t="shared" si="4"/>
        <v>266780.78986898746</v>
      </c>
      <c r="M13" s="437">
        <f t="shared" si="4"/>
        <v>294197.64642783115</v>
      </c>
    </row>
    <row r="14" spans="2:13" ht="15.75">
      <c r="B14" s="438" t="s">
        <v>162</v>
      </c>
      <c r="C14" s="2"/>
      <c r="D14" s="407">
        <f>Datos!C14</f>
        <v>1.25</v>
      </c>
      <c r="E14" s="407">
        <f>D14</f>
        <v>1.25</v>
      </c>
      <c r="F14" s="407">
        <f aca="true" t="shared" si="5" ref="F14:M14">E14</f>
        <v>1.25</v>
      </c>
      <c r="G14" s="407">
        <f t="shared" si="5"/>
        <v>1.25</v>
      </c>
      <c r="H14" s="407">
        <f t="shared" si="5"/>
        <v>1.25</v>
      </c>
      <c r="I14" s="407">
        <f t="shared" si="5"/>
        <v>1.25</v>
      </c>
      <c r="J14" s="407">
        <f t="shared" si="5"/>
        <v>1.25</v>
      </c>
      <c r="K14" s="407">
        <f t="shared" si="5"/>
        <v>1.25</v>
      </c>
      <c r="L14" s="407">
        <f t="shared" si="5"/>
        <v>1.25</v>
      </c>
      <c r="M14" s="439">
        <f t="shared" si="5"/>
        <v>1.25</v>
      </c>
    </row>
    <row r="15" spans="2:13" ht="15">
      <c r="B15" s="440" t="s">
        <v>577</v>
      </c>
      <c r="C15" s="408"/>
      <c r="D15" s="409">
        <f>D13*D14</f>
        <v>106094.18133712003</v>
      </c>
      <c r="E15" s="409">
        <f aca="true" t="shared" si="6" ref="E15:M15">E13*E14</f>
        <v>130368.53002705309</v>
      </c>
      <c r="F15" s="409">
        <f t="shared" si="6"/>
        <v>155746.93720565274</v>
      </c>
      <c r="G15" s="409">
        <f t="shared" si="6"/>
        <v>182268.4156555296</v>
      </c>
      <c r="H15" s="409">
        <f t="shared" si="6"/>
        <v>209973.2148351701</v>
      </c>
      <c r="I15" s="409">
        <f t="shared" si="6"/>
        <v>238902.8577680157</v>
      </c>
      <c r="J15" s="409">
        <f t="shared" si="6"/>
        <v>269100.17898989294</v>
      </c>
      <c r="K15" s="409">
        <f t="shared" si="6"/>
        <v>300609.36358434585</v>
      </c>
      <c r="L15" s="409">
        <f t="shared" si="6"/>
        <v>333475.9873362343</v>
      </c>
      <c r="M15" s="441">
        <f t="shared" si="6"/>
        <v>367747.05803478893</v>
      </c>
    </row>
    <row r="16" spans="2:13" ht="15.75">
      <c r="B16" s="438" t="s">
        <v>55</v>
      </c>
      <c r="C16" s="2"/>
      <c r="D16" s="410">
        <f>'C. Produccion'!$C$20*'Flujo de Caja'!D13</f>
        <v>4901.551177774945</v>
      </c>
      <c r="E16" s="410">
        <f>'C. Produccion'!$C$20*'Flujo de Caja'!E13</f>
        <v>6023.026087249853</v>
      </c>
      <c r="F16" s="410">
        <f>'C. Produccion'!$C$20*'Flujo de Caja'!F13</f>
        <v>7195.508498901157</v>
      </c>
      <c r="G16" s="410">
        <f>'C. Produccion'!$C$20*'Flujo de Caja'!G13</f>
        <v>8420.800803285469</v>
      </c>
      <c r="H16" s="410">
        <f>'C. Produccion'!$C$20*'Flujo de Caja'!H13</f>
        <v>9700.76252538486</v>
      </c>
      <c r="I16" s="410">
        <f>'C. Produccion'!$C$20*'Flujo de Caja'!I13</f>
        <v>11037.312028882327</v>
      </c>
      <c r="J16" s="410">
        <f>'C. Produccion'!$C$20*'Flujo de Caja'!J13</f>
        <v>12432.428269333055</v>
      </c>
      <c r="K16" s="410">
        <f>'C. Produccion'!$C$20*'Flujo de Caja'!K13</f>
        <v>13888.152597596778</v>
      </c>
      <c r="L16" s="410">
        <f>'C. Produccion'!$C$20*'Flujo de Caja'!L13</f>
        <v>15406.590614934026</v>
      </c>
      <c r="M16" s="442">
        <f>'C. Produccion'!$C$20*'Flujo de Caja'!M13</f>
        <v>16989.91408120725</v>
      </c>
    </row>
    <row r="17" spans="2:13" ht="15.75">
      <c r="B17" s="438" t="s">
        <v>56</v>
      </c>
      <c r="C17" s="2"/>
      <c r="D17" s="410">
        <f>SUM('C. Produccion'!$C$22:$C$24)*'Flujo de Caja'!D13</f>
        <v>7723.6564013423385</v>
      </c>
      <c r="E17" s="410">
        <f>SUM('C. Produccion'!$C$22:$C$24)*'Flujo de Caja'!E13</f>
        <v>9490.828985969467</v>
      </c>
      <c r="F17" s="410">
        <f>SUM('C. Produccion'!$C$22:$C$24)*'Flujo de Caja'!F13</f>
        <v>11338.37702857152</v>
      </c>
      <c r="G17" s="410">
        <f>SUM('C. Produccion'!$C$22:$C$24)*'Flujo de Caja'!G13</f>
        <v>13269.140659722558</v>
      </c>
      <c r="H17" s="410">
        <f>SUM('C. Produccion'!$C$22:$C$24)*'Flujo de Caja'!H13</f>
        <v>15286.050040000386</v>
      </c>
      <c r="I17" s="410">
        <f>SUM('C. Produccion'!$C$22:$C$24)*'Flujo de Caja'!I13</f>
        <v>17392.128045511545</v>
      </c>
      <c r="J17" s="410">
        <f>SUM('C. Produccion'!$C$22:$C$24)*'Flujo de Caja'!J13</f>
        <v>19590.49303046421</v>
      </c>
      <c r="K17" s="410">
        <f>SUM('C. Produccion'!$C$22:$C$24)*'Flujo de Caja'!K13</f>
        <v>21884.36166894038</v>
      </c>
      <c r="L17" s="410">
        <f>SUM('C. Produccion'!$C$22:$C$24)*'Flujo de Caja'!L13</f>
        <v>24277.051878077862</v>
      </c>
      <c r="M17" s="442">
        <f>SUM('C. Produccion'!$C$22:$C$24)*'Flujo de Caja'!M13</f>
        <v>26771.98582493264</v>
      </c>
    </row>
    <row r="18" spans="2:13" ht="15.75">
      <c r="B18" s="438" t="s">
        <v>57</v>
      </c>
      <c r="C18" s="2"/>
      <c r="D18" s="410">
        <f>'C. Produccion'!$C$25</f>
        <v>15300</v>
      </c>
      <c r="E18" s="410">
        <f>D18*(1+E10)</f>
        <v>18800.640000000003</v>
      </c>
      <c r="F18" s="410">
        <f aca="true" t="shared" si="7" ref="F18:M18">E18*(1+F10)</f>
        <v>22460.49792</v>
      </c>
      <c r="G18" s="410">
        <f t="shared" si="7"/>
        <v>26285.199851520003</v>
      </c>
      <c r="H18" s="410">
        <f t="shared" si="7"/>
        <v>30280.55022895104</v>
      </c>
      <c r="I18" s="410">
        <f t="shared" si="7"/>
        <v>34452.53714938429</v>
      </c>
      <c r="J18" s="410">
        <f t="shared" si="7"/>
        <v>38807.337845066475</v>
      </c>
      <c r="K18" s="410">
        <f t="shared" si="7"/>
        <v>43351.324312743345</v>
      </c>
      <c r="L18" s="410">
        <f t="shared" si="7"/>
        <v>48091.06910426995</v>
      </c>
      <c r="M18" s="442">
        <f t="shared" si="7"/>
        <v>53033.3512829857</v>
      </c>
    </row>
    <row r="19" spans="2:13" s="47" customFormat="1" ht="15.75">
      <c r="B19" s="438" t="s">
        <v>270</v>
      </c>
      <c r="C19" s="15"/>
      <c r="D19" s="411">
        <f>'C. Produccion'!$C$6</f>
        <v>14121.6</v>
      </c>
      <c r="E19" s="411">
        <f>'C. Produccion'!$C$6</f>
        <v>14121.6</v>
      </c>
      <c r="F19" s="411">
        <f>'C. Produccion'!$C$6</f>
        <v>14121.6</v>
      </c>
      <c r="G19" s="411">
        <f>'C. Produccion'!$C$6</f>
        <v>14121.6</v>
      </c>
      <c r="H19" s="411">
        <f>'C. Produccion'!$C$6</f>
        <v>14121.6</v>
      </c>
      <c r="I19" s="411">
        <f>'C. Produccion'!$C$6</f>
        <v>14121.6</v>
      </c>
      <c r="J19" s="411">
        <f>'C. Produccion'!$C$6</f>
        <v>14121.6</v>
      </c>
      <c r="K19" s="411">
        <f>'C. Produccion'!$C$6</f>
        <v>14121.6</v>
      </c>
      <c r="L19" s="411">
        <f>'C. Produccion'!$C$6</f>
        <v>14121.6</v>
      </c>
      <c r="M19" s="443">
        <f>'C. Produccion'!$C$6</f>
        <v>14121.6</v>
      </c>
    </row>
    <row r="20" spans="2:13" ht="15">
      <c r="B20" s="440" t="s">
        <v>578</v>
      </c>
      <c r="C20" s="412"/>
      <c r="D20" s="413">
        <f>SUM(D16:D19)</f>
        <v>42046.80757911728</v>
      </c>
      <c r="E20" s="413">
        <f aca="true" t="shared" si="8" ref="E20:M20">SUM(E16:E19)</f>
        <v>48436.09507321932</v>
      </c>
      <c r="F20" s="413">
        <f t="shared" si="8"/>
        <v>55115.983447472674</v>
      </c>
      <c r="G20" s="413">
        <f t="shared" si="8"/>
        <v>62096.74131452803</v>
      </c>
      <c r="H20" s="413">
        <f t="shared" si="8"/>
        <v>69388.96279433629</v>
      </c>
      <c r="I20" s="413">
        <f t="shared" si="8"/>
        <v>77003.57722377816</v>
      </c>
      <c r="J20" s="413">
        <f t="shared" si="8"/>
        <v>84951.85914486375</v>
      </c>
      <c r="K20" s="413">
        <f t="shared" si="8"/>
        <v>93245.43857928051</v>
      </c>
      <c r="L20" s="413">
        <f t="shared" si="8"/>
        <v>101896.31159728183</v>
      </c>
      <c r="M20" s="444">
        <f t="shared" si="8"/>
        <v>110916.85118912559</v>
      </c>
    </row>
    <row r="21" spans="2:13" ht="15">
      <c r="B21" s="424" t="s">
        <v>271</v>
      </c>
      <c r="C21" s="135"/>
      <c r="D21" s="414">
        <f>'Gastos '!$E$10+'Gastos '!$H$17+'Gastos '!$D$23</f>
        <v>19890.3744</v>
      </c>
      <c r="E21" s="414">
        <f>'Gastos '!$E$10+'Gastos '!$H$17+'Gastos '!$D$23</f>
        <v>19890.3744</v>
      </c>
      <c r="F21" s="414">
        <f>'Gastos '!$E$10+'Gastos '!$H$17+'Gastos '!$D$23</f>
        <v>19890.3744</v>
      </c>
      <c r="G21" s="414">
        <f>'Gastos '!$E$10+'Gastos '!$H$17+'Gastos '!$D$23</f>
        <v>19890.3744</v>
      </c>
      <c r="H21" s="414">
        <f>'Gastos '!$E$10+'Gastos '!$H$17+'Gastos '!$D$23</f>
        <v>19890.3744</v>
      </c>
      <c r="I21" s="414">
        <f>'Gastos '!$E$10+'Gastos '!$H$17+'Gastos '!$D$23</f>
        <v>19890.3744</v>
      </c>
      <c r="J21" s="414">
        <f>'Gastos '!$E$10+'Gastos '!$H$17+'Gastos '!$D$23</f>
        <v>19890.3744</v>
      </c>
      <c r="K21" s="414">
        <f>'Gastos '!$E$10+'Gastos '!$H$17+'Gastos '!$D$23</f>
        <v>19890.3744</v>
      </c>
      <c r="L21" s="414">
        <f>'Gastos '!$E$10+'Gastos '!$H$17+'Gastos '!$D$23</f>
        <v>19890.3744</v>
      </c>
      <c r="M21" s="445">
        <f>'Gastos '!$E$10+'Gastos '!$H$17+'Gastos '!$D$23</f>
        <v>19890.3744</v>
      </c>
    </row>
    <row r="22" spans="1:13" ht="15">
      <c r="A22" s="12"/>
      <c r="B22" s="424" t="s">
        <v>272</v>
      </c>
      <c r="C22" s="135"/>
      <c r="D22" s="414">
        <f>'Gastos '!$E$54</f>
        <v>1300</v>
      </c>
      <c r="E22" s="414">
        <f>'Gastos '!$E$54</f>
        <v>1300</v>
      </c>
      <c r="F22" s="414">
        <f>'Gastos '!$E$54</f>
        <v>1300</v>
      </c>
      <c r="G22" s="414">
        <f>'Gastos '!$E$54</f>
        <v>1300</v>
      </c>
      <c r="H22" s="414">
        <f>'Gastos '!$E$54</f>
        <v>1300</v>
      </c>
      <c r="I22" s="414">
        <f>'Gastos '!$E$54</f>
        <v>1300</v>
      </c>
      <c r="J22" s="414">
        <f>'Gastos '!$E$54</f>
        <v>1300</v>
      </c>
      <c r="K22" s="414">
        <f>'Gastos '!$E$54</f>
        <v>1300</v>
      </c>
      <c r="L22" s="414">
        <f>'Gastos '!$E$54</f>
        <v>1300</v>
      </c>
      <c r="M22" s="445">
        <f>'Gastos '!$E$54</f>
        <v>1300</v>
      </c>
    </row>
    <row r="23" spans="2:13" ht="15">
      <c r="B23" s="424" t="s">
        <v>273</v>
      </c>
      <c r="C23" s="135"/>
      <c r="D23" s="414">
        <f>'Gastos '!$G$34+'Gastos '!E42</f>
        <v>13229</v>
      </c>
      <c r="E23" s="414">
        <f>'Gastos '!G34*(1+Datos!$C$12)</f>
        <v>11277.891500000002</v>
      </c>
      <c r="F23" s="414">
        <f>E23*(1+Datos!$C$12)</f>
        <v>11294.808337250002</v>
      </c>
      <c r="G23" s="414">
        <f>F23*(1+Datos!$C$12)</f>
        <v>11311.750549755878</v>
      </c>
      <c r="H23" s="414">
        <f>G23*(1+Datos!$C$12)</f>
        <v>11328.718175580512</v>
      </c>
      <c r="I23" s="414">
        <f>H23*(1+Datos!$C$12)</f>
        <v>11345.711252843883</v>
      </c>
      <c r="J23" s="414">
        <f>I23*(1+Datos!$C$12)</f>
        <v>11362.729819723148</v>
      </c>
      <c r="K23" s="414">
        <f>J23*(1+Datos!$C$12)</f>
        <v>11379.773914452733</v>
      </c>
      <c r="L23" s="414">
        <f>K23*(1+Datos!$C$12)</f>
        <v>11396.843575324412</v>
      </c>
      <c r="M23" s="445">
        <f>L23*(1+Datos!$C$12)</f>
        <v>11413.938840687399</v>
      </c>
    </row>
    <row r="24" spans="2:13" ht="15">
      <c r="B24" s="424" t="s">
        <v>274</v>
      </c>
      <c r="C24" s="135"/>
      <c r="D24" s="414">
        <f>'Gastos '!$D$48</f>
        <v>18000</v>
      </c>
      <c r="E24" s="414">
        <f>$D$24</f>
        <v>18000</v>
      </c>
      <c r="F24" s="414">
        <f aca="true" t="shared" si="9" ref="F24:M24">$D$24</f>
        <v>18000</v>
      </c>
      <c r="G24" s="414">
        <f t="shared" si="9"/>
        <v>18000</v>
      </c>
      <c r="H24" s="414">
        <f t="shared" si="9"/>
        <v>18000</v>
      </c>
      <c r="I24" s="414">
        <f t="shared" si="9"/>
        <v>18000</v>
      </c>
      <c r="J24" s="414">
        <f t="shared" si="9"/>
        <v>18000</v>
      </c>
      <c r="K24" s="414">
        <f t="shared" si="9"/>
        <v>18000</v>
      </c>
      <c r="L24" s="414">
        <f t="shared" si="9"/>
        <v>18000</v>
      </c>
      <c r="M24" s="445">
        <f t="shared" si="9"/>
        <v>18000</v>
      </c>
    </row>
    <row r="25" spans="2:13" ht="15">
      <c r="B25" s="424" t="s">
        <v>58</v>
      </c>
      <c r="C25" s="135"/>
      <c r="D25" s="414">
        <f>'Gastos '!$D$61</f>
        <v>2400</v>
      </c>
      <c r="E25" s="414">
        <f>'Gastos '!$D$60</f>
        <v>2400</v>
      </c>
      <c r="F25" s="414">
        <f>'Gastos '!$D$60</f>
        <v>2400</v>
      </c>
      <c r="G25" s="414">
        <f>'Gastos '!$D$60</f>
        <v>2400</v>
      </c>
      <c r="H25" s="414">
        <f>'Gastos '!$D$60</f>
        <v>2400</v>
      </c>
      <c r="I25" s="414">
        <f>'Gastos '!$D$60</f>
        <v>2400</v>
      </c>
      <c r="J25" s="414">
        <f>'Gastos '!$D$60</f>
        <v>2400</v>
      </c>
      <c r="K25" s="414">
        <f>'Gastos '!$D$60</f>
        <v>2400</v>
      </c>
      <c r="L25" s="414">
        <f>'Gastos '!$D$60</f>
        <v>2400</v>
      </c>
      <c r="M25" s="445">
        <f>'Gastos '!$D$60</f>
        <v>2400</v>
      </c>
    </row>
    <row r="26" spans="1:13" ht="15.75">
      <c r="A26" s="37"/>
      <c r="B26" s="446" t="s">
        <v>168</v>
      </c>
      <c r="C26" s="135"/>
      <c r="D26" s="414">
        <f>'Depreciacion '!$M7</f>
        <v>1084.6</v>
      </c>
      <c r="E26" s="414">
        <f>'Depreciacion '!$M7</f>
        <v>1084.6</v>
      </c>
      <c r="F26" s="414">
        <f>'Depreciacion '!$M7</f>
        <v>1084.6</v>
      </c>
      <c r="G26" s="414">
        <f>'Depreciacion '!$M7</f>
        <v>1084.6</v>
      </c>
      <c r="H26" s="414">
        <f>'Depreciacion '!$M7</f>
        <v>1084.6</v>
      </c>
      <c r="I26" s="414">
        <f>'Depreciacion '!$M7</f>
        <v>1084.6</v>
      </c>
      <c r="J26" s="414">
        <f>'Depreciacion '!$M7</f>
        <v>1084.6</v>
      </c>
      <c r="K26" s="414">
        <f>'Depreciacion '!$M7</f>
        <v>1084.6</v>
      </c>
      <c r="L26" s="414">
        <f>'Depreciacion '!$M7</f>
        <v>1084.6</v>
      </c>
      <c r="M26" s="445">
        <f>'Depreciacion '!$M7</f>
        <v>1084.6</v>
      </c>
    </row>
    <row r="27" spans="2:13" ht="15.75">
      <c r="B27" s="446" t="s">
        <v>169</v>
      </c>
      <c r="C27" s="135"/>
      <c r="D27" s="414">
        <f>'Depreciacion '!$M8</f>
        <v>2200.8</v>
      </c>
      <c r="E27" s="414">
        <f>'Depreciacion '!$M8</f>
        <v>2200.8</v>
      </c>
      <c r="F27" s="414">
        <f>'Depreciacion '!$M8</f>
        <v>2200.8</v>
      </c>
      <c r="G27" s="414">
        <f>'Depreciacion '!$M8</f>
        <v>2200.8</v>
      </c>
      <c r="H27" s="414">
        <f>'Depreciacion '!$M8</f>
        <v>2200.8</v>
      </c>
      <c r="I27" s="414">
        <f>'Depreciacion '!$M8</f>
        <v>2200.8</v>
      </c>
      <c r="J27" s="414">
        <f>'Depreciacion '!$M8</f>
        <v>2200.8</v>
      </c>
      <c r="K27" s="414">
        <f>'Depreciacion '!$M8</f>
        <v>2200.8</v>
      </c>
      <c r="L27" s="414">
        <f>'Depreciacion '!$M8</f>
        <v>2200.8</v>
      </c>
      <c r="M27" s="445">
        <f>'Depreciacion '!$M8</f>
        <v>2200.8</v>
      </c>
    </row>
    <row r="28" spans="2:13" ht="15.75">
      <c r="B28" s="446" t="s">
        <v>170</v>
      </c>
      <c r="C28" s="135"/>
      <c r="D28" s="414">
        <f>'Depreciacion '!$M9</f>
        <v>1650</v>
      </c>
      <c r="E28" s="414">
        <f>'Depreciacion '!$M9</f>
        <v>1650</v>
      </c>
      <c r="F28" s="414">
        <f>'Depreciacion '!$M9</f>
        <v>1650</v>
      </c>
      <c r="G28" s="414">
        <f>'Depreciacion '!$M9</f>
        <v>1650</v>
      </c>
      <c r="H28" s="414">
        <f>'Depreciacion '!$M9</f>
        <v>1650</v>
      </c>
      <c r="I28" s="414">
        <f>'Depreciacion '!$M9</f>
        <v>1650</v>
      </c>
      <c r="J28" s="414">
        <f>'Depreciacion '!$M9</f>
        <v>1650</v>
      </c>
      <c r="K28" s="414">
        <f>'Depreciacion '!$M9</f>
        <v>1650</v>
      </c>
      <c r="L28" s="414">
        <f>'Depreciacion '!$M9</f>
        <v>1650</v>
      </c>
      <c r="M28" s="445">
        <f>'Depreciacion '!$M9</f>
        <v>1650</v>
      </c>
    </row>
    <row r="29" spans="2:13" ht="15.75">
      <c r="B29" s="446" t="s">
        <v>171</v>
      </c>
      <c r="C29" s="135"/>
      <c r="D29" s="414">
        <f>'Depreciacion '!$M10</f>
        <v>1030</v>
      </c>
      <c r="E29" s="414">
        <f>'Depreciacion '!$M10</f>
        <v>1030</v>
      </c>
      <c r="F29" s="414">
        <f>'Depreciacion '!$M10</f>
        <v>1030</v>
      </c>
      <c r="G29" s="414">
        <f>'Depreciacion '!$M10</f>
        <v>1030</v>
      </c>
      <c r="H29" s="414">
        <f>'Depreciacion '!$M10</f>
        <v>1030</v>
      </c>
      <c r="I29" s="414">
        <f>'Depreciacion '!$M10</f>
        <v>1030</v>
      </c>
      <c r="J29" s="414">
        <f>'Depreciacion '!$M10</f>
        <v>1030</v>
      </c>
      <c r="K29" s="414">
        <f>'Depreciacion '!$M10</f>
        <v>1030</v>
      </c>
      <c r="L29" s="414">
        <f>'Depreciacion '!$M10</f>
        <v>1030</v>
      </c>
      <c r="M29" s="445">
        <f>'Depreciacion '!$M10</f>
        <v>1030</v>
      </c>
    </row>
    <row r="30" spans="2:13" ht="15.75">
      <c r="B30" s="446" t="s">
        <v>172</v>
      </c>
      <c r="C30" s="135"/>
      <c r="D30" s="414">
        <f>'Depreciacion '!$M11</f>
        <v>400</v>
      </c>
      <c r="E30" s="414">
        <f>'Depreciacion '!$M11</f>
        <v>400</v>
      </c>
      <c r="F30" s="414">
        <f>'Depreciacion '!$M11</f>
        <v>400</v>
      </c>
      <c r="G30" s="414">
        <f>'Depreciacion '!$M11</f>
        <v>400</v>
      </c>
      <c r="H30" s="414">
        <f>'Depreciacion '!$M11</f>
        <v>400</v>
      </c>
      <c r="I30" s="414">
        <f>'Depreciacion '!$M11</f>
        <v>400</v>
      </c>
      <c r="J30" s="414">
        <f>'Depreciacion '!$M11</f>
        <v>400</v>
      </c>
      <c r="K30" s="414">
        <f>'Depreciacion '!$M11</f>
        <v>400</v>
      </c>
      <c r="L30" s="414">
        <f>'Depreciacion '!$M11</f>
        <v>400</v>
      </c>
      <c r="M30" s="445">
        <f>'Depreciacion '!$M11</f>
        <v>400</v>
      </c>
    </row>
    <row r="31" spans="2:13" ht="15.75">
      <c r="B31" s="446" t="s">
        <v>173</v>
      </c>
      <c r="C31" s="135"/>
      <c r="D31" s="414">
        <f>'Depreciacion '!$M13</f>
        <v>720</v>
      </c>
      <c r="E31" s="414">
        <f>'Depreciacion '!$M13</f>
        <v>720</v>
      </c>
      <c r="F31" s="414">
        <f>'Depreciacion '!$M13</f>
        <v>720</v>
      </c>
      <c r="G31" s="414">
        <f>'Depreciacion '!$M13</f>
        <v>720</v>
      </c>
      <c r="H31" s="414">
        <f>'Depreciacion '!$M13</f>
        <v>720</v>
      </c>
      <c r="I31" s="414">
        <f>'Depreciacion '!$M13</f>
        <v>720</v>
      </c>
      <c r="J31" s="414">
        <f>'Depreciacion '!$M13</f>
        <v>720</v>
      </c>
      <c r="K31" s="414">
        <f>'Depreciacion '!$M13</f>
        <v>720</v>
      </c>
      <c r="L31" s="414">
        <f>'Depreciacion '!$M13</f>
        <v>720</v>
      </c>
      <c r="M31" s="445">
        <f>'Depreciacion '!$M13</f>
        <v>720</v>
      </c>
    </row>
    <row r="32" spans="2:13" ht="15.75">
      <c r="B32" s="446" t="s">
        <v>310</v>
      </c>
      <c r="C32" s="135"/>
      <c r="D32" s="414">
        <f>'Depreciacion '!$M14</f>
        <v>26.666666666666668</v>
      </c>
      <c r="E32" s="414">
        <f>'Depreciacion '!$M14</f>
        <v>26.666666666666668</v>
      </c>
      <c r="F32" s="414">
        <f>'Depreciacion '!$M14</f>
        <v>26.666666666666668</v>
      </c>
      <c r="G32" s="414">
        <f>'Depreciacion '!$M14</f>
        <v>26.666666666666668</v>
      </c>
      <c r="H32" s="414">
        <f>'Depreciacion '!$M14</f>
        <v>26.666666666666668</v>
      </c>
      <c r="I32" s="414">
        <f>'Depreciacion '!$M14</f>
        <v>26.666666666666668</v>
      </c>
      <c r="J32" s="414">
        <f>'Depreciacion '!$M14</f>
        <v>26.666666666666668</v>
      </c>
      <c r="K32" s="414">
        <f>'Depreciacion '!$M14</f>
        <v>26.666666666666668</v>
      </c>
      <c r="L32" s="414">
        <f>'Depreciacion '!$M14</f>
        <v>26.666666666666668</v>
      </c>
      <c r="M32" s="445">
        <f>'Depreciacion '!$M14</f>
        <v>26.666666666666668</v>
      </c>
    </row>
    <row r="33" spans="2:13" ht="15.75">
      <c r="B33" s="446" t="s">
        <v>311</v>
      </c>
      <c r="C33" s="135"/>
      <c r="D33" s="414">
        <f>'Depreciacion '!$M15</f>
        <v>36.666666666666664</v>
      </c>
      <c r="E33" s="414">
        <f>'Depreciacion '!$M15</f>
        <v>36.666666666666664</v>
      </c>
      <c r="F33" s="414">
        <f>'Depreciacion '!$M15</f>
        <v>36.666666666666664</v>
      </c>
      <c r="G33" s="414">
        <f>'Depreciacion '!$M15</f>
        <v>36.666666666666664</v>
      </c>
      <c r="H33" s="414">
        <f>'Depreciacion '!$M15</f>
        <v>36.666666666666664</v>
      </c>
      <c r="I33" s="414">
        <f>'Depreciacion '!$M15</f>
        <v>36.666666666666664</v>
      </c>
      <c r="J33" s="414">
        <f>'Depreciacion '!$M15</f>
        <v>36.666666666666664</v>
      </c>
      <c r="K33" s="414">
        <f>'Depreciacion '!$M15</f>
        <v>36.666666666666664</v>
      </c>
      <c r="L33" s="414">
        <f>'Depreciacion '!$M15</f>
        <v>36.666666666666664</v>
      </c>
      <c r="M33" s="445">
        <f>'Depreciacion '!$M15</f>
        <v>36.666666666666664</v>
      </c>
    </row>
    <row r="34" spans="2:13" ht="15.75">
      <c r="B34" s="446" t="s">
        <v>312</v>
      </c>
      <c r="C34" s="135"/>
      <c r="D34" s="414">
        <f>'Depreciacion '!$M17</f>
        <v>55.588</v>
      </c>
      <c r="E34" s="414">
        <f>'Depreciacion '!$M17</f>
        <v>55.588</v>
      </c>
      <c r="F34" s="414">
        <f>'Depreciacion '!$M17</f>
        <v>55.588</v>
      </c>
      <c r="G34" s="414">
        <f>'Depreciacion '!$M17</f>
        <v>55.588</v>
      </c>
      <c r="H34" s="414">
        <f>'Depreciacion '!$M17</f>
        <v>55.588</v>
      </c>
      <c r="I34" s="414">
        <f>'Depreciacion '!$M17</f>
        <v>55.588</v>
      </c>
      <c r="J34" s="414">
        <f>'Depreciacion '!$M17</f>
        <v>55.588</v>
      </c>
      <c r="K34" s="414">
        <f>'Depreciacion '!$M17</f>
        <v>55.588</v>
      </c>
      <c r="L34" s="414">
        <f>'Depreciacion '!$M17</f>
        <v>55.588</v>
      </c>
      <c r="M34" s="445">
        <f>'Depreciacion '!$M17</f>
        <v>55.588</v>
      </c>
    </row>
    <row r="35" spans="2:13" ht="15.75">
      <c r="B35" s="446" t="s">
        <v>313</v>
      </c>
      <c r="C35" s="135"/>
      <c r="D35" s="414">
        <f>'Depreciacion '!$M19</f>
        <v>60</v>
      </c>
      <c r="E35" s="414">
        <f>'Depreciacion '!$M19</f>
        <v>60</v>
      </c>
      <c r="F35" s="414">
        <f>'Depreciacion '!$M19</f>
        <v>60</v>
      </c>
      <c r="G35" s="414">
        <f>'Depreciacion '!$M19</f>
        <v>60</v>
      </c>
      <c r="H35" s="414">
        <f>'Depreciacion '!$M19</f>
        <v>60</v>
      </c>
      <c r="I35" s="414">
        <f>'Depreciacion '!$M19</f>
        <v>60</v>
      </c>
      <c r="J35" s="414">
        <f>'Depreciacion '!$M19</f>
        <v>60</v>
      </c>
      <c r="K35" s="414">
        <f>'Depreciacion '!$M19</f>
        <v>60</v>
      </c>
      <c r="L35" s="414">
        <f>'Depreciacion '!$M19</f>
        <v>60</v>
      </c>
      <c r="M35" s="445">
        <f>'Depreciacion '!$M19</f>
        <v>60</v>
      </c>
    </row>
    <row r="36" spans="2:13" ht="15.75">
      <c r="B36" s="446" t="s">
        <v>314</v>
      </c>
      <c r="C36" s="135"/>
      <c r="D36" s="414">
        <f>'Depreciacion '!$M20</f>
        <v>160</v>
      </c>
      <c r="E36" s="414">
        <f>'Depreciacion '!$M20</f>
        <v>160</v>
      </c>
      <c r="F36" s="414">
        <f>'Depreciacion '!$M20</f>
        <v>160</v>
      </c>
      <c r="G36" s="414">
        <f>'Depreciacion '!$M20</f>
        <v>160</v>
      </c>
      <c r="H36" s="414">
        <f>'Depreciacion '!$M20</f>
        <v>160</v>
      </c>
      <c r="I36" s="414">
        <f>'Depreciacion '!$M20</f>
        <v>160</v>
      </c>
      <c r="J36" s="414">
        <f>'Depreciacion '!$M20</f>
        <v>160</v>
      </c>
      <c r="K36" s="414">
        <f>'Depreciacion '!$M20</f>
        <v>160</v>
      </c>
      <c r="L36" s="414">
        <f>'Depreciacion '!$M20</f>
        <v>160</v>
      </c>
      <c r="M36" s="445">
        <f>'Depreciacion '!$M20</f>
        <v>160</v>
      </c>
    </row>
    <row r="37" spans="2:13" ht="15.75">
      <c r="B37" s="446" t="s">
        <v>174</v>
      </c>
      <c r="C37" s="135"/>
      <c r="D37" s="414">
        <f>'Depreciacion '!$M22</f>
        <v>4400</v>
      </c>
      <c r="E37" s="414">
        <f>'Depreciacion '!$M22</f>
        <v>4400</v>
      </c>
      <c r="F37" s="414">
        <f>'Depreciacion '!$M22</f>
        <v>4400</v>
      </c>
      <c r="G37" s="414">
        <f>'Depreciacion '!$M22</f>
        <v>4400</v>
      </c>
      <c r="H37" s="414">
        <f>'Depreciacion '!$M22</f>
        <v>4400</v>
      </c>
      <c r="I37" s="414">
        <f>'Depreciacion '!$M22</f>
        <v>4400</v>
      </c>
      <c r="J37" s="414">
        <f>'Depreciacion '!$M22</f>
        <v>4400</v>
      </c>
      <c r="K37" s="414">
        <f>'Depreciacion '!$M22</f>
        <v>4400</v>
      </c>
      <c r="L37" s="414">
        <f>'Depreciacion '!$M22</f>
        <v>4400</v>
      </c>
      <c r="M37" s="445">
        <f>'Depreciacion '!$M22</f>
        <v>4400</v>
      </c>
    </row>
    <row r="38" spans="2:13" ht="15">
      <c r="B38" s="424" t="s">
        <v>321</v>
      </c>
      <c r="C38" s="135"/>
      <c r="D38" s="414">
        <f>-Préstamo!H11</f>
        <v>4937.881097828861</v>
      </c>
      <c r="E38" s="414">
        <f>-Préstamo!H12</f>
        <v>4654.178428431581</v>
      </c>
      <c r="F38" s="414">
        <f>-Préstamo!H13</f>
        <v>4336.913733244603</v>
      </c>
      <c r="G38" s="414">
        <f>-Préstamo!H14</f>
        <v>3982.1166246170037</v>
      </c>
      <c r="H38" s="414">
        <f>-Préstamo!H15</f>
        <v>3585.3470180387603</v>
      </c>
      <c r="I38" s="414">
        <f>-Préstamo!H16</f>
        <v>3141.6395670023107</v>
      </c>
      <c r="J38" s="414">
        <f>-Préstamo!H17</f>
        <v>2645.4415245082487</v>
      </c>
      <c r="K38" s="414">
        <f>-Préstamo!H18</f>
        <v>2090.5432535871396</v>
      </c>
      <c r="L38" s="414">
        <f>-Préstamo!H19</f>
        <v>1470.0005172160634</v>
      </c>
      <c r="M38" s="445">
        <f>-Préstamo!H20</f>
        <v>776.0475751322887</v>
      </c>
    </row>
    <row r="39" spans="2:13" ht="15">
      <c r="B39" s="424" t="s">
        <v>175</v>
      </c>
      <c r="C39" s="135"/>
      <c r="D39" s="415"/>
      <c r="E39" s="415"/>
      <c r="F39" s="415"/>
      <c r="G39" s="415"/>
      <c r="H39" s="415"/>
      <c r="I39" s="415"/>
      <c r="J39" s="135"/>
      <c r="K39" s="415"/>
      <c r="L39" s="415"/>
      <c r="M39" s="447">
        <f>'Depreciacion '!$G6</f>
        <v>3253.7999999999997</v>
      </c>
    </row>
    <row r="40" spans="2:13" ht="15">
      <c r="B40" s="424" t="s">
        <v>176</v>
      </c>
      <c r="C40" s="135"/>
      <c r="D40" s="415"/>
      <c r="E40" s="415"/>
      <c r="F40" s="415"/>
      <c r="G40" s="415"/>
      <c r="H40" s="415"/>
      <c r="I40" s="415"/>
      <c r="J40" s="135"/>
      <c r="K40" s="415"/>
      <c r="L40" s="415"/>
      <c r="M40" s="447">
        <f>'Depreciacion '!$G7</f>
        <v>8803.2</v>
      </c>
    </row>
    <row r="41" spans="2:13" ht="15">
      <c r="B41" s="424" t="s">
        <v>177</v>
      </c>
      <c r="C41" s="135"/>
      <c r="D41" s="415"/>
      <c r="E41" s="415"/>
      <c r="F41" s="415"/>
      <c r="G41" s="415"/>
      <c r="H41" s="415"/>
      <c r="I41" s="415"/>
      <c r="J41" s="135"/>
      <c r="K41" s="415"/>
      <c r="L41" s="415"/>
      <c r="M41" s="447">
        <f>'Depreciacion '!$G8</f>
        <v>6600</v>
      </c>
    </row>
    <row r="42" spans="2:13" ht="15">
      <c r="B42" s="424" t="s">
        <v>178</v>
      </c>
      <c r="C42" s="135"/>
      <c r="D42" s="415"/>
      <c r="E42" s="415"/>
      <c r="F42" s="415"/>
      <c r="G42" s="415"/>
      <c r="H42" s="415"/>
      <c r="I42" s="415"/>
      <c r="J42" s="135"/>
      <c r="K42" s="415"/>
      <c r="L42" s="415"/>
      <c r="M42" s="447">
        <f>'Depreciacion '!$G9</f>
        <v>4120</v>
      </c>
    </row>
    <row r="43" spans="2:13" ht="15">
      <c r="B43" s="424" t="s">
        <v>179</v>
      </c>
      <c r="C43" s="135"/>
      <c r="D43" s="415"/>
      <c r="E43" s="415"/>
      <c r="F43" s="415"/>
      <c r="G43" s="415"/>
      <c r="H43" s="415"/>
      <c r="I43" s="415"/>
      <c r="J43" s="135"/>
      <c r="K43" s="415"/>
      <c r="L43" s="415"/>
      <c r="M43" s="447">
        <f>'Depreciacion '!$G10</f>
        <v>1600</v>
      </c>
    </row>
    <row r="44" spans="2:13" ht="15">
      <c r="B44" s="424" t="s">
        <v>180</v>
      </c>
      <c r="C44" s="135"/>
      <c r="D44" s="415"/>
      <c r="E44" s="415"/>
      <c r="F44" s="415">
        <f>'Depreciacion '!$G$13</f>
        <v>216</v>
      </c>
      <c r="G44" s="415"/>
      <c r="H44" s="415"/>
      <c r="I44" s="415">
        <f>'Depreciacion '!G13</f>
        <v>216</v>
      </c>
      <c r="J44" s="415"/>
      <c r="K44" s="415"/>
      <c r="L44" s="415">
        <f>'Depreciacion '!G13</f>
        <v>216</v>
      </c>
      <c r="M44" s="447"/>
    </row>
    <row r="45" spans="2:13" ht="15">
      <c r="B45" s="424" t="s">
        <v>315</v>
      </c>
      <c r="C45" s="135"/>
      <c r="D45" s="415"/>
      <c r="E45" s="415"/>
      <c r="F45" s="415">
        <f>'Depreciacion '!G14</f>
        <v>8</v>
      </c>
      <c r="G45" s="415"/>
      <c r="H45" s="415"/>
      <c r="I45" s="415">
        <f>'Depreciacion '!G14</f>
        <v>8</v>
      </c>
      <c r="J45" s="415"/>
      <c r="K45" s="415"/>
      <c r="L45" s="415">
        <f>'Depreciacion '!G14</f>
        <v>8</v>
      </c>
      <c r="M45" s="447"/>
    </row>
    <row r="46" spans="2:13" ht="15">
      <c r="B46" s="424" t="s">
        <v>316</v>
      </c>
      <c r="C46" s="135"/>
      <c r="D46" s="415"/>
      <c r="E46" s="415"/>
      <c r="F46" s="415">
        <f>'Depreciacion '!G15</f>
        <v>11</v>
      </c>
      <c r="G46" s="415"/>
      <c r="H46" s="415"/>
      <c r="I46" s="415">
        <f>'Depreciacion '!G15</f>
        <v>11</v>
      </c>
      <c r="J46" s="415"/>
      <c r="K46" s="415"/>
      <c r="L46" s="415">
        <f>'Depreciacion '!G15</f>
        <v>11</v>
      </c>
      <c r="M46" s="447"/>
    </row>
    <row r="47" spans="2:13" ht="15">
      <c r="B47" s="424" t="s">
        <v>317</v>
      </c>
      <c r="C47" s="135"/>
      <c r="D47" s="415"/>
      <c r="E47" s="415"/>
      <c r="F47" s="415"/>
      <c r="G47" s="415"/>
      <c r="H47" s="415"/>
      <c r="I47" s="415"/>
      <c r="J47" s="415"/>
      <c r="K47" s="415"/>
      <c r="L47" s="415"/>
      <c r="M47" s="447">
        <f>'Depreciacion '!G20</f>
        <v>55.588</v>
      </c>
    </row>
    <row r="48" spans="2:13" ht="15">
      <c r="B48" s="424" t="s">
        <v>318</v>
      </c>
      <c r="C48" s="135"/>
      <c r="D48" s="415"/>
      <c r="E48" s="415"/>
      <c r="F48" s="415"/>
      <c r="G48" s="415"/>
      <c r="H48" s="415"/>
      <c r="I48" s="415"/>
      <c r="J48" s="415"/>
      <c r="K48" s="415"/>
      <c r="L48" s="415"/>
      <c r="M48" s="447">
        <f>'Depreciacion '!G26</f>
        <v>30</v>
      </c>
    </row>
    <row r="49" spans="2:13" ht="15">
      <c r="B49" s="424" t="s">
        <v>319</v>
      </c>
      <c r="C49" s="135"/>
      <c r="D49" s="415"/>
      <c r="E49" s="415"/>
      <c r="F49" s="415"/>
      <c r="G49" s="415"/>
      <c r="H49" s="415"/>
      <c r="I49" s="415"/>
      <c r="J49" s="415"/>
      <c r="K49" s="415"/>
      <c r="L49" s="415"/>
      <c r="M49" s="447">
        <f>'Depreciacion '!G27</f>
        <v>160</v>
      </c>
    </row>
    <row r="50" spans="2:13" ht="15">
      <c r="B50" s="424" t="s">
        <v>320</v>
      </c>
      <c r="C50" s="135"/>
      <c r="D50" s="415"/>
      <c r="E50" s="415"/>
      <c r="F50" s="415"/>
      <c r="G50" s="415"/>
      <c r="H50" s="415">
        <f>'Depreciacion '!$G$30</f>
        <v>9900</v>
      </c>
      <c r="I50" s="415"/>
      <c r="J50" s="415"/>
      <c r="K50" s="415"/>
      <c r="L50" s="415"/>
      <c r="M50" s="447">
        <f>'Depreciacion '!$G$30</f>
        <v>9900</v>
      </c>
    </row>
    <row r="51" spans="2:13" ht="15">
      <c r="B51" s="424" t="s">
        <v>579</v>
      </c>
      <c r="C51" s="412"/>
      <c r="D51" s="416">
        <f>D15-D20-SUM(D21:D37)-D38+SUM(D39:D50)</f>
        <v>-7534.203073159443</v>
      </c>
      <c r="E51" s="416">
        <f aca="true" t="shared" si="10" ref="E51:M51">E15-E20-SUM(E21:E37)+SUM(E39:E50)</f>
        <v>17239.847720500424</v>
      </c>
      <c r="F51" s="416">
        <f t="shared" si="10"/>
        <v>36156.449687596716</v>
      </c>
      <c r="G51" s="416">
        <f t="shared" si="10"/>
        <v>55445.228057912354</v>
      </c>
      <c r="H51" s="416">
        <f t="shared" si="10"/>
        <v>85740.83813191997</v>
      </c>
      <c r="I51" s="416">
        <f t="shared" si="10"/>
        <v>97373.87355806031</v>
      </c>
      <c r="J51" s="416">
        <f t="shared" si="10"/>
        <v>119370.89429197273</v>
      </c>
      <c r="K51" s="416">
        <f t="shared" si="10"/>
        <v>142569.45535727928</v>
      </c>
      <c r="L51" s="416">
        <f t="shared" si="10"/>
        <v>167003.13643029472</v>
      </c>
      <c r="M51" s="448">
        <f t="shared" si="10"/>
        <v>226524.1602716426</v>
      </c>
    </row>
    <row r="52" spans="2:13" ht="15.75">
      <c r="B52" s="446" t="s">
        <v>17</v>
      </c>
      <c r="C52" s="135"/>
      <c r="D52" s="415">
        <f>IF(D51&gt;0,D51*15%,0)</f>
        <v>0</v>
      </c>
      <c r="E52" s="415">
        <f aca="true" t="shared" si="11" ref="E52:M52">IF(E51&gt;0,E51*15%,0)</f>
        <v>2585.9771580750635</v>
      </c>
      <c r="F52" s="415">
        <f t="shared" si="11"/>
        <v>5423.467453139508</v>
      </c>
      <c r="G52" s="415">
        <f t="shared" si="11"/>
        <v>8316.784208686853</v>
      </c>
      <c r="H52" s="415">
        <f t="shared" si="11"/>
        <v>12861.125719787995</v>
      </c>
      <c r="I52" s="415">
        <f t="shared" si="11"/>
        <v>14606.081033709046</v>
      </c>
      <c r="J52" s="415">
        <f t="shared" si="11"/>
        <v>17905.63414379591</v>
      </c>
      <c r="K52" s="415">
        <f t="shared" si="11"/>
        <v>21385.41830359189</v>
      </c>
      <c r="L52" s="415">
        <f t="shared" si="11"/>
        <v>25050.470464544207</v>
      </c>
      <c r="M52" s="447">
        <f t="shared" si="11"/>
        <v>33978.62404074639</v>
      </c>
    </row>
    <row r="53" spans="2:13" ht="15">
      <c r="B53" s="424" t="s">
        <v>580</v>
      </c>
      <c r="C53" s="412"/>
      <c r="D53" s="416">
        <f>D51-D52</f>
        <v>-7534.203073159443</v>
      </c>
      <c r="E53" s="416">
        <f aca="true" t="shared" si="12" ref="E53:M53">E51-E52</f>
        <v>14653.87056242536</v>
      </c>
      <c r="F53" s="416">
        <f t="shared" si="12"/>
        <v>30732.98223445721</v>
      </c>
      <c r="G53" s="416">
        <f t="shared" si="12"/>
        <v>47128.4438492255</v>
      </c>
      <c r="H53" s="416">
        <f t="shared" si="12"/>
        <v>72879.71241213198</v>
      </c>
      <c r="I53" s="416">
        <f t="shared" si="12"/>
        <v>82767.79252435126</v>
      </c>
      <c r="J53" s="416">
        <f t="shared" si="12"/>
        <v>101465.26014817682</v>
      </c>
      <c r="K53" s="416">
        <f t="shared" si="12"/>
        <v>121184.03705368738</v>
      </c>
      <c r="L53" s="416">
        <f t="shared" si="12"/>
        <v>141952.66596575052</v>
      </c>
      <c r="M53" s="448">
        <f t="shared" si="12"/>
        <v>192545.53623089622</v>
      </c>
    </row>
    <row r="54" spans="2:13" ht="15.75">
      <c r="B54" s="446" t="s">
        <v>18</v>
      </c>
      <c r="C54" s="135"/>
      <c r="D54" s="415">
        <f>IF(D53&gt;0,D53*25%,0)</f>
        <v>0</v>
      </c>
      <c r="E54" s="415">
        <f aca="true" t="shared" si="13" ref="E54:M54">IF(E53&gt;0,E53*25%,0)</f>
        <v>3663.46764060634</v>
      </c>
      <c r="F54" s="415">
        <f t="shared" si="13"/>
        <v>7683.245558614302</v>
      </c>
      <c r="G54" s="415">
        <f t="shared" si="13"/>
        <v>11782.110962306375</v>
      </c>
      <c r="H54" s="415">
        <f t="shared" si="13"/>
        <v>18219.928103032995</v>
      </c>
      <c r="I54" s="415">
        <f t="shared" si="13"/>
        <v>20691.948131087815</v>
      </c>
      <c r="J54" s="415">
        <f t="shared" si="13"/>
        <v>25366.315037044205</v>
      </c>
      <c r="K54" s="415">
        <f t="shared" si="13"/>
        <v>30296.009263421845</v>
      </c>
      <c r="L54" s="415">
        <f t="shared" si="13"/>
        <v>35488.16649143763</v>
      </c>
      <c r="M54" s="447">
        <f t="shared" si="13"/>
        <v>48136.384057724055</v>
      </c>
    </row>
    <row r="55" spans="2:13" ht="15">
      <c r="B55" s="424" t="s">
        <v>581</v>
      </c>
      <c r="C55" s="416">
        <f>C53-C54</f>
        <v>0</v>
      </c>
      <c r="D55" s="416">
        <f>D53-D54</f>
        <v>-7534.203073159443</v>
      </c>
      <c r="E55" s="416">
        <f aca="true" t="shared" si="14" ref="E55:M55">E53-E54</f>
        <v>10990.402921819019</v>
      </c>
      <c r="F55" s="416">
        <f t="shared" si="14"/>
        <v>23049.736675842905</v>
      </c>
      <c r="G55" s="416">
        <f t="shared" si="14"/>
        <v>35346.332886919125</v>
      </c>
      <c r="H55" s="416">
        <f t="shared" si="14"/>
        <v>54659.784309098985</v>
      </c>
      <c r="I55" s="416">
        <f t="shared" si="14"/>
        <v>62075.84439326344</v>
      </c>
      <c r="J55" s="416">
        <f t="shared" si="14"/>
        <v>76098.94511113262</v>
      </c>
      <c r="K55" s="416">
        <f t="shared" si="14"/>
        <v>90888.02779026554</v>
      </c>
      <c r="L55" s="416">
        <f t="shared" si="14"/>
        <v>106464.49947431289</v>
      </c>
      <c r="M55" s="448">
        <f t="shared" si="14"/>
        <v>144409.15217317216</v>
      </c>
    </row>
    <row r="56" spans="2:13" ht="15.75">
      <c r="B56" s="446" t="s">
        <v>168</v>
      </c>
      <c r="C56" s="135"/>
      <c r="D56" s="415">
        <f aca="true" t="shared" si="15" ref="D56:D61">D26</f>
        <v>1084.6</v>
      </c>
      <c r="E56" s="415">
        <f aca="true" t="shared" si="16" ref="E56:M56">E26</f>
        <v>1084.6</v>
      </c>
      <c r="F56" s="415">
        <f t="shared" si="16"/>
        <v>1084.6</v>
      </c>
      <c r="G56" s="415">
        <f t="shared" si="16"/>
        <v>1084.6</v>
      </c>
      <c r="H56" s="415">
        <f t="shared" si="16"/>
        <v>1084.6</v>
      </c>
      <c r="I56" s="415">
        <f t="shared" si="16"/>
        <v>1084.6</v>
      </c>
      <c r="J56" s="415">
        <f t="shared" si="16"/>
        <v>1084.6</v>
      </c>
      <c r="K56" s="415">
        <f t="shared" si="16"/>
        <v>1084.6</v>
      </c>
      <c r="L56" s="415">
        <f t="shared" si="16"/>
        <v>1084.6</v>
      </c>
      <c r="M56" s="447">
        <f t="shared" si="16"/>
        <v>1084.6</v>
      </c>
    </row>
    <row r="57" spans="2:13" ht="15.75">
      <c r="B57" s="446" t="s">
        <v>169</v>
      </c>
      <c r="C57" s="135"/>
      <c r="D57" s="415">
        <f t="shared" si="15"/>
        <v>2200.8</v>
      </c>
      <c r="E57" s="415">
        <f aca="true" t="shared" si="17" ref="E57:M57">E27</f>
        <v>2200.8</v>
      </c>
      <c r="F57" s="415">
        <f t="shared" si="17"/>
        <v>2200.8</v>
      </c>
      <c r="G57" s="415">
        <f t="shared" si="17"/>
        <v>2200.8</v>
      </c>
      <c r="H57" s="415">
        <f t="shared" si="17"/>
        <v>2200.8</v>
      </c>
      <c r="I57" s="415">
        <f t="shared" si="17"/>
        <v>2200.8</v>
      </c>
      <c r="J57" s="415">
        <f t="shared" si="17"/>
        <v>2200.8</v>
      </c>
      <c r="K57" s="415">
        <f t="shared" si="17"/>
        <v>2200.8</v>
      </c>
      <c r="L57" s="415">
        <f t="shared" si="17"/>
        <v>2200.8</v>
      </c>
      <c r="M57" s="447">
        <f t="shared" si="17"/>
        <v>2200.8</v>
      </c>
    </row>
    <row r="58" spans="2:13" ht="15.75">
      <c r="B58" s="446" t="s">
        <v>170</v>
      </c>
      <c r="C58" s="135"/>
      <c r="D58" s="415">
        <f t="shared" si="15"/>
        <v>1650</v>
      </c>
      <c r="E58" s="415">
        <f aca="true" t="shared" si="18" ref="E58:M58">E28</f>
        <v>1650</v>
      </c>
      <c r="F58" s="415">
        <f t="shared" si="18"/>
        <v>1650</v>
      </c>
      <c r="G58" s="415">
        <f t="shared" si="18"/>
        <v>1650</v>
      </c>
      <c r="H58" s="415">
        <f t="shared" si="18"/>
        <v>1650</v>
      </c>
      <c r="I58" s="415">
        <f t="shared" si="18"/>
        <v>1650</v>
      </c>
      <c r="J58" s="415">
        <f t="shared" si="18"/>
        <v>1650</v>
      </c>
      <c r="K58" s="415">
        <f t="shared" si="18"/>
        <v>1650</v>
      </c>
      <c r="L58" s="415">
        <f t="shared" si="18"/>
        <v>1650</v>
      </c>
      <c r="M58" s="447">
        <f t="shared" si="18"/>
        <v>1650</v>
      </c>
    </row>
    <row r="59" spans="2:13" ht="15.75">
      <c r="B59" s="446" t="s">
        <v>171</v>
      </c>
      <c r="C59" s="135"/>
      <c r="D59" s="415">
        <f t="shared" si="15"/>
        <v>1030</v>
      </c>
      <c r="E59" s="415">
        <f aca="true" t="shared" si="19" ref="E59:M59">E29</f>
        <v>1030</v>
      </c>
      <c r="F59" s="415">
        <f t="shared" si="19"/>
        <v>1030</v>
      </c>
      <c r="G59" s="415">
        <f t="shared" si="19"/>
        <v>1030</v>
      </c>
      <c r="H59" s="415">
        <f t="shared" si="19"/>
        <v>1030</v>
      </c>
      <c r="I59" s="415">
        <f t="shared" si="19"/>
        <v>1030</v>
      </c>
      <c r="J59" s="415">
        <f t="shared" si="19"/>
        <v>1030</v>
      </c>
      <c r="K59" s="415">
        <f t="shared" si="19"/>
        <v>1030</v>
      </c>
      <c r="L59" s="415">
        <f t="shared" si="19"/>
        <v>1030</v>
      </c>
      <c r="M59" s="447">
        <f t="shared" si="19"/>
        <v>1030</v>
      </c>
    </row>
    <row r="60" spans="2:13" ht="15.75">
      <c r="B60" s="446" t="s">
        <v>172</v>
      </c>
      <c r="C60" s="135"/>
      <c r="D60" s="415">
        <f t="shared" si="15"/>
        <v>400</v>
      </c>
      <c r="E60" s="415">
        <f aca="true" t="shared" si="20" ref="E60:M60">E30</f>
        <v>400</v>
      </c>
      <c r="F60" s="415">
        <f t="shared" si="20"/>
        <v>400</v>
      </c>
      <c r="G60" s="415">
        <f t="shared" si="20"/>
        <v>400</v>
      </c>
      <c r="H60" s="415">
        <f t="shared" si="20"/>
        <v>400</v>
      </c>
      <c r="I60" s="415">
        <f t="shared" si="20"/>
        <v>400</v>
      </c>
      <c r="J60" s="415">
        <f t="shared" si="20"/>
        <v>400</v>
      </c>
      <c r="K60" s="415">
        <f t="shared" si="20"/>
        <v>400</v>
      </c>
      <c r="L60" s="415">
        <f t="shared" si="20"/>
        <v>400</v>
      </c>
      <c r="M60" s="447">
        <f t="shared" si="20"/>
        <v>400</v>
      </c>
    </row>
    <row r="61" spans="2:13" ht="15.75">
      <c r="B61" s="446" t="s">
        <v>173</v>
      </c>
      <c r="C61" s="135"/>
      <c r="D61" s="415">
        <f t="shared" si="15"/>
        <v>720</v>
      </c>
      <c r="E61" s="415">
        <f aca="true" t="shared" si="21" ref="E61:M61">E31</f>
        <v>720</v>
      </c>
      <c r="F61" s="415">
        <f t="shared" si="21"/>
        <v>720</v>
      </c>
      <c r="G61" s="415">
        <f t="shared" si="21"/>
        <v>720</v>
      </c>
      <c r="H61" s="415">
        <f t="shared" si="21"/>
        <v>720</v>
      </c>
      <c r="I61" s="415">
        <f t="shared" si="21"/>
        <v>720</v>
      </c>
      <c r="J61" s="415">
        <f t="shared" si="21"/>
        <v>720</v>
      </c>
      <c r="K61" s="415">
        <f t="shared" si="21"/>
        <v>720</v>
      </c>
      <c r="L61" s="415">
        <f t="shared" si="21"/>
        <v>720</v>
      </c>
      <c r="M61" s="447">
        <f t="shared" si="21"/>
        <v>720</v>
      </c>
    </row>
    <row r="62" spans="2:13" ht="15.75">
      <c r="B62" s="446" t="s">
        <v>310</v>
      </c>
      <c r="C62" s="135"/>
      <c r="D62" s="415">
        <f aca="true" t="shared" si="22" ref="D62:M63">D32</f>
        <v>26.666666666666668</v>
      </c>
      <c r="E62" s="415">
        <f t="shared" si="22"/>
        <v>26.666666666666668</v>
      </c>
      <c r="F62" s="415">
        <f t="shared" si="22"/>
        <v>26.666666666666668</v>
      </c>
      <c r="G62" s="415">
        <f t="shared" si="22"/>
        <v>26.666666666666668</v>
      </c>
      <c r="H62" s="415">
        <f t="shared" si="22"/>
        <v>26.666666666666668</v>
      </c>
      <c r="I62" s="415">
        <f t="shared" si="22"/>
        <v>26.666666666666668</v>
      </c>
      <c r="J62" s="415">
        <f t="shared" si="22"/>
        <v>26.666666666666668</v>
      </c>
      <c r="K62" s="415">
        <f t="shared" si="22"/>
        <v>26.666666666666668</v>
      </c>
      <c r="L62" s="415">
        <f t="shared" si="22"/>
        <v>26.666666666666668</v>
      </c>
      <c r="M62" s="447">
        <f t="shared" si="22"/>
        <v>26.666666666666668</v>
      </c>
    </row>
    <row r="63" spans="2:13" ht="15.75">
      <c r="B63" s="446" t="s">
        <v>311</v>
      </c>
      <c r="C63" s="135"/>
      <c r="D63" s="415">
        <f t="shared" si="22"/>
        <v>36.666666666666664</v>
      </c>
      <c r="E63" s="415">
        <f t="shared" si="22"/>
        <v>36.666666666666664</v>
      </c>
      <c r="F63" s="415">
        <f t="shared" si="22"/>
        <v>36.666666666666664</v>
      </c>
      <c r="G63" s="415">
        <f t="shared" si="22"/>
        <v>36.666666666666664</v>
      </c>
      <c r="H63" s="415">
        <f t="shared" si="22"/>
        <v>36.666666666666664</v>
      </c>
      <c r="I63" s="415">
        <f t="shared" si="22"/>
        <v>36.666666666666664</v>
      </c>
      <c r="J63" s="415">
        <f t="shared" si="22"/>
        <v>36.666666666666664</v>
      </c>
      <c r="K63" s="415">
        <f t="shared" si="22"/>
        <v>36.666666666666664</v>
      </c>
      <c r="L63" s="415">
        <f t="shared" si="22"/>
        <v>36.666666666666664</v>
      </c>
      <c r="M63" s="447">
        <f t="shared" si="22"/>
        <v>36.666666666666664</v>
      </c>
    </row>
    <row r="64" spans="2:13" ht="15.75">
      <c r="B64" s="446" t="s">
        <v>312</v>
      </c>
      <c r="C64" s="135"/>
      <c r="D64" s="415">
        <f aca="true" t="shared" si="23" ref="D64:M64">D34</f>
        <v>55.588</v>
      </c>
      <c r="E64" s="415">
        <f t="shared" si="23"/>
        <v>55.588</v>
      </c>
      <c r="F64" s="415">
        <f t="shared" si="23"/>
        <v>55.588</v>
      </c>
      <c r="G64" s="415">
        <f t="shared" si="23"/>
        <v>55.588</v>
      </c>
      <c r="H64" s="415">
        <f t="shared" si="23"/>
        <v>55.588</v>
      </c>
      <c r="I64" s="415">
        <f t="shared" si="23"/>
        <v>55.588</v>
      </c>
      <c r="J64" s="415">
        <f t="shared" si="23"/>
        <v>55.588</v>
      </c>
      <c r="K64" s="415">
        <f t="shared" si="23"/>
        <v>55.588</v>
      </c>
      <c r="L64" s="415">
        <f t="shared" si="23"/>
        <v>55.588</v>
      </c>
      <c r="M64" s="447">
        <f t="shared" si="23"/>
        <v>55.588</v>
      </c>
    </row>
    <row r="65" spans="2:13" ht="15.75">
      <c r="B65" s="446" t="s">
        <v>313</v>
      </c>
      <c r="C65" s="135"/>
      <c r="D65" s="415">
        <f aca="true" t="shared" si="24" ref="D65:M65">D35</f>
        <v>60</v>
      </c>
      <c r="E65" s="415">
        <f t="shared" si="24"/>
        <v>60</v>
      </c>
      <c r="F65" s="415">
        <f t="shared" si="24"/>
        <v>60</v>
      </c>
      <c r="G65" s="415">
        <f t="shared" si="24"/>
        <v>60</v>
      </c>
      <c r="H65" s="415">
        <f t="shared" si="24"/>
        <v>60</v>
      </c>
      <c r="I65" s="415">
        <f t="shared" si="24"/>
        <v>60</v>
      </c>
      <c r="J65" s="415">
        <f t="shared" si="24"/>
        <v>60</v>
      </c>
      <c r="K65" s="415">
        <f t="shared" si="24"/>
        <v>60</v>
      </c>
      <c r="L65" s="415">
        <f t="shared" si="24"/>
        <v>60</v>
      </c>
      <c r="M65" s="447">
        <f t="shared" si="24"/>
        <v>60</v>
      </c>
    </row>
    <row r="66" spans="2:13" ht="15.75">
      <c r="B66" s="446" t="s">
        <v>314</v>
      </c>
      <c r="C66" s="135"/>
      <c r="D66" s="415">
        <f aca="true" t="shared" si="25" ref="D66:M66">D36</f>
        <v>160</v>
      </c>
      <c r="E66" s="415">
        <f t="shared" si="25"/>
        <v>160</v>
      </c>
      <c r="F66" s="415">
        <f t="shared" si="25"/>
        <v>160</v>
      </c>
      <c r="G66" s="415">
        <f t="shared" si="25"/>
        <v>160</v>
      </c>
      <c r="H66" s="415">
        <f t="shared" si="25"/>
        <v>160</v>
      </c>
      <c r="I66" s="415">
        <f t="shared" si="25"/>
        <v>160</v>
      </c>
      <c r="J66" s="415">
        <f t="shared" si="25"/>
        <v>160</v>
      </c>
      <c r="K66" s="415">
        <f t="shared" si="25"/>
        <v>160</v>
      </c>
      <c r="L66" s="415">
        <f t="shared" si="25"/>
        <v>160</v>
      </c>
      <c r="M66" s="447">
        <f t="shared" si="25"/>
        <v>160</v>
      </c>
    </row>
    <row r="67" spans="2:13" ht="15">
      <c r="B67" s="424" t="s">
        <v>174</v>
      </c>
      <c r="C67" s="135"/>
      <c r="D67" s="415">
        <f aca="true" t="shared" si="26" ref="D67:M67">D37</f>
        <v>4400</v>
      </c>
      <c r="E67" s="415">
        <f t="shared" si="26"/>
        <v>4400</v>
      </c>
      <c r="F67" s="415">
        <f t="shared" si="26"/>
        <v>4400</v>
      </c>
      <c r="G67" s="415">
        <f t="shared" si="26"/>
        <v>4400</v>
      </c>
      <c r="H67" s="415">
        <f t="shared" si="26"/>
        <v>4400</v>
      </c>
      <c r="I67" s="415">
        <f t="shared" si="26"/>
        <v>4400</v>
      </c>
      <c r="J67" s="415">
        <f t="shared" si="26"/>
        <v>4400</v>
      </c>
      <c r="K67" s="415">
        <f t="shared" si="26"/>
        <v>4400</v>
      </c>
      <c r="L67" s="415">
        <f t="shared" si="26"/>
        <v>4400</v>
      </c>
      <c r="M67" s="447">
        <f t="shared" si="26"/>
        <v>4400</v>
      </c>
    </row>
    <row r="68" spans="2:13" ht="15">
      <c r="B68" s="424" t="s">
        <v>181</v>
      </c>
      <c r="C68" s="135"/>
      <c r="D68" s="414"/>
      <c r="E68" s="414"/>
      <c r="F68" s="414"/>
      <c r="G68" s="414"/>
      <c r="H68" s="414"/>
      <c r="I68" s="414"/>
      <c r="J68" s="135"/>
      <c r="K68" s="414"/>
      <c r="L68" s="414"/>
      <c r="M68" s="449">
        <f>'Depreciacion '!O7</f>
        <v>0</v>
      </c>
    </row>
    <row r="69" spans="2:13" ht="15">
      <c r="B69" s="424" t="s">
        <v>252</v>
      </c>
      <c r="C69" s="135"/>
      <c r="D69" s="414"/>
      <c r="E69" s="414"/>
      <c r="F69" s="414"/>
      <c r="G69" s="414"/>
      <c r="H69" s="414"/>
      <c r="I69" s="414"/>
      <c r="J69" s="135"/>
      <c r="K69" s="414"/>
      <c r="L69" s="414"/>
      <c r="M69" s="449">
        <f>'Depreciacion '!O8</f>
        <v>0</v>
      </c>
    </row>
    <row r="70" spans="2:13" ht="15">
      <c r="B70" s="424" t="s">
        <v>182</v>
      </c>
      <c r="C70" s="135"/>
      <c r="D70" s="414"/>
      <c r="E70" s="414"/>
      <c r="F70" s="414"/>
      <c r="G70" s="414"/>
      <c r="H70" s="414"/>
      <c r="I70" s="414"/>
      <c r="J70" s="135"/>
      <c r="K70" s="414"/>
      <c r="L70" s="414"/>
      <c r="M70" s="449">
        <f>'Depreciacion '!O9</f>
        <v>0</v>
      </c>
    </row>
    <row r="71" spans="2:13" ht="15">
      <c r="B71" s="424" t="s">
        <v>183</v>
      </c>
      <c r="C71" s="135"/>
      <c r="D71" s="414"/>
      <c r="E71" s="414"/>
      <c r="F71" s="414"/>
      <c r="G71" s="414"/>
      <c r="H71" s="414"/>
      <c r="I71" s="414"/>
      <c r="J71" s="135"/>
      <c r="K71" s="414"/>
      <c r="L71" s="414"/>
      <c r="M71" s="449">
        <f>'Depreciacion '!O10</f>
        <v>0</v>
      </c>
    </row>
    <row r="72" spans="2:13" ht="15">
      <c r="B72" s="424" t="s">
        <v>184</v>
      </c>
      <c r="C72" s="135"/>
      <c r="D72" s="414"/>
      <c r="E72" s="414"/>
      <c r="F72" s="414"/>
      <c r="G72" s="414"/>
      <c r="H72" s="414"/>
      <c r="I72" s="414"/>
      <c r="J72" s="135"/>
      <c r="K72" s="414"/>
      <c r="L72" s="414"/>
      <c r="M72" s="449">
        <f>'Depreciacion '!O11</f>
        <v>0</v>
      </c>
    </row>
    <row r="73" spans="2:13" ht="15">
      <c r="B73" s="424" t="s">
        <v>185</v>
      </c>
      <c r="C73" s="135"/>
      <c r="D73" s="414"/>
      <c r="E73" s="414"/>
      <c r="F73" s="417">
        <f>'Depreciacion '!O13</f>
        <v>0</v>
      </c>
      <c r="G73" s="414"/>
      <c r="H73" s="414"/>
      <c r="I73" s="417">
        <f>'Depreciacion '!O13</f>
        <v>0</v>
      </c>
      <c r="J73" s="414"/>
      <c r="K73" s="414"/>
      <c r="L73" s="417">
        <f>'Depreciacion '!O13</f>
        <v>0</v>
      </c>
      <c r="M73" s="445"/>
    </row>
    <row r="74" spans="2:13" ht="15">
      <c r="B74" s="424" t="s">
        <v>322</v>
      </c>
      <c r="C74" s="135"/>
      <c r="D74" s="414"/>
      <c r="E74" s="414"/>
      <c r="F74" s="417">
        <f>'Depreciacion '!O14</f>
        <v>0</v>
      </c>
      <c r="G74" s="414"/>
      <c r="H74" s="414"/>
      <c r="I74" s="417">
        <f>'Depreciacion '!O14</f>
        <v>0</v>
      </c>
      <c r="J74" s="414"/>
      <c r="K74" s="414"/>
      <c r="L74" s="417">
        <f>'Depreciacion '!O14</f>
        <v>0</v>
      </c>
      <c r="M74" s="445"/>
    </row>
    <row r="75" spans="2:13" ht="15">
      <c r="B75" s="424" t="s">
        <v>323</v>
      </c>
      <c r="C75" s="135"/>
      <c r="D75" s="414"/>
      <c r="E75" s="414"/>
      <c r="F75" s="417">
        <f>'Depreciacion '!O15</f>
        <v>0</v>
      </c>
      <c r="G75" s="414"/>
      <c r="H75" s="414"/>
      <c r="I75" s="417">
        <f>'Depreciacion '!O15</f>
        <v>0</v>
      </c>
      <c r="J75" s="414"/>
      <c r="K75" s="414"/>
      <c r="L75" s="417">
        <f>'Depreciacion '!O15</f>
        <v>0</v>
      </c>
      <c r="M75" s="445"/>
    </row>
    <row r="76" spans="2:13" ht="15">
      <c r="B76" s="424" t="s">
        <v>324</v>
      </c>
      <c r="C76" s="135"/>
      <c r="D76" s="414"/>
      <c r="E76" s="414"/>
      <c r="F76" s="414"/>
      <c r="G76" s="414"/>
      <c r="H76" s="414"/>
      <c r="I76" s="414"/>
      <c r="J76" s="414"/>
      <c r="K76" s="414"/>
      <c r="L76" s="414"/>
      <c r="M76" s="449">
        <f>'Depreciacion '!O17</f>
        <v>0</v>
      </c>
    </row>
    <row r="77" spans="2:13" ht="15">
      <c r="B77" s="424" t="s">
        <v>325</v>
      </c>
      <c r="C77" s="135"/>
      <c r="D77" s="414"/>
      <c r="E77" s="414"/>
      <c r="F77" s="414"/>
      <c r="G77" s="414"/>
      <c r="H77" s="414"/>
      <c r="I77" s="414"/>
      <c r="J77" s="414"/>
      <c r="K77" s="414"/>
      <c r="L77" s="414"/>
      <c r="M77" s="449">
        <f>'Depreciacion '!O19</f>
        <v>0</v>
      </c>
    </row>
    <row r="78" spans="2:13" ht="15">
      <c r="B78" s="424" t="s">
        <v>326</v>
      </c>
      <c r="C78" s="135"/>
      <c r="D78" s="414"/>
      <c r="E78" s="414"/>
      <c r="F78" s="414"/>
      <c r="G78" s="414"/>
      <c r="H78" s="414"/>
      <c r="I78" s="414"/>
      <c r="J78" s="414"/>
      <c r="K78" s="414"/>
      <c r="L78" s="414"/>
      <c r="M78" s="449">
        <f>'Depreciacion '!O20</f>
        <v>0</v>
      </c>
    </row>
    <row r="79" spans="2:13" ht="15">
      <c r="B79" s="424" t="s">
        <v>186</v>
      </c>
      <c r="C79" s="135"/>
      <c r="D79" s="414"/>
      <c r="E79" s="414"/>
      <c r="F79" s="414"/>
      <c r="G79" s="414"/>
      <c r="H79" s="417">
        <f>'Depreciacion '!O22</f>
        <v>0</v>
      </c>
      <c r="I79" s="414"/>
      <c r="J79" s="414"/>
      <c r="K79" s="414"/>
      <c r="L79" s="414"/>
      <c r="M79" s="449">
        <f>'Depreciacion '!O22</f>
        <v>0</v>
      </c>
    </row>
    <row r="80" spans="2:13" ht="15">
      <c r="B80" s="424" t="s">
        <v>327</v>
      </c>
      <c r="C80" s="415">
        <f>Préstamo!C14</f>
        <v>41740.33049728539</v>
      </c>
      <c r="D80" s="414"/>
      <c r="E80" s="414"/>
      <c r="F80" s="414"/>
      <c r="G80" s="414"/>
      <c r="H80" s="417"/>
      <c r="I80" s="414"/>
      <c r="J80" s="414"/>
      <c r="K80" s="414"/>
      <c r="L80" s="414"/>
      <c r="M80" s="449"/>
    </row>
    <row r="81" spans="2:13" ht="15">
      <c r="B81" s="424" t="s">
        <v>328</v>
      </c>
      <c r="C81" s="135"/>
      <c r="D81" s="418">
        <f>-Préstamo!I11</f>
        <v>2398.162885860361</v>
      </c>
      <c r="E81" s="418">
        <f>-Préstamo!I12</f>
        <v>2681.865555257641</v>
      </c>
      <c r="F81" s="418">
        <f>-Préstamo!I13</f>
        <v>2999.1302504446194</v>
      </c>
      <c r="G81" s="418">
        <f>-Préstamo!I14</f>
        <v>3353.927359072218</v>
      </c>
      <c r="H81" s="417">
        <f>-Préstamo!I15</f>
        <v>3750.6969656504616</v>
      </c>
      <c r="I81" s="418">
        <f>-Préstamo!I16</f>
        <v>4194.404416686912</v>
      </c>
      <c r="J81" s="418">
        <f>-Préstamo!I17</f>
        <v>4690.602459180973</v>
      </c>
      <c r="K81" s="418">
        <f>-Préstamo!I18</f>
        <v>5245.500730102082</v>
      </c>
      <c r="L81" s="418">
        <f>-Préstamo!I19</f>
        <v>5866.043466473158</v>
      </c>
      <c r="M81" s="449">
        <f>-Préstamo!I20</f>
        <v>6559.996408556934</v>
      </c>
    </row>
    <row r="82" spans="2:13" ht="15">
      <c r="B82" s="424" t="s">
        <v>261</v>
      </c>
      <c r="C82" s="137">
        <f>'Inv. Inicial'!E4</f>
        <v>1200</v>
      </c>
      <c r="D82" s="414"/>
      <c r="E82" s="414"/>
      <c r="F82" s="414"/>
      <c r="G82" s="414"/>
      <c r="H82" s="414"/>
      <c r="I82" s="414"/>
      <c r="J82" s="414"/>
      <c r="K82" s="414"/>
      <c r="L82" s="414"/>
      <c r="M82" s="445"/>
    </row>
    <row r="83" spans="2:13" ht="15">
      <c r="B83" s="424" t="s">
        <v>262</v>
      </c>
      <c r="C83" s="137">
        <f>'Inv. Inicial'!E7</f>
        <v>63654</v>
      </c>
      <c r="D83" s="415"/>
      <c r="E83" s="415"/>
      <c r="F83" s="415"/>
      <c r="G83" s="415"/>
      <c r="H83" s="415"/>
      <c r="I83" s="415"/>
      <c r="J83" s="415"/>
      <c r="K83" s="415"/>
      <c r="L83" s="415"/>
      <c r="M83" s="450"/>
    </row>
    <row r="84" spans="2:13" ht="15">
      <c r="B84" s="424" t="s">
        <v>263</v>
      </c>
      <c r="C84" s="137">
        <f>'Inv. Inicial'!E13</f>
        <v>2740</v>
      </c>
      <c r="D84" s="415"/>
      <c r="E84" s="415"/>
      <c r="F84" s="415">
        <f>SUM('Inv. Inicial'!D14:D16)</f>
        <v>2350</v>
      </c>
      <c r="G84" s="415"/>
      <c r="H84" s="415"/>
      <c r="I84" s="415">
        <f>SUM('Inv. Inicial'!D14:D16)</f>
        <v>2350</v>
      </c>
      <c r="J84" s="415"/>
      <c r="K84" s="415"/>
      <c r="L84" s="415">
        <f>SUM('Inv. Inicial'!D14:D16)</f>
        <v>2350</v>
      </c>
      <c r="M84" s="447"/>
    </row>
    <row r="85" spans="2:13" ht="15">
      <c r="B85" s="424" t="s">
        <v>264</v>
      </c>
      <c r="C85" s="137">
        <f>'Inv. Inicial'!E19</f>
        <v>772.62</v>
      </c>
      <c r="D85" s="415"/>
      <c r="E85" s="415"/>
      <c r="F85" s="419"/>
      <c r="G85" s="415"/>
      <c r="H85" s="415"/>
      <c r="I85" s="419"/>
      <c r="J85" s="415"/>
      <c r="K85" s="415"/>
      <c r="L85" s="419"/>
      <c r="M85" s="450"/>
    </row>
    <row r="86" spans="2:13" ht="15">
      <c r="B86" s="424" t="s">
        <v>187</v>
      </c>
      <c r="C86" s="137">
        <f>'Inv. Inicial'!E25</f>
        <v>2200</v>
      </c>
      <c r="D86" s="415"/>
      <c r="E86" s="415"/>
      <c r="F86" s="415"/>
      <c r="G86" s="415"/>
      <c r="H86" s="415"/>
      <c r="I86" s="415"/>
      <c r="J86" s="415"/>
      <c r="K86" s="415"/>
      <c r="L86" s="415"/>
      <c r="M86" s="450"/>
    </row>
    <row r="87" spans="2:13" ht="15">
      <c r="B87" s="424" t="s">
        <v>188</v>
      </c>
      <c r="C87" s="137">
        <f>'Inv. Inicial'!E28</f>
        <v>22000</v>
      </c>
      <c r="D87" s="415"/>
      <c r="E87" s="415"/>
      <c r="F87" s="415"/>
      <c r="G87" s="415"/>
      <c r="H87" s="415">
        <f>'Inv. Inicial'!E28</f>
        <v>22000</v>
      </c>
      <c r="I87" s="415"/>
      <c r="J87" s="415"/>
      <c r="K87" s="415"/>
      <c r="L87" s="415"/>
      <c r="M87" s="450"/>
    </row>
    <row r="88" spans="2:13" ht="15">
      <c r="B88" s="424" t="s">
        <v>19</v>
      </c>
      <c r="C88" s="137">
        <f>'Capital Trabajo'!C14</f>
        <v>2356.841248642694</v>
      </c>
      <c r="D88" s="415"/>
      <c r="E88" s="415"/>
      <c r="F88" s="415"/>
      <c r="G88" s="415"/>
      <c r="H88" s="415"/>
      <c r="I88" s="415"/>
      <c r="J88" s="415"/>
      <c r="K88" s="415"/>
      <c r="L88" s="415"/>
      <c r="M88" s="450"/>
    </row>
    <row r="89" spans="2:13" ht="15">
      <c r="B89" s="424" t="s">
        <v>20</v>
      </c>
      <c r="C89" s="135"/>
      <c r="D89" s="415"/>
      <c r="E89" s="415"/>
      <c r="F89" s="415"/>
      <c r="G89" s="415"/>
      <c r="H89" s="415"/>
      <c r="I89" s="415"/>
      <c r="J89" s="415"/>
      <c r="K89" s="415"/>
      <c r="L89" s="415"/>
      <c r="M89" s="447">
        <f>'Valor de Desecho'!D8</f>
        <v>144511.4596377556</v>
      </c>
    </row>
    <row r="90" spans="2:13" ht="15.75" thickBot="1">
      <c r="B90" s="451" t="s">
        <v>21</v>
      </c>
      <c r="C90" s="452">
        <f>C55+SUM(C56:C67)-SUM(C68:C79)+C80-C81-SUM(C82:C87)-C88+C89</f>
        <v>-53183.130751357305</v>
      </c>
      <c r="D90" s="452">
        <f aca="true" t="shared" si="27" ref="D90:M90">D55+SUM(D56:D67)-SUM(D68:D79)+D80-D81-SUM(D82:D87)-D88+D89</f>
        <v>1891.9553743135293</v>
      </c>
      <c r="E90" s="452">
        <f t="shared" si="27"/>
        <v>20132.85869989471</v>
      </c>
      <c r="F90" s="452">
        <f t="shared" si="27"/>
        <v>29524.927758731617</v>
      </c>
      <c r="G90" s="452">
        <f t="shared" si="27"/>
        <v>43816.72686118024</v>
      </c>
      <c r="H90" s="452">
        <f t="shared" si="27"/>
        <v>40733.40867678186</v>
      </c>
      <c r="I90" s="452">
        <f t="shared" si="27"/>
        <v>67355.76130990987</v>
      </c>
      <c r="J90" s="452">
        <f t="shared" si="27"/>
        <v>83232.66398528499</v>
      </c>
      <c r="K90" s="452">
        <f t="shared" si="27"/>
        <v>97466.84839349678</v>
      </c>
      <c r="L90" s="452">
        <f t="shared" si="27"/>
        <v>110072.77734117307</v>
      </c>
      <c r="M90" s="452">
        <f t="shared" si="27"/>
        <v>294184.93673570413</v>
      </c>
    </row>
    <row r="91" spans="2:3" ht="15.75">
      <c r="B91" s="504" t="s">
        <v>22</v>
      </c>
      <c r="C91" s="501">
        <f>Datos!C79</f>
        <v>0.29048718446214317</v>
      </c>
    </row>
    <row r="92" spans="2:3" ht="15.75">
      <c r="B92" s="505" t="s">
        <v>23</v>
      </c>
      <c r="C92" s="502">
        <f>NPV(C91,D90:M90)+C90</f>
        <v>76564.12301951967</v>
      </c>
    </row>
    <row r="93" spans="2:3" ht="16.5" thickBot="1">
      <c r="B93" s="506" t="s">
        <v>24</v>
      </c>
      <c r="C93" s="503">
        <f>IRR(C90:M90)</f>
        <v>0.5128027232910123</v>
      </c>
    </row>
    <row r="94" ht="15">
      <c r="E94" s="284"/>
    </row>
    <row r="96" ht="15">
      <c r="D96" s="453"/>
    </row>
    <row r="101" ht="15">
      <c r="D101" s="453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D54:M54 D6:M6 D8:M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36.7109375" style="0" customWidth="1"/>
  </cols>
  <sheetData>
    <row r="1" ht="15">
      <c r="A1" t="s">
        <v>610</v>
      </c>
    </row>
    <row r="2" ht="15">
      <c r="P2" t="e">
        <f>_XLL.CB.RECALCCOUNTERFN()</f>
        <v>#NAME?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86">
      <selection activeCell="C91" sqref="C91"/>
    </sheetView>
  </sheetViews>
  <sheetFormatPr defaultColWidth="11.421875" defaultRowHeight="15"/>
  <cols>
    <col min="1" max="1" width="1.421875" style="0" customWidth="1"/>
    <col min="2" max="2" width="37.8515625" style="50" bestFit="1" customWidth="1"/>
    <col min="3" max="3" width="13.140625" style="49" customWidth="1"/>
    <col min="4" max="4" width="12.8515625" style="49" bestFit="1" customWidth="1"/>
    <col min="5" max="7" width="13.140625" style="49" bestFit="1" customWidth="1"/>
    <col min="8" max="8" width="13.28125" style="49" bestFit="1" customWidth="1"/>
    <col min="9" max="13" width="13.140625" style="49" bestFit="1" customWidth="1"/>
  </cols>
  <sheetData>
    <row r="1" spans="4:13" ht="7.5" customHeight="1" thickBot="1"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thickBot="1">
      <c r="B2" s="51"/>
      <c r="C2" s="353" t="s">
        <v>16</v>
      </c>
      <c r="D2" s="348" t="s">
        <v>0</v>
      </c>
      <c r="E2" s="348" t="s">
        <v>1</v>
      </c>
      <c r="F2" s="348" t="s">
        <v>2</v>
      </c>
      <c r="G2" s="348" t="s">
        <v>3</v>
      </c>
      <c r="H2" s="348" t="s">
        <v>4</v>
      </c>
      <c r="I2" s="348" t="s">
        <v>11</v>
      </c>
      <c r="J2" s="348" t="s">
        <v>12</v>
      </c>
      <c r="K2" s="348" t="s">
        <v>13</v>
      </c>
      <c r="L2" s="348" t="s">
        <v>14</v>
      </c>
      <c r="M2" s="349" t="s">
        <v>15</v>
      </c>
    </row>
    <row r="3" spans="1:13" ht="15">
      <c r="A3" s="1"/>
      <c r="B3" s="420" t="s">
        <v>5</v>
      </c>
      <c r="C3" s="421"/>
      <c r="D3" s="422">
        <f>Datos!C6</f>
        <v>212290.26200000002</v>
      </c>
      <c r="E3" s="422">
        <f>D3*(1+Datos!$C$10)^1</f>
        <v>217385.228288</v>
      </c>
      <c r="F3" s="422">
        <f>E3*(1+Datos!$C$10)^1</f>
        <v>222602.473766912</v>
      </c>
      <c r="G3" s="422">
        <f>F3*(1+Datos!$C$10)^1</f>
        <v>227944.9331373179</v>
      </c>
      <c r="H3" s="422">
        <f>G3*(1+Datos!$C$10)^1</f>
        <v>233415.61153261352</v>
      </c>
      <c r="I3" s="422">
        <f>H3*(1+Datos!$C$10)^1</f>
        <v>239017.58620939625</v>
      </c>
      <c r="J3" s="422">
        <f>I3*(1+Datos!$C$10)^1</f>
        <v>244754.00827842177</v>
      </c>
      <c r="K3" s="422">
        <f>J3*(1+Datos!$C$10)^1</f>
        <v>250628.1044771039</v>
      </c>
      <c r="L3" s="422">
        <f>K3*(1+Datos!$C$10)^1</f>
        <v>256643.1789845544</v>
      </c>
      <c r="M3" s="423">
        <f>L3*(1+Datos!$C$10)^1</f>
        <v>262802.61528018373</v>
      </c>
    </row>
    <row r="4" spans="1:13" ht="15">
      <c r="A4" s="1"/>
      <c r="B4" s="424" t="s">
        <v>6</v>
      </c>
      <c r="C4" s="401"/>
      <c r="D4" s="402">
        <f>Datos!$C$7</f>
        <v>0.8</v>
      </c>
      <c r="E4" s="402">
        <f>Datos!$C$7</f>
        <v>0.8</v>
      </c>
      <c r="F4" s="402">
        <f>Datos!$C$7</f>
        <v>0.8</v>
      </c>
      <c r="G4" s="402">
        <f>Datos!$C$7</f>
        <v>0.8</v>
      </c>
      <c r="H4" s="402">
        <f>Datos!$C$7</f>
        <v>0.8</v>
      </c>
      <c r="I4" s="402">
        <f>Datos!$C$7</f>
        <v>0.8</v>
      </c>
      <c r="J4" s="402">
        <f>Datos!$C$7</f>
        <v>0.8</v>
      </c>
      <c r="K4" s="402">
        <f>Datos!$C$7</f>
        <v>0.8</v>
      </c>
      <c r="L4" s="402">
        <f>Datos!$C$7</f>
        <v>0.8</v>
      </c>
      <c r="M4" s="425">
        <f>Datos!$C$7</f>
        <v>0.8</v>
      </c>
    </row>
    <row r="5" spans="2:13" ht="15">
      <c r="B5" s="424" t="s">
        <v>209</v>
      </c>
      <c r="C5" s="401"/>
      <c r="D5" s="403">
        <f>D3*D4</f>
        <v>169832.20960000003</v>
      </c>
      <c r="E5" s="403">
        <f aca="true" t="shared" si="0" ref="E5:M5">E3*E4</f>
        <v>173908.18263040003</v>
      </c>
      <c r="F5" s="403">
        <f t="shared" si="0"/>
        <v>178081.9790135296</v>
      </c>
      <c r="G5" s="403">
        <f t="shared" si="0"/>
        <v>182355.94650985432</v>
      </c>
      <c r="H5" s="403">
        <f t="shared" si="0"/>
        <v>186732.48922609084</v>
      </c>
      <c r="I5" s="403">
        <f t="shared" si="0"/>
        <v>191214.068967517</v>
      </c>
      <c r="J5" s="403">
        <f t="shared" si="0"/>
        <v>195803.20662273743</v>
      </c>
      <c r="K5" s="403">
        <f t="shared" si="0"/>
        <v>200502.48358168313</v>
      </c>
      <c r="L5" s="403">
        <f t="shared" si="0"/>
        <v>205314.54318764352</v>
      </c>
      <c r="M5" s="426">
        <f t="shared" si="0"/>
        <v>210242.092224147</v>
      </c>
    </row>
    <row r="6" spans="2:13" ht="15">
      <c r="B6" s="424" t="s">
        <v>7</v>
      </c>
      <c r="C6" s="401"/>
      <c r="D6" s="404">
        <f>Datos!$C$8</f>
        <v>0.05</v>
      </c>
      <c r="E6" s="404">
        <f>D6+Datos!$C$11</f>
        <v>0.060000000000000005</v>
      </c>
      <c r="F6" s="404">
        <f>E6+Datos!$C$11</f>
        <v>0.07</v>
      </c>
      <c r="G6" s="404">
        <f>F6+Datos!$C$11</f>
        <v>0.08</v>
      </c>
      <c r="H6" s="404">
        <f>G6+Datos!$C$11</f>
        <v>0.09</v>
      </c>
      <c r="I6" s="404">
        <f>H6+Datos!$C$11</f>
        <v>0.09999999999999999</v>
      </c>
      <c r="J6" s="404">
        <f>I6+Datos!$C$11</f>
        <v>0.10999999999999999</v>
      </c>
      <c r="K6" s="404">
        <f>J6+Datos!$C$11</f>
        <v>0.11999999999999998</v>
      </c>
      <c r="L6" s="404">
        <f>K6+Datos!$C$11</f>
        <v>0.12999999999999998</v>
      </c>
      <c r="M6" s="493">
        <f>L6+Datos!$C$11</f>
        <v>0.13999999999999999</v>
      </c>
    </row>
    <row r="7" spans="2:13" ht="15">
      <c r="B7" s="424" t="s">
        <v>210</v>
      </c>
      <c r="C7" s="401"/>
      <c r="D7" s="403">
        <f>D5*D6</f>
        <v>8491.610480000001</v>
      </c>
      <c r="E7" s="403">
        <f aca="true" t="shared" si="1" ref="E7:M7">E5*E6</f>
        <v>10434.490957824002</v>
      </c>
      <c r="F7" s="403">
        <f t="shared" si="1"/>
        <v>12465.738530947074</v>
      </c>
      <c r="G7" s="403">
        <f t="shared" si="1"/>
        <v>14588.475720788345</v>
      </c>
      <c r="H7" s="403">
        <f t="shared" si="1"/>
        <v>16805.924030348175</v>
      </c>
      <c r="I7" s="403">
        <f t="shared" si="1"/>
        <v>19121.406896751698</v>
      </c>
      <c r="J7" s="403">
        <f t="shared" si="1"/>
        <v>21538.352728501115</v>
      </c>
      <c r="K7" s="403">
        <f t="shared" si="1"/>
        <v>24060.298029801972</v>
      </c>
      <c r="L7" s="403">
        <f t="shared" si="1"/>
        <v>26690.89061439365</v>
      </c>
      <c r="M7" s="426">
        <f t="shared" si="1"/>
        <v>29433.892911380575</v>
      </c>
    </row>
    <row r="8" spans="2:13" ht="15">
      <c r="B8" s="424" t="s">
        <v>9</v>
      </c>
      <c r="C8" s="401"/>
      <c r="D8" s="403">
        <f>Datos!$C$9</f>
        <v>9.9952</v>
      </c>
      <c r="E8" s="403">
        <f>Datos!$C$9</f>
        <v>9.9952</v>
      </c>
      <c r="F8" s="403">
        <f>Datos!$C$9</f>
        <v>9.9952</v>
      </c>
      <c r="G8" s="403">
        <f>Datos!$C$9</f>
        <v>9.9952</v>
      </c>
      <c r="H8" s="403">
        <f>Datos!$C$9</f>
        <v>9.9952</v>
      </c>
      <c r="I8" s="403">
        <f>Datos!$C$9</f>
        <v>9.9952</v>
      </c>
      <c r="J8" s="403">
        <f>Datos!$C$9</f>
        <v>9.9952</v>
      </c>
      <c r="K8" s="403">
        <f>Datos!$C$9</f>
        <v>9.9952</v>
      </c>
      <c r="L8" s="403">
        <f>Datos!$C$9</f>
        <v>9.9952</v>
      </c>
      <c r="M8" s="426">
        <f>Datos!$C$9</f>
        <v>9.9952</v>
      </c>
    </row>
    <row r="9" spans="2:13" ht="15.75" thickBot="1">
      <c r="B9" s="427" t="s">
        <v>269</v>
      </c>
      <c r="C9" s="428"/>
      <c r="D9" s="429">
        <f>D7*D8</f>
        <v>84875.34506969602</v>
      </c>
      <c r="E9" s="429">
        <f aca="true" t="shared" si="2" ref="E9:M9">E7*E8</f>
        <v>104294.82402164247</v>
      </c>
      <c r="F9" s="429">
        <f t="shared" si="2"/>
        <v>124597.54976452219</v>
      </c>
      <c r="G9" s="429">
        <f t="shared" si="2"/>
        <v>145814.73252442369</v>
      </c>
      <c r="H9" s="429">
        <f t="shared" si="2"/>
        <v>167978.5718681361</v>
      </c>
      <c r="I9" s="429">
        <f t="shared" si="2"/>
        <v>191122.28621441257</v>
      </c>
      <c r="J9" s="429">
        <f t="shared" si="2"/>
        <v>215280.14319191437</v>
      </c>
      <c r="K9" s="429">
        <f t="shared" si="2"/>
        <v>240487.49086747668</v>
      </c>
      <c r="L9" s="429">
        <f t="shared" si="2"/>
        <v>266780.78986898746</v>
      </c>
      <c r="M9" s="430">
        <f t="shared" si="2"/>
        <v>294197.64642783115</v>
      </c>
    </row>
    <row r="10" spans="2:13" ht="15">
      <c r="B10" s="52" t="s">
        <v>604</v>
      </c>
      <c r="C10" s="405"/>
      <c r="D10" s="492"/>
      <c r="E10" s="406">
        <f>(E9/D9)-1</f>
        <v>0.22880000000000011</v>
      </c>
      <c r="F10" s="406">
        <f aca="true" t="shared" si="3" ref="F10:M10">(F9/E9)-1</f>
        <v>0.19466666666666654</v>
      </c>
      <c r="G10" s="406">
        <f t="shared" si="3"/>
        <v>0.17028571428571437</v>
      </c>
      <c r="H10" s="406">
        <f t="shared" si="3"/>
        <v>0.1519999999999999</v>
      </c>
      <c r="I10" s="406">
        <f t="shared" si="3"/>
        <v>0.13777777777777755</v>
      </c>
      <c r="J10" s="406">
        <f t="shared" si="3"/>
        <v>0.1264000000000003</v>
      </c>
      <c r="K10" s="406">
        <f t="shared" si="3"/>
        <v>0.11709090909090891</v>
      </c>
      <c r="L10" s="406">
        <f t="shared" si="3"/>
        <v>0.10933333333333328</v>
      </c>
      <c r="M10" s="406">
        <f t="shared" si="3"/>
        <v>0.10276923076923095</v>
      </c>
    </row>
    <row r="11" ht="15.75" thickBot="1"/>
    <row r="12" spans="3:13" ht="15.75" thickBot="1">
      <c r="C12" s="431" t="s">
        <v>16</v>
      </c>
      <c r="D12" s="432" t="s">
        <v>0</v>
      </c>
      <c r="E12" s="432" t="s">
        <v>1</v>
      </c>
      <c r="F12" s="432" t="s">
        <v>2</v>
      </c>
      <c r="G12" s="432" t="s">
        <v>3</v>
      </c>
      <c r="H12" s="432" t="s">
        <v>4</v>
      </c>
      <c r="I12" s="432" t="s">
        <v>11</v>
      </c>
      <c r="J12" s="432" t="s">
        <v>12</v>
      </c>
      <c r="K12" s="432" t="s">
        <v>13</v>
      </c>
      <c r="L12" s="432" t="s">
        <v>14</v>
      </c>
      <c r="M12" s="433" t="s">
        <v>15</v>
      </c>
    </row>
    <row r="13" spans="2:13" ht="15.75">
      <c r="B13" s="434" t="s">
        <v>10</v>
      </c>
      <c r="C13" s="435"/>
      <c r="D13" s="516">
        <v>84875.34506969602</v>
      </c>
      <c r="E13" s="516">
        <v>104294.82402164247</v>
      </c>
      <c r="F13" s="516">
        <v>124597.54976452219</v>
      </c>
      <c r="G13" s="516">
        <v>145814.73252442369</v>
      </c>
      <c r="H13" s="516">
        <v>167978.5718681361</v>
      </c>
      <c r="I13" s="516">
        <v>191122.28621441257</v>
      </c>
      <c r="J13" s="516">
        <v>215280.14319191437</v>
      </c>
      <c r="K13" s="516">
        <v>240487.49086747668</v>
      </c>
      <c r="L13" s="516">
        <v>266780.78986898746</v>
      </c>
      <c r="M13" s="517">
        <v>294197.64642783115</v>
      </c>
    </row>
    <row r="14" spans="2:13" ht="15.75">
      <c r="B14" s="438" t="s">
        <v>162</v>
      </c>
      <c r="C14" s="2"/>
      <c r="D14" s="518">
        <v>1.25</v>
      </c>
      <c r="E14" s="518">
        <v>1.25</v>
      </c>
      <c r="F14" s="518">
        <v>1.25</v>
      </c>
      <c r="G14" s="518">
        <v>1.25</v>
      </c>
      <c r="H14" s="518">
        <v>1.25</v>
      </c>
      <c r="I14" s="518">
        <v>1.25</v>
      </c>
      <c r="J14" s="518">
        <v>1.25</v>
      </c>
      <c r="K14" s="518">
        <v>1.25</v>
      </c>
      <c r="L14" s="518">
        <v>1.25</v>
      </c>
      <c r="M14" s="518">
        <v>1.25</v>
      </c>
    </row>
    <row r="15" spans="2:13" ht="15">
      <c r="B15" s="440" t="s">
        <v>577</v>
      </c>
      <c r="C15" s="408"/>
      <c r="D15" s="409">
        <f>D13*D14</f>
        <v>106094.18133712003</v>
      </c>
      <c r="E15" s="409">
        <f aca="true" t="shared" si="4" ref="E15:M15">E13*E14</f>
        <v>130368.53002705309</v>
      </c>
      <c r="F15" s="409">
        <f t="shared" si="4"/>
        <v>155746.93720565274</v>
      </c>
      <c r="G15" s="409">
        <f t="shared" si="4"/>
        <v>182268.4156555296</v>
      </c>
      <c r="H15" s="409">
        <f t="shared" si="4"/>
        <v>209973.2148351701</v>
      </c>
      <c r="I15" s="409">
        <f t="shared" si="4"/>
        <v>238902.8577680157</v>
      </c>
      <c r="J15" s="409">
        <f t="shared" si="4"/>
        <v>269100.17898989294</v>
      </c>
      <c r="K15" s="409">
        <f t="shared" si="4"/>
        <v>300609.36358434585</v>
      </c>
      <c r="L15" s="409">
        <f t="shared" si="4"/>
        <v>333475.9873362343</v>
      </c>
      <c r="M15" s="441">
        <f t="shared" si="4"/>
        <v>367747.05803478893</v>
      </c>
    </row>
    <row r="16" spans="2:13" ht="15.75">
      <c r="B16" s="438" t="s">
        <v>55</v>
      </c>
      <c r="C16" s="2"/>
      <c r="D16" s="410">
        <f>'C. Produccion'!$C$20*'Flujo de Caja'!D13</f>
        <v>4901.551177774945</v>
      </c>
      <c r="E16" s="410">
        <f>'C. Produccion'!$C$20*'Flujo de Caja'!E13</f>
        <v>6023.026087249853</v>
      </c>
      <c r="F16" s="410">
        <f>'C. Produccion'!$C$20*'Flujo de Caja'!F13</f>
        <v>7195.508498901157</v>
      </c>
      <c r="G16" s="410">
        <f>'C. Produccion'!$C$20*'Flujo de Caja'!G13</f>
        <v>8420.800803285469</v>
      </c>
      <c r="H16" s="410">
        <f>'C. Produccion'!$C$20*'Flujo de Caja'!H13</f>
        <v>9700.76252538486</v>
      </c>
      <c r="I16" s="410">
        <f>'C. Produccion'!$C$20*'Flujo de Caja'!I13</f>
        <v>11037.312028882327</v>
      </c>
      <c r="J16" s="410">
        <f>'C. Produccion'!$C$20*'Flujo de Caja'!J13</f>
        <v>12432.428269333055</v>
      </c>
      <c r="K16" s="410">
        <f>'C. Produccion'!$C$20*'Flujo de Caja'!K13</f>
        <v>13888.152597596778</v>
      </c>
      <c r="L16" s="410">
        <f>'C. Produccion'!$C$20*'Flujo de Caja'!L13</f>
        <v>15406.590614934026</v>
      </c>
      <c r="M16" s="442">
        <f>'C. Produccion'!$C$20*'Flujo de Caja'!M13</f>
        <v>16989.91408120725</v>
      </c>
    </row>
    <row r="17" spans="2:13" ht="15.75">
      <c r="B17" s="438" t="s">
        <v>56</v>
      </c>
      <c r="C17" s="2"/>
      <c r="D17" s="410">
        <f>SUM('C. Produccion'!$C$22:$C$24)*'Flujo de Caja'!D13</f>
        <v>7723.6564013423385</v>
      </c>
      <c r="E17" s="410">
        <f>SUM('C. Produccion'!$C$22:$C$24)*'Flujo de Caja'!E13</f>
        <v>9490.828985969467</v>
      </c>
      <c r="F17" s="410">
        <f>SUM('C. Produccion'!$C$22:$C$24)*'Flujo de Caja'!F13</f>
        <v>11338.37702857152</v>
      </c>
      <c r="G17" s="410">
        <f>SUM('C. Produccion'!$C$22:$C$24)*'Flujo de Caja'!G13</f>
        <v>13269.140659722558</v>
      </c>
      <c r="H17" s="410">
        <f>SUM('C. Produccion'!$C$22:$C$24)*'Flujo de Caja'!H13</f>
        <v>15286.050040000386</v>
      </c>
      <c r="I17" s="410">
        <f>SUM('C. Produccion'!$C$22:$C$24)*'Flujo de Caja'!I13</f>
        <v>17392.128045511545</v>
      </c>
      <c r="J17" s="410">
        <f>SUM('C. Produccion'!$C$22:$C$24)*'Flujo de Caja'!J13</f>
        <v>19590.49303046421</v>
      </c>
      <c r="K17" s="410">
        <f>SUM('C. Produccion'!$C$22:$C$24)*'Flujo de Caja'!K13</f>
        <v>21884.36166894038</v>
      </c>
      <c r="L17" s="410">
        <f>SUM('C. Produccion'!$C$22:$C$24)*'Flujo de Caja'!L13</f>
        <v>24277.051878077862</v>
      </c>
      <c r="M17" s="442">
        <f>SUM('C. Produccion'!$C$22:$C$24)*'Flujo de Caja'!M13</f>
        <v>26771.98582493264</v>
      </c>
    </row>
    <row r="18" spans="2:13" ht="15.75">
      <c r="B18" s="438" t="s">
        <v>57</v>
      </c>
      <c r="C18" s="2"/>
      <c r="D18" s="410">
        <f>'C. Produccion'!$C$25</f>
        <v>15300</v>
      </c>
      <c r="E18" s="410">
        <f>D18*(1+E10)</f>
        <v>18800.640000000003</v>
      </c>
      <c r="F18" s="410">
        <f aca="true" t="shared" si="5" ref="F18:M18">E18*(1+F10)</f>
        <v>22460.49792</v>
      </c>
      <c r="G18" s="410">
        <f t="shared" si="5"/>
        <v>26285.199851520003</v>
      </c>
      <c r="H18" s="410">
        <f t="shared" si="5"/>
        <v>30280.55022895104</v>
      </c>
      <c r="I18" s="410">
        <f t="shared" si="5"/>
        <v>34452.53714938429</v>
      </c>
      <c r="J18" s="410">
        <f t="shared" si="5"/>
        <v>38807.337845066475</v>
      </c>
      <c r="K18" s="410">
        <f t="shared" si="5"/>
        <v>43351.324312743345</v>
      </c>
      <c r="L18" s="410">
        <f t="shared" si="5"/>
        <v>48091.06910426995</v>
      </c>
      <c r="M18" s="442">
        <f t="shared" si="5"/>
        <v>53033.3512829857</v>
      </c>
    </row>
    <row r="19" spans="2:13" s="47" customFormat="1" ht="15.75">
      <c r="B19" s="438" t="s">
        <v>270</v>
      </c>
      <c r="C19" s="15"/>
      <c r="D19" s="411">
        <f>'C. Produccion'!$C$6</f>
        <v>14121.6</v>
      </c>
      <c r="E19" s="411">
        <f>'C. Produccion'!$C$6</f>
        <v>14121.6</v>
      </c>
      <c r="F19" s="411">
        <f>'C. Produccion'!$C$6</f>
        <v>14121.6</v>
      </c>
      <c r="G19" s="411">
        <f>'C. Produccion'!$C$6</f>
        <v>14121.6</v>
      </c>
      <c r="H19" s="411">
        <f>'C. Produccion'!$C$6</f>
        <v>14121.6</v>
      </c>
      <c r="I19" s="411">
        <f>'C. Produccion'!$C$6</f>
        <v>14121.6</v>
      </c>
      <c r="J19" s="411">
        <f>'C. Produccion'!$C$6</f>
        <v>14121.6</v>
      </c>
      <c r="K19" s="411">
        <f>'C. Produccion'!$C$6</f>
        <v>14121.6</v>
      </c>
      <c r="L19" s="411">
        <f>'C. Produccion'!$C$6</f>
        <v>14121.6</v>
      </c>
      <c r="M19" s="443">
        <f>'C. Produccion'!$C$6</f>
        <v>14121.6</v>
      </c>
    </row>
    <row r="20" spans="2:13" ht="15">
      <c r="B20" s="440" t="s">
        <v>578</v>
      </c>
      <c r="C20" s="412"/>
      <c r="D20" s="413">
        <f>SUM(D16:D19)</f>
        <v>42046.80757911728</v>
      </c>
      <c r="E20" s="413">
        <f aca="true" t="shared" si="6" ref="E20:M20">SUM(E16:E19)</f>
        <v>48436.09507321932</v>
      </c>
      <c r="F20" s="413">
        <f t="shared" si="6"/>
        <v>55115.983447472674</v>
      </c>
      <c r="G20" s="413">
        <f t="shared" si="6"/>
        <v>62096.74131452803</v>
      </c>
      <c r="H20" s="413">
        <f t="shared" si="6"/>
        <v>69388.96279433629</v>
      </c>
      <c r="I20" s="413">
        <f t="shared" si="6"/>
        <v>77003.57722377816</v>
      </c>
      <c r="J20" s="413">
        <f t="shared" si="6"/>
        <v>84951.85914486375</v>
      </c>
      <c r="K20" s="413">
        <f t="shared" si="6"/>
        <v>93245.43857928051</v>
      </c>
      <c r="L20" s="413">
        <f t="shared" si="6"/>
        <v>101896.31159728183</v>
      </c>
      <c r="M20" s="444">
        <f t="shared" si="6"/>
        <v>110916.85118912559</v>
      </c>
    </row>
    <row r="21" spans="2:13" ht="15">
      <c r="B21" s="424" t="s">
        <v>271</v>
      </c>
      <c r="C21" s="135"/>
      <c r="D21" s="414">
        <f>'Gastos '!$E$10+'Gastos '!$H$17+'Gastos '!$D$23</f>
        <v>19890.3744</v>
      </c>
      <c r="E21" s="414">
        <f>'Gastos '!$E$10+'Gastos '!$H$17+'Gastos '!$D$23</f>
        <v>19890.3744</v>
      </c>
      <c r="F21" s="414">
        <f>'Gastos '!$E$10+'Gastos '!$H$17+'Gastos '!$D$23</f>
        <v>19890.3744</v>
      </c>
      <c r="G21" s="414">
        <f>'Gastos '!$E$10+'Gastos '!$H$17+'Gastos '!$D$23</f>
        <v>19890.3744</v>
      </c>
      <c r="H21" s="414">
        <f>'Gastos '!$E$10+'Gastos '!$H$17+'Gastos '!$D$23</f>
        <v>19890.3744</v>
      </c>
      <c r="I21" s="414">
        <f>'Gastos '!$E$10+'Gastos '!$H$17+'Gastos '!$D$23</f>
        <v>19890.3744</v>
      </c>
      <c r="J21" s="414">
        <f>'Gastos '!$E$10+'Gastos '!$H$17+'Gastos '!$D$23</f>
        <v>19890.3744</v>
      </c>
      <c r="K21" s="414">
        <f>'Gastos '!$E$10+'Gastos '!$H$17+'Gastos '!$D$23</f>
        <v>19890.3744</v>
      </c>
      <c r="L21" s="414">
        <f>'Gastos '!$E$10+'Gastos '!$H$17+'Gastos '!$D$23</f>
        <v>19890.3744</v>
      </c>
      <c r="M21" s="445">
        <f>'Gastos '!$E$10+'Gastos '!$H$17+'Gastos '!$D$23</f>
        <v>19890.3744</v>
      </c>
    </row>
    <row r="22" spans="1:13" ht="15">
      <c r="A22" s="12"/>
      <c r="B22" s="424" t="s">
        <v>272</v>
      </c>
      <c r="C22" s="135"/>
      <c r="D22" s="414">
        <f>'Gastos '!$E$54</f>
        <v>1300</v>
      </c>
      <c r="E22" s="414">
        <f>'Gastos '!$E$54</f>
        <v>1300</v>
      </c>
      <c r="F22" s="414">
        <f>'Gastos '!$E$54</f>
        <v>1300</v>
      </c>
      <c r="G22" s="414">
        <f>'Gastos '!$E$54</f>
        <v>1300</v>
      </c>
      <c r="H22" s="414">
        <f>'Gastos '!$E$54</f>
        <v>1300</v>
      </c>
      <c r="I22" s="414">
        <f>'Gastos '!$E$54</f>
        <v>1300</v>
      </c>
      <c r="J22" s="414">
        <f>'Gastos '!$E$54</f>
        <v>1300</v>
      </c>
      <c r="K22" s="414">
        <f>'Gastos '!$E$54</f>
        <v>1300</v>
      </c>
      <c r="L22" s="414">
        <f>'Gastos '!$E$54</f>
        <v>1300</v>
      </c>
      <c r="M22" s="445">
        <f>'Gastos '!$E$54</f>
        <v>1300</v>
      </c>
    </row>
    <row r="23" spans="2:13" ht="15">
      <c r="B23" s="424" t="s">
        <v>273</v>
      </c>
      <c r="C23" s="135"/>
      <c r="D23" s="414">
        <f>'Gastos '!$G$34+'Gastos '!E42</f>
        <v>13229</v>
      </c>
      <c r="E23" s="414">
        <f>'Gastos '!G34*(1+Datos!$C$12)</f>
        <v>11277.891500000002</v>
      </c>
      <c r="F23" s="414">
        <f>E23*(1+Datos!$C$12)</f>
        <v>11294.808337250002</v>
      </c>
      <c r="G23" s="414">
        <f>F23*(1+Datos!$C$12)</f>
        <v>11311.750549755878</v>
      </c>
      <c r="H23" s="414">
        <f>G23*(1+Datos!$C$12)</f>
        <v>11328.718175580512</v>
      </c>
      <c r="I23" s="414">
        <f>H23*(1+Datos!$C$12)</f>
        <v>11345.711252843883</v>
      </c>
      <c r="J23" s="414">
        <f>I23*(1+Datos!$C$12)</f>
        <v>11362.729819723148</v>
      </c>
      <c r="K23" s="414">
        <f>J23*(1+Datos!$C$12)</f>
        <v>11379.773914452733</v>
      </c>
      <c r="L23" s="414">
        <f>K23*(1+Datos!$C$12)</f>
        <v>11396.843575324412</v>
      </c>
      <c r="M23" s="445">
        <f>L23*(1+Datos!$C$12)</f>
        <v>11413.938840687399</v>
      </c>
    </row>
    <row r="24" spans="2:13" ht="15">
      <c r="B24" s="424" t="s">
        <v>274</v>
      </c>
      <c r="C24" s="135"/>
      <c r="D24" s="414">
        <f>'Gastos '!$D$48</f>
        <v>18000</v>
      </c>
      <c r="E24" s="414">
        <f>$D$24</f>
        <v>18000</v>
      </c>
      <c r="F24" s="414">
        <f aca="true" t="shared" si="7" ref="F24:M24">$D$24</f>
        <v>18000</v>
      </c>
      <c r="G24" s="414">
        <f t="shared" si="7"/>
        <v>18000</v>
      </c>
      <c r="H24" s="414">
        <f t="shared" si="7"/>
        <v>18000</v>
      </c>
      <c r="I24" s="414">
        <f t="shared" si="7"/>
        <v>18000</v>
      </c>
      <c r="J24" s="414">
        <f t="shared" si="7"/>
        <v>18000</v>
      </c>
      <c r="K24" s="414">
        <f t="shared" si="7"/>
        <v>18000</v>
      </c>
      <c r="L24" s="414">
        <f t="shared" si="7"/>
        <v>18000</v>
      </c>
      <c r="M24" s="445">
        <f t="shared" si="7"/>
        <v>18000</v>
      </c>
    </row>
    <row r="25" spans="2:13" ht="15">
      <c r="B25" s="424" t="s">
        <v>58</v>
      </c>
      <c r="C25" s="135"/>
      <c r="D25" s="414">
        <f>'Gastos '!$D$61</f>
        <v>2400</v>
      </c>
      <c r="E25" s="414">
        <f>'Gastos '!$D$60</f>
        <v>2400</v>
      </c>
      <c r="F25" s="414">
        <f>'Gastos '!$D$60</f>
        <v>2400</v>
      </c>
      <c r="G25" s="414">
        <f>'Gastos '!$D$60</f>
        <v>2400</v>
      </c>
      <c r="H25" s="414">
        <f>'Gastos '!$D$60</f>
        <v>2400</v>
      </c>
      <c r="I25" s="414">
        <f>'Gastos '!$D$60</f>
        <v>2400</v>
      </c>
      <c r="J25" s="414">
        <f>'Gastos '!$D$60</f>
        <v>2400</v>
      </c>
      <c r="K25" s="414">
        <f>'Gastos '!$D$60</f>
        <v>2400</v>
      </c>
      <c r="L25" s="414">
        <f>'Gastos '!$D$60</f>
        <v>2400</v>
      </c>
      <c r="M25" s="445">
        <f>'Gastos '!$D$60</f>
        <v>2400</v>
      </c>
    </row>
    <row r="26" spans="1:13" ht="15.75">
      <c r="A26" s="37"/>
      <c r="B26" s="446" t="s">
        <v>168</v>
      </c>
      <c r="C26" s="135"/>
      <c r="D26" s="414">
        <f>'Depreciacion '!$M7</f>
        <v>1084.6</v>
      </c>
      <c r="E26" s="414">
        <f>'Depreciacion '!$M7</f>
        <v>1084.6</v>
      </c>
      <c r="F26" s="414">
        <f>'Depreciacion '!$M7</f>
        <v>1084.6</v>
      </c>
      <c r="G26" s="414">
        <f>'Depreciacion '!$M7</f>
        <v>1084.6</v>
      </c>
      <c r="H26" s="414">
        <f>'Depreciacion '!$M7</f>
        <v>1084.6</v>
      </c>
      <c r="I26" s="414">
        <f>'Depreciacion '!$M7</f>
        <v>1084.6</v>
      </c>
      <c r="J26" s="414">
        <f>'Depreciacion '!$M7</f>
        <v>1084.6</v>
      </c>
      <c r="K26" s="414">
        <f>'Depreciacion '!$M7</f>
        <v>1084.6</v>
      </c>
      <c r="L26" s="414">
        <f>'Depreciacion '!$M7</f>
        <v>1084.6</v>
      </c>
      <c r="M26" s="445">
        <f>'Depreciacion '!$M7</f>
        <v>1084.6</v>
      </c>
    </row>
    <row r="27" spans="2:13" ht="15.75">
      <c r="B27" s="446" t="s">
        <v>169</v>
      </c>
      <c r="C27" s="135"/>
      <c r="D27" s="414">
        <f>'Depreciacion '!$M8</f>
        <v>2200.8</v>
      </c>
      <c r="E27" s="414">
        <f>'Depreciacion '!$M8</f>
        <v>2200.8</v>
      </c>
      <c r="F27" s="414">
        <f>'Depreciacion '!$M8</f>
        <v>2200.8</v>
      </c>
      <c r="G27" s="414">
        <f>'Depreciacion '!$M8</f>
        <v>2200.8</v>
      </c>
      <c r="H27" s="414">
        <f>'Depreciacion '!$M8</f>
        <v>2200.8</v>
      </c>
      <c r="I27" s="414">
        <f>'Depreciacion '!$M8</f>
        <v>2200.8</v>
      </c>
      <c r="J27" s="414">
        <f>'Depreciacion '!$M8</f>
        <v>2200.8</v>
      </c>
      <c r="K27" s="414">
        <f>'Depreciacion '!$M8</f>
        <v>2200.8</v>
      </c>
      <c r="L27" s="414">
        <f>'Depreciacion '!$M8</f>
        <v>2200.8</v>
      </c>
      <c r="M27" s="445">
        <f>'Depreciacion '!$M8</f>
        <v>2200.8</v>
      </c>
    </row>
    <row r="28" spans="2:13" ht="15.75">
      <c r="B28" s="446" t="s">
        <v>170</v>
      </c>
      <c r="C28" s="135"/>
      <c r="D28" s="414">
        <f>'Depreciacion '!$M9</f>
        <v>1650</v>
      </c>
      <c r="E28" s="414">
        <f>'Depreciacion '!$M9</f>
        <v>1650</v>
      </c>
      <c r="F28" s="414">
        <f>'Depreciacion '!$M9</f>
        <v>1650</v>
      </c>
      <c r="G28" s="414">
        <f>'Depreciacion '!$M9</f>
        <v>1650</v>
      </c>
      <c r="H28" s="414">
        <f>'Depreciacion '!$M9</f>
        <v>1650</v>
      </c>
      <c r="I28" s="414">
        <f>'Depreciacion '!$M9</f>
        <v>1650</v>
      </c>
      <c r="J28" s="414">
        <f>'Depreciacion '!$M9</f>
        <v>1650</v>
      </c>
      <c r="K28" s="414">
        <f>'Depreciacion '!$M9</f>
        <v>1650</v>
      </c>
      <c r="L28" s="414">
        <f>'Depreciacion '!$M9</f>
        <v>1650</v>
      </c>
      <c r="M28" s="445">
        <f>'Depreciacion '!$M9</f>
        <v>1650</v>
      </c>
    </row>
    <row r="29" spans="2:13" ht="15.75">
      <c r="B29" s="446" t="s">
        <v>171</v>
      </c>
      <c r="C29" s="135"/>
      <c r="D29" s="414">
        <f>'Depreciacion '!$M10</f>
        <v>1030</v>
      </c>
      <c r="E29" s="414">
        <f>'Depreciacion '!$M10</f>
        <v>1030</v>
      </c>
      <c r="F29" s="414">
        <f>'Depreciacion '!$M10</f>
        <v>1030</v>
      </c>
      <c r="G29" s="414">
        <f>'Depreciacion '!$M10</f>
        <v>1030</v>
      </c>
      <c r="H29" s="414">
        <f>'Depreciacion '!$M10</f>
        <v>1030</v>
      </c>
      <c r="I29" s="414">
        <f>'Depreciacion '!$M10</f>
        <v>1030</v>
      </c>
      <c r="J29" s="414">
        <f>'Depreciacion '!$M10</f>
        <v>1030</v>
      </c>
      <c r="K29" s="414">
        <f>'Depreciacion '!$M10</f>
        <v>1030</v>
      </c>
      <c r="L29" s="414">
        <f>'Depreciacion '!$M10</f>
        <v>1030</v>
      </c>
      <c r="M29" s="445">
        <f>'Depreciacion '!$M10</f>
        <v>1030</v>
      </c>
    </row>
    <row r="30" spans="2:13" ht="15.75">
      <c r="B30" s="446" t="s">
        <v>172</v>
      </c>
      <c r="C30" s="135"/>
      <c r="D30" s="414">
        <f>'Depreciacion '!$M11</f>
        <v>400</v>
      </c>
      <c r="E30" s="414">
        <f>'Depreciacion '!$M11</f>
        <v>400</v>
      </c>
      <c r="F30" s="414">
        <f>'Depreciacion '!$M11</f>
        <v>400</v>
      </c>
      <c r="G30" s="414">
        <f>'Depreciacion '!$M11</f>
        <v>400</v>
      </c>
      <c r="H30" s="414">
        <f>'Depreciacion '!$M11</f>
        <v>400</v>
      </c>
      <c r="I30" s="414">
        <f>'Depreciacion '!$M11</f>
        <v>400</v>
      </c>
      <c r="J30" s="414">
        <f>'Depreciacion '!$M11</f>
        <v>400</v>
      </c>
      <c r="K30" s="414">
        <f>'Depreciacion '!$M11</f>
        <v>400</v>
      </c>
      <c r="L30" s="414">
        <f>'Depreciacion '!$M11</f>
        <v>400</v>
      </c>
      <c r="M30" s="445">
        <f>'Depreciacion '!$M11</f>
        <v>400</v>
      </c>
    </row>
    <row r="31" spans="2:13" ht="15.75">
      <c r="B31" s="446" t="s">
        <v>173</v>
      </c>
      <c r="C31" s="135"/>
      <c r="D31" s="414">
        <f>'Depreciacion '!$M13</f>
        <v>720</v>
      </c>
      <c r="E31" s="414">
        <f>'Depreciacion '!$M13</f>
        <v>720</v>
      </c>
      <c r="F31" s="414">
        <f>'Depreciacion '!$M13</f>
        <v>720</v>
      </c>
      <c r="G31" s="414">
        <f>'Depreciacion '!$M13</f>
        <v>720</v>
      </c>
      <c r="H31" s="414">
        <f>'Depreciacion '!$M13</f>
        <v>720</v>
      </c>
      <c r="I31" s="414">
        <f>'Depreciacion '!$M13</f>
        <v>720</v>
      </c>
      <c r="J31" s="414">
        <f>'Depreciacion '!$M13</f>
        <v>720</v>
      </c>
      <c r="K31" s="414">
        <f>'Depreciacion '!$M13</f>
        <v>720</v>
      </c>
      <c r="L31" s="414">
        <f>'Depreciacion '!$M13</f>
        <v>720</v>
      </c>
      <c r="M31" s="445">
        <f>'Depreciacion '!$M13</f>
        <v>720</v>
      </c>
    </row>
    <row r="32" spans="2:13" ht="15.75">
      <c r="B32" s="446" t="s">
        <v>310</v>
      </c>
      <c r="C32" s="135"/>
      <c r="D32" s="414">
        <f>'Depreciacion '!$M14</f>
        <v>26.666666666666668</v>
      </c>
      <c r="E32" s="414">
        <f>'Depreciacion '!$M14</f>
        <v>26.666666666666668</v>
      </c>
      <c r="F32" s="414">
        <f>'Depreciacion '!$M14</f>
        <v>26.666666666666668</v>
      </c>
      <c r="G32" s="414">
        <f>'Depreciacion '!$M14</f>
        <v>26.666666666666668</v>
      </c>
      <c r="H32" s="414">
        <f>'Depreciacion '!$M14</f>
        <v>26.666666666666668</v>
      </c>
      <c r="I32" s="414">
        <f>'Depreciacion '!$M14</f>
        <v>26.666666666666668</v>
      </c>
      <c r="J32" s="414">
        <f>'Depreciacion '!$M14</f>
        <v>26.666666666666668</v>
      </c>
      <c r="K32" s="414">
        <f>'Depreciacion '!$M14</f>
        <v>26.666666666666668</v>
      </c>
      <c r="L32" s="414">
        <f>'Depreciacion '!$M14</f>
        <v>26.666666666666668</v>
      </c>
      <c r="M32" s="445">
        <f>'Depreciacion '!$M14</f>
        <v>26.666666666666668</v>
      </c>
    </row>
    <row r="33" spans="2:13" ht="15.75">
      <c r="B33" s="446" t="s">
        <v>311</v>
      </c>
      <c r="C33" s="135"/>
      <c r="D33" s="414">
        <f>'Depreciacion '!$M15</f>
        <v>36.666666666666664</v>
      </c>
      <c r="E33" s="414">
        <f>'Depreciacion '!$M15</f>
        <v>36.666666666666664</v>
      </c>
      <c r="F33" s="414">
        <f>'Depreciacion '!$M15</f>
        <v>36.666666666666664</v>
      </c>
      <c r="G33" s="414">
        <f>'Depreciacion '!$M15</f>
        <v>36.666666666666664</v>
      </c>
      <c r="H33" s="414">
        <f>'Depreciacion '!$M15</f>
        <v>36.666666666666664</v>
      </c>
      <c r="I33" s="414">
        <f>'Depreciacion '!$M15</f>
        <v>36.666666666666664</v>
      </c>
      <c r="J33" s="414">
        <f>'Depreciacion '!$M15</f>
        <v>36.666666666666664</v>
      </c>
      <c r="K33" s="414">
        <f>'Depreciacion '!$M15</f>
        <v>36.666666666666664</v>
      </c>
      <c r="L33" s="414">
        <f>'Depreciacion '!$M15</f>
        <v>36.666666666666664</v>
      </c>
      <c r="M33" s="445">
        <f>'Depreciacion '!$M15</f>
        <v>36.666666666666664</v>
      </c>
    </row>
    <row r="34" spans="2:13" ht="15.75">
      <c r="B34" s="446" t="s">
        <v>312</v>
      </c>
      <c r="C34" s="135"/>
      <c r="D34" s="414">
        <f>'Depreciacion '!$M17</f>
        <v>55.588</v>
      </c>
      <c r="E34" s="414">
        <f>'Depreciacion '!$M17</f>
        <v>55.588</v>
      </c>
      <c r="F34" s="414">
        <f>'Depreciacion '!$M17</f>
        <v>55.588</v>
      </c>
      <c r="G34" s="414">
        <f>'Depreciacion '!$M17</f>
        <v>55.588</v>
      </c>
      <c r="H34" s="414">
        <f>'Depreciacion '!$M17</f>
        <v>55.588</v>
      </c>
      <c r="I34" s="414">
        <f>'Depreciacion '!$M17</f>
        <v>55.588</v>
      </c>
      <c r="J34" s="414">
        <f>'Depreciacion '!$M17</f>
        <v>55.588</v>
      </c>
      <c r="K34" s="414">
        <f>'Depreciacion '!$M17</f>
        <v>55.588</v>
      </c>
      <c r="L34" s="414">
        <f>'Depreciacion '!$M17</f>
        <v>55.588</v>
      </c>
      <c r="M34" s="445">
        <f>'Depreciacion '!$M17</f>
        <v>55.588</v>
      </c>
    </row>
    <row r="35" spans="2:13" ht="15.75">
      <c r="B35" s="446" t="s">
        <v>313</v>
      </c>
      <c r="C35" s="135"/>
      <c r="D35" s="414">
        <f>'Depreciacion '!$M19</f>
        <v>60</v>
      </c>
      <c r="E35" s="414">
        <f>'Depreciacion '!$M19</f>
        <v>60</v>
      </c>
      <c r="F35" s="414">
        <f>'Depreciacion '!$M19</f>
        <v>60</v>
      </c>
      <c r="G35" s="414">
        <f>'Depreciacion '!$M19</f>
        <v>60</v>
      </c>
      <c r="H35" s="414">
        <f>'Depreciacion '!$M19</f>
        <v>60</v>
      </c>
      <c r="I35" s="414">
        <f>'Depreciacion '!$M19</f>
        <v>60</v>
      </c>
      <c r="J35" s="414">
        <f>'Depreciacion '!$M19</f>
        <v>60</v>
      </c>
      <c r="K35" s="414">
        <f>'Depreciacion '!$M19</f>
        <v>60</v>
      </c>
      <c r="L35" s="414">
        <f>'Depreciacion '!$M19</f>
        <v>60</v>
      </c>
      <c r="M35" s="445">
        <f>'Depreciacion '!$M19</f>
        <v>60</v>
      </c>
    </row>
    <row r="36" spans="2:13" ht="15.75">
      <c r="B36" s="446" t="s">
        <v>314</v>
      </c>
      <c r="C36" s="135"/>
      <c r="D36" s="414">
        <f>'Depreciacion '!$M20</f>
        <v>160</v>
      </c>
      <c r="E36" s="414">
        <f>'Depreciacion '!$M20</f>
        <v>160</v>
      </c>
      <c r="F36" s="414">
        <f>'Depreciacion '!$M20</f>
        <v>160</v>
      </c>
      <c r="G36" s="414">
        <f>'Depreciacion '!$M20</f>
        <v>160</v>
      </c>
      <c r="H36" s="414">
        <f>'Depreciacion '!$M20</f>
        <v>160</v>
      </c>
      <c r="I36" s="414">
        <f>'Depreciacion '!$M20</f>
        <v>160</v>
      </c>
      <c r="J36" s="414">
        <f>'Depreciacion '!$M20</f>
        <v>160</v>
      </c>
      <c r="K36" s="414">
        <f>'Depreciacion '!$M20</f>
        <v>160</v>
      </c>
      <c r="L36" s="414">
        <f>'Depreciacion '!$M20</f>
        <v>160</v>
      </c>
      <c r="M36" s="445">
        <f>'Depreciacion '!$M20</f>
        <v>160</v>
      </c>
    </row>
    <row r="37" spans="2:13" ht="15.75">
      <c r="B37" s="446" t="s">
        <v>174</v>
      </c>
      <c r="C37" s="135"/>
      <c r="D37" s="414">
        <f>'Depreciacion '!$M22</f>
        <v>4400</v>
      </c>
      <c r="E37" s="414">
        <f>'Depreciacion '!$M22</f>
        <v>4400</v>
      </c>
      <c r="F37" s="414">
        <f>'Depreciacion '!$M22</f>
        <v>4400</v>
      </c>
      <c r="G37" s="414">
        <f>'Depreciacion '!$M22</f>
        <v>4400</v>
      </c>
      <c r="H37" s="414">
        <f>'Depreciacion '!$M22</f>
        <v>4400</v>
      </c>
      <c r="I37" s="414">
        <f>'Depreciacion '!$M22</f>
        <v>4400</v>
      </c>
      <c r="J37" s="414">
        <f>'Depreciacion '!$M22</f>
        <v>4400</v>
      </c>
      <c r="K37" s="414">
        <f>'Depreciacion '!$M22</f>
        <v>4400</v>
      </c>
      <c r="L37" s="414">
        <f>'Depreciacion '!$M22</f>
        <v>4400</v>
      </c>
      <c r="M37" s="445">
        <f>'Depreciacion '!$M22</f>
        <v>4400</v>
      </c>
    </row>
    <row r="38" spans="2:13" ht="15">
      <c r="B38" s="424" t="s">
        <v>321</v>
      </c>
      <c r="C38" s="135"/>
      <c r="D38" s="414">
        <f>-Préstamo!H11</f>
        <v>4937.881097828861</v>
      </c>
      <c r="E38" s="414">
        <f>-Préstamo!H12</f>
        <v>4654.178428431581</v>
      </c>
      <c r="F38" s="414">
        <f>-Préstamo!H13</f>
        <v>4336.913733244603</v>
      </c>
      <c r="G38" s="414">
        <f>-Préstamo!H14</f>
        <v>3982.1166246170037</v>
      </c>
      <c r="H38" s="414">
        <f>-Préstamo!H15</f>
        <v>3585.3470180387603</v>
      </c>
      <c r="I38" s="414">
        <f>-Préstamo!H16</f>
        <v>3141.6395670023107</v>
      </c>
      <c r="J38" s="414">
        <f>-Préstamo!H17</f>
        <v>2645.4415245082487</v>
      </c>
      <c r="K38" s="414">
        <f>-Préstamo!H18</f>
        <v>2090.5432535871396</v>
      </c>
      <c r="L38" s="414">
        <f>-Préstamo!H19</f>
        <v>1470.0005172160634</v>
      </c>
      <c r="M38" s="445">
        <f>-Préstamo!H20</f>
        <v>776.0475751322887</v>
      </c>
    </row>
    <row r="39" spans="2:13" ht="15">
      <c r="B39" s="424" t="s">
        <v>175</v>
      </c>
      <c r="C39" s="135"/>
      <c r="D39" s="415"/>
      <c r="E39" s="415"/>
      <c r="F39" s="415"/>
      <c r="G39" s="415"/>
      <c r="H39" s="415"/>
      <c r="I39" s="415"/>
      <c r="J39" s="135"/>
      <c r="K39" s="415"/>
      <c r="L39" s="415"/>
      <c r="M39" s="447">
        <f>'Depreciacion '!$G6</f>
        <v>3253.7999999999997</v>
      </c>
    </row>
    <row r="40" spans="2:13" ht="15">
      <c r="B40" s="424" t="s">
        <v>176</v>
      </c>
      <c r="C40" s="135"/>
      <c r="D40" s="415"/>
      <c r="E40" s="415"/>
      <c r="F40" s="415"/>
      <c r="G40" s="415"/>
      <c r="H40" s="415"/>
      <c r="I40" s="415"/>
      <c r="J40" s="135"/>
      <c r="K40" s="415"/>
      <c r="L40" s="415"/>
      <c r="M40" s="447">
        <f>'Depreciacion '!$G7</f>
        <v>8803.2</v>
      </c>
    </row>
    <row r="41" spans="2:13" ht="15">
      <c r="B41" s="424" t="s">
        <v>177</v>
      </c>
      <c r="C41" s="135"/>
      <c r="D41" s="415"/>
      <c r="E41" s="415"/>
      <c r="F41" s="415"/>
      <c r="G41" s="415"/>
      <c r="H41" s="415"/>
      <c r="I41" s="415"/>
      <c r="J41" s="135"/>
      <c r="K41" s="415"/>
      <c r="L41" s="415"/>
      <c r="M41" s="447">
        <f>'Depreciacion '!$G8</f>
        <v>6600</v>
      </c>
    </row>
    <row r="42" spans="2:13" ht="15">
      <c r="B42" s="424" t="s">
        <v>178</v>
      </c>
      <c r="C42" s="135"/>
      <c r="D42" s="415"/>
      <c r="E42" s="415"/>
      <c r="F42" s="415"/>
      <c r="G42" s="415"/>
      <c r="H42" s="415"/>
      <c r="I42" s="415"/>
      <c r="J42" s="135"/>
      <c r="K42" s="415"/>
      <c r="L42" s="415"/>
      <c r="M42" s="447">
        <f>'Depreciacion '!$G9</f>
        <v>4120</v>
      </c>
    </row>
    <row r="43" spans="2:13" ht="15">
      <c r="B43" s="424" t="s">
        <v>179</v>
      </c>
      <c r="C43" s="135"/>
      <c r="D43" s="415"/>
      <c r="E43" s="415"/>
      <c r="F43" s="415"/>
      <c r="G43" s="415"/>
      <c r="H43" s="415"/>
      <c r="I43" s="415"/>
      <c r="J43" s="135"/>
      <c r="K43" s="415"/>
      <c r="L43" s="415"/>
      <c r="M43" s="447">
        <f>'Depreciacion '!$G10</f>
        <v>1600</v>
      </c>
    </row>
    <row r="44" spans="2:13" ht="15">
      <c r="B44" s="424" t="s">
        <v>180</v>
      </c>
      <c r="C44" s="135"/>
      <c r="D44" s="415"/>
      <c r="E44" s="415"/>
      <c r="F44" s="415">
        <f>'Depreciacion '!$G$13</f>
        <v>216</v>
      </c>
      <c r="G44" s="415"/>
      <c r="H44" s="415"/>
      <c r="I44" s="415">
        <f>'Depreciacion '!G13</f>
        <v>216</v>
      </c>
      <c r="J44" s="415"/>
      <c r="K44" s="415"/>
      <c r="L44" s="415">
        <f>'Depreciacion '!G13</f>
        <v>216</v>
      </c>
      <c r="M44" s="447"/>
    </row>
    <row r="45" spans="2:13" ht="15">
      <c r="B45" s="424" t="s">
        <v>315</v>
      </c>
      <c r="C45" s="135"/>
      <c r="D45" s="415"/>
      <c r="E45" s="415"/>
      <c r="F45" s="415">
        <f>'Depreciacion '!G14</f>
        <v>8</v>
      </c>
      <c r="G45" s="415"/>
      <c r="H45" s="415"/>
      <c r="I45" s="415">
        <f>'Depreciacion '!G14</f>
        <v>8</v>
      </c>
      <c r="J45" s="415"/>
      <c r="K45" s="415"/>
      <c r="L45" s="415">
        <f>'Depreciacion '!G14</f>
        <v>8</v>
      </c>
      <c r="M45" s="447"/>
    </row>
    <row r="46" spans="2:13" ht="15">
      <c r="B46" s="424" t="s">
        <v>316</v>
      </c>
      <c r="C46" s="135"/>
      <c r="D46" s="415"/>
      <c r="E46" s="415"/>
      <c r="F46" s="415">
        <f>'Depreciacion '!G15</f>
        <v>11</v>
      </c>
      <c r="G46" s="415"/>
      <c r="H46" s="415"/>
      <c r="I46" s="415">
        <f>'Depreciacion '!G15</f>
        <v>11</v>
      </c>
      <c r="J46" s="415"/>
      <c r="K46" s="415"/>
      <c r="L46" s="415">
        <f>'Depreciacion '!G15</f>
        <v>11</v>
      </c>
      <c r="M46" s="447"/>
    </row>
    <row r="47" spans="2:13" ht="15">
      <c r="B47" s="424" t="s">
        <v>317</v>
      </c>
      <c r="C47" s="135"/>
      <c r="D47" s="415"/>
      <c r="E47" s="415"/>
      <c r="F47" s="415"/>
      <c r="G47" s="415"/>
      <c r="H47" s="415"/>
      <c r="I47" s="415"/>
      <c r="J47" s="415"/>
      <c r="K47" s="415"/>
      <c r="L47" s="415"/>
      <c r="M47" s="447">
        <f>'Depreciacion '!G20</f>
        <v>55.588</v>
      </c>
    </row>
    <row r="48" spans="2:13" ht="15">
      <c r="B48" s="424" t="s">
        <v>318</v>
      </c>
      <c r="C48" s="135"/>
      <c r="D48" s="415"/>
      <c r="E48" s="415"/>
      <c r="F48" s="415"/>
      <c r="G48" s="415"/>
      <c r="H48" s="415"/>
      <c r="I48" s="415"/>
      <c r="J48" s="415"/>
      <c r="K48" s="415"/>
      <c r="L48" s="415"/>
      <c r="M48" s="447">
        <f>'Depreciacion '!G26</f>
        <v>30</v>
      </c>
    </row>
    <row r="49" spans="2:13" ht="15">
      <c r="B49" s="424" t="s">
        <v>319</v>
      </c>
      <c r="C49" s="135"/>
      <c r="D49" s="415"/>
      <c r="E49" s="415"/>
      <c r="F49" s="415"/>
      <c r="G49" s="415"/>
      <c r="H49" s="415"/>
      <c r="I49" s="415"/>
      <c r="J49" s="415"/>
      <c r="K49" s="415"/>
      <c r="L49" s="415"/>
      <c r="M49" s="447">
        <f>'Depreciacion '!G27</f>
        <v>160</v>
      </c>
    </row>
    <row r="50" spans="2:13" ht="15">
      <c r="B50" s="424" t="s">
        <v>320</v>
      </c>
      <c r="C50" s="135"/>
      <c r="D50" s="415"/>
      <c r="E50" s="415"/>
      <c r="F50" s="415"/>
      <c r="G50" s="415"/>
      <c r="H50" s="415">
        <f>'Depreciacion '!$G$30</f>
        <v>9900</v>
      </c>
      <c r="I50" s="415"/>
      <c r="J50" s="415"/>
      <c r="K50" s="415"/>
      <c r="L50" s="415"/>
      <c r="M50" s="447">
        <f>'Depreciacion '!$G$30</f>
        <v>9900</v>
      </c>
    </row>
    <row r="51" spans="2:13" ht="15">
      <c r="B51" s="424" t="s">
        <v>579</v>
      </c>
      <c r="C51" s="412"/>
      <c r="D51" s="416">
        <f>D15-D20-SUM(D21:D37)-D38+SUM(D39:D50)</f>
        <v>-7534.203073159443</v>
      </c>
      <c r="E51" s="416">
        <f aca="true" t="shared" si="8" ref="E51:M51">E15-E20-SUM(E21:E37)+SUM(E39:E50)</f>
        <v>17239.847720500424</v>
      </c>
      <c r="F51" s="416">
        <f t="shared" si="8"/>
        <v>36156.449687596716</v>
      </c>
      <c r="G51" s="416">
        <f t="shared" si="8"/>
        <v>55445.228057912354</v>
      </c>
      <c r="H51" s="416">
        <f t="shared" si="8"/>
        <v>85740.83813191997</v>
      </c>
      <c r="I51" s="416">
        <f t="shared" si="8"/>
        <v>97373.87355806031</v>
      </c>
      <c r="J51" s="416">
        <f t="shared" si="8"/>
        <v>119370.89429197273</v>
      </c>
      <c r="K51" s="416">
        <f t="shared" si="8"/>
        <v>142569.45535727928</v>
      </c>
      <c r="L51" s="416">
        <f t="shared" si="8"/>
        <v>167003.13643029472</v>
      </c>
      <c r="M51" s="448">
        <f t="shared" si="8"/>
        <v>226524.1602716426</v>
      </c>
    </row>
    <row r="52" spans="2:13" ht="15.75">
      <c r="B52" s="446" t="s">
        <v>17</v>
      </c>
      <c r="C52" s="135"/>
      <c r="D52" s="415">
        <f>IF(D51&gt;0,D51*15%,0)</f>
        <v>0</v>
      </c>
      <c r="E52" s="415">
        <f aca="true" t="shared" si="9" ref="E52:M52">IF(E51&gt;0,E51*15%,0)</f>
        <v>2585.9771580750635</v>
      </c>
      <c r="F52" s="415">
        <f t="shared" si="9"/>
        <v>5423.467453139508</v>
      </c>
      <c r="G52" s="415">
        <f t="shared" si="9"/>
        <v>8316.784208686853</v>
      </c>
      <c r="H52" s="415">
        <f t="shared" si="9"/>
        <v>12861.125719787995</v>
      </c>
      <c r="I52" s="415">
        <f t="shared" si="9"/>
        <v>14606.081033709046</v>
      </c>
      <c r="J52" s="415">
        <f t="shared" si="9"/>
        <v>17905.63414379591</v>
      </c>
      <c r="K52" s="415">
        <f t="shared" si="9"/>
        <v>21385.41830359189</v>
      </c>
      <c r="L52" s="415">
        <f t="shared" si="9"/>
        <v>25050.470464544207</v>
      </c>
      <c r="M52" s="447">
        <f t="shared" si="9"/>
        <v>33978.62404074639</v>
      </c>
    </row>
    <row r="53" spans="2:13" ht="15">
      <c r="B53" s="424" t="s">
        <v>580</v>
      </c>
      <c r="C53" s="412"/>
      <c r="D53" s="416">
        <f>D51-D52</f>
        <v>-7534.203073159443</v>
      </c>
      <c r="E53" s="416">
        <f aca="true" t="shared" si="10" ref="E53:M53">E51-E52</f>
        <v>14653.87056242536</v>
      </c>
      <c r="F53" s="416">
        <f t="shared" si="10"/>
        <v>30732.98223445721</v>
      </c>
      <c r="G53" s="416">
        <f t="shared" si="10"/>
        <v>47128.4438492255</v>
      </c>
      <c r="H53" s="416">
        <f t="shared" si="10"/>
        <v>72879.71241213198</v>
      </c>
      <c r="I53" s="416">
        <f t="shared" si="10"/>
        <v>82767.79252435126</v>
      </c>
      <c r="J53" s="416">
        <f t="shared" si="10"/>
        <v>101465.26014817682</v>
      </c>
      <c r="K53" s="416">
        <f t="shared" si="10"/>
        <v>121184.03705368738</v>
      </c>
      <c r="L53" s="416">
        <f t="shared" si="10"/>
        <v>141952.66596575052</v>
      </c>
      <c r="M53" s="448">
        <f t="shared" si="10"/>
        <v>192545.53623089622</v>
      </c>
    </row>
    <row r="54" spans="2:13" ht="15.75">
      <c r="B54" s="446" t="s">
        <v>18</v>
      </c>
      <c r="C54" s="135"/>
      <c r="D54" s="415">
        <f>IF(D53&gt;0,D53*25%,0)</f>
        <v>0</v>
      </c>
      <c r="E54" s="415">
        <f aca="true" t="shared" si="11" ref="E54:M54">IF(E53&gt;0,E53*25%,0)</f>
        <v>3663.46764060634</v>
      </c>
      <c r="F54" s="415">
        <f t="shared" si="11"/>
        <v>7683.245558614302</v>
      </c>
      <c r="G54" s="415">
        <f t="shared" si="11"/>
        <v>11782.110962306375</v>
      </c>
      <c r="H54" s="415">
        <f t="shared" si="11"/>
        <v>18219.928103032995</v>
      </c>
      <c r="I54" s="415">
        <f t="shared" si="11"/>
        <v>20691.948131087815</v>
      </c>
      <c r="J54" s="415">
        <f t="shared" si="11"/>
        <v>25366.315037044205</v>
      </c>
      <c r="K54" s="415">
        <f t="shared" si="11"/>
        <v>30296.009263421845</v>
      </c>
      <c r="L54" s="415">
        <f t="shared" si="11"/>
        <v>35488.16649143763</v>
      </c>
      <c r="M54" s="447">
        <f t="shared" si="11"/>
        <v>48136.384057724055</v>
      </c>
    </row>
    <row r="55" spans="2:13" ht="15">
      <c r="B55" s="424" t="s">
        <v>581</v>
      </c>
      <c r="C55" s="416">
        <f>C53-C54</f>
        <v>0</v>
      </c>
      <c r="D55" s="416">
        <f>D53-D54</f>
        <v>-7534.203073159443</v>
      </c>
      <c r="E55" s="416">
        <f aca="true" t="shared" si="12" ref="E55:M55">E53-E54</f>
        <v>10990.402921819019</v>
      </c>
      <c r="F55" s="416">
        <f t="shared" si="12"/>
        <v>23049.736675842905</v>
      </c>
      <c r="G55" s="416">
        <f t="shared" si="12"/>
        <v>35346.332886919125</v>
      </c>
      <c r="H55" s="416">
        <f t="shared" si="12"/>
        <v>54659.784309098985</v>
      </c>
      <c r="I55" s="416">
        <f t="shared" si="12"/>
        <v>62075.84439326344</v>
      </c>
      <c r="J55" s="416">
        <f t="shared" si="12"/>
        <v>76098.94511113262</v>
      </c>
      <c r="K55" s="416">
        <f t="shared" si="12"/>
        <v>90888.02779026554</v>
      </c>
      <c r="L55" s="416">
        <f t="shared" si="12"/>
        <v>106464.49947431289</v>
      </c>
      <c r="M55" s="448">
        <f t="shared" si="12"/>
        <v>144409.15217317216</v>
      </c>
    </row>
    <row r="56" spans="2:13" ht="15.75">
      <c r="B56" s="446" t="s">
        <v>168</v>
      </c>
      <c r="C56" s="135"/>
      <c r="D56" s="415">
        <f aca="true" t="shared" si="13" ref="D56:M67">D26</f>
        <v>1084.6</v>
      </c>
      <c r="E56" s="415">
        <f t="shared" si="13"/>
        <v>1084.6</v>
      </c>
      <c r="F56" s="415">
        <f t="shared" si="13"/>
        <v>1084.6</v>
      </c>
      <c r="G56" s="415">
        <f t="shared" si="13"/>
        <v>1084.6</v>
      </c>
      <c r="H56" s="415">
        <f t="shared" si="13"/>
        <v>1084.6</v>
      </c>
      <c r="I56" s="415">
        <f t="shared" si="13"/>
        <v>1084.6</v>
      </c>
      <c r="J56" s="415">
        <f t="shared" si="13"/>
        <v>1084.6</v>
      </c>
      <c r="K56" s="415">
        <f t="shared" si="13"/>
        <v>1084.6</v>
      </c>
      <c r="L56" s="415">
        <f t="shared" si="13"/>
        <v>1084.6</v>
      </c>
      <c r="M56" s="447">
        <f t="shared" si="13"/>
        <v>1084.6</v>
      </c>
    </row>
    <row r="57" spans="2:13" ht="15.75">
      <c r="B57" s="446" t="s">
        <v>169</v>
      </c>
      <c r="C57" s="135"/>
      <c r="D57" s="415">
        <f t="shared" si="13"/>
        <v>2200.8</v>
      </c>
      <c r="E57" s="415">
        <f t="shared" si="13"/>
        <v>2200.8</v>
      </c>
      <c r="F57" s="415">
        <f t="shared" si="13"/>
        <v>2200.8</v>
      </c>
      <c r="G57" s="415">
        <f t="shared" si="13"/>
        <v>2200.8</v>
      </c>
      <c r="H57" s="415">
        <f t="shared" si="13"/>
        <v>2200.8</v>
      </c>
      <c r="I57" s="415">
        <f t="shared" si="13"/>
        <v>2200.8</v>
      </c>
      <c r="J57" s="415">
        <f t="shared" si="13"/>
        <v>2200.8</v>
      </c>
      <c r="K57" s="415">
        <f t="shared" si="13"/>
        <v>2200.8</v>
      </c>
      <c r="L57" s="415">
        <f t="shared" si="13"/>
        <v>2200.8</v>
      </c>
      <c r="M57" s="447">
        <f t="shared" si="13"/>
        <v>2200.8</v>
      </c>
    </row>
    <row r="58" spans="2:13" ht="15.75">
      <c r="B58" s="446" t="s">
        <v>170</v>
      </c>
      <c r="C58" s="135"/>
      <c r="D58" s="415">
        <f t="shared" si="13"/>
        <v>1650</v>
      </c>
      <c r="E58" s="415">
        <f t="shared" si="13"/>
        <v>1650</v>
      </c>
      <c r="F58" s="415">
        <f t="shared" si="13"/>
        <v>1650</v>
      </c>
      <c r="G58" s="415">
        <f t="shared" si="13"/>
        <v>1650</v>
      </c>
      <c r="H58" s="415">
        <f t="shared" si="13"/>
        <v>1650</v>
      </c>
      <c r="I58" s="415">
        <f t="shared" si="13"/>
        <v>1650</v>
      </c>
      <c r="J58" s="415">
        <f t="shared" si="13"/>
        <v>1650</v>
      </c>
      <c r="K58" s="415">
        <f t="shared" si="13"/>
        <v>1650</v>
      </c>
      <c r="L58" s="415">
        <f t="shared" si="13"/>
        <v>1650</v>
      </c>
      <c r="M58" s="447">
        <f t="shared" si="13"/>
        <v>1650</v>
      </c>
    </row>
    <row r="59" spans="2:13" ht="15.75">
      <c r="B59" s="446" t="s">
        <v>171</v>
      </c>
      <c r="C59" s="135"/>
      <c r="D59" s="415">
        <f t="shared" si="13"/>
        <v>1030</v>
      </c>
      <c r="E59" s="415">
        <f t="shared" si="13"/>
        <v>1030</v>
      </c>
      <c r="F59" s="415">
        <f t="shared" si="13"/>
        <v>1030</v>
      </c>
      <c r="G59" s="415">
        <f t="shared" si="13"/>
        <v>1030</v>
      </c>
      <c r="H59" s="415">
        <f t="shared" si="13"/>
        <v>1030</v>
      </c>
      <c r="I59" s="415">
        <f t="shared" si="13"/>
        <v>1030</v>
      </c>
      <c r="J59" s="415">
        <f t="shared" si="13"/>
        <v>1030</v>
      </c>
      <c r="K59" s="415">
        <f t="shared" si="13"/>
        <v>1030</v>
      </c>
      <c r="L59" s="415">
        <f t="shared" si="13"/>
        <v>1030</v>
      </c>
      <c r="M59" s="447">
        <f t="shared" si="13"/>
        <v>1030</v>
      </c>
    </row>
    <row r="60" spans="2:13" ht="15.75">
      <c r="B60" s="446" t="s">
        <v>172</v>
      </c>
      <c r="C60" s="135"/>
      <c r="D60" s="415">
        <f t="shared" si="13"/>
        <v>400</v>
      </c>
      <c r="E60" s="415">
        <f t="shared" si="13"/>
        <v>400</v>
      </c>
      <c r="F60" s="415">
        <f t="shared" si="13"/>
        <v>400</v>
      </c>
      <c r="G60" s="415">
        <f t="shared" si="13"/>
        <v>400</v>
      </c>
      <c r="H60" s="415">
        <f t="shared" si="13"/>
        <v>400</v>
      </c>
      <c r="I60" s="415">
        <f t="shared" si="13"/>
        <v>400</v>
      </c>
      <c r="J60" s="415">
        <f t="shared" si="13"/>
        <v>400</v>
      </c>
      <c r="K60" s="415">
        <f t="shared" si="13"/>
        <v>400</v>
      </c>
      <c r="L60" s="415">
        <f t="shared" si="13"/>
        <v>400</v>
      </c>
      <c r="M60" s="447">
        <f t="shared" si="13"/>
        <v>400</v>
      </c>
    </row>
    <row r="61" spans="2:13" ht="15.75">
      <c r="B61" s="446" t="s">
        <v>173</v>
      </c>
      <c r="C61" s="135"/>
      <c r="D61" s="415">
        <f t="shared" si="13"/>
        <v>720</v>
      </c>
      <c r="E61" s="415">
        <f t="shared" si="13"/>
        <v>720</v>
      </c>
      <c r="F61" s="415">
        <f t="shared" si="13"/>
        <v>720</v>
      </c>
      <c r="G61" s="415">
        <f t="shared" si="13"/>
        <v>720</v>
      </c>
      <c r="H61" s="415">
        <f t="shared" si="13"/>
        <v>720</v>
      </c>
      <c r="I61" s="415">
        <f t="shared" si="13"/>
        <v>720</v>
      </c>
      <c r="J61" s="415">
        <f t="shared" si="13"/>
        <v>720</v>
      </c>
      <c r="K61" s="415">
        <f t="shared" si="13"/>
        <v>720</v>
      </c>
      <c r="L61" s="415">
        <f t="shared" si="13"/>
        <v>720</v>
      </c>
      <c r="M61" s="447">
        <f t="shared" si="13"/>
        <v>720</v>
      </c>
    </row>
    <row r="62" spans="2:13" ht="15.75">
      <c r="B62" s="446" t="s">
        <v>310</v>
      </c>
      <c r="C62" s="135"/>
      <c r="D62" s="415">
        <f t="shared" si="13"/>
        <v>26.666666666666668</v>
      </c>
      <c r="E62" s="415">
        <f t="shared" si="13"/>
        <v>26.666666666666668</v>
      </c>
      <c r="F62" s="415">
        <f t="shared" si="13"/>
        <v>26.666666666666668</v>
      </c>
      <c r="G62" s="415">
        <f t="shared" si="13"/>
        <v>26.666666666666668</v>
      </c>
      <c r="H62" s="415">
        <f t="shared" si="13"/>
        <v>26.666666666666668</v>
      </c>
      <c r="I62" s="415">
        <f t="shared" si="13"/>
        <v>26.666666666666668</v>
      </c>
      <c r="J62" s="415">
        <f t="shared" si="13"/>
        <v>26.666666666666668</v>
      </c>
      <c r="K62" s="415">
        <f t="shared" si="13"/>
        <v>26.666666666666668</v>
      </c>
      <c r="L62" s="415">
        <f t="shared" si="13"/>
        <v>26.666666666666668</v>
      </c>
      <c r="M62" s="447">
        <f t="shared" si="13"/>
        <v>26.666666666666668</v>
      </c>
    </row>
    <row r="63" spans="2:13" ht="15.75">
      <c r="B63" s="446" t="s">
        <v>311</v>
      </c>
      <c r="C63" s="135"/>
      <c r="D63" s="415">
        <f t="shared" si="13"/>
        <v>36.666666666666664</v>
      </c>
      <c r="E63" s="415">
        <f t="shared" si="13"/>
        <v>36.666666666666664</v>
      </c>
      <c r="F63" s="415">
        <f t="shared" si="13"/>
        <v>36.666666666666664</v>
      </c>
      <c r="G63" s="415">
        <f t="shared" si="13"/>
        <v>36.666666666666664</v>
      </c>
      <c r="H63" s="415">
        <f t="shared" si="13"/>
        <v>36.666666666666664</v>
      </c>
      <c r="I63" s="415">
        <f t="shared" si="13"/>
        <v>36.666666666666664</v>
      </c>
      <c r="J63" s="415">
        <f t="shared" si="13"/>
        <v>36.666666666666664</v>
      </c>
      <c r="K63" s="415">
        <f t="shared" si="13"/>
        <v>36.666666666666664</v>
      </c>
      <c r="L63" s="415">
        <f t="shared" si="13"/>
        <v>36.666666666666664</v>
      </c>
      <c r="M63" s="447">
        <f t="shared" si="13"/>
        <v>36.666666666666664</v>
      </c>
    </row>
    <row r="64" spans="2:13" ht="15.75">
      <c r="B64" s="446" t="s">
        <v>312</v>
      </c>
      <c r="C64" s="135"/>
      <c r="D64" s="415">
        <f t="shared" si="13"/>
        <v>55.588</v>
      </c>
      <c r="E64" s="415">
        <f t="shared" si="13"/>
        <v>55.588</v>
      </c>
      <c r="F64" s="415">
        <f t="shared" si="13"/>
        <v>55.588</v>
      </c>
      <c r="G64" s="415">
        <f t="shared" si="13"/>
        <v>55.588</v>
      </c>
      <c r="H64" s="415">
        <f t="shared" si="13"/>
        <v>55.588</v>
      </c>
      <c r="I64" s="415">
        <f t="shared" si="13"/>
        <v>55.588</v>
      </c>
      <c r="J64" s="415">
        <f t="shared" si="13"/>
        <v>55.588</v>
      </c>
      <c r="K64" s="415">
        <f t="shared" si="13"/>
        <v>55.588</v>
      </c>
      <c r="L64" s="415">
        <f t="shared" si="13"/>
        <v>55.588</v>
      </c>
      <c r="M64" s="447">
        <f t="shared" si="13"/>
        <v>55.588</v>
      </c>
    </row>
    <row r="65" spans="2:13" ht="15.75">
      <c r="B65" s="446" t="s">
        <v>313</v>
      </c>
      <c r="C65" s="135"/>
      <c r="D65" s="415">
        <f t="shared" si="13"/>
        <v>60</v>
      </c>
      <c r="E65" s="415">
        <f t="shared" si="13"/>
        <v>60</v>
      </c>
      <c r="F65" s="415">
        <f t="shared" si="13"/>
        <v>60</v>
      </c>
      <c r="G65" s="415">
        <f t="shared" si="13"/>
        <v>60</v>
      </c>
      <c r="H65" s="415">
        <f t="shared" si="13"/>
        <v>60</v>
      </c>
      <c r="I65" s="415">
        <f t="shared" si="13"/>
        <v>60</v>
      </c>
      <c r="J65" s="415">
        <f t="shared" si="13"/>
        <v>60</v>
      </c>
      <c r="K65" s="415">
        <f t="shared" si="13"/>
        <v>60</v>
      </c>
      <c r="L65" s="415">
        <f t="shared" si="13"/>
        <v>60</v>
      </c>
      <c r="M65" s="447">
        <f t="shared" si="13"/>
        <v>60</v>
      </c>
    </row>
    <row r="66" spans="2:13" ht="15.75">
      <c r="B66" s="446" t="s">
        <v>314</v>
      </c>
      <c r="C66" s="135"/>
      <c r="D66" s="415">
        <f t="shared" si="13"/>
        <v>160</v>
      </c>
      <c r="E66" s="415">
        <f t="shared" si="13"/>
        <v>160</v>
      </c>
      <c r="F66" s="415">
        <f t="shared" si="13"/>
        <v>160</v>
      </c>
      <c r="G66" s="415">
        <f t="shared" si="13"/>
        <v>160</v>
      </c>
      <c r="H66" s="415">
        <f t="shared" si="13"/>
        <v>160</v>
      </c>
      <c r="I66" s="415">
        <f t="shared" si="13"/>
        <v>160</v>
      </c>
      <c r="J66" s="415">
        <f t="shared" si="13"/>
        <v>160</v>
      </c>
      <c r="K66" s="415">
        <f t="shared" si="13"/>
        <v>160</v>
      </c>
      <c r="L66" s="415">
        <f t="shared" si="13"/>
        <v>160</v>
      </c>
      <c r="M66" s="447">
        <f t="shared" si="13"/>
        <v>160</v>
      </c>
    </row>
    <row r="67" spans="2:13" ht="15">
      <c r="B67" s="424" t="s">
        <v>174</v>
      </c>
      <c r="C67" s="135"/>
      <c r="D67" s="415">
        <f t="shared" si="13"/>
        <v>4400</v>
      </c>
      <c r="E67" s="415">
        <f t="shared" si="13"/>
        <v>4400</v>
      </c>
      <c r="F67" s="415">
        <f t="shared" si="13"/>
        <v>4400</v>
      </c>
      <c r="G67" s="415">
        <f t="shared" si="13"/>
        <v>4400</v>
      </c>
      <c r="H67" s="415">
        <f t="shared" si="13"/>
        <v>4400</v>
      </c>
      <c r="I67" s="415">
        <f t="shared" si="13"/>
        <v>4400</v>
      </c>
      <c r="J67" s="415">
        <f t="shared" si="13"/>
        <v>4400</v>
      </c>
      <c r="K67" s="415">
        <f t="shared" si="13"/>
        <v>4400</v>
      </c>
      <c r="L67" s="415">
        <f t="shared" si="13"/>
        <v>4400</v>
      </c>
      <c r="M67" s="447">
        <f t="shared" si="13"/>
        <v>4400</v>
      </c>
    </row>
    <row r="68" spans="2:13" ht="15">
      <c r="B68" s="424" t="s">
        <v>181</v>
      </c>
      <c r="C68" s="135"/>
      <c r="D68" s="414"/>
      <c r="E68" s="414"/>
      <c r="F68" s="414"/>
      <c r="G68" s="414"/>
      <c r="H68" s="414"/>
      <c r="I68" s="414"/>
      <c r="J68" s="135"/>
      <c r="K68" s="414"/>
      <c r="L68" s="414"/>
      <c r="M68" s="449">
        <f>'Depreciacion '!O7</f>
        <v>0</v>
      </c>
    </row>
    <row r="69" spans="2:13" ht="15">
      <c r="B69" s="424" t="s">
        <v>252</v>
      </c>
      <c r="C69" s="135"/>
      <c r="D69" s="414"/>
      <c r="E69" s="414"/>
      <c r="F69" s="414"/>
      <c r="G69" s="414"/>
      <c r="H69" s="414"/>
      <c r="I69" s="414"/>
      <c r="J69" s="135"/>
      <c r="K69" s="414"/>
      <c r="L69" s="414"/>
      <c r="M69" s="449">
        <f>'Depreciacion '!O8</f>
        <v>0</v>
      </c>
    </row>
    <row r="70" spans="2:13" ht="15">
      <c r="B70" s="424" t="s">
        <v>182</v>
      </c>
      <c r="C70" s="135"/>
      <c r="D70" s="414"/>
      <c r="E70" s="414"/>
      <c r="F70" s="414"/>
      <c r="G70" s="414"/>
      <c r="H70" s="414"/>
      <c r="I70" s="414"/>
      <c r="J70" s="135"/>
      <c r="K70" s="414"/>
      <c r="L70" s="414"/>
      <c r="M70" s="449">
        <f>'Depreciacion '!O9</f>
        <v>0</v>
      </c>
    </row>
    <row r="71" spans="2:13" ht="15">
      <c r="B71" s="424" t="s">
        <v>183</v>
      </c>
      <c r="C71" s="135"/>
      <c r="D71" s="414"/>
      <c r="E71" s="414"/>
      <c r="F71" s="414"/>
      <c r="G71" s="414"/>
      <c r="H71" s="414"/>
      <c r="I71" s="414"/>
      <c r="J71" s="135"/>
      <c r="K71" s="414"/>
      <c r="L71" s="414"/>
      <c r="M71" s="449">
        <f>'Depreciacion '!O10</f>
        <v>0</v>
      </c>
    </row>
    <row r="72" spans="2:13" ht="15">
      <c r="B72" s="424" t="s">
        <v>184</v>
      </c>
      <c r="C72" s="135"/>
      <c r="D72" s="414"/>
      <c r="E72" s="414"/>
      <c r="F72" s="414"/>
      <c r="G72" s="414"/>
      <c r="H72" s="414"/>
      <c r="I72" s="414"/>
      <c r="J72" s="135"/>
      <c r="K72" s="414"/>
      <c r="L72" s="414"/>
      <c r="M72" s="449">
        <f>'Depreciacion '!O11</f>
        <v>0</v>
      </c>
    </row>
    <row r="73" spans="2:13" ht="15">
      <c r="B73" s="424" t="s">
        <v>185</v>
      </c>
      <c r="C73" s="135"/>
      <c r="D73" s="414"/>
      <c r="E73" s="414"/>
      <c r="F73" s="417">
        <f>'Depreciacion '!O13</f>
        <v>0</v>
      </c>
      <c r="G73" s="414"/>
      <c r="H73" s="414"/>
      <c r="I73" s="417">
        <f>'Depreciacion '!O13</f>
        <v>0</v>
      </c>
      <c r="J73" s="414"/>
      <c r="K73" s="414"/>
      <c r="L73" s="417">
        <f>'Depreciacion '!O13</f>
        <v>0</v>
      </c>
      <c r="M73" s="445"/>
    </row>
    <row r="74" spans="2:13" ht="15">
      <c r="B74" s="424" t="s">
        <v>322</v>
      </c>
      <c r="C74" s="135"/>
      <c r="D74" s="414"/>
      <c r="E74" s="414"/>
      <c r="F74" s="417">
        <f>'Depreciacion '!O14</f>
        <v>0</v>
      </c>
      <c r="G74" s="414"/>
      <c r="H74" s="414"/>
      <c r="I74" s="417">
        <f>'Depreciacion '!O14</f>
        <v>0</v>
      </c>
      <c r="J74" s="414"/>
      <c r="K74" s="414"/>
      <c r="L74" s="417">
        <f>'Depreciacion '!O14</f>
        <v>0</v>
      </c>
      <c r="M74" s="445"/>
    </row>
    <row r="75" spans="2:13" ht="15">
      <c r="B75" s="424" t="s">
        <v>323</v>
      </c>
      <c r="C75" s="135"/>
      <c r="D75" s="414"/>
      <c r="E75" s="414"/>
      <c r="F75" s="417">
        <f>'Depreciacion '!O15</f>
        <v>0</v>
      </c>
      <c r="G75" s="414"/>
      <c r="H75" s="414"/>
      <c r="I75" s="417">
        <f>'Depreciacion '!O15</f>
        <v>0</v>
      </c>
      <c r="J75" s="414"/>
      <c r="K75" s="414"/>
      <c r="L75" s="417">
        <f>'Depreciacion '!O15</f>
        <v>0</v>
      </c>
      <c r="M75" s="445"/>
    </row>
    <row r="76" spans="2:13" ht="15">
      <c r="B76" s="424" t="s">
        <v>324</v>
      </c>
      <c r="C76" s="135"/>
      <c r="D76" s="414"/>
      <c r="E76" s="414"/>
      <c r="F76" s="414"/>
      <c r="G76" s="414"/>
      <c r="H76" s="414"/>
      <c r="I76" s="414"/>
      <c r="J76" s="414"/>
      <c r="K76" s="414"/>
      <c r="L76" s="414"/>
      <c r="M76" s="449">
        <f>'Depreciacion '!O17</f>
        <v>0</v>
      </c>
    </row>
    <row r="77" spans="2:13" ht="15">
      <c r="B77" s="424" t="s">
        <v>325</v>
      </c>
      <c r="C77" s="135"/>
      <c r="D77" s="414"/>
      <c r="E77" s="414"/>
      <c r="F77" s="414"/>
      <c r="G77" s="414"/>
      <c r="H77" s="414"/>
      <c r="I77" s="414"/>
      <c r="J77" s="414"/>
      <c r="K77" s="414"/>
      <c r="L77" s="414"/>
      <c r="M77" s="449">
        <f>'Depreciacion '!O19</f>
        <v>0</v>
      </c>
    </row>
    <row r="78" spans="2:13" ht="15">
      <c r="B78" s="424" t="s">
        <v>326</v>
      </c>
      <c r="C78" s="135"/>
      <c r="D78" s="414"/>
      <c r="E78" s="414"/>
      <c r="F78" s="414"/>
      <c r="G78" s="414"/>
      <c r="H78" s="414"/>
      <c r="I78" s="414"/>
      <c r="J78" s="414"/>
      <c r="K78" s="414"/>
      <c r="L78" s="414"/>
      <c r="M78" s="449">
        <f>'Depreciacion '!O20</f>
        <v>0</v>
      </c>
    </row>
    <row r="79" spans="2:13" ht="15">
      <c r="B79" s="424" t="s">
        <v>186</v>
      </c>
      <c r="C79" s="135"/>
      <c r="D79" s="414"/>
      <c r="E79" s="414"/>
      <c r="F79" s="414"/>
      <c r="G79" s="414"/>
      <c r="H79" s="417">
        <f>'Depreciacion '!O22</f>
        <v>0</v>
      </c>
      <c r="I79" s="414"/>
      <c r="J79" s="414"/>
      <c r="K79" s="414"/>
      <c r="L79" s="414"/>
      <c r="M79" s="449">
        <f>'Depreciacion '!O22</f>
        <v>0</v>
      </c>
    </row>
    <row r="80" spans="2:13" ht="15">
      <c r="B80" s="424" t="s">
        <v>327</v>
      </c>
      <c r="C80" s="415">
        <f>Préstamo!C14</f>
        <v>41740.33049728539</v>
      </c>
      <c r="D80" s="414"/>
      <c r="E80" s="414"/>
      <c r="F80" s="414"/>
      <c r="G80" s="414"/>
      <c r="H80" s="417"/>
      <c r="I80" s="414"/>
      <c r="J80" s="414"/>
      <c r="K80" s="414"/>
      <c r="L80" s="414"/>
      <c r="M80" s="449"/>
    </row>
    <row r="81" spans="2:13" ht="15">
      <c r="B81" s="424" t="s">
        <v>328</v>
      </c>
      <c r="C81" s="135"/>
      <c r="D81" s="418">
        <f>-Préstamo!I11</f>
        <v>2398.162885860361</v>
      </c>
      <c r="E81" s="418">
        <f>-Préstamo!I12</f>
        <v>2681.865555257641</v>
      </c>
      <c r="F81" s="418">
        <f>-Préstamo!I13</f>
        <v>2999.1302504446194</v>
      </c>
      <c r="G81" s="418">
        <f>-Préstamo!I14</f>
        <v>3353.927359072218</v>
      </c>
      <c r="H81" s="417">
        <f>-Préstamo!I15</f>
        <v>3750.6969656504616</v>
      </c>
      <c r="I81" s="418">
        <f>-Préstamo!I16</f>
        <v>4194.404416686912</v>
      </c>
      <c r="J81" s="418">
        <f>-Préstamo!I17</f>
        <v>4690.602459180973</v>
      </c>
      <c r="K81" s="418">
        <f>-Préstamo!I18</f>
        <v>5245.500730102082</v>
      </c>
      <c r="L81" s="418">
        <f>-Préstamo!I19</f>
        <v>5866.043466473158</v>
      </c>
      <c r="M81" s="449">
        <f>-Préstamo!I20</f>
        <v>6559.996408556934</v>
      </c>
    </row>
    <row r="82" spans="2:13" ht="15">
      <c r="B82" s="424" t="s">
        <v>261</v>
      </c>
      <c r="C82" s="137">
        <f>'Inv. Inicial'!E4</f>
        <v>1200</v>
      </c>
      <c r="D82" s="414"/>
      <c r="E82" s="414"/>
      <c r="F82" s="414"/>
      <c r="G82" s="414"/>
      <c r="H82" s="414"/>
      <c r="I82" s="414"/>
      <c r="J82" s="414"/>
      <c r="K82" s="414"/>
      <c r="L82" s="414"/>
      <c r="M82" s="445"/>
    </row>
    <row r="83" spans="2:13" ht="15">
      <c r="B83" s="424" t="s">
        <v>262</v>
      </c>
      <c r="C83" s="137">
        <f>'Inv. Inicial'!E7</f>
        <v>63654</v>
      </c>
      <c r="D83" s="415"/>
      <c r="E83" s="415"/>
      <c r="F83" s="415"/>
      <c r="G83" s="415"/>
      <c r="H83" s="415"/>
      <c r="I83" s="415"/>
      <c r="J83" s="415"/>
      <c r="K83" s="415"/>
      <c r="L83" s="415"/>
      <c r="M83" s="450"/>
    </row>
    <row r="84" spans="2:13" ht="15">
      <c r="B84" s="424" t="s">
        <v>263</v>
      </c>
      <c r="C84" s="137">
        <f>'Inv. Inicial'!E13</f>
        <v>2740</v>
      </c>
      <c r="D84" s="415"/>
      <c r="E84" s="415"/>
      <c r="F84" s="415">
        <f>SUM('Inv. Inicial'!D14:D16)</f>
        <v>2350</v>
      </c>
      <c r="G84" s="415"/>
      <c r="H84" s="415"/>
      <c r="I84" s="415">
        <f>SUM('Inv. Inicial'!D14:D16)</f>
        <v>2350</v>
      </c>
      <c r="J84" s="415"/>
      <c r="K84" s="415"/>
      <c r="L84" s="415">
        <f>SUM('Inv. Inicial'!D14:D16)</f>
        <v>2350</v>
      </c>
      <c r="M84" s="447"/>
    </row>
    <row r="85" spans="2:13" ht="15">
      <c r="B85" s="424" t="s">
        <v>264</v>
      </c>
      <c r="C85" s="137">
        <f>'Inv. Inicial'!E19</f>
        <v>772.62</v>
      </c>
      <c r="D85" s="415"/>
      <c r="E85" s="415"/>
      <c r="F85" s="419"/>
      <c r="G85" s="415"/>
      <c r="H85" s="415"/>
      <c r="I85" s="419"/>
      <c r="J85" s="415"/>
      <c r="K85" s="415"/>
      <c r="L85" s="419"/>
      <c r="M85" s="450"/>
    </row>
    <row r="86" spans="2:13" ht="15">
      <c r="B86" s="424" t="s">
        <v>187</v>
      </c>
      <c r="C86" s="137">
        <f>'Inv. Inicial'!E25</f>
        <v>2200</v>
      </c>
      <c r="D86" s="415"/>
      <c r="E86" s="415"/>
      <c r="F86" s="415"/>
      <c r="G86" s="415"/>
      <c r="H86" s="415"/>
      <c r="I86" s="415"/>
      <c r="J86" s="415"/>
      <c r="K86" s="415"/>
      <c r="L86" s="415"/>
      <c r="M86" s="450"/>
    </row>
    <row r="87" spans="2:13" ht="15">
      <c r="B87" s="424" t="s">
        <v>188</v>
      </c>
      <c r="C87" s="137">
        <f>'Inv. Inicial'!E28</f>
        <v>22000</v>
      </c>
      <c r="D87" s="415"/>
      <c r="E87" s="415"/>
      <c r="F87" s="415"/>
      <c r="G87" s="415"/>
      <c r="H87" s="415">
        <f>'Inv. Inicial'!E28</f>
        <v>22000</v>
      </c>
      <c r="I87" s="415"/>
      <c r="J87" s="415"/>
      <c r="K87" s="415"/>
      <c r="L87" s="415"/>
      <c r="M87" s="450"/>
    </row>
    <row r="88" spans="2:13" ht="15">
      <c r="B88" s="424" t="s">
        <v>19</v>
      </c>
      <c r="C88" s="137">
        <f>'Capital Trabajo'!C14</f>
        <v>2356.841248642694</v>
      </c>
      <c r="D88" s="415"/>
      <c r="E88" s="415"/>
      <c r="F88" s="415"/>
      <c r="G88" s="415"/>
      <c r="H88" s="415"/>
      <c r="I88" s="415"/>
      <c r="J88" s="415"/>
      <c r="K88" s="415"/>
      <c r="L88" s="415"/>
      <c r="M88" s="450"/>
    </row>
    <row r="89" spans="2:13" ht="15">
      <c r="B89" s="424" t="s">
        <v>20</v>
      </c>
      <c r="C89" s="135"/>
      <c r="D89" s="415"/>
      <c r="E89" s="415"/>
      <c r="F89" s="415"/>
      <c r="G89" s="415"/>
      <c r="H89" s="415"/>
      <c r="I89" s="415"/>
      <c r="J89" s="415"/>
      <c r="K89" s="415"/>
      <c r="L89" s="415"/>
      <c r="M89" s="447">
        <f>'Valor de Desecho'!D8</f>
        <v>144511.4596377556</v>
      </c>
    </row>
    <row r="90" spans="2:13" ht="15.75" thickBot="1">
      <c r="B90" s="451" t="s">
        <v>21</v>
      </c>
      <c r="C90" s="452">
        <f>C55+SUM(C56:C67)-SUM(C68:C79)+C80-C81-SUM(C82:C87)-C88+C89</f>
        <v>-53183.130751357305</v>
      </c>
      <c r="D90" s="519">
        <f aca="true" t="shared" si="14" ref="D90:M90">D55+SUM(D56:D67)-SUM(D68:D79)+D80-D81-SUM(D82:D87)-D88+D89</f>
        <v>1891.9553743135293</v>
      </c>
      <c r="E90" s="519">
        <f t="shared" si="14"/>
        <v>20132.85869989471</v>
      </c>
      <c r="F90" s="519">
        <f t="shared" si="14"/>
        <v>29524.927758731617</v>
      </c>
      <c r="G90" s="519">
        <f t="shared" si="14"/>
        <v>43816.72686118024</v>
      </c>
      <c r="H90" s="519">
        <f t="shared" si="14"/>
        <v>40733.40867678186</v>
      </c>
      <c r="I90" s="519">
        <f t="shared" si="14"/>
        <v>67355.76130990987</v>
      </c>
      <c r="J90" s="519">
        <f t="shared" si="14"/>
        <v>83232.66398528499</v>
      </c>
      <c r="K90" s="519">
        <f t="shared" si="14"/>
        <v>97466.84839349678</v>
      </c>
      <c r="L90" s="519">
        <f t="shared" si="14"/>
        <v>110072.77734117307</v>
      </c>
      <c r="M90" s="519">
        <f t="shared" si="14"/>
        <v>294184.93673570413</v>
      </c>
    </row>
    <row r="91" spans="2:3" ht="16.5" thickBot="1">
      <c r="B91" s="504" t="s">
        <v>23</v>
      </c>
      <c r="C91" s="521">
        <f>NPV(C93,D90:M90)+C90</f>
        <v>76556.14852887741</v>
      </c>
    </row>
    <row r="92" spans="2:3" ht="16.5" thickBot="1">
      <c r="B92" s="506" t="s">
        <v>24</v>
      </c>
      <c r="C92" s="522">
        <f>IRR(C90:M90)</f>
        <v>0.5128027232910123</v>
      </c>
    </row>
    <row r="93" spans="2:5" ht="15.75" thickBot="1">
      <c r="B93" s="506" t="s">
        <v>609</v>
      </c>
      <c r="C93" s="520">
        <v>0.2905</v>
      </c>
      <c r="E93" s="284"/>
    </row>
    <row r="95" ht="15">
      <c r="D95" s="453"/>
    </row>
    <row r="100" ht="15">
      <c r="D100" s="45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3.00390625" style="0" customWidth="1"/>
    <col min="2" max="2" width="23.00390625" style="0" customWidth="1"/>
    <col min="3" max="3" width="15.421875" style="0" bestFit="1" customWidth="1"/>
    <col min="4" max="4" width="3.7109375" style="0" customWidth="1"/>
    <col min="5" max="5" width="19.7109375" style="0" bestFit="1" customWidth="1"/>
    <col min="6" max="6" width="11.8515625" style="0" customWidth="1"/>
    <col min="7" max="8" width="15.421875" style="0" customWidth="1"/>
    <col min="9" max="10" width="10.00390625" style="0" customWidth="1"/>
    <col min="11" max="11" width="16.7109375" style="0" customWidth="1"/>
    <col min="12" max="12" width="19.28125" style="0" customWidth="1"/>
    <col min="13" max="13" width="17.00390625" style="0" bestFit="1" customWidth="1"/>
  </cols>
  <sheetData>
    <row r="1" ht="15.75" thickBot="1"/>
    <row r="2" spans="2:8" ht="15.75" thickBot="1">
      <c r="B2" s="527" t="s">
        <v>42</v>
      </c>
      <c r="C2" s="528"/>
      <c r="E2" s="532" t="s">
        <v>253</v>
      </c>
      <c r="F2" s="532"/>
      <c r="G2" s="532"/>
      <c r="H2" s="532"/>
    </row>
    <row r="3" spans="2:8" ht="25.5">
      <c r="B3" s="334" t="s">
        <v>45</v>
      </c>
      <c r="C3" s="35">
        <f>H4+H5</f>
        <v>12780</v>
      </c>
      <c r="E3" s="338" t="s">
        <v>25</v>
      </c>
      <c r="F3" s="338" t="s">
        <v>26</v>
      </c>
      <c r="G3" s="339" t="s">
        <v>27</v>
      </c>
      <c r="H3" s="339" t="s">
        <v>28</v>
      </c>
    </row>
    <row r="4" spans="2:8" ht="15">
      <c r="B4" s="99" t="s">
        <v>37</v>
      </c>
      <c r="C4" s="294">
        <f>20*12</f>
        <v>240</v>
      </c>
      <c r="E4" s="2" t="s">
        <v>30</v>
      </c>
      <c r="F4" s="3">
        <v>1</v>
      </c>
      <c r="G4" s="53">
        <f>Datos!C26</f>
        <v>560</v>
      </c>
      <c r="H4" s="53">
        <f>F4*G4*12</f>
        <v>6720</v>
      </c>
    </row>
    <row r="5" spans="2:8" ht="15.75" thickBot="1">
      <c r="B5" s="102" t="s">
        <v>38</v>
      </c>
      <c r="C5" s="335">
        <f>M17</f>
        <v>1101.6000000000001</v>
      </c>
      <c r="E5" s="2" t="s">
        <v>31</v>
      </c>
      <c r="F5" s="3">
        <v>1</v>
      </c>
      <c r="G5" s="53">
        <f>Datos!C27</f>
        <v>505</v>
      </c>
      <c r="H5" s="53">
        <f>F5*G5*12</f>
        <v>6060</v>
      </c>
    </row>
    <row r="6" spans="2:8" ht="15.75" thickBot="1">
      <c r="B6" s="336" t="s">
        <v>40</v>
      </c>
      <c r="C6" s="36">
        <f>SUM(C3:C5)</f>
        <v>14121.6</v>
      </c>
      <c r="E6" s="2" t="s">
        <v>33</v>
      </c>
      <c r="F6" s="3">
        <v>5</v>
      </c>
      <c r="G6" s="53">
        <f>Datos!C20</f>
        <v>255</v>
      </c>
      <c r="H6" s="53">
        <f>F6*G6*12</f>
        <v>15300</v>
      </c>
    </row>
    <row r="7" spans="2:8" ht="16.5" thickBot="1" thickTop="1">
      <c r="B7" s="10"/>
      <c r="C7" s="24"/>
      <c r="E7" s="95"/>
      <c r="F7" s="104" t="s">
        <v>279</v>
      </c>
      <c r="G7" s="54">
        <f>SUM(G4:G6)</f>
        <v>1320</v>
      </c>
      <c r="H7" s="54">
        <f>SUM(H4:H6)</f>
        <v>28080</v>
      </c>
    </row>
    <row r="8" ht="15.75" thickTop="1"/>
    <row r="9" spans="5:13" ht="15">
      <c r="E9" s="532" t="s">
        <v>254</v>
      </c>
      <c r="F9" s="532"/>
      <c r="G9" s="532"/>
      <c r="H9" s="532"/>
      <c r="I9" s="533"/>
      <c r="J9" s="533"/>
      <c r="K9" s="533"/>
      <c r="L9" s="533"/>
      <c r="M9" s="337"/>
    </row>
    <row r="10" spans="4:13" ht="15">
      <c r="D10" s="4"/>
      <c r="E10" s="11"/>
      <c r="F10" s="11"/>
      <c r="G10" s="11"/>
      <c r="H10" s="529" t="s">
        <v>238</v>
      </c>
      <c r="I10" s="530"/>
      <c r="J10" s="531"/>
      <c r="K10" s="11"/>
      <c r="L10" s="11"/>
      <c r="M10" s="5"/>
    </row>
    <row r="11" spans="4:13" ht="25.5">
      <c r="D11" s="4"/>
      <c r="E11" s="338" t="s">
        <v>93</v>
      </c>
      <c r="F11" s="338" t="s">
        <v>59</v>
      </c>
      <c r="G11" s="338" t="s">
        <v>60</v>
      </c>
      <c r="H11" s="338" t="s">
        <v>61</v>
      </c>
      <c r="I11" s="338" t="s">
        <v>62</v>
      </c>
      <c r="J11" s="338" t="s">
        <v>63</v>
      </c>
      <c r="K11" s="338" t="s">
        <v>583</v>
      </c>
      <c r="L11" s="338" t="s">
        <v>239</v>
      </c>
      <c r="M11" s="338" t="s">
        <v>240</v>
      </c>
    </row>
    <row r="12" spans="4:13" ht="15">
      <c r="D12" s="4"/>
      <c r="E12" s="15" t="s">
        <v>65</v>
      </c>
      <c r="F12" s="13">
        <v>4</v>
      </c>
      <c r="G12" s="13">
        <v>1.5</v>
      </c>
      <c r="H12" s="13">
        <f>G12*F12</f>
        <v>6</v>
      </c>
      <c r="I12" s="13">
        <f>H12*30</f>
        <v>180</v>
      </c>
      <c r="J12" s="13">
        <f>I12*12</f>
        <v>2160</v>
      </c>
      <c r="K12" s="94">
        <v>0.068</v>
      </c>
      <c r="L12" s="14">
        <f>I12*K12</f>
        <v>12.24</v>
      </c>
      <c r="M12" s="14">
        <f>J12*K12</f>
        <v>146.88000000000002</v>
      </c>
    </row>
    <row r="13" spans="4:13" ht="15">
      <c r="D13" s="4"/>
      <c r="E13" s="15" t="s">
        <v>66</v>
      </c>
      <c r="F13" s="13">
        <v>4</v>
      </c>
      <c r="G13" s="13">
        <v>1.5</v>
      </c>
      <c r="H13" s="13">
        <f>G13*F13</f>
        <v>6</v>
      </c>
      <c r="I13" s="13">
        <f>H13*30</f>
        <v>180</v>
      </c>
      <c r="J13" s="13">
        <f>I13*12</f>
        <v>2160</v>
      </c>
      <c r="K13" s="94">
        <v>0.068</v>
      </c>
      <c r="L13" s="14">
        <f>I13*K13</f>
        <v>12.24</v>
      </c>
      <c r="M13" s="14">
        <f>J13*K13</f>
        <v>146.88000000000002</v>
      </c>
    </row>
    <row r="14" spans="4:13" ht="15">
      <c r="D14" s="4"/>
      <c r="E14" s="15" t="s">
        <v>95</v>
      </c>
      <c r="F14" s="13">
        <v>6</v>
      </c>
      <c r="G14" s="13">
        <v>1.5</v>
      </c>
      <c r="H14" s="13">
        <f>G14*F14</f>
        <v>9</v>
      </c>
      <c r="I14" s="13">
        <f>H14*30</f>
        <v>270</v>
      </c>
      <c r="J14" s="13">
        <f>I14*12</f>
        <v>3240</v>
      </c>
      <c r="K14" s="94">
        <v>0.068</v>
      </c>
      <c r="L14" s="14">
        <f>I14*K14</f>
        <v>18.360000000000003</v>
      </c>
      <c r="M14" s="14">
        <f>J14*K14</f>
        <v>220.32000000000002</v>
      </c>
    </row>
    <row r="15" spans="4:13" ht="15">
      <c r="D15" s="4"/>
      <c r="E15" s="15" t="s">
        <v>96</v>
      </c>
      <c r="F15" s="13">
        <v>7</v>
      </c>
      <c r="G15" s="13">
        <v>1.5</v>
      </c>
      <c r="H15" s="13">
        <f>G15*F15</f>
        <v>10.5</v>
      </c>
      <c r="I15" s="13">
        <f>H15*30</f>
        <v>315</v>
      </c>
      <c r="J15" s="13">
        <f>I15*12</f>
        <v>3780</v>
      </c>
      <c r="K15" s="94">
        <v>0.068</v>
      </c>
      <c r="L15" s="14">
        <f>I15*K15</f>
        <v>21.42</v>
      </c>
      <c r="M15" s="14">
        <f>J15*K15</f>
        <v>257.04</v>
      </c>
    </row>
    <row r="16" spans="4:13" ht="15">
      <c r="D16" s="4"/>
      <c r="E16" s="15" t="s">
        <v>97</v>
      </c>
      <c r="F16" s="13">
        <v>9</v>
      </c>
      <c r="G16" s="13">
        <v>1.5</v>
      </c>
      <c r="H16" s="13">
        <f>G16*F16</f>
        <v>13.5</v>
      </c>
      <c r="I16" s="13">
        <f>H16*30</f>
        <v>405</v>
      </c>
      <c r="J16" s="13">
        <f>I16*12</f>
        <v>4860</v>
      </c>
      <c r="K16" s="94">
        <v>0.068</v>
      </c>
      <c r="L16" s="14">
        <f>I16*K16</f>
        <v>27.540000000000003</v>
      </c>
      <c r="M16" s="14">
        <f>J16*K16</f>
        <v>330.48</v>
      </c>
    </row>
    <row r="17" spans="4:13" ht="15.75" thickBot="1">
      <c r="D17" s="4"/>
      <c r="E17" s="96"/>
      <c r="F17" s="5"/>
      <c r="G17" s="5"/>
      <c r="H17" s="5"/>
      <c r="I17" s="5"/>
      <c r="J17" s="5"/>
      <c r="K17" s="105" t="s">
        <v>64</v>
      </c>
      <c r="L17" s="83">
        <f>SUM(L12:L16)</f>
        <v>91.80000000000001</v>
      </c>
      <c r="M17" s="83">
        <f>SUM(M12:M16)</f>
        <v>1101.6000000000001</v>
      </c>
    </row>
    <row r="18" ht="16.5" thickBot="1" thickTop="1"/>
    <row r="19" spans="2:3" ht="15.75" thickBot="1">
      <c r="B19" s="527" t="s">
        <v>41</v>
      </c>
      <c r="C19" s="528"/>
    </row>
    <row r="20" spans="2:3" ht="15">
      <c r="B20" s="97" t="s">
        <v>43</v>
      </c>
      <c r="C20" s="98">
        <f>Datos!C18</f>
        <v>0.05775</v>
      </c>
    </row>
    <row r="21" spans="2:3" ht="15">
      <c r="B21" s="99" t="s">
        <v>54</v>
      </c>
      <c r="C21" s="100"/>
    </row>
    <row r="22" spans="2:3" ht="15">
      <c r="B22" s="101" t="s">
        <v>146</v>
      </c>
      <c r="C22" s="100">
        <f>Datos!C22</f>
        <v>0.07</v>
      </c>
    </row>
    <row r="23" spans="2:3" ht="15">
      <c r="B23" s="101" t="s">
        <v>147</v>
      </c>
      <c r="C23" s="100">
        <f>Datos!C23</f>
        <v>0.001</v>
      </c>
    </row>
    <row r="24" spans="2:3" ht="15">
      <c r="B24" s="101" t="s">
        <v>148</v>
      </c>
      <c r="C24" s="100">
        <f>Datos!C24</f>
        <v>0.02</v>
      </c>
    </row>
    <row r="25" spans="2:3" ht="15.75" thickBot="1">
      <c r="B25" s="102" t="s">
        <v>44</v>
      </c>
      <c r="C25" s="103">
        <f>H6</f>
        <v>15300</v>
      </c>
    </row>
  </sheetData>
  <sheetProtection/>
  <mergeCells count="6">
    <mergeCell ref="B2:C2"/>
    <mergeCell ref="B19:C19"/>
    <mergeCell ref="H10:J10"/>
    <mergeCell ref="E2:H2"/>
    <mergeCell ref="E9:H9"/>
    <mergeCell ref="I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77"/>
  <sheetViews>
    <sheetView zoomScalePageLayoutView="0" workbookViewId="0" topLeftCell="A1">
      <selection activeCell="H28" sqref="H28"/>
    </sheetView>
  </sheetViews>
  <sheetFormatPr defaultColWidth="11.421875" defaultRowHeight="15"/>
  <cols>
    <col min="1" max="1" width="11.421875" style="58" customWidth="1"/>
    <col min="2" max="2" width="37.7109375" style="58" customWidth="1"/>
    <col min="3" max="3" width="15.8515625" style="58" bestFit="1" customWidth="1"/>
    <col min="4" max="4" width="15.7109375" style="58" customWidth="1"/>
    <col min="5" max="5" width="18.421875" style="58" customWidth="1"/>
    <col min="6" max="6" width="7.28125" style="58" customWidth="1"/>
    <col min="7" max="7" width="12.57421875" style="58" bestFit="1" customWidth="1"/>
    <col min="8" max="8" width="14.140625" style="58" customWidth="1"/>
    <col min="9" max="9" width="10.28125" style="58" customWidth="1"/>
    <col min="10" max="10" width="18.57421875" style="58" customWidth="1"/>
    <col min="11" max="11" width="15.8515625" style="58" customWidth="1"/>
    <col min="12" max="12" width="11.421875" style="58" customWidth="1"/>
    <col min="13" max="13" width="15.421875" style="58" bestFit="1" customWidth="1"/>
    <col min="14" max="14" width="17.00390625" style="58" bestFit="1" customWidth="1"/>
    <col min="15" max="15" width="11.8515625" style="58" bestFit="1" customWidth="1"/>
    <col min="16" max="16384" width="11.421875" style="58" customWidth="1"/>
  </cols>
  <sheetData>
    <row r="2" spans="2:8" s="57" customFormat="1" ht="15" customHeight="1">
      <c r="B2" s="491" t="s">
        <v>74</v>
      </c>
      <c r="C2" s="106"/>
      <c r="D2" s="106"/>
      <c r="E2" s="106"/>
      <c r="F2" s="106"/>
      <c r="G2" s="106"/>
      <c r="H2" s="106"/>
    </row>
    <row r="3" spans="2:8" ht="15">
      <c r="B3" s="107"/>
      <c r="C3" s="107"/>
      <c r="D3" s="107"/>
      <c r="E3" s="107"/>
      <c r="F3" s="108"/>
      <c r="G3" s="108"/>
      <c r="H3" s="108"/>
    </row>
    <row r="4" spans="2:10" ht="15">
      <c r="B4" s="534" t="s">
        <v>75</v>
      </c>
      <c r="C4" s="534"/>
      <c r="D4" s="534"/>
      <c r="E4" s="534"/>
      <c r="F4" s="95"/>
      <c r="G4" s="95"/>
      <c r="H4" s="95"/>
      <c r="I4" s="70"/>
      <c r="J4" s="70"/>
    </row>
    <row r="5" spans="2:10" ht="27" customHeight="1">
      <c r="B5" s="338" t="s">
        <v>25</v>
      </c>
      <c r="C5" s="340" t="s">
        <v>26</v>
      </c>
      <c r="D5" s="341" t="s">
        <v>27</v>
      </c>
      <c r="E5" s="515" t="s">
        <v>28</v>
      </c>
      <c r="F5" s="95"/>
      <c r="G5" s="95"/>
      <c r="H5" s="95"/>
      <c r="I5" s="71"/>
      <c r="J5" s="71"/>
    </row>
    <row r="6" spans="2:10" ht="15">
      <c r="B6" s="2" t="s">
        <v>29</v>
      </c>
      <c r="C6" s="3">
        <v>1</v>
      </c>
      <c r="D6" s="109">
        <f>Datos!C31</f>
        <v>700</v>
      </c>
      <c r="E6" s="109">
        <f>C6*D6*12</f>
        <v>8400</v>
      </c>
      <c r="F6" s="95"/>
      <c r="G6" s="95"/>
      <c r="H6" s="95"/>
      <c r="I6" s="71"/>
      <c r="J6" s="71"/>
    </row>
    <row r="7" spans="2:10" ht="15">
      <c r="B7" s="2" t="s">
        <v>32</v>
      </c>
      <c r="C7" s="3">
        <v>1</v>
      </c>
      <c r="D7" s="109">
        <f>Datos!C32</f>
        <v>300</v>
      </c>
      <c r="E7" s="109">
        <f>C7*D7*12</f>
        <v>3600</v>
      </c>
      <c r="F7" s="95"/>
      <c r="G7" s="95"/>
      <c r="H7" s="95"/>
      <c r="I7" s="71"/>
      <c r="J7" s="71"/>
    </row>
    <row r="8" spans="2:10" ht="15">
      <c r="B8" s="2" t="s">
        <v>34</v>
      </c>
      <c r="C8" s="3">
        <v>1</v>
      </c>
      <c r="D8" s="109">
        <f>Datos!C33</f>
        <v>300</v>
      </c>
      <c r="E8" s="109">
        <f>C8*D8*12</f>
        <v>3600</v>
      </c>
      <c r="F8" s="95"/>
      <c r="G8" s="95"/>
      <c r="H8" s="95"/>
      <c r="I8" s="71"/>
      <c r="J8" s="71"/>
    </row>
    <row r="9" spans="2:10" ht="15">
      <c r="B9" s="2" t="s">
        <v>35</v>
      </c>
      <c r="C9" s="3">
        <v>1</v>
      </c>
      <c r="D9" s="109">
        <f>Datos!C34</f>
        <v>218</v>
      </c>
      <c r="E9" s="109">
        <f>C9*D9*12</f>
        <v>2616</v>
      </c>
      <c r="F9" s="95"/>
      <c r="G9" s="95"/>
      <c r="H9" s="95"/>
      <c r="I9" s="59"/>
      <c r="J9" s="59"/>
    </row>
    <row r="10" spans="2:10" ht="15.75" thickBot="1">
      <c r="B10" s="95"/>
      <c r="C10" s="110" t="s">
        <v>36</v>
      </c>
      <c r="D10" s="111">
        <f>SUM(D6:D9)</f>
        <v>1518</v>
      </c>
      <c r="E10" s="111">
        <f>SUM(E6:E9)</f>
        <v>18216</v>
      </c>
      <c r="F10" s="95"/>
      <c r="G10" s="95"/>
      <c r="H10" s="95"/>
      <c r="I10" s="59"/>
      <c r="J10" s="59"/>
    </row>
    <row r="11" spans="2:12" ht="15.75" thickTop="1">
      <c r="B11" s="95"/>
      <c r="C11" s="95"/>
      <c r="D11" s="112"/>
      <c r="E11" s="113"/>
      <c r="F11" s="95"/>
      <c r="G11" s="95"/>
      <c r="H11" s="95"/>
      <c r="L11" s="60"/>
    </row>
    <row r="12" spans="2:17" s="62" customFormat="1" ht="15">
      <c r="B12" s="534" t="s">
        <v>255</v>
      </c>
      <c r="C12" s="534"/>
      <c r="D12" s="534"/>
      <c r="E12" s="534"/>
      <c r="F12" s="535"/>
      <c r="G12" s="535"/>
      <c r="H12" s="535"/>
      <c r="I12" s="72"/>
      <c r="J12" s="536"/>
      <c r="K12" s="536"/>
      <c r="L12" s="536"/>
      <c r="M12" s="536"/>
      <c r="N12" s="536"/>
      <c r="O12" s="536"/>
      <c r="P12" s="536"/>
      <c r="Q12" s="61"/>
    </row>
    <row r="13" spans="2:17" ht="25.5">
      <c r="B13" s="342" t="s">
        <v>150</v>
      </c>
      <c r="C13" s="342" t="s">
        <v>71</v>
      </c>
      <c r="D13" s="342" t="s">
        <v>607</v>
      </c>
      <c r="E13" s="342" t="s">
        <v>275</v>
      </c>
      <c r="F13" s="342" t="s">
        <v>8</v>
      </c>
      <c r="G13" s="342" t="s">
        <v>276</v>
      </c>
      <c r="H13" s="342" t="s">
        <v>277</v>
      </c>
      <c r="I13" s="73"/>
      <c r="J13" s="63"/>
      <c r="K13" s="63"/>
      <c r="L13" s="63"/>
      <c r="M13" s="74"/>
      <c r="N13" s="74"/>
      <c r="O13" s="74"/>
      <c r="P13" s="74"/>
      <c r="Q13" s="63"/>
    </row>
    <row r="14" spans="2:17" ht="15">
      <c r="B14" s="15" t="s">
        <v>68</v>
      </c>
      <c r="C14" s="13">
        <v>8</v>
      </c>
      <c r="D14" s="13">
        <v>480</v>
      </c>
      <c r="E14" s="114">
        <v>40.28</v>
      </c>
      <c r="F14" s="13">
        <v>1</v>
      </c>
      <c r="G14" s="14">
        <f>E14*F14</f>
        <v>40.28</v>
      </c>
      <c r="H14" s="14">
        <f>G14*12</f>
        <v>483.36</v>
      </c>
      <c r="I14" s="73"/>
      <c r="J14" s="75"/>
      <c r="K14" s="76"/>
      <c r="L14" s="76"/>
      <c r="M14" s="76"/>
      <c r="N14" s="76"/>
      <c r="O14" s="77"/>
      <c r="P14" s="78"/>
      <c r="Q14" s="79"/>
    </row>
    <row r="15" spans="2:17" ht="15">
      <c r="B15" s="15" t="s">
        <v>69</v>
      </c>
      <c r="C15" s="13">
        <v>8</v>
      </c>
      <c r="D15" s="13">
        <v>4.8</v>
      </c>
      <c r="E15" s="114">
        <v>0.3264</v>
      </c>
      <c r="F15" s="13">
        <v>8</v>
      </c>
      <c r="G15" s="14">
        <f>E15*F15</f>
        <v>2.6112</v>
      </c>
      <c r="H15" s="14">
        <f>G15*12</f>
        <v>31.334400000000002</v>
      </c>
      <c r="I15" s="73"/>
      <c r="J15" s="75"/>
      <c r="K15" s="76"/>
      <c r="L15" s="76"/>
      <c r="M15" s="76"/>
      <c r="N15" s="76"/>
      <c r="O15" s="77"/>
      <c r="P15" s="78"/>
      <c r="Q15" s="79"/>
    </row>
    <row r="16" spans="2:17" ht="15">
      <c r="B16" s="15" t="s">
        <v>70</v>
      </c>
      <c r="C16" s="13">
        <v>8</v>
      </c>
      <c r="D16" s="13">
        <v>96</v>
      </c>
      <c r="E16" s="114">
        <v>6.66</v>
      </c>
      <c r="F16" s="13">
        <v>4</v>
      </c>
      <c r="G16" s="14">
        <f>E16*F16</f>
        <v>26.64</v>
      </c>
      <c r="H16" s="14">
        <f>G16*12</f>
        <v>319.68</v>
      </c>
      <c r="I16" s="64"/>
      <c r="J16" s="75"/>
      <c r="K16" s="76"/>
      <c r="L16" s="76"/>
      <c r="M16" s="76"/>
      <c r="N16" s="76"/>
      <c r="O16" s="77"/>
      <c r="P16" s="78"/>
      <c r="Q16" s="79"/>
    </row>
    <row r="17" spans="2:17" ht="15.75" thickBot="1">
      <c r="B17" s="5"/>
      <c r="C17" s="5"/>
      <c r="D17" s="115"/>
      <c r="E17" s="115"/>
      <c r="F17" s="116" t="s">
        <v>36</v>
      </c>
      <c r="G17" s="117">
        <f>SUM(G14:G16)</f>
        <v>69.5312</v>
      </c>
      <c r="H17" s="117">
        <f>SUM(H14:H16)</f>
        <v>834.3743999999999</v>
      </c>
      <c r="I17" s="64"/>
      <c r="J17" s="65"/>
      <c r="K17" s="65"/>
      <c r="L17" s="66"/>
      <c r="M17" s="66"/>
      <c r="N17" s="67"/>
      <c r="O17" s="68"/>
      <c r="P17" s="68"/>
      <c r="Q17" s="65"/>
    </row>
    <row r="18" spans="2:14" ht="15.75" thickTop="1">
      <c r="B18" s="118"/>
      <c r="C18" s="118"/>
      <c r="D18" s="118"/>
      <c r="E18" s="118"/>
      <c r="F18" s="118"/>
      <c r="G18" s="34"/>
      <c r="H18" s="34"/>
      <c r="I18" s="64"/>
      <c r="J18" s="69"/>
      <c r="K18" s="69"/>
      <c r="M18" s="60"/>
      <c r="N18" s="60"/>
    </row>
    <row r="19" spans="2:14" ht="15">
      <c r="B19" s="534" t="s">
        <v>76</v>
      </c>
      <c r="C19" s="534"/>
      <c r="D19" s="534"/>
      <c r="E19" s="119"/>
      <c r="F19" s="119"/>
      <c r="G19" s="119"/>
      <c r="H19" s="119"/>
      <c r="I19" s="64"/>
      <c r="J19" s="69"/>
      <c r="K19" s="69"/>
      <c r="M19" s="60"/>
      <c r="N19" s="60"/>
    </row>
    <row r="20" spans="2:14" ht="25.5">
      <c r="B20" s="120"/>
      <c r="C20" s="342" t="s">
        <v>276</v>
      </c>
      <c r="D20" s="342" t="s">
        <v>277</v>
      </c>
      <c r="E20" s="119"/>
      <c r="F20" s="119"/>
      <c r="G20" s="119"/>
      <c r="H20" s="119"/>
      <c r="M20" s="60"/>
      <c r="N20" s="60"/>
    </row>
    <row r="21" spans="2:14" ht="15">
      <c r="B21" s="2" t="s">
        <v>72</v>
      </c>
      <c r="C21" s="121">
        <f>Datos!C36</f>
        <v>20</v>
      </c>
      <c r="D21" s="121">
        <f>C21*12</f>
        <v>240</v>
      </c>
      <c r="E21" s="95"/>
      <c r="F21" s="95"/>
      <c r="G21" s="95"/>
      <c r="H21" s="95"/>
      <c r="M21" s="60"/>
      <c r="N21" s="60"/>
    </row>
    <row r="22" spans="2:8" ht="15">
      <c r="B22" s="2" t="s">
        <v>39</v>
      </c>
      <c r="C22" s="121">
        <f>Datos!C37</f>
        <v>50</v>
      </c>
      <c r="D22" s="121">
        <f>C22*12</f>
        <v>600</v>
      </c>
      <c r="E22" s="95"/>
      <c r="F22" s="95"/>
      <c r="G22" s="95"/>
      <c r="H22" s="95"/>
    </row>
    <row r="23" spans="2:8" ht="15.75" thickBot="1">
      <c r="B23" s="116" t="s">
        <v>36</v>
      </c>
      <c r="C23" s="111">
        <f>SUM(C21:C22)</f>
        <v>70</v>
      </c>
      <c r="D23" s="111">
        <f>SUM(D21:D22)</f>
        <v>840</v>
      </c>
      <c r="E23" s="95"/>
      <c r="F23" s="95"/>
      <c r="G23" s="95"/>
      <c r="H23" s="95"/>
    </row>
    <row r="24" spans="2:8" ht="15.75" thickTop="1">
      <c r="B24" s="95"/>
      <c r="C24" s="95"/>
      <c r="D24" s="95"/>
      <c r="E24" s="95"/>
      <c r="F24" s="95"/>
      <c r="G24" s="95"/>
      <c r="H24" s="95"/>
    </row>
    <row r="25" spans="2:8" ht="15">
      <c r="B25" s="95"/>
      <c r="C25" s="95"/>
      <c r="D25" s="95"/>
      <c r="E25" s="95"/>
      <c r="F25" s="95"/>
      <c r="G25" s="95"/>
      <c r="H25" s="95"/>
    </row>
    <row r="26" spans="2:8" ht="15">
      <c r="B26" s="491" t="s">
        <v>164</v>
      </c>
      <c r="C26" s="106"/>
      <c r="D26" s="106"/>
      <c r="E26" s="106"/>
      <c r="F26" s="106"/>
      <c r="G26" s="106"/>
      <c r="H26" s="95"/>
    </row>
    <row r="27" spans="2:8" ht="15">
      <c r="B27" s="343"/>
      <c r="C27" s="343"/>
      <c r="D27" s="343"/>
      <c r="E27" s="343"/>
      <c r="F27" s="343"/>
      <c r="G27" s="343"/>
      <c r="H27" s="95"/>
    </row>
    <row r="28" spans="2:8" ht="15">
      <c r="B28" s="342" t="s">
        <v>77</v>
      </c>
      <c r="C28" s="539" t="s">
        <v>78</v>
      </c>
      <c r="D28" s="540"/>
      <c r="E28" s="342" t="s">
        <v>608</v>
      </c>
      <c r="F28" s="342" t="s">
        <v>8</v>
      </c>
      <c r="G28" s="342" t="s">
        <v>278</v>
      </c>
      <c r="H28" s="5"/>
    </row>
    <row r="29" spans="2:8" ht="15">
      <c r="B29" s="125" t="s">
        <v>80</v>
      </c>
      <c r="C29" s="122"/>
      <c r="D29" s="123"/>
      <c r="E29" s="123"/>
      <c r="F29" s="124"/>
      <c r="G29" s="124"/>
      <c r="H29" s="5"/>
    </row>
    <row r="30" spans="2:8" ht="15">
      <c r="B30" s="126" t="s">
        <v>81</v>
      </c>
      <c r="C30" s="537" t="s">
        <v>284</v>
      </c>
      <c r="D30" s="538"/>
      <c r="E30" s="127">
        <f>Datos!C39</f>
        <v>952</v>
      </c>
      <c r="F30" s="128">
        <v>4</v>
      </c>
      <c r="G30" s="127">
        <f>E30*F30</f>
        <v>3808</v>
      </c>
      <c r="H30" s="5"/>
    </row>
    <row r="31" spans="2:8" ht="15">
      <c r="B31" s="135" t="s">
        <v>82</v>
      </c>
      <c r="C31" s="537" t="s">
        <v>284</v>
      </c>
      <c r="D31" s="538"/>
      <c r="E31" s="127">
        <f>Datos!C40</f>
        <v>957</v>
      </c>
      <c r="F31" s="128">
        <v>4</v>
      </c>
      <c r="G31" s="127">
        <f>E31*F31</f>
        <v>3828</v>
      </c>
      <c r="H31" s="5"/>
    </row>
    <row r="32" spans="2:8" ht="15">
      <c r="B32" s="135" t="s">
        <v>282</v>
      </c>
      <c r="C32" s="542" t="s">
        <v>284</v>
      </c>
      <c r="D32" s="543"/>
      <c r="E32" s="344">
        <f>Datos!C41</f>
        <v>800</v>
      </c>
      <c r="F32" s="345">
        <v>4</v>
      </c>
      <c r="G32" s="344">
        <f>E32*F32</f>
        <v>3200</v>
      </c>
      <c r="H32" s="5"/>
    </row>
    <row r="33" spans="2:8" ht="15">
      <c r="B33" s="126" t="s">
        <v>83</v>
      </c>
      <c r="C33" s="537" t="s">
        <v>84</v>
      </c>
      <c r="D33" s="538"/>
      <c r="E33" s="127">
        <f>Datos!C42</f>
        <v>0.85</v>
      </c>
      <c r="F33" s="129">
        <v>500</v>
      </c>
      <c r="G33" s="127">
        <f>E33*F33</f>
        <v>425</v>
      </c>
      <c r="H33" s="5"/>
    </row>
    <row r="34" spans="2:8" ht="15.75" thickBot="1">
      <c r="B34" s="5"/>
      <c r="C34" s="5"/>
      <c r="D34" s="5"/>
      <c r="E34" s="5"/>
      <c r="F34" s="130" t="s">
        <v>79</v>
      </c>
      <c r="G34" s="131">
        <f>SUM(G30:G33)</f>
        <v>11261</v>
      </c>
      <c r="H34" s="5"/>
    </row>
    <row r="35" spans="2:8" ht="15.75" thickTop="1">
      <c r="B35" s="5"/>
      <c r="C35" s="5"/>
      <c r="D35" s="5"/>
      <c r="E35" s="5"/>
      <c r="F35" s="89"/>
      <c r="G35" s="132"/>
      <c r="H35" s="5"/>
    </row>
    <row r="36" spans="2:8" ht="15">
      <c r="B36" s="541" t="s">
        <v>601</v>
      </c>
      <c r="C36" s="541"/>
      <c r="D36" s="5"/>
      <c r="E36" s="5"/>
      <c r="F36" s="89"/>
      <c r="G36" s="132"/>
      <c r="H36" s="5"/>
    </row>
    <row r="37" spans="2:8" ht="15">
      <c r="B37" s="342" t="s">
        <v>77</v>
      </c>
      <c r="C37" s="342" t="s">
        <v>89</v>
      </c>
      <c r="D37" s="342" t="s">
        <v>590</v>
      </c>
      <c r="E37" s="342" t="s">
        <v>91</v>
      </c>
      <c r="F37" s="89"/>
      <c r="G37" s="132"/>
      <c r="H37" s="5"/>
    </row>
    <row r="38" spans="2:8" ht="15">
      <c r="B38" s="135" t="s">
        <v>589</v>
      </c>
      <c r="C38" s="135">
        <v>2</v>
      </c>
      <c r="D38" s="135">
        <v>784</v>
      </c>
      <c r="E38" s="135">
        <f>C38*D38</f>
        <v>1568</v>
      </c>
      <c r="F38" s="89"/>
      <c r="G38" s="132"/>
      <c r="H38" s="5"/>
    </row>
    <row r="39" spans="2:8" ht="15">
      <c r="B39" s="135" t="s">
        <v>591</v>
      </c>
      <c r="C39" s="135">
        <v>2</v>
      </c>
      <c r="D39" s="135">
        <v>100</v>
      </c>
      <c r="E39" s="135">
        <f>C39*D39</f>
        <v>200</v>
      </c>
      <c r="F39" s="89"/>
      <c r="G39" s="132"/>
      <c r="H39" s="5"/>
    </row>
    <row r="40" spans="2:8" ht="15">
      <c r="B40" s="135" t="s">
        <v>592</v>
      </c>
      <c r="C40" s="135">
        <v>2</v>
      </c>
      <c r="D40" s="135">
        <v>50</v>
      </c>
      <c r="E40" s="135">
        <f>C40*D40</f>
        <v>100</v>
      </c>
      <c r="F40" s="89"/>
      <c r="G40" s="132"/>
      <c r="H40" s="5"/>
    </row>
    <row r="41" spans="2:8" ht="15">
      <c r="B41" s="135" t="s">
        <v>593</v>
      </c>
      <c r="C41" s="135">
        <v>2000</v>
      </c>
      <c r="D41" s="135">
        <v>0.05</v>
      </c>
      <c r="E41" s="135">
        <f>C41*D41</f>
        <v>100</v>
      </c>
      <c r="F41" s="89"/>
      <c r="G41" s="132"/>
      <c r="H41" s="5"/>
    </row>
    <row r="42" spans="3:8" ht="15.75" thickBot="1">
      <c r="C42" s="5"/>
      <c r="D42" s="130" t="s">
        <v>79</v>
      </c>
      <c r="E42" s="131">
        <f>SUM(E38:E41)</f>
        <v>1968</v>
      </c>
      <c r="F42" s="89"/>
      <c r="G42" s="132"/>
      <c r="H42" s="5"/>
    </row>
    <row r="43" spans="3:8" ht="15.75" thickTop="1">
      <c r="C43" s="5"/>
      <c r="D43" s="5"/>
      <c r="E43" s="5"/>
      <c r="F43" s="89"/>
      <c r="G43" s="132"/>
      <c r="H43" s="5"/>
    </row>
    <row r="44" spans="2:8" ht="15">
      <c r="B44" s="5"/>
      <c r="C44" s="5"/>
      <c r="D44" s="5"/>
      <c r="E44" s="5"/>
      <c r="F44" s="89"/>
      <c r="G44" s="132"/>
      <c r="H44" s="5"/>
    </row>
    <row r="45" spans="2:8" ht="15">
      <c r="B45" s="491" t="s">
        <v>135</v>
      </c>
      <c r="C45" s="106"/>
      <c r="D45" s="106"/>
      <c r="E45" s="133"/>
      <c r="F45" s="133"/>
      <c r="G45" s="133"/>
      <c r="H45" s="95"/>
    </row>
    <row r="46" spans="2:8" ht="15">
      <c r="B46" s="346"/>
      <c r="C46" s="106"/>
      <c r="D46" s="106"/>
      <c r="E46" s="133"/>
      <c r="F46" s="133"/>
      <c r="G46" s="133"/>
      <c r="H46" s="95"/>
    </row>
    <row r="47" spans="2:8" ht="15">
      <c r="B47" s="134"/>
      <c r="C47" s="342" t="s">
        <v>87</v>
      </c>
      <c r="D47" s="342" t="s">
        <v>88</v>
      </c>
      <c r="E47" s="5"/>
      <c r="F47" s="89"/>
      <c r="G47" s="132"/>
      <c r="H47" s="5"/>
    </row>
    <row r="48" spans="2:8" ht="15">
      <c r="B48" s="135" t="s">
        <v>73</v>
      </c>
      <c r="C48" s="136">
        <f>Datos!C44</f>
        <v>1500</v>
      </c>
      <c r="D48" s="137">
        <f>C48*12</f>
        <v>18000</v>
      </c>
      <c r="E48" s="5"/>
      <c r="F48" s="89"/>
      <c r="G48" s="132"/>
      <c r="H48" s="5"/>
    </row>
    <row r="49" spans="2:8" ht="15">
      <c r="B49" s="5"/>
      <c r="C49" s="5"/>
      <c r="D49" s="5"/>
      <c r="E49" s="5"/>
      <c r="F49" s="89"/>
      <c r="G49" s="132"/>
      <c r="H49" s="5"/>
    </row>
    <row r="50" spans="2:8" ht="15">
      <c r="B50" s="5"/>
      <c r="C50" s="5"/>
      <c r="D50" s="5"/>
      <c r="E50" s="5"/>
      <c r="F50" s="5"/>
      <c r="G50" s="5"/>
      <c r="H50" s="5"/>
    </row>
    <row r="51" spans="2:8" ht="15" customHeight="1">
      <c r="B51" s="491" t="s">
        <v>167</v>
      </c>
      <c r="C51" s="106"/>
      <c r="D51" s="106"/>
      <c r="E51" s="95"/>
      <c r="F51" s="95"/>
      <c r="G51" s="95"/>
      <c r="H51" s="95"/>
    </row>
    <row r="52" spans="2:8" s="57" customFormat="1" ht="15" customHeight="1">
      <c r="B52" s="347"/>
      <c r="C52" s="343"/>
      <c r="D52" s="343"/>
      <c r="E52" s="108"/>
      <c r="F52" s="108"/>
      <c r="G52" s="108"/>
      <c r="H52" s="108"/>
    </row>
    <row r="53" spans="2:8" ht="25.5">
      <c r="B53" s="342" t="s">
        <v>78</v>
      </c>
      <c r="C53" s="342" t="s">
        <v>603</v>
      </c>
      <c r="D53" s="342" t="s">
        <v>280</v>
      </c>
      <c r="E53" s="342" t="s">
        <v>281</v>
      </c>
      <c r="F53" s="5"/>
      <c r="G53" s="5"/>
      <c r="H53" s="5"/>
    </row>
    <row r="54" spans="2:8" ht="15">
      <c r="B54" s="2" t="s">
        <v>602</v>
      </c>
      <c r="C54" s="138">
        <v>25</v>
      </c>
      <c r="D54" s="128">
        <v>52</v>
      </c>
      <c r="E54" s="45">
        <f>C54*D54</f>
        <v>1300</v>
      </c>
      <c r="F54" s="5"/>
      <c r="G54" s="5"/>
      <c r="H54" s="5"/>
    </row>
    <row r="55" spans="2:8" ht="15">
      <c r="B55" s="139"/>
      <c r="C55" s="140"/>
      <c r="D55" s="115"/>
      <c r="E55" s="141"/>
      <c r="F55" s="5"/>
      <c r="G55" s="5"/>
      <c r="H55" s="5"/>
    </row>
    <row r="56" spans="2:8" ht="15">
      <c r="B56" s="5"/>
      <c r="C56" s="5"/>
      <c r="D56" s="5"/>
      <c r="E56" s="5"/>
      <c r="F56" s="5"/>
      <c r="G56" s="5"/>
      <c r="H56" s="5"/>
    </row>
    <row r="57" spans="2:8" ht="15">
      <c r="B57" s="491" t="s">
        <v>86</v>
      </c>
      <c r="C57" s="106"/>
      <c r="D57" s="106"/>
      <c r="E57" s="95"/>
      <c r="F57" s="95"/>
      <c r="G57" s="95"/>
      <c r="H57" s="95"/>
    </row>
    <row r="58" spans="2:8" s="57" customFormat="1" ht="15">
      <c r="B58" s="346"/>
      <c r="C58" s="106"/>
      <c r="D58" s="106"/>
      <c r="E58" s="108"/>
      <c r="F58" s="108"/>
      <c r="G58" s="108"/>
      <c r="H58" s="108"/>
    </row>
    <row r="59" spans="2:8" ht="15">
      <c r="B59" s="134"/>
      <c r="C59" s="342" t="s">
        <v>87</v>
      </c>
      <c r="D59" s="342" t="s">
        <v>88</v>
      </c>
      <c r="E59" s="5"/>
      <c r="F59" s="5"/>
      <c r="G59" s="5"/>
      <c r="H59" s="5"/>
    </row>
    <row r="60" spans="2:8" ht="15">
      <c r="B60" s="135" t="s">
        <v>85</v>
      </c>
      <c r="C60" s="136">
        <f>Datos!C35</f>
        <v>200</v>
      </c>
      <c r="D60" s="137">
        <f>C60*12</f>
        <v>2400</v>
      </c>
      <c r="E60" s="5"/>
      <c r="F60" s="5"/>
      <c r="G60" s="5"/>
      <c r="H60" s="5"/>
    </row>
    <row r="61" spans="2:8" ht="15.75" thickBot="1">
      <c r="B61" s="130" t="s">
        <v>79</v>
      </c>
      <c r="C61" s="131">
        <f>SUM(C60:C60)</f>
        <v>200</v>
      </c>
      <c r="D61" s="131">
        <f>SUM(D60:D60)</f>
        <v>2400</v>
      </c>
      <c r="E61" s="5"/>
      <c r="F61" s="5"/>
      <c r="G61" s="5"/>
      <c r="H61" s="5"/>
    </row>
    <row r="62" spans="2:8" ht="15.75" thickTop="1">
      <c r="B62" s="5"/>
      <c r="C62" s="5"/>
      <c r="D62" s="5"/>
      <c r="E62" s="5"/>
      <c r="F62" s="5"/>
      <c r="G62" s="5"/>
      <c r="H62" s="5"/>
    </row>
    <row r="63" spans="2:8" ht="15">
      <c r="B63" s="5"/>
      <c r="C63" s="5"/>
      <c r="D63" s="5"/>
      <c r="E63" s="5"/>
      <c r="F63" s="5"/>
      <c r="G63" s="5"/>
      <c r="H63" s="5"/>
    </row>
    <row r="64" spans="2:8" ht="15">
      <c r="B64" s="5"/>
      <c r="C64" s="5"/>
      <c r="D64" s="5"/>
      <c r="E64" s="5"/>
      <c r="F64" s="5"/>
      <c r="G64" s="5"/>
      <c r="H64" s="5"/>
    </row>
    <row r="65" spans="2:8" ht="15">
      <c r="B65" s="5"/>
      <c r="C65" s="5"/>
      <c r="D65" s="5"/>
      <c r="E65" s="5"/>
      <c r="F65" s="5"/>
      <c r="G65" s="5"/>
      <c r="H65" s="5"/>
    </row>
    <row r="66" spans="2:8" ht="15">
      <c r="B66" s="5"/>
      <c r="C66" s="5"/>
      <c r="D66" s="5"/>
      <c r="E66" s="5"/>
      <c r="F66" s="5"/>
      <c r="G66" s="5"/>
      <c r="H66" s="5"/>
    </row>
    <row r="67" spans="2:8" ht="15">
      <c r="B67" s="5"/>
      <c r="C67" s="5"/>
      <c r="D67" s="5"/>
      <c r="E67" s="5"/>
      <c r="F67" s="5"/>
      <c r="G67" s="5"/>
      <c r="H67" s="5"/>
    </row>
    <row r="68" spans="2:8" ht="15">
      <c r="B68" s="5"/>
      <c r="C68" s="5"/>
      <c r="D68" s="5"/>
      <c r="E68" s="5"/>
      <c r="F68" s="5"/>
      <c r="G68" s="5"/>
      <c r="H68" s="5"/>
    </row>
    <row r="69" spans="2:8" ht="15">
      <c r="B69" s="5"/>
      <c r="C69" s="5"/>
      <c r="D69" s="5"/>
      <c r="E69" s="5"/>
      <c r="F69" s="5"/>
      <c r="G69" s="5"/>
      <c r="H69" s="5"/>
    </row>
    <row r="70" spans="2:8" ht="15">
      <c r="B70" s="5"/>
      <c r="C70" s="5"/>
      <c r="D70" s="5"/>
      <c r="E70" s="5"/>
      <c r="F70" s="5"/>
      <c r="G70" s="5"/>
      <c r="H70" s="5"/>
    </row>
    <row r="71" spans="2:8" ht="15">
      <c r="B71" s="5"/>
      <c r="C71" s="5"/>
      <c r="D71" s="5"/>
      <c r="E71" s="5"/>
      <c r="F71" s="5"/>
      <c r="G71" s="5"/>
      <c r="H71" s="5"/>
    </row>
    <row r="72" spans="2:8" ht="15">
      <c r="B72" s="5"/>
      <c r="C72" s="5"/>
      <c r="D72" s="5"/>
      <c r="E72" s="5"/>
      <c r="F72" s="5"/>
      <c r="G72" s="5"/>
      <c r="H72" s="5"/>
    </row>
    <row r="73" spans="2:8" ht="15">
      <c r="B73" s="5"/>
      <c r="C73" s="5"/>
      <c r="D73" s="5"/>
      <c r="E73" s="5"/>
      <c r="F73" s="5"/>
      <c r="G73" s="5"/>
      <c r="H73" s="5"/>
    </row>
    <row r="74" spans="2:8" ht="15">
      <c r="B74" s="5"/>
      <c r="C74" s="5"/>
      <c r="D74" s="5"/>
      <c r="E74" s="5"/>
      <c r="F74" s="5"/>
      <c r="G74" s="5"/>
      <c r="H74" s="5"/>
    </row>
    <row r="75" spans="2:8" ht="15">
      <c r="B75" s="5"/>
      <c r="C75" s="5"/>
      <c r="D75" s="5"/>
      <c r="E75" s="5"/>
      <c r="F75" s="5"/>
      <c r="G75" s="5"/>
      <c r="H75" s="5"/>
    </row>
    <row r="76" spans="2:8" ht="15">
      <c r="B76" s="5"/>
      <c r="C76" s="5"/>
      <c r="D76" s="5"/>
      <c r="E76" s="5"/>
      <c r="F76" s="5"/>
      <c r="G76" s="5"/>
      <c r="H76" s="5"/>
    </row>
    <row r="77" spans="2:8" ht="15">
      <c r="B77" s="5"/>
      <c r="C77" s="5"/>
      <c r="D77" s="5"/>
      <c r="E77" s="5"/>
      <c r="F77" s="5"/>
      <c r="G77" s="5"/>
      <c r="H77" s="5"/>
    </row>
  </sheetData>
  <sheetProtection/>
  <mergeCells count="11">
    <mergeCell ref="B36:C36"/>
    <mergeCell ref="C33:D33"/>
    <mergeCell ref="C31:D31"/>
    <mergeCell ref="C32:D32"/>
    <mergeCell ref="B4:E4"/>
    <mergeCell ref="B19:D19"/>
    <mergeCell ref="F12:H12"/>
    <mergeCell ref="B12:E12"/>
    <mergeCell ref="J12:P12"/>
    <mergeCell ref="C30:D30"/>
    <mergeCell ref="C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1">
      <selection activeCell="H2" sqref="H2"/>
    </sheetView>
  </sheetViews>
  <sheetFormatPr defaultColWidth="11.421875" defaultRowHeight="15"/>
  <cols>
    <col min="1" max="1" width="11.421875" style="49" customWidth="1"/>
    <col min="2" max="2" width="38.7109375" style="49" customWidth="1"/>
    <col min="3" max="3" width="9.8515625" style="40" bestFit="1" customWidth="1"/>
    <col min="4" max="4" width="15.140625" style="40" customWidth="1"/>
    <col min="5" max="5" width="13.7109375" style="40" bestFit="1" customWidth="1"/>
    <col min="6" max="6" width="9.57421875" style="40" bestFit="1" customWidth="1"/>
    <col min="7" max="7" width="16.421875" style="40" customWidth="1"/>
    <col min="8" max="8" width="11.421875" style="49" customWidth="1"/>
    <col min="9" max="9" width="41.8515625" style="49" customWidth="1"/>
    <col min="10" max="15" width="14.00390625" style="49" customWidth="1"/>
    <col min="16" max="16384" width="11.421875" style="49" customWidth="1"/>
  </cols>
  <sheetData>
    <row r="2" spans="2:9" ht="18.75" customHeight="1">
      <c r="B2" s="491" t="s">
        <v>191</v>
      </c>
      <c r="I2" s="491" t="s">
        <v>256</v>
      </c>
    </row>
    <row r="3" spans="2:9" s="208" customFormat="1" ht="18.75" customHeight="1" thickBot="1">
      <c r="B3" s="206"/>
      <c r="C3" s="207"/>
      <c r="D3" s="207"/>
      <c r="E3" s="207"/>
      <c r="F3" s="207"/>
      <c r="G3" s="207"/>
      <c r="I3" s="206"/>
    </row>
    <row r="4" spans="2:15" ht="20.25" customHeight="1" thickBot="1">
      <c r="B4" s="494"/>
      <c r="C4" s="353" t="s">
        <v>89</v>
      </c>
      <c r="D4" s="348" t="s">
        <v>90</v>
      </c>
      <c r="E4" s="348" t="s">
        <v>91</v>
      </c>
      <c r="F4" s="348" t="s">
        <v>92</v>
      </c>
      <c r="G4" s="349" t="s">
        <v>190</v>
      </c>
      <c r="I4" s="566" t="s">
        <v>251</v>
      </c>
      <c r="J4" s="572" t="s">
        <v>89</v>
      </c>
      <c r="K4" s="566" t="s">
        <v>91</v>
      </c>
      <c r="L4" s="572" t="s">
        <v>92</v>
      </c>
      <c r="M4" s="570" t="s">
        <v>189</v>
      </c>
      <c r="N4" s="568" t="s">
        <v>260</v>
      </c>
      <c r="O4" s="566" t="s">
        <v>259</v>
      </c>
    </row>
    <row r="5" spans="2:15" ht="15.75" thickBot="1">
      <c r="B5" s="560" t="s">
        <v>48</v>
      </c>
      <c r="C5" s="561"/>
      <c r="D5" s="561"/>
      <c r="E5" s="561"/>
      <c r="F5" s="561"/>
      <c r="G5" s="562"/>
      <c r="I5" s="567"/>
      <c r="J5" s="573"/>
      <c r="K5" s="567"/>
      <c r="L5" s="573"/>
      <c r="M5" s="571"/>
      <c r="N5" s="569"/>
      <c r="O5" s="567"/>
    </row>
    <row r="6" spans="2:16" ht="15.75" thickBot="1">
      <c r="B6" s="209" t="s">
        <v>65</v>
      </c>
      <c r="C6" s="210">
        <f>'Inv. Inicial'!B8</f>
        <v>1</v>
      </c>
      <c r="D6" s="211">
        <f>Datos!C52</f>
        <v>10846</v>
      </c>
      <c r="E6" s="211">
        <f>C6*D6</f>
        <v>10846</v>
      </c>
      <c r="F6" s="212">
        <v>10</v>
      </c>
      <c r="G6" s="466">
        <f>E6*30%</f>
        <v>3253.7999999999997</v>
      </c>
      <c r="I6" s="544" t="s">
        <v>48</v>
      </c>
      <c r="J6" s="545"/>
      <c r="K6" s="545"/>
      <c r="L6" s="545"/>
      <c r="M6" s="545"/>
      <c r="N6" s="545"/>
      <c r="O6" s="546"/>
      <c r="P6" s="56"/>
    </row>
    <row r="7" spans="2:16" ht="15">
      <c r="B7" s="214" t="s">
        <v>94</v>
      </c>
      <c r="C7" s="215">
        <f>'Inv. Inicial'!B9</f>
        <v>1</v>
      </c>
      <c r="D7" s="216">
        <f>Datos!C53</f>
        <v>22008</v>
      </c>
      <c r="E7" s="216">
        <f>C7*D7</f>
        <v>22008</v>
      </c>
      <c r="F7" s="217">
        <v>10</v>
      </c>
      <c r="G7" s="218">
        <f>E7*40%</f>
        <v>8803.2</v>
      </c>
      <c r="I7" s="209" t="s">
        <v>65</v>
      </c>
      <c r="J7" s="222">
        <f>C6</f>
        <v>1</v>
      </c>
      <c r="K7" s="250">
        <f aca="true" t="shared" si="0" ref="K7:L11">E6</f>
        <v>10846</v>
      </c>
      <c r="L7" s="222">
        <f t="shared" si="0"/>
        <v>10</v>
      </c>
      <c r="M7" s="250">
        <f>K7/L7</f>
        <v>1084.6</v>
      </c>
      <c r="N7" s="250">
        <f>M7*L7</f>
        <v>10846</v>
      </c>
      <c r="O7" s="251">
        <f>K7-N7</f>
        <v>0</v>
      </c>
      <c r="P7" s="56"/>
    </row>
    <row r="8" spans="2:16" ht="15">
      <c r="B8" s="214" t="s">
        <v>95</v>
      </c>
      <c r="C8" s="215">
        <f>'Inv. Inicial'!B10</f>
        <v>1</v>
      </c>
      <c r="D8" s="216">
        <f>Datos!C54</f>
        <v>16500</v>
      </c>
      <c r="E8" s="216">
        <f>C8*D8</f>
        <v>16500</v>
      </c>
      <c r="F8" s="217">
        <v>10</v>
      </c>
      <c r="G8" s="218">
        <f>E8*40%</f>
        <v>6600</v>
      </c>
      <c r="I8" s="214" t="s">
        <v>94</v>
      </c>
      <c r="J8" s="215">
        <f>C7</f>
        <v>1</v>
      </c>
      <c r="K8" s="235">
        <f t="shared" si="0"/>
        <v>22008</v>
      </c>
      <c r="L8" s="215">
        <f t="shared" si="0"/>
        <v>10</v>
      </c>
      <c r="M8" s="235">
        <f>K8/L8</f>
        <v>2200.8</v>
      </c>
      <c r="N8" s="235">
        <f>M8*L8</f>
        <v>22008</v>
      </c>
      <c r="O8" s="252">
        <f>K8-N8</f>
        <v>0</v>
      </c>
      <c r="P8" s="56"/>
    </row>
    <row r="9" spans="2:16" ht="15">
      <c r="B9" s="214" t="s">
        <v>96</v>
      </c>
      <c r="C9" s="215">
        <f>'Inv. Inicial'!B11</f>
        <v>1</v>
      </c>
      <c r="D9" s="216">
        <f>Datos!C55</f>
        <v>10300</v>
      </c>
      <c r="E9" s="216">
        <f>C9*D9</f>
        <v>10300</v>
      </c>
      <c r="F9" s="217">
        <v>10</v>
      </c>
      <c r="G9" s="218">
        <f>E9*40%</f>
        <v>4120</v>
      </c>
      <c r="I9" s="214" t="s">
        <v>95</v>
      </c>
      <c r="J9" s="215">
        <f>C8</f>
        <v>1</v>
      </c>
      <c r="K9" s="235">
        <f t="shared" si="0"/>
        <v>16500</v>
      </c>
      <c r="L9" s="215">
        <f t="shared" si="0"/>
        <v>10</v>
      </c>
      <c r="M9" s="235">
        <f>K9/L9</f>
        <v>1650</v>
      </c>
      <c r="N9" s="235">
        <f>M9*L9</f>
        <v>16500</v>
      </c>
      <c r="O9" s="252">
        <f>K9-N9</f>
        <v>0</v>
      </c>
      <c r="P9" s="56"/>
    </row>
    <row r="10" spans="2:16" ht="15">
      <c r="B10" s="214" t="s">
        <v>97</v>
      </c>
      <c r="C10" s="215">
        <f>'Inv. Inicial'!B12</f>
        <v>1</v>
      </c>
      <c r="D10" s="216">
        <f>Datos!C56</f>
        <v>4000</v>
      </c>
      <c r="E10" s="216">
        <f>C10*D10</f>
        <v>4000</v>
      </c>
      <c r="F10" s="217">
        <v>10</v>
      </c>
      <c r="G10" s="467">
        <f>E10*40%</f>
        <v>1600</v>
      </c>
      <c r="I10" s="214" t="s">
        <v>96</v>
      </c>
      <c r="J10" s="215">
        <f>C9</f>
        <v>1</v>
      </c>
      <c r="K10" s="235">
        <f t="shared" si="0"/>
        <v>10300</v>
      </c>
      <c r="L10" s="215">
        <f t="shared" si="0"/>
        <v>10</v>
      </c>
      <c r="M10" s="235">
        <f>K10/L10</f>
        <v>1030</v>
      </c>
      <c r="N10" s="235">
        <f>M10*L10</f>
        <v>10300</v>
      </c>
      <c r="O10" s="252">
        <f>K10-N10</f>
        <v>0</v>
      </c>
      <c r="P10" s="56"/>
    </row>
    <row r="11" spans="2:16" ht="15.75" thickBot="1">
      <c r="B11" s="552" t="s">
        <v>36</v>
      </c>
      <c r="C11" s="553"/>
      <c r="D11" s="219">
        <f>SUM(D6:D10)</f>
        <v>63654</v>
      </c>
      <c r="E11" s="219">
        <f>SUM(E6:E10)</f>
        <v>63654</v>
      </c>
      <c r="F11" s="220"/>
      <c r="G11" s="221"/>
      <c r="I11" s="233" t="s">
        <v>97</v>
      </c>
      <c r="J11" s="239">
        <f>C10</f>
        <v>1</v>
      </c>
      <c r="K11" s="240">
        <f t="shared" si="0"/>
        <v>4000</v>
      </c>
      <c r="L11" s="239">
        <f t="shared" si="0"/>
        <v>10</v>
      </c>
      <c r="M11" s="240">
        <f>K11/L11</f>
        <v>400</v>
      </c>
      <c r="N11" s="240">
        <f>M11*L11</f>
        <v>4000</v>
      </c>
      <c r="O11" s="253">
        <f>K11-N11</f>
        <v>0</v>
      </c>
      <c r="P11" s="56"/>
    </row>
    <row r="12" spans="2:15" ht="15.75" thickBot="1">
      <c r="B12" s="557" t="s">
        <v>307</v>
      </c>
      <c r="C12" s="558"/>
      <c r="D12" s="558"/>
      <c r="E12" s="558"/>
      <c r="F12" s="558"/>
      <c r="G12" s="559"/>
      <c r="I12" s="544" t="s">
        <v>307</v>
      </c>
      <c r="J12" s="545"/>
      <c r="K12" s="545"/>
      <c r="L12" s="545"/>
      <c r="M12" s="545"/>
      <c r="N12" s="545"/>
      <c r="O12" s="546"/>
    </row>
    <row r="13" spans="2:15" ht="15">
      <c r="B13" s="209" t="s">
        <v>98</v>
      </c>
      <c r="C13" s="210">
        <f>'Inv. Inicial'!B14</f>
        <v>4</v>
      </c>
      <c r="D13" s="211">
        <f>Datos!C58</f>
        <v>540</v>
      </c>
      <c r="E13" s="211">
        <f>C13*D13</f>
        <v>2160</v>
      </c>
      <c r="F13" s="222">
        <v>3</v>
      </c>
      <c r="G13" s="213">
        <f>E13*10%</f>
        <v>216</v>
      </c>
      <c r="I13" s="238" t="s">
        <v>98</v>
      </c>
      <c r="J13" s="242">
        <f>C13</f>
        <v>4</v>
      </c>
      <c r="K13" s="243">
        <f aca="true" t="shared" si="1" ref="K13:L15">E13</f>
        <v>2160</v>
      </c>
      <c r="L13" s="244">
        <f t="shared" si="1"/>
        <v>3</v>
      </c>
      <c r="M13" s="241">
        <f>K13/L13</f>
        <v>720</v>
      </c>
      <c r="N13" s="241">
        <f>M13*L13</f>
        <v>2160</v>
      </c>
      <c r="O13" s="254">
        <f>K13-N13</f>
        <v>0</v>
      </c>
    </row>
    <row r="14" spans="2:15" ht="15">
      <c r="B14" s="214" t="s">
        <v>99</v>
      </c>
      <c r="C14" s="215">
        <f>'Inv. Inicial'!B15</f>
        <v>1</v>
      </c>
      <c r="D14" s="216">
        <f>Datos!C59</f>
        <v>80</v>
      </c>
      <c r="E14" s="216">
        <f>C14*D14</f>
        <v>80</v>
      </c>
      <c r="F14" s="223">
        <v>3</v>
      </c>
      <c r="G14" s="224">
        <f>E14*10%</f>
        <v>8</v>
      </c>
      <c r="I14" s="214" t="s">
        <v>99</v>
      </c>
      <c r="J14" s="223">
        <f>C14</f>
        <v>1</v>
      </c>
      <c r="K14" s="236">
        <f t="shared" si="1"/>
        <v>80</v>
      </c>
      <c r="L14" s="237">
        <f t="shared" si="1"/>
        <v>3</v>
      </c>
      <c r="M14" s="235">
        <f>K14/L14</f>
        <v>26.666666666666668</v>
      </c>
      <c r="N14" s="235">
        <f>M14*L14</f>
        <v>80</v>
      </c>
      <c r="O14" s="252">
        <f>K14-N14</f>
        <v>0</v>
      </c>
    </row>
    <row r="15" spans="2:15" ht="15.75" thickBot="1">
      <c r="B15" s="214" t="s">
        <v>107</v>
      </c>
      <c r="C15" s="215">
        <f>'Inv. Inicial'!B16</f>
        <v>1</v>
      </c>
      <c r="D15" s="216">
        <f>Datos!C60</f>
        <v>110</v>
      </c>
      <c r="E15" s="216">
        <f>C15*D15</f>
        <v>110</v>
      </c>
      <c r="F15" s="223">
        <v>3</v>
      </c>
      <c r="G15" s="224">
        <f>E15*10%</f>
        <v>11</v>
      </c>
      <c r="I15" s="233" t="s">
        <v>107</v>
      </c>
      <c r="J15" s="246">
        <f>C15</f>
        <v>1</v>
      </c>
      <c r="K15" s="247">
        <f t="shared" si="1"/>
        <v>110</v>
      </c>
      <c r="L15" s="248">
        <f t="shared" si="1"/>
        <v>3</v>
      </c>
      <c r="M15" s="240">
        <f>K15/L15</f>
        <v>36.666666666666664</v>
      </c>
      <c r="N15" s="240">
        <f>M15*L15</f>
        <v>110</v>
      </c>
      <c r="O15" s="253">
        <f>K15-N15</f>
        <v>0</v>
      </c>
    </row>
    <row r="16" spans="2:15" ht="15.75" thickBot="1">
      <c r="B16" s="495" t="s">
        <v>304</v>
      </c>
      <c r="C16" s="215">
        <f>'Inv. Inicial'!B17</f>
        <v>1</v>
      </c>
      <c r="D16" s="216">
        <f>Datos!C61</f>
        <v>300</v>
      </c>
      <c r="E16" s="216">
        <f>C16*D16</f>
        <v>300</v>
      </c>
      <c r="F16" s="223">
        <v>3</v>
      </c>
      <c r="G16" s="224">
        <f>E16*10%</f>
        <v>30</v>
      </c>
      <c r="I16" s="544" t="s">
        <v>308</v>
      </c>
      <c r="J16" s="545"/>
      <c r="K16" s="545"/>
      <c r="L16" s="545"/>
      <c r="M16" s="545"/>
      <c r="N16" s="545"/>
      <c r="O16" s="546"/>
    </row>
    <row r="17" spans="2:15" ht="15.75" thickBot="1">
      <c r="B17" s="495" t="s">
        <v>305</v>
      </c>
      <c r="C17" s="215">
        <f>'Inv. Inicial'!B18</f>
        <v>1</v>
      </c>
      <c r="D17" s="216">
        <f>Datos!C62</f>
        <v>90</v>
      </c>
      <c r="E17" s="216">
        <f>C17*D17</f>
        <v>90</v>
      </c>
      <c r="F17" s="223">
        <v>3</v>
      </c>
      <c r="G17" s="224">
        <f>E17*10%</f>
        <v>9</v>
      </c>
      <c r="I17" s="234" t="s">
        <v>67</v>
      </c>
      <c r="J17" s="232">
        <f>C20</f>
        <v>1</v>
      </c>
      <c r="K17" s="255">
        <f>E20</f>
        <v>555.88</v>
      </c>
      <c r="L17" s="232">
        <f>F20</f>
        <v>10</v>
      </c>
      <c r="M17" s="256">
        <f>K17/L17</f>
        <v>55.588</v>
      </c>
      <c r="N17" s="256">
        <f>M17*L17</f>
        <v>555.88</v>
      </c>
      <c r="O17" s="257">
        <f>K17-N17</f>
        <v>0</v>
      </c>
    </row>
    <row r="18" spans="2:15" ht="15.75" thickBot="1">
      <c r="B18" s="554" t="s">
        <v>36</v>
      </c>
      <c r="C18" s="555"/>
      <c r="D18" s="219">
        <f>SUM(D13:D15)</f>
        <v>730</v>
      </c>
      <c r="E18" s="219">
        <f>SUM(E13:E17)</f>
        <v>2740</v>
      </c>
      <c r="F18" s="220"/>
      <c r="G18" s="225"/>
      <c r="I18" s="547" t="s">
        <v>109</v>
      </c>
      <c r="J18" s="548"/>
      <c r="K18" s="548"/>
      <c r="L18" s="548"/>
      <c r="M18" s="548"/>
      <c r="N18" s="548"/>
      <c r="O18" s="549"/>
    </row>
    <row r="19" spans="2:15" ht="15.75" thickBot="1">
      <c r="B19" s="563" t="s">
        <v>308</v>
      </c>
      <c r="C19" s="564"/>
      <c r="D19" s="564"/>
      <c r="E19" s="564"/>
      <c r="F19" s="564"/>
      <c r="G19" s="565"/>
      <c r="I19" s="238" t="s">
        <v>103</v>
      </c>
      <c r="J19" s="229">
        <f>C26</f>
        <v>3</v>
      </c>
      <c r="K19" s="249">
        <f>E26</f>
        <v>600</v>
      </c>
      <c r="L19" s="229">
        <f>F26</f>
        <v>10</v>
      </c>
      <c r="M19" s="241">
        <f>K19/L19</f>
        <v>60</v>
      </c>
      <c r="N19" s="241">
        <f>M19*L19</f>
        <v>600</v>
      </c>
      <c r="O19" s="254">
        <f>K19-N19</f>
        <v>0</v>
      </c>
    </row>
    <row r="20" spans="2:15" ht="15.75" thickBot="1">
      <c r="B20" s="209" t="s">
        <v>67</v>
      </c>
      <c r="C20" s="210">
        <f>'Inv. Inicial'!B20</f>
        <v>1</v>
      </c>
      <c r="D20" s="211">
        <f>Datos!C64</f>
        <v>555.88</v>
      </c>
      <c r="E20" s="211">
        <f>C20*D20</f>
        <v>555.88</v>
      </c>
      <c r="F20" s="226">
        <v>10</v>
      </c>
      <c r="G20" s="227">
        <f>E20*10%</f>
        <v>55.588</v>
      </c>
      <c r="I20" s="233" t="s">
        <v>104</v>
      </c>
      <c r="J20" s="239">
        <f>C27</f>
        <v>4</v>
      </c>
      <c r="K20" s="245">
        <f>E27</f>
        <v>1600</v>
      </c>
      <c r="L20" s="239">
        <f>F27</f>
        <v>10</v>
      </c>
      <c r="M20" s="240">
        <f>K20/L20</f>
        <v>160</v>
      </c>
      <c r="N20" s="240">
        <f>M20*L20</f>
        <v>1600</v>
      </c>
      <c r="O20" s="253">
        <f>K20-N20</f>
        <v>0</v>
      </c>
    </row>
    <row r="21" spans="2:15" ht="15.75" thickBot="1">
      <c r="B21" s="214" t="s">
        <v>100</v>
      </c>
      <c r="C21" s="215">
        <f>'Inv. Inicial'!B21</f>
        <v>1</v>
      </c>
      <c r="D21" s="216">
        <f>Datos!C65</f>
        <v>14</v>
      </c>
      <c r="E21" s="216">
        <f>C21*D21</f>
        <v>14</v>
      </c>
      <c r="F21" s="228"/>
      <c r="G21" s="224">
        <f>E21*10%</f>
        <v>1.4000000000000001</v>
      </c>
      <c r="I21" s="544" t="s">
        <v>309</v>
      </c>
      <c r="J21" s="545"/>
      <c r="K21" s="545"/>
      <c r="L21" s="545"/>
      <c r="M21" s="545"/>
      <c r="N21" s="545"/>
      <c r="O21" s="546"/>
    </row>
    <row r="22" spans="2:15" ht="15.75" thickBot="1">
      <c r="B22" s="214" t="s">
        <v>101</v>
      </c>
      <c r="C22" s="215">
        <f>'Inv. Inicial'!B22</f>
        <v>1</v>
      </c>
      <c r="D22" s="216">
        <f>Datos!C66</f>
        <v>47</v>
      </c>
      <c r="E22" s="216">
        <f>C22*D22</f>
        <v>47</v>
      </c>
      <c r="F22" s="228"/>
      <c r="G22" s="224">
        <f>E22*10%</f>
        <v>4.7</v>
      </c>
      <c r="I22" s="258" t="s">
        <v>105</v>
      </c>
      <c r="J22" s="259">
        <f>C30</f>
        <v>1</v>
      </c>
      <c r="K22" s="260">
        <f>E30</f>
        <v>22000</v>
      </c>
      <c r="L22" s="259">
        <f>F30</f>
        <v>5</v>
      </c>
      <c r="M22" s="260">
        <f>K22/L22</f>
        <v>4400</v>
      </c>
      <c r="N22" s="260">
        <f>M22*L22</f>
        <v>22000</v>
      </c>
      <c r="O22" s="261">
        <f>K22-N22</f>
        <v>0</v>
      </c>
    </row>
    <row r="23" spans="2:7" ht="15">
      <c r="B23" s="214" t="s">
        <v>102</v>
      </c>
      <c r="C23" s="229">
        <f>'Inv. Inicial'!B23</f>
        <v>1</v>
      </c>
      <c r="D23" s="216">
        <f>Datos!C67</f>
        <v>105.84</v>
      </c>
      <c r="E23" s="216">
        <f>C23*D23</f>
        <v>105.84</v>
      </c>
      <c r="F23" s="230"/>
      <c r="G23" s="224">
        <f>E23*10%</f>
        <v>10.584000000000001</v>
      </c>
    </row>
    <row r="24" spans="2:7" ht="15.75" thickBot="1">
      <c r="B24" s="552" t="s">
        <v>36</v>
      </c>
      <c r="C24" s="556"/>
      <c r="D24" s="219">
        <f>SUM(D20:D23)</f>
        <v>722.72</v>
      </c>
      <c r="E24" s="219">
        <f>SUM(E20:E23)</f>
        <v>722.72</v>
      </c>
      <c r="F24" s="220"/>
      <c r="G24" s="221"/>
    </row>
    <row r="25" spans="2:7" ht="15.75" thickBot="1">
      <c r="B25" s="563" t="s">
        <v>109</v>
      </c>
      <c r="C25" s="564"/>
      <c r="D25" s="564"/>
      <c r="E25" s="564"/>
      <c r="F25" s="564"/>
      <c r="G25" s="565"/>
    </row>
    <row r="26" spans="2:7" ht="15">
      <c r="B26" s="209" t="s">
        <v>103</v>
      </c>
      <c r="C26" s="210">
        <f>'Inv. Inicial'!B26</f>
        <v>3</v>
      </c>
      <c r="D26" s="211">
        <f>Datos!C70</f>
        <v>200</v>
      </c>
      <c r="E26" s="211">
        <f>C26*D26</f>
        <v>600</v>
      </c>
      <c r="F26" s="226">
        <v>10</v>
      </c>
      <c r="G26" s="231">
        <f>E26*5%</f>
        <v>30</v>
      </c>
    </row>
    <row r="27" spans="2:7" ht="15">
      <c r="B27" s="214" t="s">
        <v>104</v>
      </c>
      <c r="C27" s="215">
        <f>'Inv. Inicial'!B27</f>
        <v>4</v>
      </c>
      <c r="D27" s="216">
        <f>Datos!C71</f>
        <v>400</v>
      </c>
      <c r="E27" s="216">
        <f>C27*D27</f>
        <v>1600</v>
      </c>
      <c r="F27" s="215">
        <v>10</v>
      </c>
      <c r="G27" s="218">
        <f>E27*10%</f>
        <v>160</v>
      </c>
    </row>
    <row r="28" spans="2:7" ht="15.75" thickBot="1">
      <c r="B28" s="552" t="s">
        <v>36</v>
      </c>
      <c r="C28" s="556"/>
      <c r="D28" s="219">
        <f>SUM(D26:D27)</f>
        <v>600</v>
      </c>
      <c r="E28" s="219">
        <f>SUM(E26:E27)</f>
        <v>2200</v>
      </c>
      <c r="F28" s="220"/>
      <c r="G28" s="221"/>
    </row>
    <row r="29" spans="2:7" ht="15.75" thickBot="1">
      <c r="B29" s="557" t="s">
        <v>309</v>
      </c>
      <c r="C29" s="558"/>
      <c r="D29" s="558"/>
      <c r="E29" s="558"/>
      <c r="F29" s="558"/>
      <c r="G29" s="559"/>
    </row>
    <row r="30" spans="2:7" ht="15">
      <c r="B30" s="209" t="s">
        <v>105</v>
      </c>
      <c r="C30" s="222">
        <f>'Inv. Inicial'!B29</f>
        <v>1</v>
      </c>
      <c r="D30" s="213">
        <f>Datos!C73</f>
        <v>22000</v>
      </c>
      <c r="E30" s="496">
        <f>C30*D30</f>
        <v>22000</v>
      </c>
      <c r="F30" s="222">
        <v>5</v>
      </c>
      <c r="G30" s="213">
        <f>E30*45%</f>
        <v>9900</v>
      </c>
    </row>
    <row r="31" spans="2:7" ht="15.75" thickBot="1">
      <c r="B31" s="552" t="s">
        <v>36</v>
      </c>
      <c r="C31" s="556"/>
      <c r="D31" s="498">
        <f>SUM(D30)</f>
        <v>22000</v>
      </c>
      <c r="E31" s="497">
        <f>SUM(E30)</f>
        <v>22000</v>
      </c>
      <c r="F31" s="220"/>
      <c r="G31" s="225"/>
    </row>
    <row r="32" spans="2:7" ht="15.75" thickBot="1">
      <c r="B32" s="550" t="s">
        <v>106</v>
      </c>
      <c r="C32" s="551"/>
      <c r="D32" s="499">
        <f>D11+D18+D24+D28+D31</f>
        <v>87706.72</v>
      </c>
      <c r="E32" s="500">
        <f>E11+E18+E24+E28+E31</f>
        <v>91316.72</v>
      </c>
      <c r="F32" s="232"/>
      <c r="G32" s="232"/>
    </row>
    <row r="33" spans="3:7" s="31" customFormat="1" ht="15.75" thickTop="1">
      <c r="C33" s="80"/>
      <c r="D33" s="80"/>
      <c r="E33" s="81"/>
      <c r="F33" s="55"/>
      <c r="G33" s="55"/>
    </row>
    <row r="34" spans="3:7" s="31" customFormat="1" ht="15">
      <c r="C34" s="80"/>
      <c r="D34" s="80"/>
      <c r="E34" s="81"/>
      <c r="F34" s="55"/>
      <c r="G34" s="55"/>
    </row>
    <row r="35" spans="3:7" s="31" customFormat="1" ht="15">
      <c r="C35" s="80"/>
      <c r="D35" s="80"/>
      <c r="E35" s="81"/>
      <c r="F35" s="55"/>
      <c r="G35" s="55"/>
    </row>
    <row r="36" spans="3:7" s="31" customFormat="1" ht="15">
      <c r="C36" s="80"/>
      <c r="D36" s="80"/>
      <c r="E36" s="81"/>
      <c r="F36" s="55"/>
      <c r="G36" s="55"/>
    </row>
    <row r="37" spans="3:7" s="31" customFormat="1" ht="15">
      <c r="C37" s="80"/>
      <c r="D37" s="80"/>
      <c r="E37" s="81"/>
      <c r="F37" s="55"/>
      <c r="G37" s="55"/>
    </row>
    <row r="38" spans="3:7" s="31" customFormat="1" ht="15">
      <c r="C38" s="80"/>
      <c r="D38" s="80"/>
      <c r="E38" s="81"/>
      <c r="F38" s="55"/>
      <c r="G38" s="55"/>
    </row>
  </sheetData>
  <sheetProtection/>
  <mergeCells count="23">
    <mergeCell ref="I4:I5"/>
    <mergeCell ref="O4:O5"/>
    <mergeCell ref="N4:N5"/>
    <mergeCell ref="M4:M5"/>
    <mergeCell ref="L4:L5"/>
    <mergeCell ref="K4:K5"/>
    <mergeCell ref="J4:J5"/>
    <mergeCell ref="B31:C31"/>
    <mergeCell ref="B29:G29"/>
    <mergeCell ref="B5:G5"/>
    <mergeCell ref="B12:G12"/>
    <mergeCell ref="B19:G19"/>
    <mergeCell ref="B25:G25"/>
    <mergeCell ref="I21:O21"/>
    <mergeCell ref="I12:O12"/>
    <mergeCell ref="I6:O6"/>
    <mergeCell ref="I18:O18"/>
    <mergeCell ref="I16:O16"/>
    <mergeCell ref="B32:C32"/>
    <mergeCell ref="B11:C11"/>
    <mergeCell ref="B18:C18"/>
    <mergeCell ref="B24:C24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1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33.00390625" style="0" bestFit="1" customWidth="1"/>
    <col min="2" max="2" width="12.8515625" style="184" customWidth="1"/>
    <col min="3" max="5" width="12.8515625" style="0" customWidth="1"/>
  </cols>
  <sheetData>
    <row r="2" spans="1:2" ht="18.75" customHeight="1">
      <c r="A2" s="491" t="s">
        <v>47</v>
      </c>
      <c r="B2" s="491"/>
    </row>
    <row r="3" spans="1:2" ht="15.75" thickBot="1">
      <c r="A3" s="82"/>
      <c r="B3" s="198"/>
    </row>
    <row r="4" spans="1:5" ht="15.75" thickBot="1">
      <c r="A4" s="575" t="s">
        <v>241</v>
      </c>
      <c r="B4" s="576"/>
      <c r="C4" s="576"/>
      <c r="D4" s="577"/>
      <c r="E4" s="196">
        <f>Datos!C49</f>
        <v>1200</v>
      </c>
    </row>
    <row r="5" spans="1:5" ht="15.75" thickBot="1">
      <c r="A5" s="185"/>
      <c r="B5" s="199"/>
      <c r="E5" s="37"/>
    </row>
    <row r="6" spans="1:4" ht="15.75" thickBot="1">
      <c r="A6" s="575" t="s">
        <v>250</v>
      </c>
      <c r="B6" s="576"/>
      <c r="C6" s="576"/>
      <c r="D6" s="577"/>
    </row>
    <row r="7" spans="1:5" ht="15.75" thickBot="1">
      <c r="A7" s="578" t="s">
        <v>246</v>
      </c>
      <c r="B7" s="579"/>
      <c r="C7" s="579"/>
      <c r="D7" s="580"/>
      <c r="E7" s="196">
        <f>SUM(D8:D12)</f>
        <v>63654</v>
      </c>
    </row>
    <row r="8" spans="1:5" ht="15">
      <c r="A8" s="191" t="s">
        <v>149</v>
      </c>
      <c r="B8" s="200">
        <v>1</v>
      </c>
      <c r="C8" s="202">
        <f>Datos!C52</f>
        <v>10846</v>
      </c>
      <c r="D8" s="192">
        <f>B8*C8</f>
        <v>10846</v>
      </c>
      <c r="E8" s="193"/>
    </row>
    <row r="9" spans="1:5" ht="15">
      <c r="A9" s="191" t="s">
        <v>110</v>
      </c>
      <c r="B9" s="200">
        <v>1</v>
      </c>
      <c r="C9" s="202">
        <f>Datos!C53</f>
        <v>22008</v>
      </c>
      <c r="D9" s="192">
        <f>B9*C9</f>
        <v>22008</v>
      </c>
      <c r="E9" s="193"/>
    </row>
    <row r="10" spans="1:5" ht="15">
      <c r="A10" s="191" t="s">
        <v>111</v>
      </c>
      <c r="B10" s="200">
        <v>1</v>
      </c>
      <c r="C10" s="202">
        <f>Datos!C54</f>
        <v>16500</v>
      </c>
      <c r="D10" s="192">
        <f>B10*C10</f>
        <v>16500</v>
      </c>
      <c r="E10" s="193"/>
    </row>
    <row r="11" spans="1:5" ht="15">
      <c r="A11" s="191" t="s">
        <v>112</v>
      </c>
      <c r="B11" s="200">
        <v>1</v>
      </c>
      <c r="C11" s="202">
        <f>Datos!C55</f>
        <v>10300</v>
      </c>
      <c r="D11" s="192">
        <f>B11*C11</f>
        <v>10300</v>
      </c>
      <c r="E11" s="193"/>
    </row>
    <row r="12" spans="1:5" ht="15.75" thickBot="1">
      <c r="A12" s="194" t="s">
        <v>113</v>
      </c>
      <c r="B12" s="201">
        <v>1</v>
      </c>
      <c r="C12" s="203">
        <f>Datos!C56</f>
        <v>4000</v>
      </c>
      <c r="D12" s="192">
        <f>B12*C12</f>
        <v>4000</v>
      </c>
      <c r="E12" s="193"/>
    </row>
    <row r="13" spans="1:21" ht="15.75" thickBot="1">
      <c r="A13" s="578" t="s">
        <v>247</v>
      </c>
      <c r="B13" s="579"/>
      <c r="C13" s="579"/>
      <c r="D13" s="580"/>
      <c r="E13" s="196">
        <f>SUM(D14:D18)</f>
        <v>2740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 s="191" t="s">
        <v>114</v>
      </c>
      <c r="B14" s="200">
        <v>4</v>
      </c>
      <c r="C14" s="202">
        <f>Datos!C58</f>
        <v>540</v>
      </c>
      <c r="D14" s="192">
        <f>B14*C14</f>
        <v>2160</v>
      </c>
      <c r="E14" s="187"/>
      <c r="L14" s="38"/>
      <c r="M14" s="39"/>
      <c r="N14" s="39"/>
      <c r="O14" s="39"/>
      <c r="P14" s="12"/>
      <c r="Q14" s="12"/>
      <c r="R14" s="12"/>
      <c r="S14" s="12"/>
      <c r="T14" s="12"/>
      <c r="U14" s="12"/>
    </row>
    <row r="15" spans="1:21" ht="15">
      <c r="A15" s="191" t="s">
        <v>115</v>
      </c>
      <c r="B15" s="200">
        <v>1</v>
      </c>
      <c r="C15" s="202">
        <f>Datos!C59</f>
        <v>80</v>
      </c>
      <c r="D15" s="192">
        <f>B15*C15</f>
        <v>80</v>
      </c>
      <c r="E15" s="186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5" ht="15">
      <c r="A16" s="191" t="s">
        <v>116</v>
      </c>
      <c r="B16" s="200">
        <v>1</v>
      </c>
      <c r="C16" s="202">
        <f>Datos!C60</f>
        <v>110</v>
      </c>
      <c r="D16" s="192">
        <f>B16*C16</f>
        <v>110</v>
      </c>
      <c r="E16" s="186"/>
    </row>
    <row r="17" spans="1:256" ht="15">
      <c r="A17" s="191" t="s">
        <v>153</v>
      </c>
      <c r="B17" s="200">
        <v>1</v>
      </c>
      <c r="C17" s="204">
        <f>Datos!C61</f>
        <v>300</v>
      </c>
      <c r="D17" s="192">
        <f>B17*C17</f>
        <v>300</v>
      </c>
      <c r="E17" s="1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5.75" thickBot="1">
      <c r="A18" s="194" t="s">
        <v>154</v>
      </c>
      <c r="B18" s="201">
        <v>1</v>
      </c>
      <c r="C18" s="205">
        <f>Datos!C62</f>
        <v>90</v>
      </c>
      <c r="D18" s="192">
        <f>B18*C18</f>
        <v>90</v>
      </c>
      <c r="E18" s="1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5" ht="15.75" thickBot="1">
      <c r="A19" s="578" t="s">
        <v>248</v>
      </c>
      <c r="B19" s="579"/>
      <c r="C19" s="579"/>
      <c r="D19" s="580"/>
      <c r="E19" s="196">
        <f>SUM(D20:D24)</f>
        <v>772.62</v>
      </c>
    </row>
    <row r="20" spans="1:5" ht="15">
      <c r="A20" s="191" t="s">
        <v>144</v>
      </c>
      <c r="B20" s="200">
        <v>1</v>
      </c>
      <c r="C20" s="202">
        <f>Datos!C64</f>
        <v>555.88</v>
      </c>
      <c r="D20" s="192">
        <f>B20*C20</f>
        <v>555.88</v>
      </c>
      <c r="E20" s="186"/>
    </row>
    <row r="21" spans="1:5" ht="15">
      <c r="A21" s="191" t="s">
        <v>143</v>
      </c>
      <c r="B21" s="200">
        <v>1</v>
      </c>
      <c r="C21" s="202">
        <f>Datos!C65</f>
        <v>14</v>
      </c>
      <c r="D21" s="192">
        <f>B21*C21</f>
        <v>14</v>
      </c>
      <c r="E21" s="186"/>
    </row>
    <row r="22" spans="1:5" ht="15">
      <c r="A22" s="191" t="s">
        <v>145</v>
      </c>
      <c r="B22" s="200">
        <v>1</v>
      </c>
      <c r="C22" s="202">
        <f>Datos!C66</f>
        <v>47</v>
      </c>
      <c r="D22" s="192">
        <f>B22*C22</f>
        <v>47</v>
      </c>
      <c r="E22" s="186"/>
    </row>
    <row r="23" spans="1:5" ht="15">
      <c r="A23" s="191" t="s">
        <v>117</v>
      </c>
      <c r="B23" s="200">
        <v>1</v>
      </c>
      <c r="C23" s="202">
        <f>Datos!C67</f>
        <v>105.84</v>
      </c>
      <c r="D23" s="192">
        <f>B23*C23</f>
        <v>105.84</v>
      </c>
      <c r="E23" s="186"/>
    </row>
    <row r="24" spans="1:5" ht="15.75" thickBot="1">
      <c r="A24" s="194" t="s">
        <v>151</v>
      </c>
      <c r="B24" s="201">
        <v>1</v>
      </c>
      <c r="C24" s="203">
        <f>Datos!C68</f>
        <v>49.9</v>
      </c>
      <c r="D24" s="192">
        <f>B24*C24</f>
        <v>49.9</v>
      </c>
      <c r="E24" s="186"/>
    </row>
    <row r="25" spans="1:5" ht="15.75" thickBot="1">
      <c r="A25" s="578" t="s">
        <v>306</v>
      </c>
      <c r="B25" s="579"/>
      <c r="C25" s="579"/>
      <c r="D25" s="580"/>
      <c r="E25" s="196">
        <f>SUM(D26:D27)</f>
        <v>2200</v>
      </c>
    </row>
    <row r="26" spans="1:5" ht="15">
      <c r="A26" s="191" t="s">
        <v>118</v>
      </c>
      <c r="B26" s="200">
        <v>3</v>
      </c>
      <c r="C26" s="202">
        <f>Datos!C70</f>
        <v>200</v>
      </c>
      <c r="D26" s="192">
        <f>B26*C26</f>
        <v>600</v>
      </c>
      <c r="E26" s="186"/>
    </row>
    <row r="27" spans="1:5" ht="15.75" thickBot="1">
      <c r="A27" s="194" t="s">
        <v>119</v>
      </c>
      <c r="B27" s="201">
        <v>4</v>
      </c>
      <c r="C27" s="203">
        <f>Datos!C71</f>
        <v>400</v>
      </c>
      <c r="D27" s="192">
        <f>B27*C27</f>
        <v>1600</v>
      </c>
      <c r="E27" s="186"/>
    </row>
    <row r="28" spans="1:5" ht="15.75" thickBot="1">
      <c r="A28" s="578" t="s">
        <v>249</v>
      </c>
      <c r="B28" s="579"/>
      <c r="C28" s="579"/>
      <c r="D28" s="190"/>
      <c r="E28" s="196">
        <f>SUM(C29)</f>
        <v>22000</v>
      </c>
    </row>
    <row r="29" spans="1:5" ht="15.75" thickBot="1">
      <c r="A29" s="194" t="s">
        <v>120</v>
      </c>
      <c r="B29" s="201">
        <v>1</v>
      </c>
      <c r="C29" s="203">
        <f>Datos!C73</f>
        <v>22000</v>
      </c>
      <c r="D29" s="195">
        <f>B29*C29</f>
        <v>22000</v>
      </c>
      <c r="E29" s="189"/>
    </row>
    <row r="31" spans="2:5" ht="16.5">
      <c r="B31" s="574" t="s">
        <v>152</v>
      </c>
      <c r="C31" s="574"/>
      <c r="D31" s="574"/>
      <c r="E31" s="197">
        <f>SUM(E4:E29)</f>
        <v>92566.62</v>
      </c>
    </row>
  </sheetData>
  <sheetProtection/>
  <mergeCells count="8">
    <mergeCell ref="B31:D31"/>
    <mergeCell ref="A4:D4"/>
    <mergeCell ref="A6:D6"/>
    <mergeCell ref="A25:D25"/>
    <mergeCell ref="A28:C28"/>
    <mergeCell ref="A7:D7"/>
    <mergeCell ref="A13:D13"/>
    <mergeCell ref="A19:D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A10">
      <selection activeCell="C12" sqref="C12"/>
    </sheetView>
  </sheetViews>
  <sheetFormatPr defaultColWidth="11.421875" defaultRowHeight="15"/>
  <cols>
    <col min="2" max="2" width="23.00390625" style="0" customWidth="1"/>
    <col min="3" max="3" width="16.7109375" style="0" customWidth="1"/>
    <col min="4" max="4" width="19.28125" style="0" customWidth="1"/>
    <col min="6" max="6" width="17.421875" style="0" customWidth="1"/>
    <col min="8" max="8" width="12.140625" style="0" bestFit="1" customWidth="1"/>
    <col min="10" max="10" width="16.28125" style="0" customWidth="1"/>
  </cols>
  <sheetData>
    <row r="2" spans="6:12" ht="15">
      <c r="F2" s="262"/>
      <c r="G2" s="262"/>
      <c r="H2" s="262"/>
      <c r="I2" s="262"/>
      <c r="J2" s="262"/>
      <c r="K2" s="262"/>
      <c r="L2" s="262"/>
    </row>
    <row r="3" spans="6:12" ht="15">
      <c r="F3" s="8"/>
      <c r="G3" s="8"/>
      <c r="H3" s="8"/>
      <c r="I3" s="8"/>
      <c r="J3" s="8"/>
      <c r="K3" s="8"/>
      <c r="L3" s="8"/>
    </row>
    <row r="4" ht="15.75" thickBot="1"/>
    <row r="5" spans="6:7" ht="15">
      <c r="F5" s="356" t="s">
        <v>585</v>
      </c>
      <c r="G5" s="263">
        <f>Datos!C76</f>
        <v>0.1183</v>
      </c>
    </row>
    <row r="6" spans="6:7" ht="15.75" thickBot="1">
      <c r="F6" s="581" t="s">
        <v>329</v>
      </c>
      <c r="G6" s="582"/>
    </row>
    <row r="8" ht="15.75" thickBot="1"/>
    <row r="9" spans="2:10" ht="15.75" thickBot="1">
      <c r="B9" s="146"/>
      <c r="C9" s="354" t="s">
        <v>584</v>
      </c>
      <c r="D9" s="355" t="s">
        <v>335</v>
      </c>
      <c r="F9" s="353" t="s">
        <v>330</v>
      </c>
      <c r="G9" s="348" t="s">
        <v>331</v>
      </c>
      <c r="H9" s="348" t="s">
        <v>332</v>
      </c>
      <c r="I9" s="348" t="s">
        <v>333</v>
      </c>
      <c r="J9" s="349" t="s">
        <v>334</v>
      </c>
    </row>
    <row r="10" spans="2:10" ht="15">
      <c r="B10" s="266" t="s">
        <v>336</v>
      </c>
      <c r="C10" s="376">
        <f>'Inv. Inicial'!E31</f>
        <v>92566.62</v>
      </c>
      <c r="D10" s="360"/>
      <c r="F10" s="365">
        <v>0</v>
      </c>
      <c r="G10" s="366"/>
      <c r="H10" s="366"/>
      <c r="I10" s="366"/>
      <c r="J10" s="367">
        <f>-C14</f>
        <v>-41740.33049728539</v>
      </c>
    </row>
    <row r="11" spans="2:10" ht="15">
      <c r="B11" s="267" t="s">
        <v>19</v>
      </c>
      <c r="C11" s="136">
        <f>'Capital Trabajo'!G11</f>
        <v>11784.20624321347</v>
      </c>
      <c r="D11" s="361"/>
      <c r="F11" s="368">
        <v>1</v>
      </c>
      <c r="G11" s="369">
        <f>PMT($G$5,$F$20,-$J$10)</f>
        <v>-7336.043983689222</v>
      </c>
      <c r="H11" s="370">
        <f>J10*$G$5</f>
        <v>-4937.881097828861</v>
      </c>
      <c r="I11" s="369">
        <f>G11-H11</f>
        <v>-2398.162885860361</v>
      </c>
      <c r="J11" s="371">
        <f>J10-I11</f>
        <v>-39342.16761142503</v>
      </c>
    </row>
    <row r="12" spans="2:10" ht="15">
      <c r="B12" s="268" t="s">
        <v>337</v>
      </c>
      <c r="C12" s="377">
        <f>SUM(C10:C11)</f>
        <v>104350.82624321347</v>
      </c>
      <c r="D12" s="362">
        <f>SUM(D13:D14)</f>
        <v>1</v>
      </c>
      <c r="F12" s="368">
        <v>2</v>
      </c>
      <c r="G12" s="369">
        <f aca="true" t="shared" si="0" ref="G12:G20">PMT($G$5,$F$20,-$J$10)</f>
        <v>-7336.043983689222</v>
      </c>
      <c r="H12" s="370">
        <f aca="true" t="shared" si="1" ref="H12:H20">J11*$G$5</f>
        <v>-4654.178428431581</v>
      </c>
      <c r="I12" s="369">
        <f aca="true" t="shared" si="2" ref="I12:I20">G12-H12</f>
        <v>-2681.865555257641</v>
      </c>
      <c r="J12" s="371">
        <f aca="true" t="shared" si="3" ref="J12:J19">J11-I12</f>
        <v>-36660.30205616739</v>
      </c>
    </row>
    <row r="13" spans="2:10" ht="15">
      <c r="B13" s="267" t="s">
        <v>338</v>
      </c>
      <c r="C13" s="136">
        <f>C12*D13</f>
        <v>62610.49574592808</v>
      </c>
      <c r="D13" s="363">
        <f>Datos!C82</f>
        <v>0.6</v>
      </c>
      <c r="F13" s="368">
        <v>3</v>
      </c>
      <c r="G13" s="369">
        <f t="shared" si="0"/>
        <v>-7336.043983689222</v>
      </c>
      <c r="H13" s="370">
        <f t="shared" si="1"/>
        <v>-4336.913733244603</v>
      </c>
      <c r="I13" s="369">
        <f t="shared" si="2"/>
        <v>-2999.1302504446194</v>
      </c>
      <c r="J13" s="371">
        <f t="shared" si="3"/>
        <v>-33661.17180572277</v>
      </c>
    </row>
    <row r="14" spans="2:10" ht="15.75" thickBot="1">
      <c r="B14" s="269" t="s">
        <v>327</v>
      </c>
      <c r="C14" s="378">
        <f>C12*D14</f>
        <v>41740.33049728539</v>
      </c>
      <c r="D14" s="364">
        <f>Datos!C81</f>
        <v>0.4</v>
      </c>
      <c r="F14" s="368">
        <v>4</v>
      </c>
      <c r="G14" s="369">
        <f t="shared" si="0"/>
        <v>-7336.043983689222</v>
      </c>
      <c r="H14" s="370">
        <f t="shared" si="1"/>
        <v>-3982.1166246170037</v>
      </c>
      <c r="I14" s="369">
        <f t="shared" si="2"/>
        <v>-3353.927359072218</v>
      </c>
      <c r="J14" s="371">
        <f t="shared" si="3"/>
        <v>-30307.24444665055</v>
      </c>
    </row>
    <row r="15" spans="6:10" ht="15">
      <c r="F15" s="368">
        <v>5</v>
      </c>
      <c r="G15" s="369">
        <f t="shared" si="0"/>
        <v>-7336.043983689222</v>
      </c>
      <c r="H15" s="370">
        <f t="shared" si="1"/>
        <v>-3585.3470180387603</v>
      </c>
      <c r="I15" s="369">
        <f t="shared" si="2"/>
        <v>-3750.6969656504616</v>
      </c>
      <c r="J15" s="371">
        <f t="shared" si="3"/>
        <v>-26556.54748100009</v>
      </c>
    </row>
    <row r="16" spans="6:10" ht="15">
      <c r="F16" s="368">
        <v>6</v>
      </c>
      <c r="G16" s="369">
        <f t="shared" si="0"/>
        <v>-7336.043983689222</v>
      </c>
      <c r="H16" s="370">
        <f t="shared" si="1"/>
        <v>-3141.6395670023107</v>
      </c>
      <c r="I16" s="369">
        <f t="shared" si="2"/>
        <v>-4194.404416686912</v>
      </c>
      <c r="J16" s="371">
        <f t="shared" si="3"/>
        <v>-22362.143064313175</v>
      </c>
    </row>
    <row r="17" spans="6:10" ht="15">
      <c r="F17" s="368">
        <v>7</v>
      </c>
      <c r="G17" s="369">
        <f t="shared" si="0"/>
        <v>-7336.043983689222</v>
      </c>
      <c r="H17" s="370">
        <f t="shared" si="1"/>
        <v>-2645.4415245082487</v>
      </c>
      <c r="I17" s="369">
        <f t="shared" si="2"/>
        <v>-4690.602459180973</v>
      </c>
      <c r="J17" s="371">
        <f t="shared" si="3"/>
        <v>-17671.540605132202</v>
      </c>
    </row>
    <row r="18" spans="6:10" ht="15">
      <c r="F18" s="368">
        <v>8</v>
      </c>
      <c r="G18" s="369">
        <f t="shared" si="0"/>
        <v>-7336.043983689222</v>
      </c>
      <c r="H18" s="370">
        <f t="shared" si="1"/>
        <v>-2090.5432535871396</v>
      </c>
      <c r="I18" s="369">
        <f t="shared" si="2"/>
        <v>-5245.500730102082</v>
      </c>
      <c r="J18" s="371">
        <f t="shared" si="3"/>
        <v>-12426.039875030121</v>
      </c>
    </row>
    <row r="19" spans="6:10" ht="15">
      <c r="F19" s="368">
        <v>9</v>
      </c>
      <c r="G19" s="369">
        <f t="shared" si="0"/>
        <v>-7336.043983689222</v>
      </c>
      <c r="H19" s="370">
        <f t="shared" si="1"/>
        <v>-1470.0005172160634</v>
      </c>
      <c r="I19" s="369">
        <f t="shared" si="2"/>
        <v>-5866.043466473158</v>
      </c>
      <c r="J19" s="371">
        <f t="shared" si="3"/>
        <v>-6559.996408556963</v>
      </c>
    </row>
    <row r="20" spans="6:10" ht="15.75" thickBot="1">
      <c r="F20" s="372">
        <v>10</v>
      </c>
      <c r="G20" s="373">
        <f t="shared" si="0"/>
        <v>-7336.043983689222</v>
      </c>
      <c r="H20" s="374">
        <f t="shared" si="1"/>
        <v>-776.0475751322887</v>
      </c>
      <c r="I20" s="373">
        <f t="shared" si="2"/>
        <v>-6559.996408556934</v>
      </c>
      <c r="J20" s="375">
        <f>J19-I20</f>
        <v>-2.9103830456733704E-11</v>
      </c>
    </row>
    <row r="21" ht="15">
      <c r="H21" s="482"/>
    </row>
  </sheetData>
  <sheetProtection/>
  <mergeCells count="1">
    <mergeCell ref="F6:G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G61"/>
  <sheetViews>
    <sheetView zoomScalePageLayoutView="0" workbookViewId="0" topLeftCell="A31">
      <selection activeCell="H36" sqref="H36"/>
    </sheetView>
  </sheetViews>
  <sheetFormatPr defaultColWidth="11.421875" defaultRowHeight="15"/>
  <cols>
    <col min="2" max="2" width="23.421875" style="0" customWidth="1"/>
    <col min="3" max="3" width="19.00390625" style="0" customWidth="1"/>
    <col min="5" max="5" width="17.140625" style="0" customWidth="1"/>
  </cols>
  <sheetData>
    <row r="3" ht="15.75" thickBot="1"/>
    <row r="4" spans="3:4" ht="21" thickBot="1">
      <c r="C4" s="150" t="s">
        <v>295</v>
      </c>
      <c r="D4" s="350">
        <v>0.65</v>
      </c>
    </row>
    <row r="6" ht="15.75" thickBot="1"/>
    <row r="7" spans="2:7" ht="25.5" thickBot="1" thickTop="1">
      <c r="B7" s="351"/>
      <c r="C7" s="351"/>
      <c r="E7" s="586" t="s">
        <v>286</v>
      </c>
      <c r="F7" s="588" t="s">
        <v>287</v>
      </c>
      <c r="G7" s="589"/>
    </row>
    <row r="8" spans="2:7" ht="21.75" thickBot="1">
      <c r="B8" s="590" t="s">
        <v>285</v>
      </c>
      <c r="C8" s="591"/>
      <c r="E8" s="587"/>
      <c r="F8" s="592" t="s">
        <v>288</v>
      </c>
      <c r="G8" s="593"/>
    </row>
    <row r="9" spans="2:3" ht="15">
      <c r="B9" s="142" t="s">
        <v>289</v>
      </c>
      <c r="C9" s="143">
        <v>0.5</v>
      </c>
    </row>
    <row r="10" spans="2:3" ht="15">
      <c r="B10" s="142" t="s">
        <v>290</v>
      </c>
      <c r="C10" s="143">
        <f>1-C9</f>
        <v>0.5</v>
      </c>
    </row>
    <row r="11" spans="2:3" ht="15">
      <c r="B11" s="142" t="s">
        <v>51</v>
      </c>
      <c r="C11" s="144">
        <f>Datos!C77</f>
        <v>0.4</v>
      </c>
    </row>
    <row r="12" spans="2:3" ht="15.75" thickBot="1">
      <c r="B12" s="142" t="s">
        <v>52</v>
      </c>
      <c r="C12" s="145">
        <f>0.25*C9+C10*0.15</f>
        <v>0.2</v>
      </c>
    </row>
    <row r="13" spans="2:3" ht="21" thickBot="1">
      <c r="B13" s="150" t="s">
        <v>296</v>
      </c>
      <c r="C13" s="151">
        <f>((1-C11)*D4)/((1-(C12*C11)))</f>
        <v>0.4239130434782609</v>
      </c>
    </row>
    <row r="35" spans="2:5" ht="24">
      <c r="B35" s="152" t="s">
        <v>298</v>
      </c>
      <c r="C35" s="352">
        <v>0.02786</v>
      </c>
      <c r="D35" s="153"/>
      <c r="E35" s="154"/>
    </row>
    <row r="36" spans="2:5" ht="24">
      <c r="B36" s="152" t="s">
        <v>299</v>
      </c>
      <c r="C36" s="155">
        <f>C13</f>
        <v>0.4239130434782609</v>
      </c>
      <c r="D36" s="153"/>
      <c r="E36" s="154"/>
    </row>
    <row r="37" spans="2:5" ht="24">
      <c r="B37" s="152" t="s">
        <v>300</v>
      </c>
      <c r="C37" s="156">
        <f>'Tasa de Mercado'!I79</f>
        <v>0.043882092757144164</v>
      </c>
      <c r="D37" s="153"/>
      <c r="E37" s="154"/>
    </row>
    <row r="38" spans="2:5" ht="24">
      <c r="B38" s="152" t="s">
        <v>301</v>
      </c>
      <c r="C38" s="157">
        <v>0.3864</v>
      </c>
      <c r="D38" s="153"/>
      <c r="E38" s="154"/>
    </row>
    <row r="39" spans="2:5" ht="24">
      <c r="B39" s="152" t="s">
        <v>297</v>
      </c>
      <c r="C39" s="594" t="s">
        <v>605</v>
      </c>
      <c r="D39" s="595"/>
      <c r="E39" s="596"/>
    </row>
    <row r="40" spans="2:5" ht="24">
      <c r="B40" s="152" t="s">
        <v>297</v>
      </c>
      <c r="C40" s="158">
        <f>C35+C36*(C37-C35)+C38</f>
        <v>0.421051974103572</v>
      </c>
      <c r="D40" s="153"/>
      <c r="E40" s="154"/>
    </row>
    <row r="56" spans="2:5" ht="24">
      <c r="B56" s="152" t="s">
        <v>303</v>
      </c>
      <c r="C56" s="149">
        <v>0.1183</v>
      </c>
      <c r="D56" s="147"/>
      <c r="E56" s="147"/>
    </row>
    <row r="57" spans="2:5" ht="21">
      <c r="B57" s="152" t="s">
        <v>291</v>
      </c>
      <c r="C57" s="148">
        <f>C12</f>
        <v>0.2</v>
      </c>
      <c r="D57" s="147"/>
      <c r="E57" s="147"/>
    </row>
    <row r="58" spans="2:5" ht="21">
      <c r="B58" s="152" t="s">
        <v>292</v>
      </c>
      <c r="C58" s="148">
        <f>C11</f>
        <v>0.4</v>
      </c>
      <c r="D58" s="147"/>
      <c r="E58" s="147"/>
    </row>
    <row r="59" spans="2:5" ht="24">
      <c r="B59" s="152" t="s">
        <v>297</v>
      </c>
      <c r="C59" s="282">
        <f>C40</f>
        <v>0.421051974103572</v>
      </c>
      <c r="D59" s="159"/>
      <c r="E59" s="159"/>
    </row>
    <row r="60" spans="2:5" ht="24">
      <c r="B60" s="152" t="s">
        <v>302</v>
      </c>
      <c r="C60" s="583" t="s">
        <v>606</v>
      </c>
      <c r="D60" s="584"/>
      <c r="E60" s="585"/>
    </row>
    <row r="61" spans="2:5" ht="24">
      <c r="B61" s="152" t="s">
        <v>302</v>
      </c>
      <c r="C61" s="160">
        <f>C56*(1-C57)*C58+(1-C58)*C59</f>
        <v>0.29048718446214317</v>
      </c>
      <c r="D61" s="159"/>
      <c r="E61" s="159"/>
    </row>
  </sheetData>
  <sheetProtection/>
  <mergeCells count="6">
    <mergeCell ref="C60:E60"/>
    <mergeCell ref="E7:E8"/>
    <mergeCell ref="F7:G7"/>
    <mergeCell ref="B8:C8"/>
    <mergeCell ref="F8:G8"/>
    <mergeCell ref="C39:E3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79"/>
  <sheetViews>
    <sheetView zoomScalePageLayoutView="0" workbookViewId="0" topLeftCell="A1">
      <selection activeCell="E92" sqref="E92"/>
    </sheetView>
  </sheetViews>
  <sheetFormatPr defaultColWidth="11.421875" defaultRowHeight="15"/>
  <cols>
    <col min="9" max="9" width="13.8515625" style="0" customWidth="1"/>
  </cols>
  <sheetData>
    <row r="2" ht="15.75" thickBot="1"/>
    <row r="3" spans="2:9" ht="15">
      <c r="B3" s="597" t="s">
        <v>586</v>
      </c>
      <c r="C3" s="598"/>
      <c r="D3" s="598"/>
      <c r="E3" s="598"/>
      <c r="F3" s="598"/>
      <c r="G3" s="598"/>
      <c r="H3" s="598"/>
      <c r="I3" s="599"/>
    </row>
    <row r="4" spans="2:9" ht="15">
      <c r="B4" s="600"/>
      <c r="C4" s="601"/>
      <c r="D4" s="601"/>
      <c r="E4" s="601"/>
      <c r="F4" s="601"/>
      <c r="G4" s="601"/>
      <c r="H4" s="601"/>
      <c r="I4" s="602"/>
    </row>
    <row r="5" spans="2:9" ht="16.5" thickBot="1">
      <c r="B5" s="603" t="s">
        <v>573</v>
      </c>
      <c r="C5" s="604"/>
      <c r="D5" s="604"/>
      <c r="E5" s="604"/>
      <c r="F5" s="604"/>
      <c r="G5" s="604"/>
      <c r="H5" s="604"/>
      <c r="I5" s="605"/>
    </row>
    <row r="8" spans="2:4" ht="16.5" thickBot="1">
      <c r="B8" s="606" t="s">
        <v>587</v>
      </c>
      <c r="C8" s="606"/>
      <c r="D8" s="606"/>
    </row>
    <row r="9" spans="2:9" ht="15.75" thickBot="1">
      <c r="B9" s="357" t="s">
        <v>566</v>
      </c>
      <c r="C9" s="358" t="s">
        <v>567</v>
      </c>
      <c r="D9" s="358" t="s">
        <v>568</v>
      </c>
      <c r="E9" s="358" t="s">
        <v>569</v>
      </c>
      <c r="F9" s="358" t="s">
        <v>570</v>
      </c>
      <c r="G9" s="358" t="s">
        <v>571</v>
      </c>
      <c r="H9" s="358" t="s">
        <v>572</v>
      </c>
      <c r="I9" s="359" t="s">
        <v>339</v>
      </c>
    </row>
    <row r="10" spans="2:9" ht="15">
      <c r="B10" s="278">
        <v>39904</v>
      </c>
      <c r="C10" s="279" t="s">
        <v>340</v>
      </c>
      <c r="D10" s="279" t="s">
        <v>341</v>
      </c>
      <c r="E10" s="279" t="s">
        <v>342</v>
      </c>
      <c r="F10" s="279" t="s">
        <v>343</v>
      </c>
      <c r="G10" s="279">
        <v>101600</v>
      </c>
      <c r="H10" s="279">
        <v>22.01</v>
      </c>
      <c r="I10" s="280">
        <f>LN(H10/H11)</f>
        <v>0.017878083327308093</v>
      </c>
    </row>
    <row r="11" spans="2:9" ht="15">
      <c r="B11" s="274">
        <v>39874</v>
      </c>
      <c r="C11" s="264" t="s">
        <v>344</v>
      </c>
      <c r="D11" s="264" t="s">
        <v>345</v>
      </c>
      <c r="E11" s="264" t="s">
        <v>346</v>
      </c>
      <c r="F11" s="264" t="s">
        <v>347</v>
      </c>
      <c r="G11" s="264">
        <v>167300</v>
      </c>
      <c r="H11" s="264">
        <v>21.62</v>
      </c>
      <c r="I11" s="275">
        <f aca="true" t="shared" si="0" ref="I11:I72">LN(H11/H12)</f>
        <v>0.0032429956613053666</v>
      </c>
    </row>
    <row r="12" spans="2:9" ht="15">
      <c r="B12" s="274">
        <v>39846</v>
      </c>
      <c r="C12" s="264" t="s">
        <v>348</v>
      </c>
      <c r="D12" s="264" t="s">
        <v>349</v>
      </c>
      <c r="E12" s="264" t="s">
        <v>350</v>
      </c>
      <c r="F12" s="264" t="s">
        <v>351</v>
      </c>
      <c r="G12" s="264">
        <v>154300</v>
      </c>
      <c r="H12" s="264">
        <v>21.55</v>
      </c>
      <c r="I12" s="275">
        <f t="shared" si="0"/>
        <v>0.058770193839475654</v>
      </c>
    </row>
    <row r="13" spans="2:9" ht="15">
      <c r="B13" s="274">
        <v>39815</v>
      </c>
      <c r="C13" s="264" t="s">
        <v>352</v>
      </c>
      <c r="D13" s="264" t="s">
        <v>353</v>
      </c>
      <c r="E13" s="264" t="s">
        <v>354</v>
      </c>
      <c r="F13" s="264" t="s">
        <v>355</v>
      </c>
      <c r="G13" s="264">
        <v>74800</v>
      </c>
      <c r="H13" s="264">
        <v>20.32</v>
      </c>
      <c r="I13" s="275">
        <f t="shared" si="0"/>
        <v>-0.13469950932308414</v>
      </c>
    </row>
    <row r="14" spans="2:9" ht="15">
      <c r="B14" s="274">
        <v>39783</v>
      </c>
      <c r="C14" s="264" t="s">
        <v>356</v>
      </c>
      <c r="D14" s="264" t="s">
        <v>357</v>
      </c>
      <c r="E14" s="264" t="s">
        <v>358</v>
      </c>
      <c r="F14" s="264" t="s">
        <v>359</v>
      </c>
      <c r="G14" s="264">
        <v>117600</v>
      </c>
      <c r="H14" s="264">
        <v>23.25</v>
      </c>
      <c r="I14" s="275">
        <f t="shared" si="0"/>
        <v>0.02968354120392094</v>
      </c>
    </row>
    <row r="15" spans="2:9" ht="15">
      <c r="B15" s="274">
        <v>39755</v>
      </c>
      <c r="C15" s="264" t="s">
        <v>360</v>
      </c>
      <c r="D15" s="264" t="s">
        <v>361</v>
      </c>
      <c r="E15" s="264" t="s">
        <v>362</v>
      </c>
      <c r="F15" s="264" t="s">
        <v>363</v>
      </c>
      <c r="G15" s="264">
        <v>155900</v>
      </c>
      <c r="H15" s="264">
        <v>22.57</v>
      </c>
      <c r="I15" s="275">
        <f t="shared" si="0"/>
        <v>0.004885641519147235</v>
      </c>
    </row>
    <row r="16" spans="2:9" ht="15">
      <c r="B16" s="274">
        <v>39722</v>
      </c>
      <c r="C16" s="264" t="s">
        <v>364</v>
      </c>
      <c r="D16" s="264" t="s">
        <v>365</v>
      </c>
      <c r="E16" s="264" t="s">
        <v>366</v>
      </c>
      <c r="F16" s="264" t="s">
        <v>367</v>
      </c>
      <c r="G16" s="264">
        <v>214300</v>
      </c>
      <c r="H16" s="264">
        <v>22.46</v>
      </c>
      <c r="I16" s="275">
        <f t="shared" si="0"/>
        <v>-0.2176073285838746</v>
      </c>
    </row>
    <row r="17" spans="2:9" ht="15">
      <c r="B17" s="274">
        <v>39693</v>
      </c>
      <c r="C17" s="264" t="s">
        <v>368</v>
      </c>
      <c r="D17" s="264" t="s">
        <v>369</v>
      </c>
      <c r="E17" s="264" t="s">
        <v>357</v>
      </c>
      <c r="F17" s="264" t="s">
        <v>370</v>
      </c>
      <c r="G17" s="264">
        <v>205800</v>
      </c>
      <c r="H17" s="264">
        <v>27.92</v>
      </c>
      <c r="I17" s="275">
        <f t="shared" si="0"/>
        <v>0.06205831381828359</v>
      </c>
    </row>
    <row r="18" spans="2:9" ht="15">
      <c r="B18" s="274">
        <v>39661</v>
      </c>
      <c r="C18" s="264" t="s">
        <v>371</v>
      </c>
      <c r="D18" s="264" t="s">
        <v>372</v>
      </c>
      <c r="E18" s="264" t="s">
        <v>373</v>
      </c>
      <c r="F18" s="264" t="s">
        <v>374</v>
      </c>
      <c r="G18" s="264">
        <v>146200</v>
      </c>
      <c r="H18" s="264">
        <v>26.24</v>
      </c>
      <c r="I18" s="275">
        <f t="shared" si="0"/>
        <v>0.29738345055641896</v>
      </c>
    </row>
    <row r="19" spans="2:9" ht="15">
      <c r="B19" s="274">
        <v>39630</v>
      </c>
      <c r="C19" s="264" t="s">
        <v>375</v>
      </c>
      <c r="D19" s="264" t="s">
        <v>376</v>
      </c>
      <c r="E19" s="264" t="s">
        <v>377</v>
      </c>
      <c r="F19" s="264" t="s">
        <v>378</v>
      </c>
      <c r="G19" s="264">
        <v>120400</v>
      </c>
      <c r="H19" s="264">
        <v>19.49</v>
      </c>
      <c r="I19" s="275">
        <f t="shared" si="0"/>
        <v>-0.016790015382372604</v>
      </c>
    </row>
    <row r="20" spans="2:9" ht="15">
      <c r="B20" s="274">
        <v>39601</v>
      </c>
      <c r="C20" s="264" t="s">
        <v>379</v>
      </c>
      <c r="D20" s="264" t="s">
        <v>380</v>
      </c>
      <c r="E20" s="264" t="s">
        <v>375</v>
      </c>
      <c r="F20" s="264" t="s">
        <v>375</v>
      </c>
      <c r="G20" s="264">
        <v>127800</v>
      </c>
      <c r="H20" s="264">
        <v>19.82</v>
      </c>
      <c r="I20" s="275">
        <f t="shared" si="0"/>
        <v>-0.16433362905818427</v>
      </c>
    </row>
    <row r="21" spans="2:9" ht="15">
      <c r="B21" s="274">
        <v>39569</v>
      </c>
      <c r="C21" s="264" t="s">
        <v>381</v>
      </c>
      <c r="D21" s="264" t="s">
        <v>382</v>
      </c>
      <c r="E21" s="264" t="s">
        <v>383</v>
      </c>
      <c r="F21" s="264" t="s">
        <v>384</v>
      </c>
      <c r="G21" s="264">
        <v>133300</v>
      </c>
      <c r="H21" s="264">
        <v>23.36</v>
      </c>
      <c r="I21" s="275">
        <f t="shared" si="0"/>
        <v>0.005580611177708491</v>
      </c>
    </row>
    <row r="22" spans="2:9" ht="15">
      <c r="B22" s="274">
        <v>39539</v>
      </c>
      <c r="C22" s="264" t="s">
        <v>385</v>
      </c>
      <c r="D22" s="264" t="s">
        <v>386</v>
      </c>
      <c r="E22" s="264" t="s">
        <v>387</v>
      </c>
      <c r="F22" s="264" t="s">
        <v>388</v>
      </c>
      <c r="G22" s="264">
        <v>121300</v>
      </c>
      <c r="H22" s="264">
        <v>23.23</v>
      </c>
      <c r="I22" s="275">
        <f t="shared" si="0"/>
        <v>-0.011981315769660396</v>
      </c>
    </row>
    <row r="23" spans="2:9" ht="15">
      <c r="B23" s="274">
        <v>39510</v>
      </c>
      <c r="C23" s="264" t="s">
        <v>389</v>
      </c>
      <c r="D23" s="264" t="s">
        <v>390</v>
      </c>
      <c r="E23" s="264" t="s">
        <v>391</v>
      </c>
      <c r="F23" s="264" t="s">
        <v>392</v>
      </c>
      <c r="G23" s="264">
        <v>213100</v>
      </c>
      <c r="H23" s="264">
        <v>23.51</v>
      </c>
      <c r="I23" s="275">
        <f t="shared" si="0"/>
        <v>0.004262581049158768</v>
      </c>
    </row>
    <row r="24" spans="2:9" ht="15">
      <c r="B24" s="274">
        <v>39479</v>
      </c>
      <c r="C24" s="264" t="s">
        <v>393</v>
      </c>
      <c r="D24" s="264" t="s">
        <v>394</v>
      </c>
      <c r="E24" s="264" t="s">
        <v>387</v>
      </c>
      <c r="F24" s="264" t="s">
        <v>395</v>
      </c>
      <c r="G24" s="264">
        <v>119100</v>
      </c>
      <c r="H24" s="264">
        <v>23.41</v>
      </c>
      <c r="I24" s="275">
        <f t="shared" si="0"/>
        <v>0.0648518266557352</v>
      </c>
    </row>
    <row r="25" spans="2:9" ht="15">
      <c r="B25" s="274">
        <v>39449</v>
      </c>
      <c r="C25" s="264" t="s">
        <v>396</v>
      </c>
      <c r="D25" s="264" t="s">
        <v>397</v>
      </c>
      <c r="E25" s="264" t="s">
        <v>398</v>
      </c>
      <c r="F25" s="264" t="s">
        <v>399</v>
      </c>
      <c r="G25" s="264">
        <v>208800</v>
      </c>
      <c r="H25" s="264">
        <v>21.94</v>
      </c>
      <c r="I25" s="275">
        <f t="shared" si="0"/>
        <v>-0.28139525972370033</v>
      </c>
    </row>
    <row r="26" spans="2:9" ht="15">
      <c r="B26" s="274">
        <v>39419</v>
      </c>
      <c r="C26" s="264" t="s">
        <v>400</v>
      </c>
      <c r="D26" s="264" t="s">
        <v>401</v>
      </c>
      <c r="E26" s="264" t="s">
        <v>402</v>
      </c>
      <c r="F26" s="264" t="s">
        <v>403</v>
      </c>
      <c r="G26" s="264">
        <v>92400</v>
      </c>
      <c r="H26" s="264">
        <v>29.07</v>
      </c>
      <c r="I26" s="275">
        <f t="shared" si="0"/>
        <v>0.08429436590233953</v>
      </c>
    </row>
    <row r="27" spans="2:9" ht="15">
      <c r="B27" s="274">
        <v>39387</v>
      </c>
      <c r="C27" s="264" t="s">
        <v>404</v>
      </c>
      <c r="D27" s="264" t="s">
        <v>405</v>
      </c>
      <c r="E27" s="264" t="s">
        <v>406</v>
      </c>
      <c r="F27" s="264" t="s">
        <v>407</v>
      </c>
      <c r="G27" s="264">
        <v>123800</v>
      </c>
      <c r="H27" s="264">
        <v>26.72</v>
      </c>
      <c r="I27" s="275">
        <f t="shared" si="0"/>
        <v>-0.020374848189052226</v>
      </c>
    </row>
    <row r="28" spans="2:9" ht="15">
      <c r="B28" s="274">
        <v>39356</v>
      </c>
      <c r="C28" s="264" t="s">
        <v>408</v>
      </c>
      <c r="D28" s="264" t="s">
        <v>409</v>
      </c>
      <c r="E28" s="264" t="s">
        <v>404</v>
      </c>
      <c r="F28" s="264" t="s">
        <v>410</v>
      </c>
      <c r="G28" s="264">
        <v>79800</v>
      </c>
      <c r="H28" s="264">
        <v>27.27</v>
      </c>
      <c r="I28" s="275">
        <f t="shared" si="0"/>
        <v>-0.023197850690733678</v>
      </c>
    </row>
    <row r="29" spans="2:9" ht="15">
      <c r="B29" s="274">
        <v>39329</v>
      </c>
      <c r="C29" s="264" t="s">
        <v>411</v>
      </c>
      <c r="D29" s="264" t="s">
        <v>412</v>
      </c>
      <c r="E29" s="264" t="s">
        <v>413</v>
      </c>
      <c r="F29" s="264" t="s">
        <v>414</v>
      </c>
      <c r="G29" s="264">
        <v>119800</v>
      </c>
      <c r="H29" s="264">
        <v>27.91</v>
      </c>
      <c r="I29" s="275">
        <f t="shared" si="0"/>
        <v>0.09976293062588563</v>
      </c>
    </row>
    <row r="30" spans="2:9" ht="15">
      <c r="B30" s="274">
        <v>39295</v>
      </c>
      <c r="C30" s="264" t="s">
        <v>415</v>
      </c>
      <c r="D30" s="264" t="s">
        <v>416</v>
      </c>
      <c r="E30" s="264" t="s">
        <v>417</v>
      </c>
      <c r="F30" s="264" t="s">
        <v>418</v>
      </c>
      <c r="G30" s="264">
        <v>203000</v>
      </c>
      <c r="H30" s="264">
        <v>25.26</v>
      </c>
      <c r="I30" s="275">
        <f t="shared" si="0"/>
        <v>0.05158504007074194</v>
      </c>
    </row>
    <row r="31" spans="2:9" ht="15">
      <c r="B31" s="274">
        <v>39265</v>
      </c>
      <c r="C31" s="264" t="s">
        <v>413</v>
      </c>
      <c r="D31" s="264" t="s">
        <v>419</v>
      </c>
      <c r="E31" s="264" t="s">
        <v>420</v>
      </c>
      <c r="F31" s="264" t="s">
        <v>421</v>
      </c>
      <c r="G31" s="264">
        <v>98100</v>
      </c>
      <c r="H31" s="264">
        <v>23.99</v>
      </c>
      <c r="I31" s="275">
        <f t="shared" si="0"/>
        <v>-0.026328135280843358</v>
      </c>
    </row>
    <row r="32" spans="2:9" ht="15">
      <c r="B32" s="274">
        <v>39234</v>
      </c>
      <c r="C32" s="264" t="s">
        <v>422</v>
      </c>
      <c r="D32" s="264" t="s">
        <v>423</v>
      </c>
      <c r="E32" s="264" t="s">
        <v>424</v>
      </c>
      <c r="F32" s="264" t="s">
        <v>425</v>
      </c>
      <c r="G32" s="264">
        <v>101000</v>
      </c>
      <c r="H32" s="264">
        <v>24.63</v>
      </c>
      <c r="I32" s="275">
        <f t="shared" si="0"/>
        <v>-0.05682001581296387</v>
      </c>
    </row>
    <row r="33" spans="2:9" ht="15">
      <c r="B33" s="274">
        <v>39203</v>
      </c>
      <c r="C33" s="264" t="s">
        <v>426</v>
      </c>
      <c r="D33" s="264" t="s">
        <v>427</v>
      </c>
      <c r="E33" s="264" t="s">
        <v>428</v>
      </c>
      <c r="F33" s="264" t="s">
        <v>429</v>
      </c>
      <c r="G33" s="264">
        <v>114100</v>
      </c>
      <c r="H33" s="264">
        <v>26.07</v>
      </c>
      <c r="I33" s="275">
        <f t="shared" si="0"/>
        <v>0.004999049057112426</v>
      </c>
    </row>
    <row r="34" spans="2:9" ht="15">
      <c r="B34" s="274">
        <v>39174</v>
      </c>
      <c r="C34" s="264" t="s">
        <v>430</v>
      </c>
      <c r="D34" s="264" t="s">
        <v>431</v>
      </c>
      <c r="E34" s="264" t="s">
        <v>432</v>
      </c>
      <c r="F34" s="264" t="s">
        <v>433</v>
      </c>
      <c r="G34" s="264">
        <v>122600</v>
      </c>
      <c r="H34" s="264">
        <v>25.94</v>
      </c>
      <c r="I34" s="275">
        <f t="shared" si="0"/>
        <v>-0.06275396909284818</v>
      </c>
    </row>
    <row r="35" spans="2:9" ht="15">
      <c r="B35" s="274">
        <v>39142</v>
      </c>
      <c r="C35" s="264" t="s">
        <v>434</v>
      </c>
      <c r="D35" s="264" t="s">
        <v>435</v>
      </c>
      <c r="E35" s="264" t="s">
        <v>436</v>
      </c>
      <c r="F35" s="264" t="s">
        <v>437</v>
      </c>
      <c r="G35" s="264">
        <v>137600</v>
      </c>
      <c r="H35" s="264">
        <v>27.62</v>
      </c>
      <c r="I35" s="275">
        <f t="shared" si="0"/>
        <v>0.08576141794395395</v>
      </c>
    </row>
    <row r="36" spans="2:9" ht="15">
      <c r="B36" s="274">
        <v>39114</v>
      </c>
      <c r="C36" s="264" t="s">
        <v>438</v>
      </c>
      <c r="D36" s="264" t="s">
        <v>439</v>
      </c>
      <c r="E36" s="264" t="s">
        <v>440</v>
      </c>
      <c r="F36" s="264" t="s">
        <v>441</v>
      </c>
      <c r="G36" s="264">
        <v>90000</v>
      </c>
      <c r="H36" s="264">
        <v>25.35</v>
      </c>
      <c r="I36" s="275">
        <f t="shared" si="0"/>
        <v>-0.019531870917245956</v>
      </c>
    </row>
    <row r="37" spans="2:9" ht="15">
      <c r="B37" s="274">
        <v>39085</v>
      </c>
      <c r="C37" s="264" t="s">
        <v>442</v>
      </c>
      <c r="D37" s="264" t="s">
        <v>443</v>
      </c>
      <c r="E37" s="264" t="s">
        <v>382</v>
      </c>
      <c r="F37" s="264" t="s">
        <v>444</v>
      </c>
      <c r="G37" s="264">
        <v>104500</v>
      </c>
      <c r="H37" s="264">
        <v>25.85</v>
      </c>
      <c r="I37" s="275">
        <f t="shared" si="0"/>
        <v>-0.01497436312145007</v>
      </c>
    </row>
    <row r="38" spans="2:9" ht="15">
      <c r="B38" s="274">
        <v>39052</v>
      </c>
      <c r="C38" s="264" t="s">
        <v>445</v>
      </c>
      <c r="D38" s="264" t="s">
        <v>446</v>
      </c>
      <c r="E38" s="264" t="s">
        <v>447</v>
      </c>
      <c r="F38" s="264" t="s">
        <v>374</v>
      </c>
      <c r="G38" s="264">
        <v>109700</v>
      </c>
      <c r="H38" s="264">
        <v>26.24</v>
      </c>
      <c r="I38" s="275">
        <f t="shared" si="0"/>
        <v>0.030569221079356564</v>
      </c>
    </row>
    <row r="39" spans="2:9" ht="15">
      <c r="B39" s="274">
        <v>39022</v>
      </c>
      <c r="C39" s="264" t="s">
        <v>448</v>
      </c>
      <c r="D39" s="264" t="s">
        <v>449</v>
      </c>
      <c r="E39" s="264" t="s">
        <v>450</v>
      </c>
      <c r="F39" s="264" t="s">
        <v>451</v>
      </c>
      <c r="G39" s="264">
        <v>99200</v>
      </c>
      <c r="H39" s="264">
        <v>25.45</v>
      </c>
      <c r="I39" s="275">
        <f t="shared" si="0"/>
        <v>-0.049818730345483835</v>
      </c>
    </row>
    <row r="40" spans="2:9" ht="15">
      <c r="B40" s="274">
        <v>38992</v>
      </c>
      <c r="C40" s="264" t="s">
        <v>452</v>
      </c>
      <c r="D40" s="264" t="s">
        <v>453</v>
      </c>
      <c r="E40" s="264" t="s">
        <v>454</v>
      </c>
      <c r="F40" s="264" t="s">
        <v>455</v>
      </c>
      <c r="G40" s="264">
        <v>82000</v>
      </c>
      <c r="H40" s="264">
        <v>26.75</v>
      </c>
      <c r="I40" s="275">
        <f t="shared" si="0"/>
        <v>0.06725872845248784</v>
      </c>
    </row>
    <row r="41" spans="2:9" ht="15">
      <c r="B41" s="274">
        <v>38961</v>
      </c>
      <c r="C41" s="264" t="s">
        <v>456</v>
      </c>
      <c r="D41" s="264" t="s">
        <v>457</v>
      </c>
      <c r="E41" s="264" t="s">
        <v>458</v>
      </c>
      <c r="F41" s="264" t="s">
        <v>459</v>
      </c>
      <c r="G41" s="264">
        <v>112200</v>
      </c>
      <c r="H41" s="264">
        <v>25.01</v>
      </c>
      <c r="I41" s="275">
        <f t="shared" si="0"/>
        <v>-0.007964996310300758</v>
      </c>
    </row>
    <row r="42" spans="2:9" ht="15">
      <c r="B42" s="274">
        <v>38930</v>
      </c>
      <c r="C42" s="264" t="s">
        <v>460</v>
      </c>
      <c r="D42" s="264" t="s">
        <v>461</v>
      </c>
      <c r="E42" s="264" t="s">
        <v>462</v>
      </c>
      <c r="F42" s="264" t="s">
        <v>463</v>
      </c>
      <c r="G42" s="264">
        <v>194700</v>
      </c>
      <c r="H42" s="264">
        <v>25.21</v>
      </c>
      <c r="I42" s="275">
        <f t="shared" si="0"/>
        <v>-0.11809150762093149</v>
      </c>
    </row>
    <row r="43" spans="2:9" ht="15">
      <c r="B43" s="274">
        <v>38901</v>
      </c>
      <c r="C43" s="264" t="s">
        <v>464</v>
      </c>
      <c r="D43" s="264" t="s">
        <v>465</v>
      </c>
      <c r="E43" s="264" t="s">
        <v>408</v>
      </c>
      <c r="F43" s="264" t="s">
        <v>466</v>
      </c>
      <c r="G43" s="264">
        <v>81400</v>
      </c>
      <c r="H43" s="264">
        <v>28.37</v>
      </c>
      <c r="I43" s="275">
        <f t="shared" si="0"/>
        <v>-0.06217849489798741</v>
      </c>
    </row>
    <row r="44" spans="2:9" ht="15">
      <c r="B44" s="274">
        <v>38869</v>
      </c>
      <c r="C44" s="264" t="s">
        <v>396</v>
      </c>
      <c r="D44" s="264" t="s">
        <v>467</v>
      </c>
      <c r="E44" s="264" t="s">
        <v>468</v>
      </c>
      <c r="F44" s="264" t="s">
        <v>469</v>
      </c>
      <c r="G44" s="264">
        <v>104300</v>
      </c>
      <c r="H44" s="264">
        <v>30.19</v>
      </c>
      <c r="I44" s="275">
        <f t="shared" si="0"/>
        <v>0.04055980078518345</v>
      </c>
    </row>
    <row r="45" spans="2:9" ht="15">
      <c r="B45" s="274">
        <v>38838</v>
      </c>
      <c r="C45" s="264" t="s">
        <v>470</v>
      </c>
      <c r="D45" s="264" t="s">
        <v>471</v>
      </c>
      <c r="E45" s="264" t="s">
        <v>472</v>
      </c>
      <c r="F45" s="264" t="s">
        <v>473</v>
      </c>
      <c r="G45" s="264">
        <v>123000</v>
      </c>
      <c r="H45" s="264">
        <v>28.99</v>
      </c>
      <c r="I45" s="275">
        <f t="shared" si="0"/>
        <v>-0.07154222347228818</v>
      </c>
    </row>
    <row r="46" spans="2:9" ht="15">
      <c r="B46" s="274">
        <v>38810</v>
      </c>
      <c r="C46" s="264" t="s">
        <v>474</v>
      </c>
      <c r="D46" s="264" t="s">
        <v>475</v>
      </c>
      <c r="E46" s="264" t="s">
        <v>476</v>
      </c>
      <c r="F46" s="264" t="s">
        <v>477</v>
      </c>
      <c r="G46" s="264">
        <v>79100</v>
      </c>
      <c r="H46" s="264">
        <v>31.14</v>
      </c>
      <c r="I46" s="275">
        <f t="shared" si="0"/>
        <v>0.03729578474369693</v>
      </c>
    </row>
    <row r="47" spans="2:9" ht="15">
      <c r="B47" s="274">
        <v>38777</v>
      </c>
      <c r="C47" s="264" t="s">
        <v>478</v>
      </c>
      <c r="D47" s="264" t="s">
        <v>478</v>
      </c>
      <c r="E47" s="264" t="s">
        <v>479</v>
      </c>
      <c r="F47" s="264" t="s">
        <v>464</v>
      </c>
      <c r="G47" s="264">
        <v>108100</v>
      </c>
      <c r="H47" s="264">
        <v>30</v>
      </c>
      <c r="I47" s="275">
        <f t="shared" si="0"/>
        <v>0.0020020026706729687</v>
      </c>
    </row>
    <row r="48" spans="2:9" ht="15">
      <c r="B48" s="274">
        <v>38749</v>
      </c>
      <c r="C48" s="264" t="s">
        <v>480</v>
      </c>
      <c r="D48" s="264" t="s">
        <v>481</v>
      </c>
      <c r="E48" s="264" t="s">
        <v>482</v>
      </c>
      <c r="F48" s="264" t="s">
        <v>483</v>
      </c>
      <c r="G48" s="264">
        <v>154600</v>
      </c>
      <c r="H48" s="264">
        <v>29.94</v>
      </c>
      <c r="I48" s="275">
        <f t="shared" si="0"/>
        <v>-0.02896845090048732</v>
      </c>
    </row>
    <row r="49" spans="2:9" ht="15">
      <c r="B49" s="274">
        <v>38720</v>
      </c>
      <c r="C49" s="264" t="s">
        <v>484</v>
      </c>
      <c r="D49" s="264" t="s">
        <v>485</v>
      </c>
      <c r="E49" s="264" t="s">
        <v>486</v>
      </c>
      <c r="F49" s="264" t="s">
        <v>487</v>
      </c>
      <c r="G49" s="264">
        <v>121700</v>
      </c>
      <c r="H49" s="264">
        <v>30.82</v>
      </c>
      <c r="I49" s="275">
        <f t="shared" si="0"/>
        <v>0.015367312386462426</v>
      </c>
    </row>
    <row r="50" spans="2:9" ht="15">
      <c r="B50" s="274">
        <v>38687</v>
      </c>
      <c r="C50" s="264" t="s">
        <v>488</v>
      </c>
      <c r="D50" s="264" t="s">
        <v>489</v>
      </c>
      <c r="E50" s="264" t="s">
        <v>482</v>
      </c>
      <c r="F50" s="264" t="s">
        <v>484</v>
      </c>
      <c r="G50" s="264">
        <v>127600</v>
      </c>
      <c r="H50" s="264">
        <v>30.35</v>
      </c>
      <c r="I50" s="275">
        <f t="shared" si="0"/>
        <v>-0.02280229087398049</v>
      </c>
    </row>
    <row r="51" spans="2:9" ht="15">
      <c r="B51" s="274">
        <v>38657</v>
      </c>
      <c r="C51" s="264" t="s">
        <v>490</v>
      </c>
      <c r="D51" s="264" t="s">
        <v>491</v>
      </c>
      <c r="E51" s="264" t="s">
        <v>440</v>
      </c>
      <c r="F51" s="264" t="s">
        <v>492</v>
      </c>
      <c r="G51" s="264">
        <v>366300</v>
      </c>
      <c r="H51" s="264">
        <v>31.05</v>
      </c>
      <c r="I51" s="275">
        <f t="shared" si="0"/>
        <v>-0.0690572816508976</v>
      </c>
    </row>
    <row r="52" spans="2:9" ht="15">
      <c r="B52" s="274">
        <v>38628</v>
      </c>
      <c r="C52" s="264" t="s">
        <v>493</v>
      </c>
      <c r="D52" s="264" t="s">
        <v>494</v>
      </c>
      <c r="E52" s="264" t="s">
        <v>495</v>
      </c>
      <c r="F52" s="264" t="s">
        <v>496</v>
      </c>
      <c r="G52" s="264">
        <v>141800</v>
      </c>
      <c r="H52" s="264">
        <v>33.27</v>
      </c>
      <c r="I52" s="275">
        <f t="shared" si="0"/>
        <v>0.08332933707306424</v>
      </c>
    </row>
    <row r="53" spans="2:9" ht="15">
      <c r="B53" s="274">
        <v>38596</v>
      </c>
      <c r="C53" s="264" t="s">
        <v>497</v>
      </c>
      <c r="D53" s="264" t="s">
        <v>498</v>
      </c>
      <c r="E53" s="264" t="s">
        <v>499</v>
      </c>
      <c r="F53" s="264" t="s">
        <v>500</v>
      </c>
      <c r="G53" s="264">
        <v>164300</v>
      </c>
      <c r="H53" s="264">
        <v>30.61</v>
      </c>
      <c r="I53" s="275">
        <f t="shared" si="0"/>
        <v>-0.021332418512428786</v>
      </c>
    </row>
    <row r="54" spans="2:9" ht="15">
      <c r="B54" s="274">
        <v>38565</v>
      </c>
      <c r="C54" s="264" t="s">
        <v>501</v>
      </c>
      <c r="D54" s="264" t="s">
        <v>502</v>
      </c>
      <c r="E54" s="264" t="s">
        <v>503</v>
      </c>
      <c r="F54" s="264" t="s">
        <v>504</v>
      </c>
      <c r="G54" s="264">
        <v>231500</v>
      </c>
      <c r="H54" s="264">
        <v>31.27</v>
      </c>
      <c r="I54" s="275">
        <f t="shared" si="0"/>
        <v>-0.0898588275197635</v>
      </c>
    </row>
    <row r="55" spans="2:9" ht="15">
      <c r="B55" s="274">
        <v>38534</v>
      </c>
      <c r="C55" s="264" t="s">
        <v>505</v>
      </c>
      <c r="D55" s="264" t="s">
        <v>506</v>
      </c>
      <c r="E55" s="264" t="s">
        <v>507</v>
      </c>
      <c r="F55" s="264" t="s">
        <v>508</v>
      </c>
      <c r="G55" s="264">
        <v>231200</v>
      </c>
      <c r="H55" s="264">
        <v>34.21</v>
      </c>
      <c r="I55" s="275">
        <f t="shared" si="0"/>
        <v>0.03479905033673595</v>
      </c>
    </row>
    <row r="56" spans="2:9" ht="15">
      <c r="B56" s="274">
        <v>38504</v>
      </c>
      <c r="C56" s="264" t="s">
        <v>509</v>
      </c>
      <c r="D56" s="264" t="s">
        <v>510</v>
      </c>
      <c r="E56" s="264" t="s">
        <v>509</v>
      </c>
      <c r="F56" s="264" t="s">
        <v>511</v>
      </c>
      <c r="G56" s="264">
        <v>252400</v>
      </c>
      <c r="H56" s="264">
        <v>33.04</v>
      </c>
      <c r="I56" s="275">
        <f t="shared" si="0"/>
        <v>0.15168197816789739</v>
      </c>
    </row>
    <row r="57" spans="2:9" ht="15">
      <c r="B57" s="274">
        <v>38474</v>
      </c>
      <c r="C57" s="264" t="s">
        <v>512</v>
      </c>
      <c r="D57" s="264" t="s">
        <v>513</v>
      </c>
      <c r="E57" s="264" t="s">
        <v>514</v>
      </c>
      <c r="F57" s="264" t="s">
        <v>515</v>
      </c>
      <c r="G57" s="264">
        <v>173400</v>
      </c>
      <c r="H57" s="264">
        <v>28.39</v>
      </c>
      <c r="I57" s="275">
        <f t="shared" si="0"/>
        <v>0.11523257475140523</v>
      </c>
    </row>
    <row r="58" spans="2:9" ht="15">
      <c r="B58" s="274">
        <v>38443</v>
      </c>
      <c r="C58" s="264" t="s">
        <v>516</v>
      </c>
      <c r="D58" s="264" t="s">
        <v>517</v>
      </c>
      <c r="E58" s="264" t="s">
        <v>516</v>
      </c>
      <c r="F58" s="264" t="s">
        <v>518</v>
      </c>
      <c r="G58" s="264">
        <v>93800</v>
      </c>
      <c r="H58" s="264">
        <v>25.3</v>
      </c>
      <c r="I58" s="275">
        <f t="shared" si="0"/>
        <v>0.02602749524477545</v>
      </c>
    </row>
    <row r="59" spans="2:9" ht="15">
      <c r="B59" s="274">
        <v>38412</v>
      </c>
      <c r="C59" s="264" t="s">
        <v>519</v>
      </c>
      <c r="D59" s="264" t="s">
        <v>520</v>
      </c>
      <c r="E59" s="264" t="s">
        <v>521</v>
      </c>
      <c r="F59" s="264" t="s">
        <v>522</v>
      </c>
      <c r="G59" s="264">
        <v>55400</v>
      </c>
      <c r="H59" s="264">
        <v>24.65</v>
      </c>
      <c r="I59" s="275">
        <f t="shared" si="0"/>
        <v>0.017598162363752813</v>
      </c>
    </row>
    <row r="60" spans="2:9" ht="15">
      <c r="B60" s="274">
        <v>38384</v>
      </c>
      <c r="C60" s="264" t="s">
        <v>523</v>
      </c>
      <c r="D60" s="264" t="s">
        <v>451</v>
      </c>
      <c r="E60" s="264" t="s">
        <v>395</v>
      </c>
      <c r="F60" s="264" t="s">
        <v>524</v>
      </c>
      <c r="G60" s="264">
        <v>69900</v>
      </c>
      <c r="H60" s="264">
        <v>24.22</v>
      </c>
      <c r="I60" s="275">
        <f t="shared" si="0"/>
        <v>-0.04599439144407904</v>
      </c>
    </row>
    <row r="61" spans="2:9" ht="15">
      <c r="B61" s="274">
        <v>38355</v>
      </c>
      <c r="C61" s="264" t="s">
        <v>525</v>
      </c>
      <c r="D61" s="264" t="s">
        <v>526</v>
      </c>
      <c r="E61" s="264" t="s">
        <v>527</v>
      </c>
      <c r="F61" s="264" t="s">
        <v>528</v>
      </c>
      <c r="G61" s="264">
        <v>110800</v>
      </c>
      <c r="H61" s="264">
        <v>25.36</v>
      </c>
      <c r="I61" s="275">
        <f t="shared" si="0"/>
        <v>-0.04283888666998476</v>
      </c>
    </row>
    <row r="62" spans="2:9" ht="15">
      <c r="B62" s="274">
        <v>38322</v>
      </c>
      <c r="C62" s="264" t="s">
        <v>529</v>
      </c>
      <c r="D62" s="264" t="s">
        <v>530</v>
      </c>
      <c r="E62" s="264" t="s">
        <v>529</v>
      </c>
      <c r="F62" s="264" t="s">
        <v>531</v>
      </c>
      <c r="G62" s="264">
        <v>63900</v>
      </c>
      <c r="H62" s="264">
        <v>26.47</v>
      </c>
      <c r="I62" s="275">
        <f t="shared" si="0"/>
        <v>0.045998446960353094</v>
      </c>
    </row>
    <row r="63" spans="2:9" ht="15">
      <c r="B63" s="274">
        <v>38292</v>
      </c>
      <c r="C63" s="264" t="s">
        <v>532</v>
      </c>
      <c r="D63" s="264" t="s">
        <v>533</v>
      </c>
      <c r="E63" s="264" t="s">
        <v>534</v>
      </c>
      <c r="F63" s="264" t="s">
        <v>529</v>
      </c>
      <c r="G63" s="264">
        <v>71300</v>
      </c>
      <c r="H63" s="264">
        <v>25.28</v>
      </c>
      <c r="I63" s="275">
        <f t="shared" si="0"/>
        <v>-0.008272649109367248</v>
      </c>
    </row>
    <row r="64" spans="2:9" ht="15">
      <c r="B64" s="274">
        <v>38261</v>
      </c>
      <c r="C64" s="264" t="s">
        <v>395</v>
      </c>
      <c r="D64" s="264" t="s">
        <v>535</v>
      </c>
      <c r="E64" s="264" t="s">
        <v>536</v>
      </c>
      <c r="F64" s="264" t="s">
        <v>537</v>
      </c>
      <c r="G64" s="264">
        <v>87800</v>
      </c>
      <c r="H64" s="264">
        <v>25.49</v>
      </c>
      <c r="I64" s="275">
        <f t="shared" si="0"/>
        <v>0.08597763779193626</v>
      </c>
    </row>
    <row r="65" spans="2:9" ht="15">
      <c r="B65" s="274">
        <v>38231</v>
      </c>
      <c r="C65" s="264" t="s">
        <v>536</v>
      </c>
      <c r="D65" s="264" t="s">
        <v>538</v>
      </c>
      <c r="E65" s="264" t="s">
        <v>539</v>
      </c>
      <c r="F65" s="264" t="s">
        <v>540</v>
      </c>
      <c r="G65" s="264">
        <v>74100</v>
      </c>
      <c r="H65" s="264">
        <v>23.39</v>
      </c>
      <c r="I65" s="275">
        <f t="shared" si="0"/>
        <v>0.02117167003589382</v>
      </c>
    </row>
    <row r="66" spans="2:9" ht="15">
      <c r="B66" s="274">
        <v>38201</v>
      </c>
      <c r="C66" s="264" t="s">
        <v>541</v>
      </c>
      <c r="D66" s="264" t="s">
        <v>394</v>
      </c>
      <c r="E66" s="264" t="s">
        <v>542</v>
      </c>
      <c r="F66" s="264" t="s">
        <v>536</v>
      </c>
      <c r="G66" s="264">
        <v>67300</v>
      </c>
      <c r="H66" s="264">
        <v>22.9</v>
      </c>
      <c r="I66" s="275">
        <f t="shared" si="0"/>
        <v>-0.056867250640919714</v>
      </c>
    </row>
    <row r="67" spans="2:9" ht="15">
      <c r="B67" s="274">
        <v>38169</v>
      </c>
      <c r="C67" s="264" t="s">
        <v>543</v>
      </c>
      <c r="D67" s="264" t="s">
        <v>544</v>
      </c>
      <c r="E67" s="264" t="s">
        <v>545</v>
      </c>
      <c r="F67" s="264" t="s">
        <v>546</v>
      </c>
      <c r="G67" s="264">
        <v>69200</v>
      </c>
      <c r="H67" s="264">
        <v>24.24</v>
      </c>
      <c r="I67" s="275">
        <f t="shared" si="0"/>
        <v>-0.03047158364574733</v>
      </c>
    </row>
    <row r="68" spans="2:9" ht="15">
      <c r="B68" s="274">
        <v>38139</v>
      </c>
      <c r="C68" s="264" t="s">
        <v>547</v>
      </c>
      <c r="D68" s="264" t="s">
        <v>529</v>
      </c>
      <c r="E68" s="264" t="s">
        <v>548</v>
      </c>
      <c r="F68" s="264" t="s">
        <v>549</v>
      </c>
      <c r="G68" s="264">
        <v>79100</v>
      </c>
      <c r="H68" s="264">
        <v>24.99</v>
      </c>
      <c r="I68" s="275">
        <f t="shared" si="0"/>
        <v>0.09259278682782489</v>
      </c>
    </row>
    <row r="69" spans="2:9" ht="15">
      <c r="B69" s="274">
        <v>38110</v>
      </c>
      <c r="C69" s="264" t="s">
        <v>387</v>
      </c>
      <c r="D69" s="264" t="s">
        <v>359</v>
      </c>
      <c r="E69" s="264" t="s">
        <v>550</v>
      </c>
      <c r="F69" s="264" t="s">
        <v>551</v>
      </c>
      <c r="G69" s="264">
        <v>73100</v>
      </c>
      <c r="H69" s="264">
        <v>22.78</v>
      </c>
      <c r="I69" s="275">
        <f t="shared" si="0"/>
        <v>0.04305597761411146</v>
      </c>
    </row>
    <row r="70" spans="2:9" ht="15">
      <c r="B70" s="274">
        <v>38078</v>
      </c>
      <c r="C70" s="264" t="s">
        <v>552</v>
      </c>
      <c r="D70" s="264" t="s">
        <v>540</v>
      </c>
      <c r="E70" s="264" t="s">
        <v>552</v>
      </c>
      <c r="F70" s="264" t="s">
        <v>553</v>
      </c>
      <c r="G70" s="264">
        <v>92100</v>
      </c>
      <c r="H70" s="264">
        <v>21.82</v>
      </c>
      <c r="I70" s="275">
        <f t="shared" si="0"/>
        <v>0.02411990768954537</v>
      </c>
    </row>
    <row r="71" spans="2:9" ht="15">
      <c r="B71" s="274">
        <v>38047</v>
      </c>
      <c r="C71" s="264" t="s">
        <v>554</v>
      </c>
      <c r="D71" s="264" t="s">
        <v>555</v>
      </c>
      <c r="E71" s="264" t="s">
        <v>556</v>
      </c>
      <c r="F71" s="264" t="s">
        <v>550</v>
      </c>
      <c r="G71" s="264">
        <v>71400</v>
      </c>
      <c r="H71" s="264">
        <v>21.3</v>
      </c>
      <c r="I71" s="275">
        <f t="shared" si="0"/>
        <v>0.039258272544072395</v>
      </c>
    </row>
    <row r="72" spans="2:9" ht="15">
      <c r="B72" s="274">
        <v>38019</v>
      </c>
      <c r="C72" s="264" t="s">
        <v>557</v>
      </c>
      <c r="D72" s="264" t="s">
        <v>558</v>
      </c>
      <c r="E72" s="264" t="s">
        <v>559</v>
      </c>
      <c r="F72" s="264" t="s">
        <v>560</v>
      </c>
      <c r="G72" s="264">
        <v>139500</v>
      </c>
      <c r="H72" s="264">
        <v>20.48</v>
      </c>
      <c r="I72" s="275">
        <f t="shared" si="0"/>
        <v>0.15382521196433657</v>
      </c>
    </row>
    <row r="73" spans="2:9" ht="15.75" thickBot="1">
      <c r="B73" s="276">
        <v>38012</v>
      </c>
      <c r="C73" s="265" t="s">
        <v>561</v>
      </c>
      <c r="D73" s="265" t="s">
        <v>562</v>
      </c>
      <c r="E73" s="265" t="s">
        <v>563</v>
      </c>
      <c r="F73" s="265" t="s">
        <v>564</v>
      </c>
      <c r="G73" s="265">
        <v>182500</v>
      </c>
      <c r="H73" s="265">
        <v>17.56</v>
      </c>
      <c r="I73" s="277"/>
    </row>
    <row r="74" ht="15">
      <c r="I74" s="270"/>
    </row>
    <row r="75" ht="15">
      <c r="I75" s="281"/>
    </row>
    <row r="76" ht="15">
      <c r="I76" s="270"/>
    </row>
    <row r="77" ht="15.75" thickBot="1">
      <c r="I77" s="271"/>
    </row>
    <row r="78" spans="7:9" ht="15.75" thickBot="1">
      <c r="G78" s="527" t="s">
        <v>565</v>
      </c>
      <c r="H78" s="528"/>
      <c r="I78" s="272">
        <f>AVERAGE(I10:I72)</f>
        <v>0.0035852905925619002</v>
      </c>
    </row>
    <row r="79" spans="7:9" ht="15.75" thickBot="1">
      <c r="G79" s="527" t="s">
        <v>588</v>
      </c>
      <c r="H79" s="528"/>
      <c r="I79" s="273">
        <f>(1+I78)^12-1</f>
        <v>0.043882092757144164</v>
      </c>
    </row>
  </sheetData>
  <sheetProtection/>
  <mergeCells count="5">
    <mergeCell ref="G78:H78"/>
    <mergeCell ref="G79:H79"/>
    <mergeCell ref="B3:I4"/>
    <mergeCell ref="B5:I5"/>
    <mergeCell ref="B8:D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D8"/>
  <sheetViews>
    <sheetView zoomScalePageLayoutView="0" workbookViewId="0" topLeftCell="A1">
      <selection activeCell="H6" sqref="H6"/>
    </sheetView>
  </sheetViews>
  <sheetFormatPr defaultColWidth="11.421875" defaultRowHeight="15"/>
  <cols>
    <col min="3" max="3" width="27.421875" style="0" customWidth="1"/>
    <col min="4" max="4" width="13.00390625" style="0" bestFit="1" customWidth="1"/>
  </cols>
  <sheetData>
    <row r="4" ht="15.75" thickBot="1"/>
    <row r="5" spans="3:4" ht="15">
      <c r="C5" s="471" t="s">
        <v>574</v>
      </c>
      <c r="D5" s="508">
        <v>53803.0483660196</v>
      </c>
    </row>
    <row r="6" spans="3:4" ht="15">
      <c r="C6" s="472" t="s">
        <v>189</v>
      </c>
      <c r="D6" s="473">
        <f>SUM('Flujo de Caja'!D26:D37)</f>
        <v>11824.321333333333</v>
      </c>
    </row>
    <row r="7" spans="3:4" ht="15">
      <c r="C7" s="472" t="s">
        <v>575</v>
      </c>
      <c r="D7" s="474">
        <f>Datos!C79</f>
        <v>0.29048718446214317</v>
      </c>
    </row>
    <row r="8" spans="3:4" ht="15.75" thickBot="1">
      <c r="C8" s="475" t="s">
        <v>20</v>
      </c>
      <c r="D8" s="476">
        <f>(D5-D6)/D7</f>
        <v>144511.4596377556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SaHyLi</dc:creator>
  <cp:keywords/>
  <dc:description/>
  <cp:lastModifiedBy>SaHyLi</cp:lastModifiedBy>
  <cp:lastPrinted>2009-04-13T06:02:22Z</cp:lastPrinted>
  <dcterms:created xsi:type="dcterms:W3CDTF">2009-04-09T20:16:45Z</dcterms:created>
  <dcterms:modified xsi:type="dcterms:W3CDTF">2009-04-22T21:24:21Z</dcterms:modified>
  <cp:category/>
  <cp:version/>
  <cp:contentType/>
  <cp:contentStatus/>
</cp:coreProperties>
</file>