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3" activeTab="7"/>
  </bookViews>
  <sheets>
    <sheet name="INDICE" sheetId="1" r:id="rId1"/>
    <sheet name="Estación 1" sheetId="2" r:id="rId2"/>
    <sheet name="Estación 2" sheetId="3" r:id="rId3"/>
    <sheet name="Estación 3" sheetId="4" r:id="rId4"/>
    <sheet name="Estación 4" sheetId="5" r:id="rId5"/>
    <sheet name="Estación 5" sheetId="6" r:id="rId6"/>
    <sheet name="Hoja1" sheetId="7" r:id="rId7"/>
    <sheet name="Cuadro" sheetId="8" r:id="rId8"/>
  </sheets>
  <definedNames>
    <definedName name="_xlnm.Print_Area" localSheetId="7">'Cuadro'!$B$2:$I$23</definedName>
    <definedName name="_xlnm.Print_Area" localSheetId="1">'Estación 1'!$H$3:$O$33</definedName>
    <definedName name="_xlnm.Print_Area" localSheetId="2">'Estación 2'!$H$3:$O$33</definedName>
    <definedName name="_xlnm.Print_Area" localSheetId="3">'Estación 3'!$H$3:$O$32</definedName>
    <definedName name="_xlnm.Print_Area" localSheetId="4">'Estación 4'!$H$3:$O$33</definedName>
    <definedName name="_xlnm.Print_Area" localSheetId="5">'Estación 5'!$H$3:$O$32</definedName>
    <definedName name="_xlnm.Print_Area" localSheetId="6">'Hoja1'!$B$2:$U$194</definedName>
  </definedNames>
  <calcPr fullCalcOnLoad="1"/>
</workbook>
</file>

<file path=xl/sharedStrings.xml><?xml version="1.0" encoding="utf-8"?>
<sst xmlns="http://schemas.openxmlformats.org/spreadsheetml/2006/main" count="1479" uniqueCount="136">
  <si>
    <t>PH</t>
  </si>
  <si>
    <t>NITROGENO DE NITRATOS</t>
  </si>
  <si>
    <t>RESULTADOS</t>
  </si>
  <si>
    <t>IMPORTANCIA</t>
  </si>
  <si>
    <t>I</t>
  </si>
  <si>
    <t>I*W</t>
  </si>
  <si>
    <t>PH=</t>
  </si>
  <si>
    <t>unidades mg/l</t>
  </si>
  <si>
    <t>SOLIDOS SUSPENDIDOS</t>
  </si>
  <si>
    <t>SOLIDOS DISUELTOS</t>
  </si>
  <si>
    <t>Nitrogeno de Nitratos</t>
  </si>
  <si>
    <t>CONDUCTIVIDAD ELECTRICA</t>
  </si>
  <si>
    <t>OD</t>
  </si>
  <si>
    <t>VALORES DE COMPARACION</t>
  </si>
  <si>
    <t>DBO</t>
  </si>
  <si>
    <t>DUREZ TOTAL</t>
  </si>
  <si>
    <t>CLORUROS</t>
  </si>
  <si>
    <t>ALCALINIDAD</t>
  </si>
  <si>
    <t>COMO RESULTADO TENEMOS I(PH)=</t>
  </si>
  <si>
    <t>GRASAS Y ACEITES</t>
  </si>
  <si>
    <t>NITROGENO AMONIACAL</t>
  </si>
  <si>
    <t xml:space="preserve">unidades mg/l </t>
  </si>
  <si>
    <t>FOSFATOS TOTALES</t>
  </si>
  <si>
    <t>TSS=</t>
  </si>
  <si>
    <t xml:space="preserve">COLOR </t>
  </si>
  <si>
    <t>nitrogeno amoniacal</t>
  </si>
  <si>
    <t>TURBIEDAD</t>
  </si>
  <si>
    <t>TSS&lt;14.144</t>
  </si>
  <si>
    <r>
      <t>I</t>
    </r>
    <r>
      <rPr>
        <vertAlign val="subscript"/>
        <sz val="10"/>
        <rFont val="Arial"/>
        <family val="2"/>
      </rPr>
      <t>NH3</t>
    </r>
    <r>
      <rPr>
        <sz val="10"/>
        <rFont val="Arial"/>
        <family val="0"/>
      </rPr>
      <t>=</t>
    </r>
  </si>
  <si>
    <t>SAAM</t>
  </si>
  <si>
    <t>TSS&gt;14.44</t>
  </si>
  <si>
    <t xml:space="preserve">COLIFORMES FECALES </t>
  </si>
  <si>
    <t>COLIFORMES TOTALES</t>
  </si>
  <si>
    <t>PESO TOTAL</t>
  </si>
  <si>
    <t>ICA=</t>
  </si>
  <si>
    <t>TSD=</t>
  </si>
  <si>
    <t>TSD&lt;520</t>
  </si>
  <si>
    <t>NO CONTAMINADO</t>
  </si>
  <si>
    <t>85-100</t>
  </si>
  <si>
    <t>520&lt;TSD&lt;6234</t>
  </si>
  <si>
    <t>ACEPTABLE</t>
  </si>
  <si>
    <t>70-84</t>
  </si>
  <si>
    <t>TSD&gt;6234</t>
  </si>
  <si>
    <t>Fosfatos Totales</t>
  </si>
  <si>
    <t>POCO CONTAMINADO</t>
  </si>
  <si>
    <t>50-69</t>
  </si>
  <si>
    <t>CONTAMINADO</t>
  </si>
  <si>
    <t>30-49</t>
  </si>
  <si>
    <t>ALTAMENTE CONTAMINADO</t>
  </si>
  <si>
    <t>0-29</t>
  </si>
  <si>
    <r>
      <t>si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&lt;0.0971=</t>
    </r>
  </si>
  <si>
    <r>
      <t>si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&gt;0.0971=</t>
    </r>
  </si>
  <si>
    <t>CONDUCTIVIDAD ELECTRICA=</t>
  </si>
  <si>
    <t>COND&lt;85.60</t>
  </si>
  <si>
    <t>COND&gt;85.60</t>
  </si>
  <si>
    <t>unidades  Pt-Co</t>
  </si>
  <si>
    <t>color</t>
  </si>
  <si>
    <r>
      <t>I</t>
    </r>
    <r>
      <rPr>
        <vertAlign val="subscript"/>
        <sz val="10"/>
        <rFont val="Arial"/>
        <family val="2"/>
      </rPr>
      <t xml:space="preserve"> C </t>
    </r>
    <r>
      <rPr>
        <sz val="10"/>
        <rFont val="Arial"/>
        <family val="0"/>
      </rPr>
      <t>=</t>
    </r>
  </si>
  <si>
    <t>CALCULOS DE OD</t>
  </si>
  <si>
    <t>OD MEDIDO</t>
  </si>
  <si>
    <t>si C&gt;2.018=</t>
  </si>
  <si>
    <t>OD CALCULADO</t>
  </si>
  <si>
    <t>TEMPERATURA EN CENTIGRADOS</t>
  </si>
  <si>
    <t>TEMPERATURA MEDIDA EN KELVIN</t>
  </si>
  <si>
    <t>unidades  UTJ</t>
  </si>
  <si>
    <t>turbiedad ( T )=</t>
  </si>
  <si>
    <t>si t&lt;1.54=</t>
  </si>
  <si>
    <t>SUMA=LN(OD)</t>
  </si>
  <si>
    <t>si t&gt;1.54=</t>
  </si>
  <si>
    <t>OD=</t>
  </si>
  <si>
    <t>ppm o mg/l</t>
  </si>
  <si>
    <t>I(OD)=</t>
  </si>
  <si>
    <t>CALCULO DEL DBO</t>
  </si>
  <si>
    <t>Sustancias Activas al Azul de Metileno (SAAM)</t>
  </si>
  <si>
    <t>VALOR MEDIDO DE DBO</t>
  </si>
  <si>
    <t>unidades en mg/l</t>
  </si>
  <si>
    <t>DBO&lt;1.311</t>
  </si>
  <si>
    <t>DBO&gt;1.311</t>
  </si>
  <si>
    <r>
      <t>I</t>
    </r>
    <r>
      <rPr>
        <vertAlign val="subscript"/>
        <sz val="10"/>
        <rFont val="Arial"/>
        <family val="2"/>
      </rPr>
      <t>Ec</t>
    </r>
    <r>
      <rPr>
        <sz val="10"/>
        <rFont val="Arial"/>
        <family val="0"/>
      </rPr>
      <t>=</t>
    </r>
  </si>
  <si>
    <t>I(DBO)=</t>
  </si>
  <si>
    <t>si SAAM&lt;6.384=</t>
  </si>
  <si>
    <t>si SAAM&gt;6.384=</t>
  </si>
  <si>
    <t>Dureza total</t>
  </si>
  <si>
    <t>si DT&lt;2500=</t>
  </si>
  <si>
    <t>unidades NMP/ 100ml</t>
  </si>
  <si>
    <t>si DT&gt;2500=</t>
  </si>
  <si>
    <t>Coliformes Fecales</t>
  </si>
  <si>
    <t>si Ec&lt;0=</t>
  </si>
  <si>
    <t>si Ec&gt;0=</t>
  </si>
  <si>
    <t>Cloruros</t>
  </si>
  <si>
    <t>Coliformes Totales</t>
  </si>
  <si>
    <t>si CT&lt;=0=</t>
  </si>
  <si>
    <t>si CT&gt;0=</t>
  </si>
  <si>
    <t>Alcalinidad</t>
  </si>
  <si>
    <t>si A&lt;1.3</t>
  </si>
  <si>
    <t>si A&gt;1.3</t>
  </si>
  <si>
    <t>unidades  mg/l</t>
  </si>
  <si>
    <t>Grasas y aceites</t>
  </si>
  <si>
    <t>si G y A&lt;0.633=</t>
  </si>
  <si>
    <t>si G y A&gt;0.633=</t>
  </si>
  <si>
    <t>si C2.018=</t>
  </si>
  <si>
    <r>
      <t>I</t>
    </r>
    <r>
      <rPr>
        <vertAlign val="subscript"/>
        <sz val="7.5"/>
        <rFont val="Arial"/>
        <family val="2"/>
      </rPr>
      <t>N-NH3</t>
    </r>
    <r>
      <rPr>
        <sz val="10"/>
        <rFont val="Arial"/>
        <family val="0"/>
      </rPr>
      <t>=</t>
    </r>
  </si>
  <si>
    <r>
      <t>si N-NO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0"/>
      </rPr>
      <t>&lt;4.097=</t>
    </r>
  </si>
  <si>
    <r>
      <t>si N-NO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0"/>
      </rPr>
      <t>&gt;4.097=</t>
    </r>
  </si>
  <si>
    <r>
      <t>si NH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0"/>
      </rPr>
      <t>&lt;0.11=</t>
    </r>
  </si>
  <si>
    <r>
      <t>I</t>
    </r>
    <r>
      <rPr>
        <vertAlign val="subscript"/>
        <sz val="7.5"/>
        <rFont val="Arial"/>
        <family val="2"/>
      </rPr>
      <t>PO4</t>
    </r>
    <r>
      <rPr>
        <sz val="10"/>
        <rFont val="Arial"/>
        <family val="0"/>
      </rPr>
      <t>=</t>
    </r>
  </si>
  <si>
    <r>
      <t>I</t>
    </r>
    <r>
      <rPr>
        <b/>
        <vertAlign val="subscript"/>
        <sz val="7.5"/>
        <rFont val="Arial"/>
        <family val="2"/>
      </rPr>
      <t>SD</t>
    </r>
    <r>
      <rPr>
        <b/>
        <sz val="10"/>
        <rFont val="Arial"/>
        <family val="2"/>
      </rPr>
      <t>=</t>
    </r>
  </si>
  <si>
    <r>
      <t>I</t>
    </r>
    <r>
      <rPr>
        <b/>
        <vertAlign val="subscript"/>
        <sz val="7.5"/>
        <rFont val="Arial"/>
        <family val="2"/>
      </rPr>
      <t>COND</t>
    </r>
    <r>
      <rPr>
        <b/>
        <sz val="10"/>
        <rFont val="Arial"/>
        <family val="2"/>
      </rPr>
      <t>=</t>
    </r>
  </si>
  <si>
    <r>
      <t>I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</t>
    </r>
  </si>
  <si>
    <r>
      <t>unidades mg/l como CaCo</t>
    </r>
    <r>
      <rPr>
        <vertAlign val="subscript"/>
        <sz val="9"/>
        <rFont val="Arial"/>
        <family val="2"/>
      </rPr>
      <t>3</t>
    </r>
  </si>
  <si>
    <r>
      <t>I</t>
    </r>
    <r>
      <rPr>
        <vertAlign val="subscript"/>
        <sz val="7.5"/>
        <rFont val="Arial"/>
        <family val="2"/>
      </rPr>
      <t>DT</t>
    </r>
    <r>
      <rPr>
        <sz val="10"/>
        <rFont val="Arial"/>
        <family val="0"/>
      </rPr>
      <t>=</t>
    </r>
  </si>
  <si>
    <r>
      <t>I</t>
    </r>
    <r>
      <rPr>
        <b/>
        <vertAlign val="subscript"/>
        <sz val="10"/>
        <rFont val="Arial"/>
        <family val="2"/>
      </rPr>
      <t>Ec</t>
    </r>
    <r>
      <rPr>
        <b/>
        <sz val="10"/>
        <rFont val="Arial"/>
        <family val="2"/>
      </rPr>
      <t>=</t>
    </r>
  </si>
  <si>
    <r>
      <t>I</t>
    </r>
    <r>
      <rPr>
        <vertAlign val="subscript"/>
        <sz val="7.5"/>
        <rFont val="Arial"/>
        <family val="2"/>
      </rPr>
      <t>Cl</t>
    </r>
    <r>
      <rPr>
        <sz val="10"/>
        <rFont val="Arial"/>
        <family val="0"/>
      </rPr>
      <t>-=</t>
    </r>
  </si>
  <si>
    <r>
      <t>si 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&lt;2.351=</t>
    </r>
  </si>
  <si>
    <r>
      <t>si 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&gt;2.351=</t>
    </r>
  </si>
  <si>
    <r>
      <t>I</t>
    </r>
    <r>
      <rPr>
        <b/>
        <vertAlign val="subscript"/>
        <sz val="10"/>
        <rFont val="Arial"/>
        <family val="2"/>
      </rPr>
      <t>CT</t>
    </r>
    <r>
      <rPr>
        <b/>
        <sz val="10"/>
        <rFont val="Arial"/>
        <family val="2"/>
      </rPr>
      <t>=</t>
    </r>
  </si>
  <si>
    <r>
      <t>unidades mg/l como CaCO</t>
    </r>
    <r>
      <rPr>
        <vertAlign val="subscript"/>
        <sz val="7.5"/>
        <rFont val="Arial"/>
        <family val="2"/>
      </rPr>
      <t>3</t>
    </r>
  </si>
  <si>
    <r>
      <t xml:space="preserve">I 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=</t>
    </r>
  </si>
  <si>
    <r>
      <t xml:space="preserve">I </t>
    </r>
    <r>
      <rPr>
        <vertAlign val="subscript"/>
        <sz val="10"/>
        <rFont val="Arial"/>
        <family val="2"/>
      </rPr>
      <t xml:space="preserve">G y A </t>
    </r>
    <r>
      <rPr>
        <sz val="10"/>
        <rFont val="Arial"/>
        <family val="2"/>
      </rPr>
      <t>=</t>
    </r>
  </si>
  <si>
    <r>
      <t>I</t>
    </r>
    <r>
      <rPr>
        <b/>
        <vertAlign val="subscript"/>
        <sz val="7.5"/>
        <rFont val="Times New Roman"/>
        <family val="1"/>
      </rPr>
      <t>SS</t>
    </r>
    <r>
      <rPr>
        <b/>
        <sz val="10"/>
        <rFont val="Times New Roman"/>
        <family val="1"/>
      </rPr>
      <t>=</t>
    </r>
  </si>
  <si>
    <t>EXISTENCIA</t>
  </si>
  <si>
    <t>APLICABLES</t>
  </si>
  <si>
    <t>PH &gt; 6.7</t>
  </si>
  <si>
    <t>6.7 &lt; PH &lt; 7.3</t>
  </si>
  <si>
    <t>PH &gt; 7.3</t>
  </si>
  <si>
    <r>
      <t>I</t>
    </r>
    <r>
      <rPr>
        <vertAlign val="subscript"/>
        <sz val="10"/>
        <rFont val="Times New Roman"/>
        <family val="1"/>
      </rPr>
      <t>(PH)</t>
    </r>
    <r>
      <rPr>
        <sz val="10"/>
        <rFont val="Times New Roman"/>
        <family val="1"/>
      </rPr>
      <t>&lt;6.7</t>
    </r>
  </si>
  <si>
    <r>
      <t>6.7&lt;I</t>
    </r>
    <r>
      <rPr>
        <vertAlign val="subscript"/>
        <sz val="10"/>
        <rFont val="Times New Roman"/>
        <family val="1"/>
      </rPr>
      <t>(PH)</t>
    </r>
    <r>
      <rPr>
        <sz val="10"/>
        <rFont val="Times New Roman"/>
        <family val="1"/>
      </rPr>
      <t>&lt;7.3</t>
    </r>
  </si>
  <si>
    <r>
      <t>I</t>
    </r>
    <r>
      <rPr>
        <vertAlign val="subscript"/>
        <sz val="10"/>
        <rFont val="Times New Roman"/>
        <family val="1"/>
      </rPr>
      <t>(PH)</t>
    </r>
    <r>
      <rPr>
        <sz val="10"/>
        <rFont val="Times New Roman"/>
        <family val="1"/>
      </rPr>
      <t>&gt;7.3</t>
    </r>
  </si>
  <si>
    <t>ESTACION 1</t>
  </si>
  <si>
    <t>ESTACION 2</t>
  </si>
  <si>
    <t>ESTACION 3</t>
  </si>
  <si>
    <t>ESTACION 4</t>
  </si>
  <si>
    <t>ESTACION 5</t>
  </si>
  <si>
    <t>ICA</t>
  </si>
  <si>
    <t>INDICE DE CALIDAD DEL AGUA</t>
  </si>
  <si>
    <t>CUADRO RESUMEN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</si>
</sst>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"/>
    <numFmt numFmtId="175" formatCode="0.0000"/>
    <numFmt numFmtId="176" formatCode="0.00000"/>
    <numFmt numFmtId="177" formatCode="0.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6"/>
      <name val="Arial"/>
      <family val="2"/>
    </font>
    <font>
      <vertAlign val="subscript"/>
      <sz val="7.5"/>
      <name val="Arial"/>
      <family val="2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b/>
      <vertAlign val="subscript"/>
      <sz val="7.5"/>
      <name val="Arial"/>
      <family val="2"/>
    </font>
    <font>
      <sz val="14"/>
      <name val="Arial"/>
      <family val="2"/>
    </font>
    <font>
      <sz val="2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vertAlign val="subscript"/>
      <sz val="9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Biondi"/>
      <family val="0"/>
    </font>
    <font>
      <b/>
      <sz val="22"/>
      <name val="Cooper Black"/>
      <family val="1"/>
    </font>
    <font>
      <b/>
      <sz val="18"/>
      <name val="Perpetua Titling MT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vertAlign val="subscript"/>
      <sz val="7.5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Times New Roman"/>
      <family val="1"/>
    </font>
    <font>
      <b/>
      <sz val="20"/>
      <color indexed="9"/>
      <name val="Algerian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2" fontId="8" fillId="2" borderId="0" xfId="0" applyNumberFormat="1" applyFont="1" applyFill="1" applyBorder="1" applyAlignment="1">
      <alignment horizontal="left"/>
    </xf>
    <xf numFmtId="172" fontId="0" fillId="2" borderId="0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0" fillId="0" borderId="0" xfId="0" applyAlignment="1">
      <alignment horizontal="center"/>
    </xf>
    <xf numFmtId="172" fontId="8" fillId="2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72" fontId="0" fillId="2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172" fontId="0" fillId="3" borderId="2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22" fillId="3" borderId="0" xfId="0" applyFont="1" applyFill="1" applyBorder="1" applyAlignment="1">
      <alignment/>
    </xf>
    <xf numFmtId="172" fontId="22" fillId="3" borderId="0" xfId="0" applyNumberFormat="1" applyFont="1" applyFill="1" applyBorder="1" applyAlignment="1">
      <alignment/>
    </xf>
    <xf numFmtId="172" fontId="0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0" fillId="3" borderId="0" xfId="0" applyNumberFormat="1" applyFill="1" applyBorder="1" applyAlignment="1">
      <alignment horizontal="left"/>
    </xf>
    <xf numFmtId="172" fontId="0" fillId="3" borderId="4" xfId="0" applyNumberFormat="1" applyFill="1" applyBorder="1" applyAlignment="1">
      <alignment/>
    </xf>
    <xf numFmtId="0" fontId="22" fillId="3" borderId="5" xfId="0" applyFont="1" applyFill="1" applyBorder="1" applyAlignment="1">
      <alignment/>
    </xf>
    <xf numFmtId="0" fontId="22" fillId="3" borderId="6" xfId="0" applyFont="1" applyFill="1" applyBorder="1" applyAlignment="1">
      <alignment/>
    </xf>
    <xf numFmtId="0" fontId="23" fillId="3" borderId="5" xfId="0" applyFont="1" applyFill="1" applyBorder="1" applyAlignment="1">
      <alignment horizontal="right"/>
    </xf>
    <xf numFmtId="172" fontId="22" fillId="3" borderId="6" xfId="0" applyNumberFormat="1" applyFont="1" applyFill="1" applyBorder="1" applyAlignment="1">
      <alignment/>
    </xf>
    <xf numFmtId="172" fontId="22" fillId="3" borderId="7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4" fillId="3" borderId="5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172" fontId="0" fillId="3" borderId="6" xfId="0" applyNumberFormat="1" applyFill="1" applyBorder="1" applyAlignment="1">
      <alignment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/>
    </xf>
    <xf numFmtId="0" fontId="0" fillId="3" borderId="8" xfId="0" applyFill="1" applyBorder="1" applyAlignment="1">
      <alignment/>
    </xf>
    <xf numFmtId="0" fontId="4" fillId="3" borderId="5" xfId="0" applyFont="1" applyFill="1" applyBorder="1" applyAlignment="1">
      <alignment/>
    </xf>
    <xf numFmtId="172" fontId="0" fillId="3" borderId="6" xfId="0" applyNumberFormat="1" applyFont="1" applyFill="1" applyBorder="1" applyAlignment="1">
      <alignment/>
    </xf>
    <xf numFmtId="172" fontId="3" fillId="3" borderId="6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172" fontId="13" fillId="3" borderId="6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7" xfId="0" applyFill="1" applyBorder="1" applyAlignment="1">
      <alignment/>
    </xf>
    <xf numFmtId="0" fontId="5" fillId="3" borderId="5" xfId="0" applyFont="1" applyFill="1" applyBorder="1" applyAlignment="1">
      <alignment/>
    </xf>
    <xf numFmtId="0" fontId="4" fillId="3" borderId="5" xfId="0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6" fillId="3" borderId="6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/>
    </xf>
    <xf numFmtId="0" fontId="15" fillId="3" borderId="6" xfId="0" applyFon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26" fillId="4" borderId="1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172" fontId="24" fillId="5" borderId="17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22" fillId="6" borderId="5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6" borderId="6" xfId="0" applyFont="1" applyFill="1" applyBorder="1" applyAlignment="1">
      <alignment/>
    </xf>
    <xf numFmtId="0" fontId="23" fillId="6" borderId="5" xfId="0" applyFont="1" applyFill="1" applyBorder="1" applyAlignment="1">
      <alignment horizontal="right"/>
    </xf>
    <xf numFmtId="172" fontId="22" fillId="6" borderId="6" xfId="0" applyNumberFormat="1" applyFont="1" applyFill="1" applyBorder="1" applyAlignment="1">
      <alignment/>
    </xf>
    <xf numFmtId="0" fontId="26" fillId="6" borderId="18" xfId="0" applyFont="1" applyFill="1" applyBorder="1" applyAlignment="1">
      <alignment horizontal="center"/>
    </xf>
    <xf numFmtId="172" fontId="22" fillId="6" borderId="0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8" borderId="0" xfId="0" applyFont="1" applyFill="1" applyAlignment="1">
      <alignment/>
    </xf>
    <xf numFmtId="172" fontId="24" fillId="7" borderId="17" xfId="0" applyNumberFormat="1" applyFont="1" applyFill="1" applyBorder="1" applyAlignment="1">
      <alignment/>
    </xf>
    <xf numFmtId="172" fontId="22" fillId="6" borderId="7" xfId="0" applyNumberFormat="1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6" xfId="0" applyFill="1" applyBorder="1" applyAlignment="1">
      <alignment/>
    </xf>
    <xf numFmtId="0" fontId="4" fillId="6" borderId="5" xfId="0" applyFont="1" applyFill="1" applyBorder="1" applyAlignment="1">
      <alignment horizontal="right"/>
    </xf>
    <xf numFmtId="0" fontId="0" fillId="6" borderId="5" xfId="0" applyFont="1" applyFill="1" applyBorder="1" applyAlignment="1">
      <alignment/>
    </xf>
    <xf numFmtId="172" fontId="0" fillId="6" borderId="0" xfId="0" applyNumberFormat="1" applyFont="1" applyFill="1" applyBorder="1" applyAlignment="1">
      <alignment/>
    </xf>
    <xf numFmtId="172" fontId="0" fillId="6" borderId="6" xfId="0" applyNumberFormat="1" applyFill="1" applyBorder="1" applyAlignment="1">
      <alignment/>
    </xf>
    <xf numFmtId="0" fontId="3" fillId="6" borderId="5" xfId="0" applyFont="1" applyFill="1" applyBorder="1" applyAlignment="1">
      <alignment horizontal="center" vertical="center"/>
    </xf>
    <xf numFmtId="172" fontId="0" fillId="6" borderId="0" xfId="0" applyNumberFormat="1" applyFill="1" applyBorder="1" applyAlignment="1">
      <alignment/>
    </xf>
    <xf numFmtId="0" fontId="3" fillId="6" borderId="5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0" fillId="6" borderId="8" xfId="0" applyFill="1" applyBorder="1" applyAlignment="1">
      <alignment/>
    </xf>
    <xf numFmtId="0" fontId="4" fillId="6" borderId="5" xfId="0" applyFont="1" applyFill="1" applyBorder="1" applyAlignment="1">
      <alignment/>
    </xf>
    <xf numFmtId="0" fontId="3" fillId="6" borderId="0" xfId="0" applyFont="1" applyFill="1" applyBorder="1" applyAlignment="1">
      <alignment horizontal="right"/>
    </xf>
    <xf numFmtId="172" fontId="0" fillId="6" borderId="6" xfId="0" applyNumberFormat="1" applyFont="1" applyFill="1" applyBorder="1" applyAlignment="1">
      <alignment/>
    </xf>
    <xf numFmtId="0" fontId="3" fillId="6" borderId="0" xfId="0" applyFont="1" applyFill="1" applyBorder="1" applyAlignment="1">
      <alignment horizontal="center" vertical="center"/>
    </xf>
    <xf numFmtId="172" fontId="3" fillId="6" borderId="6" xfId="0" applyNumberFormat="1" applyFont="1" applyFill="1" applyBorder="1" applyAlignment="1">
      <alignment/>
    </xf>
    <xf numFmtId="0" fontId="0" fillId="6" borderId="9" xfId="0" applyFill="1" applyBorder="1" applyAlignment="1">
      <alignment/>
    </xf>
    <xf numFmtId="0" fontId="4" fillId="6" borderId="0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172" fontId="13" fillId="6" borderId="6" xfId="0" applyNumberFormat="1" applyFont="1" applyFill="1" applyBorder="1" applyAlignment="1">
      <alignment horizontal="left"/>
    </xf>
    <xf numFmtId="0" fontId="0" fillId="6" borderId="6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7" xfId="0" applyFill="1" applyBorder="1" applyAlignment="1">
      <alignment/>
    </xf>
    <xf numFmtId="0" fontId="5" fillId="6" borderId="5" xfId="0" applyFont="1" applyFill="1" applyBorder="1" applyAlignment="1">
      <alignment/>
    </xf>
    <xf numFmtId="0" fontId="4" fillId="6" borderId="5" xfId="0" applyFont="1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6" fillId="6" borderId="6" xfId="0" applyFont="1" applyFill="1" applyBorder="1" applyAlignment="1">
      <alignment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15" fillId="6" borderId="6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0" fillId="6" borderId="0" xfId="0" applyNumberFormat="1" applyFill="1" applyBorder="1" applyAlignment="1">
      <alignment horizontal="left"/>
    </xf>
    <xf numFmtId="172" fontId="0" fillId="6" borderId="4" xfId="0" applyNumberFormat="1" applyFill="1" applyBorder="1" applyAlignment="1">
      <alignment/>
    </xf>
    <xf numFmtId="0" fontId="0" fillId="6" borderId="0" xfId="0" applyNumberFormat="1" applyFill="1" applyBorder="1" applyAlignment="1">
      <alignment/>
    </xf>
    <xf numFmtId="172" fontId="0" fillId="6" borderId="2" xfId="0" applyNumberForma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72" fontId="4" fillId="8" borderId="6" xfId="0" applyNumberFormat="1" applyFont="1" applyFill="1" applyBorder="1" applyAlignment="1">
      <alignment horizontal="left"/>
    </xf>
    <xf numFmtId="0" fontId="3" fillId="8" borderId="0" xfId="0" applyFont="1" applyFill="1" applyAlignment="1">
      <alignment/>
    </xf>
    <xf numFmtId="0" fontId="0" fillId="8" borderId="0" xfId="0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172" fontId="26" fillId="6" borderId="18" xfId="0" applyNumberFormat="1" applyFont="1" applyFill="1" applyBorder="1" applyAlignment="1">
      <alignment horizontal="center"/>
    </xf>
    <xf numFmtId="172" fontId="26" fillId="6" borderId="17" xfId="0" applyNumberFormat="1" applyFont="1" applyFill="1" applyBorder="1" applyAlignment="1">
      <alignment horizontal="center"/>
    </xf>
    <xf numFmtId="172" fontId="26" fillId="6" borderId="18" xfId="0" applyNumberFormat="1" applyFont="1" applyFill="1" applyBorder="1" applyAlignment="1" quotePrefix="1">
      <alignment horizontal="center"/>
    </xf>
    <xf numFmtId="0" fontId="26" fillId="6" borderId="19" xfId="0" applyFont="1" applyFill="1" applyBorder="1" applyAlignment="1">
      <alignment horizontal="center"/>
    </xf>
    <xf numFmtId="172" fontId="26" fillId="6" borderId="19" xfId="0" applyNumberFormat="1" applyFont="1" applyFill="1" applyBorder="1" applyAlignment="1" quotePrefix="1">
      <alignment horizontal="center"/>
    </xf>
    <xf numFmtId="172" fontId="26" fillId="6" borderId="20" xfId="0" applyNumberFormat="1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172" fontId="27" fillId="6" borderId="21" xfId="0" applyNumberFormat="1" applyFont="1" applyFill="1" applyBorder="1" applyAlignment="1">
      <alignment horizontal="center"/>
    </xf>
    <xf numFmtId="172" fontId="26" fillId="6" borderId="22" xfId="0" applyNumberFormat="1" applyFont="1" applyFill="1" applyBorder="1" applyAlignment="1">
      <alignment horizontal="center"/>
    </xf>
    <xf numFmtId="0" fontId="26" fillId="9" borderId="15" xfId="0" applyFont="1" applyFill="1" applyBorder="1" applyAlignment="1">
      <alignment horizontal="center"/>
    </xf>
    <xf numFmtId="0" fontId="26" fillId="9" borderId="16" xfId="0" applyFont="1" applyFill="1" applyBorder="1" applyAlignment="1">
      <alignment horizontal="center"/>
    </xf>
    <xf numFmtId="0" fontId="26" fillId="10" borderId="15" xfId="0" applyFont="1" applyFill="1" applyBorder="1" applyAlignment="1">
      <alignment horizontal="center"/>
    </xf>
    <xf numFmtId="0" fontId="26" fillId="10" borderId="1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26" fillId="5" borderId="18" xfId="0" applyFont="1" applyFill="1" applyBorder="1" applyAlignment="1">
      <alignment horizontal="center"/>
    </xf>
    <xf numFmtId="172" fontId="26" fillId="5" borderId="18" xfId="0" applyNumberFormat="1" applyFont="1" applyFill="1" applyBorder="1" applyAlignment="1">
      <alignment horizontal="center"/>
    </xf>
    <xf numFmtId="172" fontId="26" fillId="5" borderId="17" xfId="0" applyNumberFormat="1" applyFont="1" applyFill="1" applyBorder="1" applyAlignment="1">
      <alignment horizontal="center"/>
    </xf>
    <xf numFmtId="172" fontId="26" fillId="5" borderId="18" xfId="0" applyNumberFormat="1" applyFont="1" applyFill="1" applyBorder="1" applyAlignment="1" quotePrefix="1">
      <alignment horizontal="center"/>
    </xf>
    <xf numFmtId="0" fontId="26" fillId="5" borderId="19" xfId="0" applyFont="1" applyFill="1" applyBorder="1" applyAlignment="1">
      <alignment horizontal="center"/>
    </xf>
    <xf numFmtId="172" fontId="26" fillId="5" borderId="19" xfId="0" applyNumberFormat="1" applyFont="1" applyFill="1" applyBorder="1" applyAlignment="1" quotePrefix="1">
      <alignment horizontal="center"/>
    </xf>
    <xf numFmtId="172" fontId="26" fillId="5" borderId="20" xfId="0" applyNumberFormat="1" applyFont="1" applyFill="1" applyBorder="1" applyAlignment="1">
      <alignment horizontal="center"/>
    </xf>
    <xf numFmtId="0" fontId="26" fillId="5" borderId="21" xfId="0" applyFont="1" applyFill="1" applyBorder="1" applyAlignment="1">
      <alignment horizontal="center"/>
    </xf>
    <xf numFmtId="172" fontId="27" fillId="5" borderId="21" xfId="0" applyNumberFormat="1" applyFont="1" applyFill="1" applyBorder="1" applyAlignment="1">
      <alignment horizontal="center"/>
    </xf>
    <xf numFmtId="172" fontId="26" fillId="5" borderId="22" xfId="0" applyNumberFormat="1" applyFont="1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Border="1" applyAlignment="1">
      <alignment horizontal="left"/>
    </xf>
    <xf numFmtId="0" fontId="0" fillId="11" borderId="0" xfId="0" applyFont="1" applyFill="1" applyBorder="1" applyAlignment="1">
      <alignment horizontal="left"/>
    </xf>
    <xf numFmtId="0" fontId="3" fillId="11" borderId="0" xfId="0" applyFont="1" applyFill="1" applyAlignment="1">
      <alignment/>
    </xf>
    <xf numFmtId="172" fontId="4" fillId="11" borderId="6" xfId="0" applyNumberFormat="1" applyFont="1" applyFill="1" applyBorder="1" applyAlignment="1">
      <alignment horizontal="left"/>
    </xf>
    <xf numFmtId="0" fontId="29" fillId="12" borderId="0" xfId="0" applyFont="1" applyFill="1" applyAlignment="1">
      <alignment/>
    </xf>
    <xf numFmtId="0" fontId="0" fillId="12" borderId="0" xfId="0" applyFill="1" applyAlignment="1">
      <alignment/>
    </xf>
    <xf numFmtId="0" fontId="3" fillId="6" borderId="2" xfId="0" applyFont="1" applyFill="1" applyBorder="1" applyAlignment="1">
      <alignment horizontal="right"/>
    </xf>
    <xf numFmtId="0" fontId="24" fillId="6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0" fontId="19" fillId="10" borderId="16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6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right"/>
    </xf>
    <xf numFmtId="0" fontId="24" fillId="6" borderId="2" xfId="0" applyFont="1" applyFill="1" applyBorder="1" applyAlignment="1">
      <alignment horizontal="right"/>
    </xf>
    <xf numFmtId="0" fontId="22" fillId="6" borderId="5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left"/>
    </xf>
    <xf numFmtId="0" fontId="26" fillId="9" borderId="23" xfId="0" applyFont="1" applyFill="1" applyBorder="1" applyAlignment="1">
      <alignment horizontal="center"/>
    </xf>
    <xf numFmtId="0" fontId="26" fillId="9" borderId="1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172" fontId="3" fillId="0" borderId="24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0" fontId="19" fillId="4" borderId="2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24" fillId="3" borderId="5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right"/>
    </xf>
    <xf numFmtId="0" fontId="24" fillId="3" borderId="5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right"/>
    </xf>
    <xf numFmtId="0" fontId="22" fillId="3" borderId="5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19" fillId="13" borderId="23" xfId="0" applyFont="1" applyFill="1" applyBorder="1" applyAlignment="1">
      <alignment horizontal="center"/>
    </xf>
    <xf numFmtId="0" fontId="19" fillId="13" borderId="15" xfId="0" applyFont="1" applyFill="1" applyBorder="1" applyAlignment="1">
      <alignment horizontal="center"/>
    </xf>
    <xf numFmtId="0" fontId="19" fillId="13" borderId="16" xfId="0" applyFont="1" applyFill="1" applyBorder="1" applyAlignment="1">
      <alignment horizontal="center"/>
    </xf>
    <xf numFmtId="0" fontId="19" fillId="14" borderId="23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5" borderId="23" xfId="0" applyFont="1" applyFill="1" applyBorder="1" applyAlignment="1">
      <alignment horizontal="center"/>
    </xf>
    <xf numFmtId="0" fontId="19" fillId="15" borderId="15" xfId="0" applyFont="1" applyFill="1" applyBorder="1" applyAlignment="1">
      <alignment horizontal="center"/>
    </xf>
    <xf numFmtId="0" fontId="19" fillId="15" borderId="16" xfId="0" applyFont="1" applyFill="1" applyBorder="1" applyAlignment="1">
      <alignment horizontal="center"/>
    </xf>
    <xf numFmtId="0" fontId="26" fillId="6" borderId="26" xfId="0" applyFont="1" applyFill="1" applyBorder="1" applyAlignment="1">
      <alignment horizontal="center" wrapText="1"/>
    </xf>
    <xf numFmtId="0" fontId="26" fillId="6" borderId="18" xfId="0" applyFont="1" applyFill="1" applyBorder="1" applyAlignment="1">
      <alignment horizontal="center" wrapText="1"/>
    </xf>
    <xf numFmtId="0" fontId="26" fillId="6" borderId="27" xfId="0" applyFont="1" applyFill="1" applyBorder="1" applyAlignment="1">
      <alignment horizontal="center" wrapText="1"/>
    </xf>
    <xf numFmtId="0" fontId="26" fillId="6" borderId="28" xfId="0" applyFont="1" applyFill="1" applyBorder="1" applyAlignment="1">
      <alignment horizontal="center" wrapText="1"/>
    </xf>
    <xf numFmtId="0" fontId="26" fillId="6" borderId="29" xfId="0" applyFont="1" applyFill="1" applyBorder="1" applyAlignment="1">
      <alignment horizontal="center" wrapText="1"/>
    </xf>
    <xf numFmtId="0" fontId="26" fillId="6" borderId="10" xfId="0" applyFont="1" applyFill="1" applyBorder="1" applyAlignment="1">
      <alignment horizontal="center" wrapText="1"/>
    </xf>
    <xf numFmtId="0" fontId="26" fillId="6" borderId="3" xfId="0" applyFont="1" applyFill="1" applyBorder="1" applyAlignment="1">
      <alignment horizontal="center" wrapText="1"/>
    </xf>
    <xf numFmtId="0" fontId="26" fillId="6" borderId="30" xfId="0" applyFont="1" applyFill="1" applyBorder="1" applyAlignment="1">
      <alignment horizontal="center" wrapText="1"/>
    </xf>
    <xf numFmtId="0" fontId="26" fillId="6" borderId="31" xfId="0" applyFont="1" applyFill="1" applyBorder="1" applyAlignment="1">
      <alignment horizontal="center" wrapText="1"/>
    </xf>
    <xf numFmtId="0" fontId="26" fillId="6" borderId="2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172" fontId="3" fillId="0" borderId="24" xfId="0" applyNumberFormat="1" applyFont="1" applyFill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6" fillId="10" borderId="4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26" fillId="6" borderId="27" xfId="0" applyFont="1" applyFill="1" applyBorder="1" applyAlignment="1">
      <alignment horizontal="center" wrapText="1" shrinkToFit="1"/>
    </xf>
    <xf numFmtId="0" fontId="0" fillId="0" borderId="28" xfId="0" applyBorder="1" applyAlignment="1">
      <alignment horizontal="center" wrapText="1" shrinkToFit="1"/>
    </xf>
    <xf numFmtId="0" fontId="0" fillId="0" borderId="29" xfId="0" applyBorder="1" applyAlignment="1">
      <alignment horizontal="center" wrapText="1" shrinkToFit="1"/>
    </xf>
    <xf numFmtId="0" fontId="26" fillId="6" borderId="43" xfId="0" applyFont="1" applyFill="1" applyBorder="1" applyAlignment="1">
      <alignment horizontal="center" wrapText="1" shrinkToFit="1"/>
    </xf>
    <xf numFmtId="0" fontId="0" fillId="0" borderId="44" xfId="0" applyBorder="1" applyAlignment="1">
      <alignment horizontal="center" wrapText="1" shrinkToFit="1"/>
    </xf>
    <xf numFmtId="0" fontId="0" fillId="0" borderId="45" xfId="0" applyBorder="1" applyAlignment="1">
      <alignment horizontal="center" wrapText="1" shrinkToFit="1"/>
    </xf>
    <xf numFmtId="0" fontId="26" fillId="6" borderId="46" xfId="0" applyFont="1" applyFill="1" applyBorder="1" applyAlignment="1">
      <alignment horizontal="center" wrapText="1" shrinkToFit="1"/>
    </xf>
    <xf numFmtId="0" fontId="0" fillId="0" borderId="47" xfId="0" applyBorder="1" applyAlignment="1">
      <alignment horizontal="center" wrapText="1" shrinkToFit="1"/>
    </xf>
    <xf numFmtId="0" fontId="0" fillId="0" borderId="48" xfId="0" applyBorder="1" applyAlignment="1">
      <alignment horizontal="center" wrapText="1" shrinkToFit="1"/>
    </xf>
    <xf numFmtId="0" fontId="26" fillId="4" borderId="23" xfId="0" applyFont="1" applyFill="1" applyBorder="1" applyAlignment="1">
      <alignment horizontal="center" wrapText="1"/>
    </xf>
    <xf numFmtId="0" fontId="26" fillId="4" borderId="15" xfId="0" applyFont="1" applyFill="1" applyBorder="1" applyAlignment="1">
      <alignment horizontal="center" wrapText="1"/>
    </xf>
    <xf numFmtId="0" fontId="26" fillId="5" borderId="26" xfId="0" applyFont="1" applyFill="1" applyBorder="1" applyAlignment="1">
      <alignment horizontal="center" wrapText="1"/>
    </xf>
    <xf numFmtId="0" fontId="26" fillId="5" borderId="18" xfId="0" applyFont="1" applyFill="1" applyBorder="1" applyAlignment="1">
      <alignment horizontal="center" wrapText="1"/>
    </xf>
    <xf numFmtId="0" fontId="26" fillId="5" borderId="27" xfId="0" applyFont="1" applyFill="1" applyBorder="1" applyAlignment="1">
      <alignment horizontal="center" wrapText="1"/>
    </xf>
    <xf numFmtId="0" fontId="26" fillId="5" borderId="28" xfId="0" applyFont="1" applyFill="1" applyBorder="1" applyAlignment="1">
      <alignment horizontal="center" wrapText="1"/>
    </xf>
    <xf numFmtId="0" fontId="26" fillId="5" borderId="29" xfId="0" applyFont="1" applyFill="1" applyBorder="1" applyAlignment="1">
      <alignment horizontal="center" wrapText="1"/>
    </xf>
    <xf numFmtId="0" fontId="26" fillId="5" borderId="10" xfId="0" applyFont="1" applyFill="1" applyBorder="1" applyAlignment="1">
      <alignment horizontal="center" wrapText="1"/>
    </xf>
    <xf numFmtId="0" fontId="26" fillId="5" borderId="3" xfId="0" applyFont="1" applyFill="1" applyBorder="1" applyAlignment="1">
      <alignment horizontal="center" wrapText="1"/>
    </xf>
    <xf numFmtId="0" fontId="26" fillId="5" borderId="30" xfId="0" applyFont="1" applyFill="1" applyBorder="1" applyAlignment="1">
      <alignment horizontal="center" wrapText="1"/>
    </xf>
    <xf numFmtId="0" fontId="26" fillId="5" borderId="31" xfId="0" applyFont="1" applyFill="1" applyBorder="1" applyAlignment="1">
      <alignment horizontal="center" wrapText="1"/>
    </xf>
    <xf numFmtId="0" fontId="26" fillId="5" borderId="21" xfId="0" applyFont="1" applyFill="1" applyBorder="1" applyAlignment="1">
      <alignment horizontal="center" wrapText="1"/>
    </xf>
    <xf numFmtId="0" fontId="26" fillId="9" borderId="23" xfId="0" applyFont="1" applyFill="1" applyBorder="1" applyAlignment="1">
      <alignment horizontal="center" wrapText="1"/>
    </xf>
    <xf numFmtId="0" fontId="26" fillId="9" borderId="15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2" fontId="26" fillId="0" borderId="17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2" fontId="26" fillId="0" borderId="50" xfId="0" applyNumberFormat="1" applyFont="1" applyFill="1" applyBorder="1" applyAlignment="1">
      <alignment horizontal="center"/>
    </xf>
    <xf numFmtId="2" fontId="26" fillId="0" borderId="51" xfId="0" applyNumberFormat="1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0" fontId="26" fillId="16" borderId="31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/>
    </xf>
    <xf numFmtId="0" fontId="26" fillId="16" borderId="2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color rgb="FFFFFFFF"/>
      </font>
      <fill>
        <patternFill>
          <bgColor rgb="FFFF99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C20"/>
  <sheetViews>
    <sheetView workbookViewId="0" topLeftCell="A13">
      <selection activeCell="C8" sqref="C8"/>
    </sheetView>
  </sheetViews>
  <sheetFormatPr defaultColWidth="11.421875" defaultRowHeight="12.75"/>
  <cols>
    <col min="1" max="2" width="11.421875" style="171" customWidth="1"/>
    <col min="3" max="3" width="70.8515625" style="171" customWidth="1"/>
    <col min="4" max="16384" width="11.421875" style="171" customWidth="1"/>
  </cols>
  <sheetData>
    <row r="5" ht="28.5">
      <c r="C5" s="170" t="s">
        <v>134</v>
      </c>
    </row>
    <row r="6" ht="28.5">
      <c r="C6" s="170"/>
    </row>
    <row r="7" ht="28.5">
      <c r="C7" s="170"/>
    </row>
    <row r="8" ht="28.5">
      <c r="C8" s="170" t="s">
        <v>128</v>
      </c>
    </row>
    <row r="9" ht="28.5">
      <c r="C9" s="170"/>
    </row>
    <row r="10" ht="28.5">
      <c r="C10" s="170" t="s">
        <v>129</v>
      </c>
    </row>
    <row r="11" ht="28.5">
      <c r="C11" s="170"/>
    </row>
    <row r="12" ht="28.5">
      <c r="C12" s="170" t="s">
        <v>130</v>
      </c>
    </row>
    <row r="13" ht="28.5">
      <c r="C13" s="170"/>
    </row>
    <row r="14" ht="28.5">
      <c r="C14" s="170" t="s">
        <v>131</v>
      </c>
    </row>
    <row r="15" ht="28.5">
      <c r="C15" s="170"/>
    </row>
    <row r="16" ht="28.5">
      <c r="C16" s="170" t="s">
        <v>132</v>
      </c>
    </row>
    <row r="20" ht="28.5">
      <c r="C20" s="170" t="s">
        <v>135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C3:P195"/>
  <sheetViews>
    <sheetView showGridLines="0" showZeros="0" zoomScale="50" zoomScaleNormal="50" workbookViewId="0" topLeftCell="D3">
      <selection activeCell="I25" sqref="I25:K32"/>
    </sheetView>
  </sheetViews>
  <sheetFormatPr defaultColWidth="11.421875" defaultRowHeight="12.75"/>
  <cols>
    <col min="3" max="3" width="29.00390625" style="0" customWidth="1"/>
    <col min="4" max="4" width="13.00390625" style="0" customWidth="1"/>
    <col min="6" max="7" width="4.00390625" style="0" customWidth="1"/>
    <col min="9" max="9" width="35.8515625" style="0" customWidth="1"/>
    <col min="10" max="10" width="1.1484375" style="0" customWidth="1"/>
    <col min="11" max="11" width="19.8515625" style="0" bestFit="1" customWidth="1"/>
    <col min="12" max="13" width="15.8515625" style="0" customWidth="1"/>
    <col min="14" max="14" width="9.28125" style="0" customWidth="1"/>
    <col min="15" max="15" width="9.8515625" style="0" bestFit="1" customWidth="1"/>
  </cols>
  <sheetData>
    <row r="3" spans="3:16" ht="28.5" thickBot="1">
      <c r="C3" s="191" t="s">
        <v>128</v>
      </c>
      <c r="D3" s="191"/>
      <c r="E3" s="191"/>
      <c r="F3" s="191"/>
      <c r="G3" s="17"/>
      <c r="H3" s="174" t="s">
        <v>128</v>
      </c>
      <c r="I3" s="174"/>
      <c r="J3" s="174"/>
      <c r="K3" s="174"/>
      <c r="L3" s="174"/>
      <c r="M3" s="174"/>
      <c r="N3" s="174"/>
      <c r="O3" s="174"/>
      <c r="P3" s="1"/>
    </row>
    <row r="4" spans="3:15" ht="12.75">
      <c r="C4" s="175" t="s">
        <v>0</v>
      </c>
      <c r="D4" s="176"/>
      <c r="E4" s="177"/>
      <c r="H4" s="185" t="s">
        <v>2</v>
      </c>
      <c r="I4" s="186"/>
      <c r="J4" s="186"/>
      <c r="K4" s="147" t="s">
        <v>3</v>
      </c>
      <c r="L4" s="147" t="s">
        <v>120</v>
      </c>
      <c r="M4" s="147" t="s">
        <v>121</v>
      </c>
      <c r="N4" s="147" t="s">
        <v>4</v>
      </c>
      <c r="O4" s="148" t="s">
        <v>5</v>
      </c>
    </row>
    <row r="5" spans="3:15" ht="12.75">
      <c r="C5" s="76"/>
      <c r="D5" s="77"/>
      <c r="E5" s="78"/>
      <c r="H5" s="216" t="s">
        <v>0</v>
      </c>
      <c r="I5" s="217"/>
      <c r="J5" s="217"/>
      <c r="K5" s="81">
        <v>1</v>
      </c>
      <c r="L5" s="81">
        <f>IF(D6="",0,1)</f>
        <v>1</v>
      </c>
      <c r="M5" s="81">
        <f>+K5*L5</f>
        <v>1</v>
      </c>
      <c r="N5" s="138">
        <f>E14</f>
        <v>70.25868224350984</v>
      </c>
      <c r="O5" s="139">
        <f>IF(L5=1,K5*N5,0)</f>
        <v>70.25868224350984</v>
      </c>
    </row>
    <row r="6" spans="3:15" ht="12.75">
      <c r="C6" s="79" t="s">
        <v>6</v>
      </c>
      <c r="D6" s="84">
        <v>8.1</v>
      </c>
      <c r="E6" s="78"/>
      <c r="H6" s="216" t="s">
        <v>8</v>
      </c>
      <c r="I6" s="217"/>
      <c r="J6" s="217"/>
      <c r="K6" s="81">
        <v>1</v>
      </c>
      <c r="L6" s="81">
        <f>IF(D18="",0,1)</f>
        <v>1</v>
      </c>
      <c r="M6" s="81">
        <f aca="true" t="shared" si="0" ref="M6:M22">+K6*L6</f>
        <v>1</v>
      </c>
      <c r="N6" s="138">
        <f>E22</f>
        <v>93.4181177209757</v>
      </c>
      <c r="O6" s="139">
        <f aca="true" t="shared" si="1" ref="O6:O22">K6*N6</f>
        <v>93.4181177209757</v>
      </c>
    </row>
    <row r="7" spans="3:15" ht="12.75">
      <c r="C7" s="183" t="s">
        <v>122</v>
      </c>
      <c r="D7" s="184"/>
      <c r="E7" s="80">
        <f>0.2335*D6+0.44</f>
        <v>2.33135</v>
      </c>
      <c r="H7" s="216" t="s">
        <v>9</v>
      </c>
      <c r="I7" s="217"/>
      <c r="J7" s="217"/>
      <c r="K7" s="81">
        <v>0.5</v>
      </c>
      <c r="L7" s="81">
        <f>IF(D26="",0,1)</f>
        <v>1</v>
      </c>
      <c r="M7" s="81">
        <f t="shared" si="0"/>
        <v>0.5</v>
      </c>
      <c r="N7" s="138">
        <f>E32</f>
        <v>0</v>
      </c>
      <c r="O7" s="139">
        <f t="shared" si="1"/>
        <v>0</v>
      </c>
    </row>
    <row r="8" spans="3:15" ht="12.75">
      <c r="C8" s="183" t="s">
        <v>123</v>
      </c>
      <c r="D8" s="184"/>
      <c r="E8" s="80">
        <v>100</v>
      </c>
      <c r="H8" s="216" t="s">
        <v>11</v>
      </c>
      <c r="I8" s="217"/>
      <c r="J8" s="217"/>
      <c r="K8" s="81">
        <v>2</v>
      </c>
      <c r="L8" s="81">
        <f>IF(D36="",0,1)</f>
        <v>1</v>
      </c>
      <c r="M8" s="81">
        <f t="shared" si="0"/>
        <v>2</v>
      </c>
      <c r="N8" s="138">
        <f>E41</f>
        <v>8.830409500871237</v>
      </c>
      <c r="O8" s="139">
        <f t="shared" si="1"/>
        <v>17.660819001742475</v>
      </c>
    </row>
    <row r="9" spans="3:15" ht="12.75">
      <c r="C9" s="183" t="s">
        <v>124</v>
      </c>
      <c r="D9" s="184"/>
      <c r="E9" s="80">
        <f>4.22-(0.293*D6)</f>
        <v>1.8466999999999998</v>
      </c>
      <c r="H9" s="216" t="s">
        <v>12</v>
      </c>
      <c r="I9" s="217"/>
      <c r="J9" s="217"/>
      <c r="K9" s="81">
        <v>5</v>
      </c>
      <c r="L9" s="81">
        <f>IF(D45="",0,1)</f>
        <v>1</v>
      </c>
      <c r="M9" s="81">
        <f t="shared" si="0"/>
        <v>5</v>
      </c>
      <c r="N9" s="138">
        <f>E57</f>
        <v>97.43301037715344</v>
      </c>
      <c r="O9" s="139">
        <f t="shared" si="1"/>
        <v>487.1650518857672</v>
      </c>
    </row>
    <row r="10" spans="3:15" ht="12.75">
      <c r="C10" s="178" t="s">
        <v>13</v>
      </c>
      <c r="D10" s="179"/>
      <c r="E10" s="180"/>
      <c r="H10" s="216" t="s">
        <v>14</v>
      </c>
      <c r="I10" s="217"/>
      <c r="J10" s="217"/>
      <c r="K10" s="81">
        <v>5</v>
      </c>
      <c r="L10" s="81">
        <f>IF(D61="",0,1)</f>
        <v>1</v>
      </c>
      <c r="M10" s="81">
        <f t="shared" si="0"/>
        <v>5</v>
      </c>
      <c r="N10" s="138">
        <f>E65</f>
        <v>75.26413227125968</v>
      </c>
      <c r="O10" s="139">
        <f t="shared" si="1"/>
        <v>376.3206613562984</v>
      </c>
    </row>
    <row r="11" spans="3:15" ht="14.25">
      <c r="C11" s="76" t="s">
        <v>125</v>
      </c>
      <c r="D11" s="82">
        <f>POWER(10,E7)</f>
        <v>214.4618262975949</v>
      </c>
      <c r="E11" s="80">
        <f>IF(AND(D6&lt;6.7,D6&lt;&gt;""),D11,0)</f>
        <v>0</v>
      </c>
      <c r="H11" s="218" t="s">
        <v>15</v>
      </c>
      <c r="I11" s="219"/>
      <c r="J11" s="220"/>
      <c r="K11" s="81">
        <v>1</v>
      </c>
      <c r="L11" s="81">
        <f>IF(D69="",0,1)</f>
        <v>0</v>
      </c>
      <c r="M11" s="81">
        <f t="shared" si="0"/>
        <v>0</v>
      </c>
      <c r="N11" s="140">
        <f>D74</f>
        <v>0</v>
      </c>
      <c r="O11" s="139">
        <f t="shared" si="1"/>
        <v>0</v>
      </c>
    </row>
    <row r="12" spans="3:15" ht="14.25">
      <c r="C12" s="76" t="s">
        <v>126</v>
      </c>
      <c r="D12" s="82">
        <f>E8</f>
        <v>100</v>
      </c>
      <c r="E12" s="80">
        <f>IF(AND(IF(D6&gt;=6.7,D12,0),IF(D6&lt;=7.3,D12,0)),D12,0)</f>
        <v>0</v>
      </c>
      <c r="H12" s="218" t="s">
        <v>16</v>
      </c>
      <c r="I12" s="219"/>
      <c r="J12" s="220"/>
      <c r="K12" s="81">
        <v>0.5</v>
      </c>
      <c r="L12" s="81">
        <f>IF(D79="",0,1)</f>
        <v>0</v>
      </c>
      <c r="M12" s="81">
        <f t="shared" si="0"/>
        <v>0</v>
      </c>
      <c r="N12" s="140">
        <f>D84</f>
        <v>0</v>
      </c>
      <c r="O12" s="139">
        <f t="shared" si="1"/>
        <v>0</v>
      </c>
    </row>
    <row r="13" spans="3:15" ht="14.25">
      <c r="C13" s="76" t="s">
        <v>127</v>
      </c>
      <c r="D13" s="82">
        <f>POWER(10,E9)</f>
        <v>70.25868224350984</v>
      </c>
      <c r="E13" s="80">
        <f>IF(D6&gt;7.3,D13,0)</f>
        <v>70.25868224350984</v>
      </c>
      <c r="H13" s="218" t="s">
        <v>17</v>
      </c>
      <c r="I13" s="219"/>
      <c r="J13" s="220"/>
      <c r="K13" s="81">
        <v>1</v>
      </c>
      <c r="L13" s="81">
        <f>IF(D90="",0,1)</f>
        <v>0</v>
      </c>
      <c r="M13" s="81">
        <f t="shared" si="0"/>
        <v>0</v>
      </c>
      <c r="N13" s="140">
        <f>D95</f>
        <v>0</v>
      </c>
      <c r="O13" s="139">
        <f t="shared" si="1"/>
        <v>0</v>
      </c>
    </row>
    <row r="14" spans="3:15" ht="12.75">
      <c r="C14" s="181" t="s">
        <v>18</v>
      </c>
      <c r="D14" s="182"/>
      <c r="E14" s="85">
        <f>SUM(E11:E13)</f>
        <v>70.25868224350984</v>
      </c>
      <c r="H14" s="218" t="s">
        <v>19</v>
      </c>
      <c r="I14" s="219"/>
      <c r="J14" s="220"/>
      <c r="K14" s="81">
        <v>2</v>
      </c>
      <c r="L14" s="81">
        <f>IF(D101="",0,1)</f>
        <v>0</v>
      </c>
      <c r="M14" s="81">
        <f t="shared" si="0"/>
        <v>0</v>
      </c>
      <c r="N14" s="140">
        <f>D106</f>
        <v>0</v>
      </c>
      <c r="O14" s="139">
        <f t="shared" si="1"/>
        <v>0</v>
      </c>
    </row>
    <row r="15" spans="3:15" ht="13.5" thickBot="1">
      <c r="C15" s="76"/>
      <c r="D15" s="77"/>
      <c r="E15" s="78"/>
      <c r="H15" s="218" t="s">
        <v>1</v>
      </c>
      <c r="I15" s="219"/>
      <c r="J15" s="220"/>
      <c r="K15" s="81">
        <v>2</v>
      </c>
      <c r="L15" s="81">
        <f>IF(D112="",0,1)</f>
        <v>0</v>
      </c>
      <c r="M15" s="81">
        <f t="shared" si="0"/>
        <v>0</v>
      </c>
      <c r="N15" s="140">
        <f>D117</f>
        <v>0</v>
      </c>
      <c r="O15" s="139">
        <f t="shared" si="1"/>
        <v>0</v>
      </c>
    </row>
    <row r="16" spans="3:15" ht="12.75">
      <c r="C16" s="175" t="s">
        <v>8</v>
      </c>
      <c r="D16" s="176"/>
      <c r="E16" s="177"/>
      <c r="H16" s="218" t="s">
        <v>20</v>
      </c>
      <c r="I16" s="219"/>
      <c r="J16" s="220"/>
      <c r="K16" s="81">
        <v>2</v>
      </c>
      <c r="L16" s="81">
        <f>IF(D123="",0,1)</f>
        <v>0</v>
      </c>
      <c r="M16" s="81">
        <f t="shared" si="0"/>
        <v>0</v>
      </c>
      <c r="N16" s="140">
        <f>D128</f>
        <v>0</v>
      </c>
      <c r="O16" s="139">
        <f t="shared" si="1"/>
        <v>0</v>
      </c>
    </row>
    <row r="17" spans="3:15" ht="12.75">
      <c r="C17" s="76"/>
      <c r="D17" s="77"/>
      <c r="E17" s="78"/>
      <c r="H17" s="218" t="s">
        <v>22</v>
      </c>
      <c r="I17" s="219"/>
      <c r="J17" s="220"/>
      <c r="K17" s="81">
        <v>2</v>
      </c>
      <c r="L17" s="81">
        <f>IF(D134="",0,1)</f>
        <v>0</v>
      </c>
      <c r="M17" s="81">
        <f t="shared" si="0"/>
        <v>0</v>
      </c>
      <c r="N17" s="140">
        <f>D139</f>
        <v>0</v>
      </c>
      <c r="O17" s="139">
        <f t="shared" si="1"/>
        <v>0</v>
      </c>
    </row>
    <row r="18" spans="3:15" ht="12.75">
      <c r="C18" s="79" t="s">
        <v>23</v>
      </c>
      <c r="D18" s="84">
        <v>17</v>
      </c>
      <c r="E18" s="78"/>
      <c r="H18" s="218" t="s">
        <v>24</v>
      </c>
      <c r="I18" s="219"/>
      <c r="J18" s="220"/>
      <c r="K18" s="81">
        <v>1</v>
      </c>
      <c r="L18" s="81">
        <f>IF(D145="",0,1)</f>
        <v>0</v>
      </c>
      <c r="M18" s="81">
        <f t="shared" si="0"/>
        <v>0</v>
      </c>
      <c r="N18" s="140">
        <f>D150</f>
        <v>0</v>
      </c>
      <c r="O18" s="139">
        <f t="shared" si="1"/>
        <v>0</v>
      </c>
    </row>
    <row r="19" spans="3:15" ht="12.75">
      <c r="C19" s="76"/>
      <c r="D19" s="82"/>
      <c r="E19" s="78"/>
      <c r="H19" s="218" t="s">
        <v>26</v>
      </c>
      <c r="I19" s="219"/>
      <c r="J19" s="220"/>
      <c r="K19" s="81">
        <v>0.5</v>
      </c>
      <c r="L19" s="81">
        <f>IF(D155="",0,1)</f>
        <v>1</v>
      </c>
      <c r="M19" s="81">
        <f t="shared" si="0"/>
        <v>0.5</v>
      </c>
      <c r="N19" s="140">
        <f>D160</f>
        <v>81.09743059721781</v>
      </c>
      <c r="O19" s="139">
        <f t="shared" si="1"/>
        <v>40.548715298608904</v>
      </c>
    </row>
    <row r="20" spans="3:15" ht="12.75">
      <c r="C20" s="76" t="s">
        <v>27</v>
      </c>
      <c r="D20" s="82">
        <v>100</v>
      </c>
      <c r="E20" s="78">
        <f>IF(D18="",0,IF(D18&lt;14.144,D20,0))</f>
        <v>0</v>
      </c>
      <c r="H20" s="218" t="s">
        <v>29</v>
      </c>
      <c r="I20" s="219"/>
      <c r="J20" s="220"/>
      <c r="K20" s="81">
        <v>3</v>
      </c>
      <c r="L20" s="81">
        <f>IF(D167="",0,1)</f>
        <v>0</v>
      </c>
      <c r="M20" s="81">
        <f t="shared" si="0"/>
        <v>0</v>
      </c>
      <c r="N20" s="140">
        <f>D172</f>
        <v>0</v>
      </c>
      <c r="O20" s="139">
        <f t="shared" si="1"/>
        <v>0</v>
      </c>
    </row>
    <row r="21" spans="3:15" ht="12.75">
      <c r="C21" s="76" t="s">
        <v>30</v>
      </c>
      <c r="D21" s="82">
        <f>IF(OR(D18="",D18=0),0,266.5*POWER(D18,-0.37))</f>
        <v>93.4181177209757</v>
      </c>
      <c r="E21" s="86">
        <f>IF(D18&gt;14.44,D21,0)</f>
        <v>93.4181177209757</v>
      </c>
      <c r="H21" s="218" t="s">
        <v>31</v>
      </c>
      <c r="I21" s="219"/>
      <c r="J21" s="220"/>
      <c r="K21" s="81">
        <v>4</v>
      </c>
      <c r="L21" s="81">
        <f>IF(D178="",0,1)</f>
        <v>1</v>
      </c>
      <c r="M21" s="81">
        <f t="shared" si="0"/>
        <v>4</v>
      </c>
      <c r="N21" s="140">
        <f>D183</f>
        <v>25.435205751554992</v>
      </c>
      <c r="O21" s="139">
        <f t="shared" si="1"/>
        <v>101.74082300621997</v>
      </c>
    </row>
    <row r="22" spans="3:15" ht="13.5" thickBot="1">
      <c r="C22" s="181" t="s">
        <v>119</v>
      </c>
      <c r="D22" s="173"/>
      <c r="E22" s="85">
        <f>SUM(E20:E21)</f>
        <v>93.4181177209757</v>
      </c>
      <c r="H22" s="221" t="s">
        <v>32</v>
      </c>
      <c r="I22" s="222"/>
      <c r="J22" s="223"/>
      <c r="K22" s="141">
        <v>3</v>
      </c>
      <c r="L22" s="141">
        <f>IF(D189="",0,1)</f>
        <v>1</v>
      </c>
      <c r="M22" s="141">
        <f t="shared" si="0"/>
        <v>3</v>
      </c>
      <c r="N22" s="142">
        <f>D194</f>
        <v>36.012097561927014</v>
      </c>
      <c r="O22" s="143">
        <f t="shared" si="1"/>
        <v>108.03629268578104</v>
      </c>
    </row>
    <row r="23" spans="3:15" ht="13.5" thickBot="1">
      <c r="C23" s="76"/>
      <c r="D23" s="77"/>
      <c r="E23" s="78"/>
      <c r="H23" s="224" t="s">
        <v>33</v>
      </c>
      <c r="I23" s="225"/>
      <c r="J23" s="225"/>
      <c r="K23" s="144">
        <v>31.5</v>
      </c>
      <c r="L23" s="144"/>
      <c r="M23" s="144">
        <f>SUM(M5:M22)</f>
        <v>22</v>
      </c>
      <c r="N23" s="145"/>
      <c r="O23" s="146">
        <f>SUM(O5:O22)</f>
        <v>1295.1491631989034</v>
      </c>
    </row>
    <row r="24" spans="3:5" ht="13.5" thickBot="1">
      <c r="C24" s="175" t="s">
        <v>9</v>
      </c>
      <c r="D24" s="176"/>
      <c r="E24" s="177"/>
    </row>
    <row r="25" spans="3:13" ht="19.5" thickBot="1" thickTop="1">
      <c r="C25" s="87"/>
      <c r="D25" s="88"/>
      <c r="E25" s="89"/>
      <c r="I25" s="226" t="s">
        <v>34</v>
      </c>
      <c r="J25" s="227">
        <f>O23/M23</f>
        <v>58.870416509041064</v>
      </c>
      <c r="K25" s="228"/>
      <c r="L25" s="74"/>
      <c r="M25" s="74"/>
    </row>
    <row r="26" spans="3:13" ht="13.5" thickTop="1">
      <c r="C26" s="90" t="s">
        <v>35</v>
      </c>
      <c r="D26" s="84">
        <v>31020</v>
      </c>
      <c r="E26" s="89"/>
      <c r="I26" s="229"/>
      <c r="J26" s="229"/>
      <c r="K26" s="230"/>
      <c r="L26" s="5"/>
      <c r="M26" s="5"/>
    </row>
    <row r="27" spans="3:11" ht="13.5" thickBot="1">
      <c r="C27" s="87"/>
      <c r="D27" s="88"/>
      <c r="E27" s="89"/>
      <c r="I27" s="229"/>
      <c r="J27" s="229"/>
      <c r="K27" s="229"/>
    </row>
    <row r="28" spans="3:11" ht="13.5" thickTop="1">
      <c r="C28" s="91" t="s">
        <v>36</v>
      </c>
      <c r="D28" s="92">
        <v>100</v>
      </c>
      <c r="E28" s="89">
        <f>IF(D26="",0,IF(D26&lt;520,D28,0))</f>
        <v>0</v>
      </c>
      <c r="I28" s="231" t="s">
        <v>37</v>
      </c>
      <c r="J28" s="232"/>
      <c r="K28" s="233" t="s">
        <v>38</v>
      </c>
    </row>
    <row r="29" spans="3:11" ht="12.75">
      <c r="C29" s="91" t="s">
        <v>39</v>
      </c>
      <c r="D29" s="92">
        <f>109.1-0.0175*D26</f>
        <v>-433.75</v>
      </c>
      <c r="E29" s="93">
        <f>IF(AND(IF(D26&lt;=6234,D26,0),IF(D26&gt;=520,D26,0)),D29,0)</f>
        <v>0</v>
      </c>
      <c r="I29" s="234" t="s">
        <v>40</v>
      </c>
      <c r="J29" s="235"/>
      <c r="K29" s="236" t="s">
        <v>41</v>
      </c>
    </row>
    <row r="30" spans="3:11" ht="12.75">
      <c r="C30" s="91" t="s">
        <v>42</v>
      </c>
      <c r="D30" s="92">
        <v>0</v>
      </c>
      <c r="E30" s="93">
        <f>IF(D26&gt;6234,D30,0)</f>
        <v>0</v>
      </c>
      <c r="I30" s="234" t="s">
        <v>44</v>
      </c>
      <c r="J30" s="235"/>
      <c r="K30" s="236" t="s">
        <v>45</v>
      </c>
    </row>
    <row r="31" spans="3:11" ht="12.75">
      <c r="C31" s="94"/>
      <c r="D31" s="95"/>
      <c r="E31" s="89"/>
      <c r="I31" s="234" t="s">
        <v>46</v>
      </c>
      <c r="J31" s="235"/>
      <c r="K31" s="236" t="s">
        <v>47</v>
      </c>
    </row>
    <row r="32" spans="3:11" ht="13.5" thickBot="1">
      <c r="C32" s="187" t="s">
        <v>106</v>
      </c>
      <c r="D32" s="172"/>
      <c r="E32" s="85">
        <f>SUM(E28:E30)</f>
        <v>0</v>
      </c>
      <c r="I32" s="237" t="s">
        <v>48</v>
      </c>
      <c r="J32" s="238"/>
      <c r="K32" s="239" t="s">
        <v>49</v>
      </c>
    </row>
    <row r="33" spans="3:11" ht="14.25" thickBot="1" thickTop="1">
      <c r="C33" s="87"/>
      <c r="D33" s="88"/>
      <c r="E33" s="98"/>
      <c r="I33" s="240"/>
      <c r="J33" s="240"/>
      <c r="K33" s="240"/>
    </row>
    <row r="34" spans="3:5" ht="12.75">
      <c r="C34" s="175" t="s">
        <v>11</v>
      </c>
      <c r="D34" s="176"/>
      <c r="E34" s="177"/>
    </row>
    <row r="35" spans="3:5" ht="12.75">
      <c r="C35" s="87"/>
      <c r="D35" s="88"/>
      <c r="E35" s="89"/>
    </row>
    <row r="36" spans="3:5" ht="12.75">
      <c r="C36" s="99" t="s">
        <v>52</v>
      </c>
      <c r="D36" s="84">
        <v>51700</v>
      </c>
      <c r="E36" s="89"/>
    </row>
    <row r="37" spans="3:5" ht="12.75">
      <c r="C37" s="87"/>
      <c r="D37" s="100"/>
      <c r="E37" s="93"/>
    </row>
    <row r="38" spans="3:5" ht="12.75">
      <c r="C38" s="91" t="s">
        <v>53</v>
      </c>
      <c r="D38" s="92">
        <v>100</v>
      </c>
      <c r="E38" s="89">
        <f>IF(D36="",0,IF(D36&lt;85.6,D38,0))</f>
        <v>0</v>
      </c>
    </row>
    <row r="39" spans="3:8" ht="12.75">
      <c r="C39" s="91" t="s">
        <v>54</v>
      </c>
      <c r="D39" s="92">
        <f>IF(OR(D36="",D36=0),0,540*POWER(D36,-0.379))</f>
        <v>8.830409500871237</v>
      </c>
      <c r="E39" s="101">
        <f>IF(D36&gt;85.6,H39,0)</f>
        <v>8.830409500871237</v>
      </c>
      <c r="H39" s="6">
        <f>540*POWER(D36,-0.379)</f>
        <v>8.830409500871237</v>
      </c>
    </row>
    <row r="40" spans="3:5" ht="12.75">
      <c r="C40" s="87"/>
      <c r="D40" s="102"/>
      <c r="E40" s="103"/>
    </row>
    <row r="41" spans="3:5" ht="12.75">
      <c r="C41" s="87"/>
      <c r="D41" s="97" t="s">
        <v>107</v>
      </c>
      <c r="E41" s="85">
        <f>SUM(E38:E39)</f>
        <v>8.830409500871237</v>
      </c>
    </row>
    <row r="42" spans="3:5" ht="13.5" thickBot="1">
      <c r="C42" s="87"/>
      <c r="D42" s="88"/>
      <c r="E42" s="89"/>
    </row>
    <row r="43" spans="3:5" ht="12.75">
      <c r="C43" s="175" t="s">
        <v>58</v>
      </c>
      <c r="D43" s="176"/>
      <c r="E43" s="177"/>
    </row>
    <row r="44" spans="3:7" ht="17.25" customHeight="1">
      <c r="C44" s="87"/>
      <c r="D44" s="88"/>
      <c r="E44" s="104"/>
      <c r="F44" s="7"/>
      <c r="G44" s="7"/>
    </row>
    <row r="45" spans="3:5" ht="12.75">
      <c r="C45" s="87"/>
      <c r="D45" s="105" t="s">
        <v>59</v>
      </c>
      <c r="E45" s="84">
        <v>7.6</v>
      </c>
    </row>
    <row r="46" spans="3:5" ht="12.75">
      <c r="C46" s="87"/>
      <c r="D46" s="106" t="s">
        <v>61</v>
      </c>
      <c r="E46" s="107">
        <f>D56</f>
        <v>7.800231123498247</v>
      </c>
    </row>
    <row r="47" spans="3:5" ht="12.75">
      <c r="C47" s="87"/>
      <c r="D47" s="105" t="s">
        <v>62</v>
      </c>
      <c r="E47" s="134">
        <v>28.2</v>
      </c>
    </row>
    <row r="48" spans="3:5" ht="12.75">
      <c r="C48" s="87"/>
      <c r="D48" s="106" t="s">
        <v>63</v>
      </c>
      <c r="E48" s="107">
        <f>E47+273.15</f>
        <v>301.34999999999997</v>
      </c>
    </row>
    <row r="49" spans="3:5" ht="12.75">
      <c r="C49" s="87"/>
      <c r="D49" s="88"/>
      <c r="E49" s="108"/>
    </row>
    <row r="50" spans="3:5" ht="12.75">
      <c r="C50" s="87"/>
      <c r="D50" s="95">
        <v>-139.3441</v>
      </c>
      <c r="E50" s="89"/>
    </row>
    <row r="51" spans="3:5" ht="12.75">
      <c r="C51" s="87"/>
      <c r="D51" s="95">
        <f>(1.575701)*(100000/E48)</f>
        <v>522.8807035009125</v>
      </c>
      <c r="E51" s="89"/>
    </row>
    <row r="52" spans="3:5" ht="12.75">
      <c r="C52" s="87"/>
      <c r="D52" s="95">
        <f>-(6.642308)*(10000000/(E48*E48))</f>
        <v>-731.4364822928205</v>
      </c>
      <c r="E52" s="89"/>
    </row>
    <row r="53" spans="3:5" ht="12.75">
      <c r="C53" s="87"/>
      <c r="D53" s="95">
        <f>(1.2438)*(10000000000/(E48*E48*E48))</f>
        <v>454.5032206999539</v>
      </c>
      <c r="E53" s="89"/>
    </row>
    <row r="54" spans="3:5" ht="12.75">
      <c r="C54" s="87"/>
      <c r="D54" s="95">
        <f>-(8.621949)*(100000000000/(E48*E48*E48*E48))</f>
        <v>-104.5491885435716</v>
      </c>
      <c r="E54" s="89"/>
    </row>
    <row r="55" spans="3:5" ht="12.75">
      <c r="C55" s="109" t="s">
        <v>67</v>
      </c>
      <c r="D55" s="95">
        <f>SUM(D50:D54)</f>
        <v>2.054153364474274</v>
      </c>
      <c r="E55" s="89"/>
    </row>
    <row r="56" spans="3:5" ht="12.75">
      <c r="C56" s="109" t="s">
        <v>69</v>
      </c>
      <c r="D56" s="95">
        <f>EXP(D55)</f>
        <v>7.800231123498247</v>
      </c>
      <c r="E56" s="89" t="s">
        <v>70</v>
      </c>
    </row>
    <row r="57" spans="3:5" ht="12.75">
      <c r="C57" s="87"/>
      <c r="D57" s="97" t="s">
        <v>71</v>
      </c>
      <c r="E57" s="85">
        <f>(E45/E46)*100</f>
        <v>97.43301037715344</v>
      </c>
    </row>
    <row r="58" spans="3:5" ht="13.5" thickBot="1">
      <c r="C58" s="87"/>
      <c r="D58" s="88"/>
      <c r="E58" s="89"/>
    </row>
    <row r="59" spans="3:5" ht="12.75">
      <c r="C59" s="175" t="s">
        <v>72</v>
      </c>
      <c r="D59" s="176"/>
      <c r="E59" s="177"/>
    </row>
    <row r="60" spans="3:5" ht="12.75">
      <c r="C60" s="110"/>
      <c r="D60" s="111"/>
      <c r="E60" s="104"/>
    </row>
    <row r="61" spans="3:5" ht="12.75">
      <c r="C61" s="90" t="s">
        <v>74</v>
      </c>
      <c r="D61" s="135">
        <v>2</v>
      </c>
      <c r="E61" s="112"/>
    </row>
    <row r="62" spans="3:7" ht="12.75">
      <c r="C62" s="87"/>
      <c r="D62" s="88"/>
      <c r="E62" s="89"/>
      <c r="F62" s="8"/>
      <c r="G62" s="8"/>
    </row>
    <row r="63" spans="3:5" ht="12.75">
      <c r="C63" s="91" t="s">
        <v>76</v>
      </c>
      <c r="D63" s="92">
        <v>100</v>
      </c>
      <c r="E63" s="89">
        <f>IF(D61="",0,IF(D61&lt;1.311,D63,0))</f>
        <v>0</v>
      </c>
    </row>
    <row r="64" spans="3:8" ht="12.75">
      <c r="C64" s="91" t="s">
        <v>77</v>
      </c>
      <c r="D64" s="92">
        <f>IF(OR(D61="",D61=0),0,120*POWER(D61,-0.673))</f>
        <v>75.26413227125968</v>
      </c>
      <c r="E64" s="93">
        <f>IF(D61&gt;1.311,D64,0)</f>
        <v>75.26413227125968</v>
      </c>
      <c r="H64" s="3"/>
    </row>
    <row r="65" spans="3:7" ht="12.75">
      <c r="C65" s="87"/>
      <c r="D65" s="100" t="s">
        <v>79</v>
      </c>
      <c r="E65" s="85">
        <f>SUM(E63:E64)</f>
        <v>75.26413227125968</v>
      </c>
      <c r="F65" s="9"/>
      <c r="G65" s="9"/>
    </row>
    <row r="66" spans="3:5" ht="13.5" thickBot="1">
      <c r="C66" s="113"/>
      <c r="D66" s="114"/>
      <c r="E66" s="115"/>
    </row>
    <row r="67" spans="3:5" ht="12.75">
      <c r="C67" s="175" t="s">
        <v>15</v>
      </c>
      <c r="D67" s="176"/>
      <c r="E67" s="177"/>
    </row>
    <row r="68" spans="3:5" ht="16.5" customHeight="1">
      <c r="C68" s="116" t="s">
        <v>109</v>
      </c>
      <c r="D68" s="88"/>
      <c r="E68" s="89"/>
    </row>
    <row r="69" spans="3:5" ht="12.75">
      <c r="C69" s="117" t="s">
        <v>82</v>
      </c>
      <c r="D69" s="136"/>
      <c r="E69" s="89"/>
    </row>
    <row r="70" spans="3:5" ht="12.75">
      <c r="C70" s="118" t="s">
        <v>110</v>
      </c>
      <c r="D70" s="95">
        <f>IF(D69="",0,POWER(10,1.974-(0.00174*D69)))</f>
        <v>0</v>
      </c>
      <c r="E70" s="89"/>
    </row>
    <row r="71" spans="3:5" ht="12.75">
      <c r="C71" s="87"/>
      <c r="D71" s="88"/>
      <c r="E71" s="89"/>
    </row>
    <row r="72" spans="3:5" ht="12.75">
      <c r="C72" s="87" t="s">
        <v>83</v>
      </c>
      <c r="D72" s="95">
        <f>IF(D69&lt;2500,D70,0)</f>
        <v>0</v>
      </c>
      <c r="E72" s="89"/>
    </row>
    <row r="73" spans="3:5" ht="12.75">
      <c r="C73" s="87" t="s">
        <v>85</v>
      </c>
      <c r="D73" s="95">
        <f>IF(D69&gt;2500,D70,0)</f>
        <v>0</v>
      </c>
      <c r="E73" s="89"/>
    </row>
    <row r="74" spans="3:5" ht="12.75">
      <c r="C74" s="118" t="s">
        <v>110</v>
      </c>
      <c r="D74" s="85">
        <f>SUM(D72:D73)</f>
        <v>0</v>
      </c>
      <c r="E74" s="89"/>
    </row>
    <row r="75" spans="3:5" ht="13.5" thickBot="1">
      <c r="C75" s="87"/>
      <c r="D75" s="88"/>
      <c r="E75" s="89"/>
    </row>
    <row r="76" spans="3:14" ht="12.75">
      <c r="C76" s="175" t="s">
        <v>16</v>
      </c>
      <c r="D76" s="176"/>
      <c r="E76" s="177"/>
      <c r="J76" s="10"/>
      <c r="K76" s="10"/>
      <c r="L76" s="10"/>
      <c r="M76" s="10"/>
      <c r="N76" s="10"/>
    </row>
    <row r="77" spans="3:5" ht="12.75">
      <c r="C77" s="116" t="s">
        <v>7</v>
      </c>
      <c r="D77" s="88"/>
      <c r="E77" s="89"/>
    </row>
    <row r="78" spans="3:5" ht="12.75">
      <c r="C78" s="87"/>
      <c r="D78" s="88"/>
      <c r="E78" s="89"/>
    </row>
    <row r="79" spans="3:5" ht="12.75">
      <c r="C79" s="117" t="s">
        <v>89</v>
      </c>
      <c r="D79" s="136"/>
      <c r="E79" s="89"/>
    </row>
    <row r="80" spans="3:5" ht="12.75">
      <c r="C80" s="118" t="s">
        <v>112</v>
      </c>
      <c r="D80" s="95">
        <f>IF(OR(D79="",D79=0),0,34.215*POWER(D79,-0.46))</f>
        <v>0</v>
      </c>
      <c r="E80" s="89"/>
    </row>
    <row r="81" spans="3:5" ht="12.75">
      <c r="C81" s="87"/>
      <c r="D81" s="88"/>
      <c r="E81" s="89"/>
    </row>
    <row r="82" spans="3:5" ht="14.25">
      <c r="C82" s="87" t="s">
        <v>113</v>
      </c>
      <c r="D82" s="95">
        <f>IF(D79&lt;2.351,D80,0)</f>
        <v>0</v>
      </c>
      <c r="E82" s="89"/>
    </row>
    <row r="83" spans="3:5" ht="14.25">
      <c r="C83" s="87" t="s">
        <v>114</v>
      </c>
      <c r="D83" s="95">
        <f>IF(D79&gt;2.351,D80,0)</f>
        <v>0</v>
      </c>
      <c r="E83" s="89"/>
    </row>
    <row r="84" spans="3:5" ht="12.75">
      <c r="C84" s="118" t="s">
        <v>112</v>
      </c>
      <c r="D84" s="85">
        <f>SUM(D82:D83)</f>
        <v>0</v>
      </c>
      <c r="E84" s="89"/>
    </row>
    <row r="85" spans="3:5" ht="13.5" thickBot="1">
      <c r="C85" s="87"/>
      <c r="D85" s="88"/>
      <c r="E85" s="89"/>
    </row>
    <row r="86" spans="3:5" ht="12.75">
      <c r="C86" s="175" t="s">
        <v>17</v>
      </c>
      <c r="D86" s="176"/>
      <c r="E86" s="177"/>
    </row>
    <row r="87" spans="3:5" ht="12.75">
      <c r="C87" s="87"/>
      <c r="D87" s="88"/>
      <c r="E87" s="89"/>
    </row>
    <row r="88" spans="3:5" ht="12.75">
      <c r="C88" s="116" t="s">
        <v>116</v>
      </c>
      <c r="D88" s="88"/>
      <c r="E88" s="89"/>
    </row>
    <row r="89" spans="3:5" ht="12.75">
      <c r="C89" s="87"/>
      <c r="D89" s="88"/>
      <c r="E89" s="89"/>
    </row>
    <row r="90" spans="3:5" ht="12.75">
      <c r="C90" s="117" t="s">
        <v>93</v>
      </c>
      <c r="D90" s="136"/>
      <c r="E90" s="89"/>
    </row>
    <row r="91" spans="3:5" ht="15.75">
      <c r="C91" s="118" t="s">
        <v>117</v>
      </c>
      <c r="D91" s="95">
        <f>IF(OR(D90="",D90=0),0,105*POWER(D90,-0.186))</f>
        <v>0</v>
      </c>
      <c r="E91" s="89"/>
    </row>
    <row r="92" spans="3:5" ht="12.75">
      <c r="C92" s="87"/>
      <c r="D92" s="88"/>
      <c r="E92" s="89"/>
    </row>
    <row r="93" spans="3:5" ht="12.75">
      <c r="C93" s="87" t="s">
        <v>94</v>
      </c>
      <c r="D93" s="95">
        <f>IF(D90&lt;1.3,D91,0)</f>
        <v>0</v>
      </c>
      <c r="E93" s="89"/>
    </row>
    <row r="94" spans="3:5" ht="12.75">
      <c r="C94" s="87" t="s">
        <v>95</v>
      </c>
      <c r="D94" s="95">
        <f>IF(D90&gt;1.3,D91,0)</f>
        <v>0</v>
      </c>
      <c r="E94" s="89"/>
    </row>
    <row r="95" spans="3:5" ht="15.75">
      <c r="C95" s="118" t="s">
        <v>117</v>
      </c>
      <c r="D95" s="85">
        <f>SUM(D93:D94)</f>
        <v>0</v>
      </c>
      <c r="E95" s="89"/>
    </row>
    <row r="96" spans="3:5" ht="13.5" thickBot="1">
      <c r="C96" s="87"/>
      <c r="D96" s="88"/>
      <c r="E96" s="89"/>
    </row>
    <row r="97" spans="3:5" ht="12.75">
      <c r="C97" s="175" t="s">
        <v>19</v>
      </c>
      <c r="D97" s="176"/>
      <c r="E97" s="177"/>
    </row>
    <row r="98" spans="3:5" ht="12.75">
      <c r="C98" s="87"/>
      <c r="D98" s="88"/>
      <c r="E98" s="89"/>
    </row>
    <row r="99" spans="3:5" ht="12.75">
      <c r="C99" s="116" t="s">
        <v>96</v>
      </c>
      <c r="D99" s="88"/>
      <c r="E99" s="89"/>
    </row>
    <row r="100" spans="3:5" ht="12.75">
      <c r="C100" s="87"/>
      <c r="D100" s="88"/>
      <c r="E100" s="89"/>
    </row>
    <row r="101" spans="3:14" ht="12.75">
      <c r="C101" s="117" t="s">
        <v>97</v>
      </c>
      <c r="D101" s="136"/>
      <c r="E101" s="89"/>
      <c r="J101" s="189"/>
      <c r="K101" s="189"/>
      <c r="L101" s="189"/>
      <c r="M101" s="189"/>
      <c r="N101" s="189"/>
    </row>
    <row r="102" spans="3:14" ht="15.75">
      <c r="C102" s="118" t="s">
        <v>118</v>
      </c>
      <c r="D102" s="95">
        <f>IF(OR(D101="",D101=0),0,87.25*POWER(D101,-0.298))</f>
        <v>0</v>
      </c>
      <c r="E102" s="89"/>
      <c r="H102" s="2"/>
      <c r="J102" s="189"/>
      <c r="K102" s="189"/>
      <c r="L102" s="189"/>
      <c r="M102" s="189"/>
      <c r="N102" s="189"/>
    </row>
    <row r="103" spans="3:14" ht="12.75">
      <c r="C103" s="87"/>
      <c r="D103" s="88"/>
      <c r="E103" s="89"/>
      <c r="J103" s="189"/>
      <c r="K103" s="189"/>
      <c r="L103" s="189"/>
      <c r="M103" s="189"/>
      <c r="N103" s="189"/>
    </row>
    <row r="104" spans="3:5" ht="12.75">
      <c r="C104" s="87" t="s">
        <v>98</v>
      </c>
      <c r="D104" s="95">
        <f>IF(D101&lt;0.633,D102,0)</f>
        <v>0</v>
      </c>
      <c r="E104" s="89"/>
    </row>
    <row r="105" spans="3:5" ht="12.75">
      <c r="C105" s="87" t="s">
        <v>99</v>
      </c>
      <c r="D105" s="95">
        <f>IF(D101&gt;0.633,D102,0)</f>
        <v>0</v>
      </c>
      <c r="E105" s="89"/>
    </row>
    <row r="106" spans="3:5" ht="15.75">
      <c r="C106" s="118" t="s">
        <v>118</v>
      </c>
      <c r="D106" s="85">
        <f>SUM(D104:D105)</f>
        <v>0</v>
      </c>
      <c r="E106" s="89"/>
    </row>
    <row r="107" spans="3:5" ht="13.5" thickBot="1">
      <c r="C107" s="113"/>
      <c r="D107" s="114"/>
      <c r="E107" s="115"/>
    </row>
    <row r="108" spans="3:5" ht="12.75">
      <c r="C108" s="175" t="s">
        <v>1</v>
      </c>
      <c r="D108" s="176"/>
      <c r="E108" s="177"/>
    </row>
    <row r="109" spans="3:5" ht="12.75">
      <c r="C109" s="87"/>
      <c r="D109" s="88"/>
      <c r="E109" s="89"/>
    </row>
    <row r="110" spans="3:5" ht="15" customHeight="1">
      <c r="C110" s="116" t="s">
        <v>7</v>
      </c>
      <c r="D110" s="88"/>
      <c r="E110" s="119"/>
    </row>
    <row r="111" spans="3:5" ht="12.75">
      <c r="C111" s="87"/>
      <c r="D111" s="88"/>
      <c r="E111" s="89"/>
    </row>
    <row r="112" spans="3:5" ht="12.75">
      <c r="C112" s="117" t="s">
        <v>10</v>
      </c>
      <c r="D112" s="137"/>
      <c r="E112" s="89"/>
    </row>
    <row r="113" spans="3:8" ht="12.75">
      <c r="C113" s="118" t="s">
        <v>101</v>
      </c>
      <c r="D113" s="95">
        <f>IF(OR(D112="",D112=0),0,162.2*POWER(D112,-0.343))</f>
        <v>0</v>
      </c>
      <c r="E113" s="89"/>
      <c r="H113" s="11"/>
    </row>
    <row r="114" spans="3:5" ht="12.75">
      <c r="C114" s="87"/>
      <c r="D114" s="88"/>
      <c r="E114" s="89"/>
    </row>
    <row r="115" spans="3:5" ht="12.75">
      <c r="C115" s="87" t="s">
        <v>102</v>
      </c>
      <c r="D115" s="95">
        <f>IF(D112&lt;4.097,D113,0)</f>
        <v>0</v>
      </c>
      <c r="E115" s="89"/>
    </row>
    <row r="116" spans="3:5" ht="12.75">
      <c r="C116" s="87" t="s">
        <v>103</v>
      </c>
      <c r="D116" s="95">
        <f>IF(D112&gt;4.097,D113,0)</f>
        <v>0</v>
      </c>
      <c r="E116" s="89"/>
    </row>
    <row r="117" spans="3:5" ht="12.75">
      <c r="C117" s="118" t="s">
        <v>101</v>
      </c>
      <c r="D117" s="85">
        <f>SUM(D115:D116)</f>
        <v>0</v>
      </c>
      <c r="E117" s="89"/>
    </row>
    <row r="118" spans="3:5" ht="13.5" thickBot="1">
      <c r="C118" s="87"/>
      <c r="D118" s="88"/>
      <c r="E118" s="89"/>
    </row>
    <row r="119" spans="3:5" ht="12.75">
      <c r="C119" s="175" t="s">
        <v>20</v>
      </c>
      <c r="D119" s="176"/>
      <c r="E119" s="177"/>
    </row>
    <row r="120" spans="3:5" ht="12.75">
      <c r="C120" s="120"/>
      <c r="D120" s="121"/>
      <c r="E120" s="122"/>
    </row>
    <row r="121" spans="3:5" ht="12.75">
      <c r="C121" s="116" t="s">
        <v>21</v>
      </c>
      <c r="D121" s="88"/>
      <c r="E121" s="89"/>
    </row>
    <row r="122" spans="3:5" ht="12.75">
      <c r="C122" s="87"/>
      <c r="D122" s="88"/>
      <c r="E122" s="89"/>
    </row>
    <row r="123" spans="3:5" ht="12.75">
      <c r="C123" s="117" t="s">
        <v>25</v>
      </c>
      <c r="D123" s="136"/>
      <c r="E123" s="89"/>
    </row>
    <row r="124" spans="3:8" ht="15.75">
      <c r="C124" s="118" t="s">
        <v>28</v>
      </c>
      <c r="D124" s="95">
        <f>IF(OR(D123="",D123=0),0,45.8*POWER(D123,-0.343))</f>
        <v>0</v>
      </c>
      <c r="E124" s="89"/>
      <c r="H124" s="2"/>
    </row>
    <row r="125" spans="3:5" ht="12.75">
      <c r="C125" s="87"/>
      <c r="D125" s="88"/>
      <c r="E125" s="89"/>
    </row>
    <row r="126" spans="3:5" ht="12.75">
      <c r="C126" s="87" t="s">
        <v>104</v>
      </c>
      <c r="D126" s="95">
        <f>IF(D123&lt;0.11,D124,0)</f>
        <v>0</v>
      </c>
      <c r="E126" s="89"/>
    </row>
    <row r="127" spans="3:5" ht="12.75">
      <c r="C127" s="87" t="s">
        <v>104</v>
      </c>
      <c r="D127" s="95">
        <f>IF(D123&gt;0.11,D124,0)</f>
        <v>0</v>
      </c>
      <c r="E127" s="89"/>
    </row>
    <row r="128" spans="3:5" ht="15.75">
      <c r="C128" s="118" t="s">
        <v>28</v>
      </c>
      <c r="D128" s="85">
        <f>SUM(D126:D127)</f>
        <v>0</v>
      </c>
      <c r="E128" s="89"/>
    </row>
    <row r="129" spans="3:5" ht="13.5" thickBot="1">
      <c r="C129" s="87"/>
      <c r="D129" s="95"/>
      <c r="E129" s="89"/>
    </row>
    <row r="130" spans="3:5" ht="12.75">
      <c r="C130" s="175" t="s">
        <v>22</v>
      </c>
      <c r="D130" s="176"/>
      <c r="E130" s="177"/>
    </row>
    <row r="131" spans="3:5" ht="12.75">
      <c r="C131" s="87"/>
      <c r="D131" s="88"/>
      <c r="E131" s="89"/>
    </row>
    <row r="132" spans="3:5" ht="12.75">
      <c r="C132" s="116" t="s">
        <v>7</v>
      </c>
      <c r="D132" s="88"/>
      <c r="E132" s="89"/>
    </row>
    <row r="133" spans="3:5" ht="12.75">
      <c r="C133" s="87"/>
      <c r="D133" s="88"/>
      <c r="E133" s="89"/>
    </row>
    <row r="134" spans="3:5" ht="12.75">
      <c r="C134" s="117" t="s">
        <v>43</v>
      </c>
      <c r="D134" s="136"/>
      <c r="E134" s="89"/>
    </row>
    <row r="135" spans="3:5" ht="12.75">
      <c r="C135" s="118" t="s">
        <v>105</v>
      </c>
      <c r="D135" s="95">
        <f>IF(OR(D134="",D134=0),0,34.215*POWER(D134,-0.46))</f>
        <v>0</v>
      </c>
      <c r="E135" s="89"/>
    </row>
    <row r="136" spans="3:5" ht="12.75">
      <c r="C136" s="87"/>
      <c r="D136" s="88"/>
      <c r="E136" s="89"/>
    </row>
    <row r="137" spans="3:5" ht="15.75">
      <c r="C137" s="87" t="s">
        <v>50</v>
      </c>
      <c r="D137" s="95">
        <f>IF(D134&lt;0.0971,D135,0)</f>
        <v>0</v>
      </c>
      <c r="E137" s="89"/>
    </row>
    <row r="138" spans="3:5" ht="15.75">
      <c r="C138" s="87" t="s">
        <v>51</v>
      </c>
      <c r="D138" s="95">
        <f>IF(D134&gt;0.0971,D135,0)</f>
        <v>0</v>
      </c>
      <c r="E138" s="89"/>
    </row>
    <row r="139" spans="3:5" ht="12.75">
      <c r="C139" s="118" t="s">
        <v>105</v>
      </c>
      <c r="D139" s="85">
        <f>SUM(D137:D138)</f>
        <v>0</v>
      </c>
      <c r="E139" s="89"/>
    </row>
    <row r="140" spans="3:5" ht="13.5" thickBot="1">
      <c r="C140" s="87"/>
      <c r="D140" s="88"/>
      <c r="E140" s="89"/>
    </row>
    <row r="141" spans="3:5" ht="12.75">
      <c r="C141" s="175" t="s">
        <v>24</v>
      </c>
      <c r="D141" s="176"/>
      <c r="E141" s="177"/>
    </row>
    <row r="142" spans="3:5" ht="12.75">
      <c r="C142" s="87"/>
      <c r="D142" s="88"/>
      <c r="E142" s="89"/>
    </row>
    <row r="143" spans="3:5" ht="12.75">
      <c r="C143" s="116" t="s">
        <v>55</v>
      </c>
      <c r="D143" s="88"/>
      <c r="E143" s="89"/>
    </row>
    <row r="144" spans="3:5" ht="12.75">
      <c r="C144" s="87"/>
      <c r="D144" s="88"/>
      <c r="E144" s="89"/>
    </row>
    <row r="145" spans="3:5" ht="12.75">
      <c r="C145" s="117" t="s">
        <v>56</v>
      </c>
      <c r="D145" s="136"/>
      <c r="E145" s="89"/>
    </row>
    <row r="146" spans="3:5" ht="15.75">
      <c r="C146" s="118" t="s">
        <v>57</v>
      </c>
      <c r="D146" s="95">
        <f>IF(OR(D145="",D145=0),0,123*POWER(D145,-0.295))</f>
        <v>0</v>
      </c>
      <c r="E146" s="89"/>
    </row>
    <row r="147" spans="3:5" ht="12.75">
      <c r="C147" s="87"/>
      <c r="D147" s="95"/>
      <c r="E147" s="89"/>
    </row>
    <row r="148" spans="3:5" ht="12.75">
      <c r="C148" s="87" t="s">
        <v>100</v>
      </c>
      <c r="D148" s="95">
        <f>IF(D145&lt;2.018,D146,0)</f>
        <v>0</v>
      </c>
      <c r="E148" s="89"/>
    </row>
    <row r="149" spans="3:5" ht="12.75">
      <c r="C149" s="87" t="s">
        <v>60</v>
      </c>
      <c r="D149" s="95">
        <f>IF(D145&gt;2.018,D146,0)</f>
        <v>0</v>
      </c>
      <c r="E149" s="89"/>
    </row>
    <row r="150" spans="3:5" ht="15.75">
      <c r="C150" s="118" t="s">
        <v>57</v>
      </c>
      <c r="D150" s="85">
        <f>SUM(D148:D149)</f>
        <v>0</v>
      </c>
      <c r="E150" s="89"/>
    </row>
    <row r="151" spans="3:5" ht="13.5" thickBot="1">
      <c r="C151" s="87"/>
      <c r="D151" s="88"/>
      <c r="E151" s="89"/>
    </row>
    <row r="152" spans="3:5" ht="12.75">
      <c r="C152" s="175" t="s">
        <v>26</v>
      </c>
      <c r="D152" s="176"/>
      <c r="E152" s="177"/>
    </row>
    <row r="153" spans="3:7" ht="20.25">
      <c r="C153" s="116" t="s">
        <v>64</v>
      </c>
      <c r="D153" s="88"/>
      <c r="E153" s="123"/>
      <c r="F153" s="12"/>
      <c r="G153" s="12"/>
    </row>
    <row r="154" spans="3:5" ht="12.75">
      <c r="C154" s="87"/>
      <c r="D154" s="88"/>
      <c r="E154" s="89"/>
    </row>
    <row r="155" spans="3:5" ht="12.75">
      <c r="C155" s="117" t="s">
        <v>65</v>
      </c>
      <c r="D155" s="84">
        <v>5</v>
      </c>
      <c r="E155" s="89"/>
    </row>
    <row r="156" spans="3:5" ht="15.75">
      <c r="C156" s="118" t="s">
        <v>108</v>
      </c>
      <c r="D156" s="95">
        <f>IF(OR(D155="",D155=0),0,108*POWER(D155,-0.178))</f>
        <v>81.09743059721781</v>
      </c>
      <c r="E156" s="89"/>
    </row>
    <row r="157" spans="3:5" ht="12.75">
      <c r="C157" s="87"/>
      <c r="D157" s="88"/>
      <c r="E157" s="89"/>
    </row>
    <row r="158" spans="3:5" ht="12.75">
      <c r="C158" s="87" t="s">
        <v>66</v>
      </c>
      <c r="D158" s="95">
        <f>IF(D155&lt;1.54,D156,0)</f>
        <v>0</v>
      </c>
      <c r="E158" s="89"/>
    </row>
    <row r="159" spans="3:5" ht="12.75">
      <c r="C159" s="87" t="s">
        <v>68</v>
      </c>
      <c r="D159" s="95">
        <f>IF(D155&gt;1.54,D156,0)</f>
        <v>81.09743059721781</v>
      </c>
      <c r="E159" s="89"/>
    </row>
    <row r="160" spans="3:5" ht="15.75">
      <c r="C160" s="118" t="s">
        <v>108</v>
      </c>
      <c r="D160" s="85">
        <f>SUM(D158:D159)</f>
        <v>81.09743059721781</v>
      </c>
      <c r="E160" s="89"/>
    </row>
    <row r="161" spans="3:5" ht="13.5" thickBot="1">
      <c r="C161" s="87"/>
      <c r="D161" s="88"/>
      <c r="E161" s="89"/>
    </row>
    <row r="162" spans="3:5" ht="12.75">
      <c r="C162" s="175" t="s">
        <v>29</v>
      </c>
      <c r="D162" s="176"/>
      <c r="E162" s="177"/>
    </row>
    <row r="163" spans="3:14" ht="20.25">
      <c r="C163" s="116" t="s">
        <v>73</v>
      </c>
      <c r="D163" s="88"/>
      <c r="E163" s="89"/>
      <c r="J163" s="13"/>
      <c r="K163" s="188"/>
      <c r="L163" s="188"/>
      <c r="M163" s="188"/>
      <c r="N163" s="188"/>
    </row>
    <row r="164" spans="3:7" ht="8.25" customHeight="1">
      <c r="C164" s="87"/>
      <c r="D164" s="124"/>
      <c r="E164" s="125"/>
      <c r="F164" s="14"/>
      <c r="G164" s="14"/>
    </row>
    <row r="165" spans="3:5" ht="14.25" customHeight="1">
      <c r="C165" s="116" t="s">
        <v>75</v>
      </c>
      <c r="D165" s="126"/>
      <c r="E165" s="89"/>
    </row>
    <row r="166" spans="3:14" ht="12.75">
      <c r="C166" s="87"/>
      <c r="D166" s="88"/>
      <c r="E166" s="89"/>
      <c r="N166" s="15"/>
    </row>
    <row r="167" spans="3:5" ht="12.75">
      <c r="C167" s="117" t="s">
        <v>29</v>
      </c>
      <c r="D167" s="136"/>
      <c r="E167" s="89"/>
    </row>
    <row r="168" spans="3:15" ht="15.75">
      <c r="C168" s="118" t="s">
        <v>78</v>
      </c>
      <c r="D168" s="127">
        <f>IF(D167="",0,(100-(16.678*D167)+(0.1587*POWER(D167,2))))</f>
        <v>0</v>
      </c>
      <c r="E168" s="89"/>
      <c r="O168" s="8"/>
    </row>
    <row r="169" spans="3:15" ht="12.75">
      <c r="C169" s="87"/>
      <c r="D169" s="88"/>
      <c r="E169" s="89"/>
      <c r="O169" s="8"/>
    </row>
    <row r="170" spans="3:15" ht="12.75">
      <c r="C170" s="87" t="s">
        <v>80</v>
      </c>
      <c r="D170" s="95">
        <f>IF(D167&lt;6.384,D168,0)</f>
        <v>0</v>
      </c>
      <c r="E170" s="89"/>
      <c r="O170" s="8"/>
    </row>
    <row r="171" spans="3:5" ht="12.75">
      <c r="C171" s="87" t="s">
        <v>81</v>
      </c>
      <c r="D171" s="95">
        <f>IF(D167&gt;6.384,D168,0)</f>
        <v>0</v>
      </c>
      <c r="E171" s="89"/>
    </row>
    <row r="172" spans="3:5" ht="15.75">
      <c r="C172" s="118" t="s">
        <v>78</v>
      </c>
      <c r="D172" s="85">
        <f>SUM(D170:D171)</f>
        <v>0</v>
      </c>
      <c r="E172" s="89"/>
    </row>
    <row r="173" spans="3:15" ht="21" thickBot="1">
      <c r="C173" s="87"/>
      <c r="D173" s="88"/>
      <c r="E173" s="89"/>
      <c r="J173" s="190"/>
      <c r="K173" s="190"/>
      <c r="L173" s="190"/>
      <c r="M173" s="190"/>
      <c r="N173" s="190"/>
      <c r="O173" s="190"/>
    </row>
    <row r="174" spans="3:14" ht="12.75">
      <c r="C174" s="175" t="s">
        <v>31</v>
      </c>
      <c r="D174" s="176"/>
      <c r="E174" s="177"/>
      <c r="J174" s="189"/>
      <c r="K174" s="189"/>
      <c r="L174" s="189"/>
      <c r="M174" s="189"/>
      <c r="N174" s="189"/>
    </row>
    <row r="175" spans="3:14" ht="12.75">
      <c r="C175" s="87"/>
      <c r="D175" s="88"/>
      <c r="E175" s="89"/>
      <c r="J175" s="189"/>
      <c r="K175" s="189"/>
      <c r="L175" s="189"/>
      <c r="M175" s="189"/>
      <c r="N175" s="189"/>
    </row>
    <row r="176" spans="3:14" ht="20.25">
      <c r="C176" s="116" t="s">
        <v>84</v>
      </c>
      <c r="D176" s="124"/>
      <c r="E176" s="89"/>
      <c r="J176" s="189"/>
      <c r="K176" s="189"/>
      <c r="L176" s="189"/>
      <c r="M176" s="189"/>
      <c r="N176" s="189"/>
    </row>
    <row r="177" spans="3:14" ht="12.75">
      <c r="C177" s="87"/>
      <c r="D177" s="88"/>
      <c r="E177" s="89"/>
      <c r="J177" s="189"/>
      <c r="K177" s="189"/>
      <c r="L177" s="189"/>
      <c r="M177" s="189"/>
      <c r="N177" s="189"/>
    </row>
    <row r="178" spans="3:14" ht="12.75">
      <c r="C178" s="117" t="s">
        <v>86</v>
      </c>
      <c r="D178" s="84">
        <v>29</v>
      </c>
      <c r="E178" s="89"/>
      <c r="J178" s="10"/>
      <c r="K178" s="10"/>
      <c r="L178" s="10"/>
      <c r="M178" s="10"/>
      <c r="N178" s="10"/>
    </row>
    <row r="179" spans="3:15" ht="14.25">
      <c r="C179" s="96" t="s">
        <v>111</v>
      </c>
      <c r="D179" s="127">
        <f>IF(D178="",0,IF(D178&lt;=0,0,97.5*POWER(5*D178,-0.27)))</f>
        <v>25.435205751554992</v>
      </c>
      <c r="E179" s="89"/>
      <c r="H179" s="15"/>
      <c r="J179" s="189"/>
      <c r="K179" s="189"/>
      <c r="L179" s="189"/>
      <c r="M179" s="189"/>
      <c r="N179" s="189"/>
      <c r="O179" s="8"/>
    </row>
    <row r="180" spans="3:15" ht="12.75">
      <c r="C180" s="87"/>
      <c r="D180" s="88"/>
      <c r="E180" s="89"/>
      <c r="J180" s="189"/>
      <c r="K180" s="189"/>
      <c r="L180" s="189"/>
      <c r="M180" s="189"/>
      <c r="N180" s="189"/>
      <c r="O180" s="8"/>
    </row>
    <row r="181" spans="3:15" ht="12.75">
      <c r="C181" s="87" t="s">
        <v>87</v>
      </c>
      <c r="D181" s="95">
        <f>IF(D178="",0,IF(D179&lt;1.311,100,0))</f>
        <v>0</v>
      </c>
      <c r="E181" s="89"/>
      <c r="J181" s="189"/>
      <c r="K181" s="189"/>
      <c r="L181" s="189"/>
      <c r="M181" s="189"/>
      <c r="N181" s="189"/>
      <c r="O181" s="8"/>
    </row>
    <row r="182" spans="3:14" ht="12.75">
      <c r="C182" s="87" t="s">
        <v>88</v>
      </c>
      <c r="D182" s="95">
        <f>IF(D179&gt;1.311,D179,0)</f>
        <v>25.435205751554992</v>
      </c>
      <c r="E182" s="89"/>
      <c r="J182" s="189"/>
      <c r="K182" s="189"/>
      <c r="L182" s="189"/>
      <c r="M182" s="189"/>
      <c r="N182" s="189"/>
    </row>
    <row r="183" spans="3:14" ht="14.25">
      <c r="C183" s="96" t="s">
        <v>111</v>
      </c>
      <c r="D183" s="85">
        <f>SUM(D181:D182)</f>
        <v>25.435205751554992</v>
      </c>
      <c r="E183" s="89"/>
      <c r="J183" s="16"/>
      <c r="K183" s="16"/>
      <c r="L183" s="16"/>
      <c r="M183" s="16"/>
      <c r="N183" s="16"/>
    </row>
    <row r="184" spans="3:14" ht="13.5" thickBot="1">
      <c r="C184" s="113"/>
      <c r="D184" s="128"/>
      <c r="E184" s="115"/>
      <c r="J184" s="16"/>
      <c r="K184" s="16"/>
      <c r="L184" s="16"/>
      <c r="M184" s="16"/>
      <c r="N184" s="16"/>
    </row>
    <row r="185" spans="3:5" ht="12.75">
      <c r="C185" s="175" t="s">
        <v>32</v>
      </c>
      <c r="D185" s="176"/>
      <c r="E185" s="177"/>
    </row>
    <row r="186" spans="3:5" ht="12.75">
      <c r="C186" s="110"/>
      <c r="D186" s="111"/>
      <c r="E186" s="104"/>
    </row>
    <row r="187" spans="3:5" ht="12.75">
      <c r="C187" s="116" t="s">
        <v>84</v>
      </c>
      <c r="D187" s="88"/>
      <c r="E187" s="89"/>
    </row>
    <row r="188" spans="3:5" ht="12.75">
      <c r="C188" s="87"/>
      <c r="D188" s="88"/>
      <c r="E188" s="89"/>
    </row>
    <row r="189" spans="3:5" ht="12.75">
      <c r="C189" s="117" t="s">
        <v>90</v>
      </c>
      <c r="D189" s="84">
        <v>40</v>
      </c>
      <c r="E189" s="89"/>
    </row>
    <row r="190" spans="3:5" ht="14.25">
      <c r="C190" s="96" t="s">
        <v>115</v>
      </c>
      <c r="D190" s="129">
        <f>IF(D189&lt;=0,0,97.5*POWER(D189,-0.27))</f>
        <v>36.012097561927014</v>
      </c>
      <c r="E190" s="89"/>
    </row>
    <row r="191" spans="3:5" ht="12.75">
      <c r="C191" s="87"/>
      <c r="D191" s="88"/>
      <c r="E191" s="89"/>
    </row>
    <row r="192" spans="3:5" ht="12.75">
      <c r="C192" s="87" t="s">
        <v>91</v>
      </c>
      <c r="D192" s="130">
        <f>IF(D189="",0,IF(D189&lt;=0,100,0))</f>
        <v>0</v>
      </c>
      <c r="E192" s="89"/>
    </row>
    <row r="193" spans="3:5" ht="12.75">
      <c r="C193" s="87" t="s">
        <v>92</v>
      </c>
      <c r="D193" s="95">
        <f>IF(D189&gt;0,D190,0)</f>
        <v>36.012097561927014</v>
      </c>
      <c r="E193" s="89"/>
    </row>
    <row r="194" spans="3:5" ht="14.25">
      <c r="C194" s="96" t="s">
        <v>115</v>
      </c>
      <c r="D194" s="85">
        <f>SUM(D192:D193)</f>
        <v>36.012097561927014</v>
      </c>
      <c r="E194" s="89"/>
    </row>
    <row r="195" spans="3:5" ht="13.5" thickBot="1">
      <c r="C195" s="131"/>
      <c r="D195" s="132"/>
      <c r="E195" s="133"/>
    </row>
  </sheetData>
  <mergeCells count="66">
    <mergeCell ref="J25:K25"/>
    <mergeCell ref="J182:N182"/>
    <mergeCell ref="J181:N181"/>
    <mergeCell ref="J174:N174"/>
    <mergeCell ref="J175:N175"/>
    <mergeCell ref="J176:N176"/>
    <mergeCell ref="J177:N177"/>
    <mergeCell ref="J179:N179"/>
    <mergeCell ref="J180:N180"/>
    <mergeCell ref="J101:N101"/>
    <mergeCell ref="C185:E185"/>
    <mergeCell ref="C162:E162"/>
    <mergeCell ref="C174:E174"/>
    <mergeCell ref="C3:F3"/>
    <mergeCell ref="C152:E152"/>
    <mergeCell ref="C97:E97"/>
    <mergeCell ref="C130:E130"/>
    <mergeCell ref="C141:E141"/>
    <mergeCell ref="C119:E119"/>
    <mergeCell ref="C108:E108"/>
    <mergeCell ref="K163:N163"/>
    <mergeCell ref="J102:N102"/>
    <mergeCell ref="J103:N103"/>
    <mergeCell ref="J173:O173"/>
    <mergeCell ref="C67:E67"/>
    <mergeCell ref="C76:E76"/>
    <mergeCell ref="C86:E86"/>
    <mergeCell ref="I32:J32"/>
    <mergeCell ref="C34:E34"/>
    <mergeCell ref="C43:E43"/>
    <mergeCell ref="C59:E59"/>
    <mergeCell ref="I31:J31"/>
    <mergeCell ref="C16:E16"/>
    <mergeCell ref="C32:D32"/>
    <mergeCell ref="C22:D22"/>
    <mergeCell ref="C24:E24"/>
    <mergeCell ref="H23:J23"/>
    <mergeCell ref="I28:J28"/>
    <mergeCell ref="I29:J29"/>
    <mergeCell ref="I30:J30"/>
    <mergeCell ref="H19:J19"/>
    <mergeCell ref="H20:J20"/>
    <mergeCell ref="H21:J21"/>
    <mergeCell ref="H22:J22"/>
    <mergeCell ref="H15:J15"/>
    <mergeCell ref="H16:J16"/>
    <mergeCell ref="H17:J17"/>
    <mergeCell ref="H18:J18"/>
    <mergeCell ref="H11:J11"/>
    <mergeCell ref="H12:J12"/>
    <mergeCell ref="H13:J13"/>
    <mergeCell ref="H14:J14"/>
    <mergeCell ref="H7:J7"/>
    <mergeCell ref="H8:J8"/>
    <mergeCell ref="H9:J9"/>
    <mergeCell ref="H10:J10"/>
    <mergeCell ref="H3:O3"/>
    <mergeCell ref="C4:E4"/>
    <mergeCell ref="C10:E10"/>
    <mergeCell ref="C14:D14"/>
    <mergeCell ref="C7:D7"/>
    <mergeCell ref="C8:D8"/>
    <mergeCell ref="C9:D9"/>
    <mergeCell ref="H4:J4"/>
    <mergeCell ref="H5:J5"/>
    <mergeCell ref="H6:J6"/>
  </mergeCells>
  <conditionalFormatting sqref="J25">
    <cfRule type="cellIs" priority="1" dxfId="0" operator="between" stopIfTrue="1">
      <formula>50</formula>
      <formula>69</formula>
    </cfRule>
    <cfRule type="cellIs" priority="2" dxfId="1" operator="between" stopIfTrue="1">
      <formula>30</formula>
      <formula>49</formula>
    </cfRule>
    <cfRule type="cellIs" priority="3" dxfId="2" operator="between" stopIfTrue="1">
      <formula>0</formula>
      <formula>29</formula>
    </cfRule>
  </conditionalFormatting>
  <conditionalFormatting sqref="D7:D8">
    <cfRule type="cellIs" priority="4" dxfId="3" operator="lessThan" stopIfTrue="1">
      <formula>6.7</formula>
    </cfRule>
  </conditionalFormatting>
  <printOptions/>
  <pageMargins left="1" right="0.41" top="0.91" bottom="1.06" header="0.42" footer="0.55"/>
  <pageSetup horizontalDpi="600" verticalDpi="600" orientation="portrait" scale="87" r:id="rId1"/>
  <headerFooter alignWithMargins="0">
    <oddHeader>&amp;LIndice de Calidad del Agua</oddHeader>
    <oddFooter>&amp;LCalidad del Agua</oddFooter>
  </headerFooter>
  <ignoredErrors>
    <ignoredError sqref="D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C3:P195"/>
  <sheetViews>
    <sheetView showGridLines="0" showZeros="0" zoomScale="50" zoomScaleNormal="50" workbookViewId="0" topLeftCell="A7">
      <selection activeCell="J43" sqref="J43"/>
    </sheetView>
  </sheetViews>
  <sheetFormatPr defaultColWidth="11.421875" defaultRowHeight="12.75"/>
  <cols>
    <col min="3" max="3" width="29.00390625" style="0" customWidth="1"/>
    <col min="4" max="4" width="13.00390625" style="0" customWidth="1"/>
    <col min="6" max="7" width="4.00390625" style="0" customWidth="1"/>
    <col min="9" max="9" width="10.7109375" style="0" customWidth="1"/>
    <col min="10" max="10" width="28.57421875" style="0" customWidth="1"/>
    <col min="11" max="11" width="19.8515625" style="0" bestFit="1" customWidth="1"/>
    <col min="12" max="12" width="15.8515625" style="0" customWidth="1"/>
    <col min="13" max="13" width="17.8515625" style="0" bestFit="1" customWidth="1"/>
    <col min="14" max="14" width="9.28125" style="0" customWidth="1"/>
    <col min="15" max="15" width="10.140625" style="0" bestFit="1" customWidth="1"/>
  </cols>
  <sheetData>
    <row r="3" spans="3:16" ht="28.5" thickBot="1">
      <c r="C3" s="191" t="s">
        <v>129</v>
      </c>
      <c r="D3" s="191"/>
      <c r="E3" s="191"/>
      <c r="F3" s="191"/>
      <c r="G3" s="17"/>
      <c r="H3" s="174" t="s">
        <v>129</v>
      </c>
      <c r="I3" s="174"/>
      <c r="J3" s="174"/>
      <c r="K3" s="174"/>
      <c r="L3" s="174"/>
      <c r="M3" s="174"/>
      <c r="N3" s="174"/>
      <c r="O3" s="174"/>
      <c r="P3" s="1"/>
    </row>
    <row r="4" spans="3:15" ht="12.75">
      <c r="C4" s="194" t="s">
        <v>0</v>
      </c>
      <c r="D4" s="195"/>
      <c r="E4" s="196"/>
      <c r="H4" s="241" t="s">
        <v>2</v>
      </c>
      <c r="I4" s="242"/>
      <c r="J4" s="243"/>
      <c r="K4" s="149" t="s">
        <v>3</v>
      </c>
      <c r="L4" s="149" t="s">
        <v>120</v>
      </c>
      <c r="M4" s="149" t="s">
        <v>121</v>
      </c>
      <c r="N4" s="149" t="s">
        <v>4</v>
      </c>
      <c r="O4" s="150" t="s">
        <v>5</v>
      </c>
    </row>
    <row r="5" spans="3:15" ht="12.75">
      <c r="C5" s="35"/>
      <c r="D5" s="22"/>
      <c r="E5" s="36"/>
      <c r="H5" s="244" t="s">
        <v>0</v>
      </c>
      <c r="I5" s="245"/>
      <c r="J5" s="246"/>
      <c r="K5" s="81">
        <v>1</v>
      </c>
      <c r="L5" s="81">
        <f>IF(D6="",0,1)</f>
        <v>1</v>
      </c>
      <c r="M5" s="81">
        <f aca="true" t="shared" si="0" ref="M5:M22">+K5*L5</f>
        <v>1</v>
      </c>
      <c r="N5" s="138">
        <f>E14</f>
        <v>70.25868224350984</v>
      </c>
      <c r="O5" s="139">
        <f>IF(L5=1,K5*N5,0)</f>
        <v>70.25868224350984</v>
      </c>
    </row>
    <row r="6" spans="3:15" ht="12.75">
      <c r="C6" s="37" t="s">
        <v>6</v>
      </c>
      <c r="D6" s="83">
        <v>8.1</v>
      </c>
      <c r="E6" s="36"/>
      <c r="H6" s="244" t="s">
        <v>8</v>
      </c>
      <c r="I6" s="245"/>
      <c r="J6" s="246"/>
      <c r="K6" s="81">
        <v>1</v>
      </c>
      <c r="L6" s="81">
        <f>IF(D18="",0,1)</f>
        <v>1</v>
      </c>
      <c r="M6" s="81">
        <f t="shared" si="0"/>
        <v>1</v>
      </c>
      <c r="N6" s="138">
        <f>E22</f>
        <v>73.92506607652018</v>
      </c>
      <c r="O6" s="139">
        <f aca="true" t="shared" si="1" ref="O6:O22">K6*N6</f>
        <v>73.92506607652018</v>
      </c>
    </row>
    <row r="7" spans="3:15" ht="12.75">
      <c r="C7" s="205" t="s">
        <v>122</v>
      </c>
      <c r="D7" s="206"/>
      <c r="E7" s="38">
        <f>0.2335*D6+0.44</f>
        <v>2.33135</v>
      </c>
      <c r="H7" s="244" t="s">
        <v>9</v>
      </c>
      <c r="I7" s="245"/>
      <c r="J7" s="246"/>
      <c r="K7" s="81">
        <v>0.5</v>
      </c>
      <c r="L7" s="81">
        <f>IF(D26="",0,1)</f>
        <v>1</v>
      </c>
      <c r="M7" s="81">
        <f t="shared" si="0"/>
        <v>0.5</v>
      </c>
      <c r="N7" s="138">
        <f>E32</f>
        <v>0</v>
      </c>
      <c r="O7" s="139">
        <f t="shared" si="1"/>
        <v>0</v>
      </c>
    </row>
    <row r="8" spans="3:15" ht="12.75">
      <c r="C8" s="205" t="s">
        <v>123</v>
      </c>
      <c r="D8" s="206"/>
      <c r="E8" s="38">
        <v>100</v>
      </c>
      <c r="H8" s="244" t="s">
        <v>11</v>
      </c>
      <c r="I8" s="245"/>
      <c r="J8" s="246"/>
      <c r="K8" s="81">
        <v>2</v>
      </c>
      <c r="L8" s="81">
        <f>IF(D36="",0,1)</f>
        <v>1</v>
      </c>
      <c r="M8" s="81">
        <f t="shared" si="0"/>
        <v>2</v>
      </c>
      <c r="N8" s="138">
        <f>E41</f>
        <v>8.836891503651408</v>
      </c>
      <c r="O8" s="139">
        <f t="shared" si="1"/>
        <v>17.673783007302816</v>
      </c>
    </row>
    <row r="9" spans="3:15" ht="12.75">
      <c r="C9" s="205" t="s">
        <v>124</v>
      </c>
      <c r="D9" s="206"/>
      <c r="E9" s="38">
        <f>4.22-(0.293*D6)</f>
        <v>1.8466999999999998</v>
      </c>
      <c r="H9" s="244" t="s">
        <v>12</v>
      </c>
      <c r="I9" s="245"/>
      <c r="J9" s="246"/>
      <c r="K9" s="81">
        <v>5</v>
      </c>
      <c r="L9" s="81">
        <f>IF(D45="",0,1)</f>
        <v>1</v>
      </c>
      <c r="M9" s="81">
        <f t="shared" si="0"/>
        <v>5</v>
      </c>
      <c r="N9" s="138">
        <f>E57</f>
        <v>97.43301037715344</v>
      </c>
      <c r="O9" s="139">
        <f t="shared" si="1"/>
        <v>487.1650518857672</v>
      </c>
    </row>
    <row r="10" spans="3:15" ht="12.75">
      <c r="C10" s="201" t="s">
        <v>13</v>
      </c>
      <c r="D10" s="202"/>
      <c r="E10" s="203"/>
      <c r="H10" s="244" t="s">
        <v>14</v>
      </c>
      <c r="I10" s="245"/>
      <c r="J10" s="246"/>
      <c r="K10" s="81">
        <v>5</v>
      </c>
      <c r="L10" s="81">
        <f>IF(D61="",0,1)</f>
        <v>1</v>
      </c>
      <c r="M10" s="81">
        <f t="shared" si="0"/>
        <v>5</v>
      </c>
      <c r="N10" s="138">
        <f>E65</f>
        <v>75.26413227125968</v>
      </c>
      <c r="O10" s="139">
        <f t="shared" si="1"/>
        <v>376.3206613562984</v>
      </c>
    </row>
    <row r="11" spans="3:15" ht="14.25">
      <c r="C11" s="35" t="s">
        <v>125</v>
      </c>
      <c r="D11" s="23">
        <f>POWER(10,E7)</f>
        <v>214.4618262975949</v>
      </c>
      <c r="E11" s="38">
        <f>IF(AND(D6&lt;6.7,D6&lt;&gt;""),D11,0)</f>
        <v>0</v>
      </c>
      <c r="H11" s="244" t="s">
        <v>15</v>
      </c>
      <c r="I11" s="245"/>
      <c r="J11" s="246"/>
      <c r="K11" s="81">
        <v>1</v>
      </c>
      <c r="L11" s="81">
        <f>IF(D69="",0,1)</f>
        <v>0</v>
      </c>
      <c r="M11" s="81">
        <f t="shared" si="0"/>
        <v>0</v>
      </c>
      <c r="N11" s="140">
        <f>D74</f>
        <v>0</v>
      </c>
      <c r="O11" s="139">
        <f t="shared" si="1"/>
        <v>0</v>
      </c>
    </row>
    <row r="12" spans="3:15" ht="14.25">
      <c r="C12" s="35" t="s">
        <v>126</v>
      </c>
      <c r="D12" s="23">
        <f>E8</f>
        <v>100</v>
      </c>
      <c r="E12" s="38">
        <f>IF(AND(IF(D6&gt;=6.7,D12,0),IF(D6&lt;=7.3,D12,0)),D12,0)</f>
        <v>0</v>
      </c>
      <c r="H12" s="244" t="s">
        <v>16</v>
      </c>
      <c r="I12" s="245"/>
      <c r="J12" s="246"/>
      <c r="K12" s="81">
        <v>0.5</v>
      </c>
      <c r="L12" s="81">
        <f>IF(D79="",0,1)</f>
        <v>0</v>
      </c>
      <c r="M12" s="81">
        <f t="shared" si="0"/>
        <v>0</v>
      </c>
      <c r="N12" s="140">
        <f>D84</f>
        <v>0</v>
      </c>
      <c r="O12" s="139">
        <f t="shared" si="1"/>
        <v>0</v>
      </c>
    </row>
    <row r="13" spans="3:15" ht="14.25">
      <c r="C13" s="35" t="s">
        <v>127</v>
      </c>
      <c r="D13" s="23">
        <f>POWER(10,E9)</f>
        <v>70.25868224350984</v>
      </c>
      <c r="E13" s="38">
        <f>IF(D6&gt;7.3,D13,0)</f>
        <v>70.25868224350984</v>
      </c>
      <c r="H13" s="244" t="s">
        <v>17</v>
      </c>
      <c r="I13" s="245"/>
      <c r="J13" s="246"/>
      <c r="K13" s="81">
        <v>1</v>
      </c>
      <c r="L13" s="81">
        <f>IF(D90="",0,1)</f>
        <v>0</v>
      </c>
      <c r="M13" s="81">
        <f t="shared" si="0"/>
        <v>0</v>
      </c>
      <c r="N13" s="140">
        <f>D95</f>
        <v>0</v>
      </c>
      <c r="O13" s="139">
        <f t="shared" si="1"/>
        <v>0</v>
      </c>
    </row>
    <row r="14" spans="3:15" ht="12.75">
      <c r="C14" s="199" t="s">
        <v>18</v>
      </c>
      <c r="D14" s="204"/>
      <c r="E14" s="73">
        <f>SUM(E11:E13)</f>
        <v>70.25868224350984</v>
      </c>
      <c r="H14" s="244" t="s">
        <v>19</v>
      </c>
      <c r="I14" s="245"/>
      <c r="J14" s="246"/>
      <c r="K14" s="81">
        <v>2</v>
      </c>
      <c r="L14" s="81">
        <f>IF(D101="",0,1)</f>
        <v>0</v>
      </c>
      <c r="M14" s="81">
        <f t="shared" si="0"/>
        <v>0</v>
      </c>
      <c r="N14" s="140">
        <f>D106</f>
        <v>0</v>
      </c>
      <c r="O14" s="139">
        <f t="shared" si="1"/>
        <v>0</v>
      </c>
    </row>
    <row r="15" spans="3:15" ht="13.5" thickBot="1">
      <c r="C15" s="35"/>
      <c r="D15" s="22"/>
      <c r="E15" s="36"/>
      <c r="H15" s="244" t="s">
        <v>1</v>
      </c>
      <c r="I15" s="245"/>
      <c r="J15" s="246"/>
      <c r="K15" s="81">
        <v>2</v>
      </c>
      <c r="L15" s="81">
        <f>IF(D112="",0,1)</f>
        <v>0</v>
      </c>
      <c r="M15" s="81">
        <f t="shared" si="0"/>
        <v>0</v>
      </c>
      <c r="N15" s="140">
        <f>D117</f>
        <v>0</v>
      </c>
      <c r="O15" s="139">
        <f t="shared" si="1"/>
        <v>0</v>
      </c>
    </row>
    <row r="16" spans="3:15" ht="12.75">
      <c r="C16" s="194" t="s">
        <v>8</v>
      </c>
      <c r="D16" s="195"/>
      <c r="E16" s="196"/>
      <c r="H16" s="244" t="s">
        <v>20</v>
      </c>
      <c r="I16" s="245"/>
      <c r="J16" s="246"/>
      <c r="K16" s="81">
        <v>2</v>
      </c>
      <c r="L16" s="81">
        <f>IF(D123="",0,1)</f>
        <v>0</v>
      </c>
      <c r="M16" s="81">
        <f t="shared" si="0"/>
        <v>0</v>
      </c>
      <c r="N16" s="140">
        <f>D128</f>
        <v>0</v>
      </c>
      <c r="O16" s="139">
        <f t="shared" si="1"/>
        <v>0</v>
      </c>
    </row>
    <row r="17" spans="3:15" ht="12.75">
      <c r="C17" s="35"/>
      <c r="D17" s="22"/>
      <c r="E17" s="36"/>
      <c r="H17" s="244" t="s">
        <v>22</v>
      </c>
      <c r="I17" s="245"/>
      <c r="J17" s="246"/>
      <c r="K17" s="81">
        <v>2</v>
      </c>
      <c r="L17" s="81">
        <f>IF(D134="",0,1)</f>
        <v>0</v>
      </c>
      <c r="M17" s="81">
        <f t="shared" si="0"/>
        <v>0</v>
      </c>
      <c r="N17" s="140">
        <f>D139</f>
        <v>0</v>
      </c>
      <c r="O17" s="139">
        <f t="shared" si="1"/>
        <v>0</v>
      </c>
    </row>
    <row r="18" spans="3:15" ht="12.75">
      <c r="C18" s="37" t="s">
        <v>23</v>
      </c>
      <c r="D18" s="83">
        <v>32</v>
      </c>
      <c r="E18" s="36"/>
      <c r="H18" s="244" t="s">
        <v>24</v>
      </c>
      <c r="I18" s="245"/>
      <c r="J18" s="246"/>
      <c r="K18" s="81">
        <v>1</v>
      </c>
      <c r="L18" s="81">
        <f>IF(D145="",0,1)</f>
        <v>0</v>
      </c>
      <c r="M18" s="81">
        <f t="shared" si="0"/>
        <v>0</v>
      </c>
      <c r="N18" s="140">
        <f>D150</f>
        <v>0</v>
      </c>
      <c r="O18" s="139">
        <f t="shared" si="1"/>
        <v>0</v>
      </c>
    </row>
    <row r="19" spans="3:15" ht="12.75">
      <c r="C19" s="35"/>
      <c r="D19" s="23"/>
      <c r="E19" s="36"/>
      <c r="H19" s="244" t="s">
        <v>26</v>
      </c>
      <c r="I19" s="245"/>
      <c r="J19" s="246"/>
      <c r="K19" s="81">
        <v>0.5</v>
      </c>
      <c r="L19" s="81">
        <f>IF(D155="",0,1)</f>
        <v>1</v>
      </c>
      <c r="M19" s="81">
        <f t="shared" si="0"/>
        <v>0.5</v>
      </c>
      <c r="N19" s="140">
        <f>D160</f>
        <v>74.58882019976826</v>
      </c>
      <c r="O19" s="139">
        <f t="shared" si="1"/>
        <v>37.29441009988413</v>
      </c>
    </row>
    <row r="20" spans="3:15" ht="12.75">
      <c r="C20" s="35" t="s">
        <v>27</v>
      </c>
      <c r="D20" s="23">
        <v>100</v>
      </c>
      <c r="E20" s="36">
        <f>IF(D18="",0,IF(D18&lt;14.144,D20,0))</f>
        <v>0</v>
      </c>
      <c r="H20" s="244" t="s">
        <v>29</v>
      </c>
      <c r="I20" s="245"/>
      <c r="J20" s="246"/>
      <c r="K20" s="81">
        <v>3</v>
      </c>
      <c r="L20" s="81">
        <f>IF(D167="",0,1)</f>
        <v>0</v>
      </c>
      <c r="M20" s="81">
        <f t="shared" si="0"/>
        <v>0</v>
      </c>
      <c r="N20" s="140">
        <f>D172</f>
        <v>0</v>
      </c>
      <c r="O20" s="139">
        <f t="shared" si="1"/>
        <v>0</v>
      </c>
    </row>
    <row r="21" spans="3:15" ht="12.75">
      <c r="C21" s="35" t="s">
        <v>30</v>
      </c>
      <c r="D21" s="23">
        <f>IF(OR(D18="",D18=0),0,266.5*POWER(D18,-0.37))</f>
        <v>73.92506607652018</v>
      </c>
      <c r="E21" s="39">
        <f>IF(D18&gt;14.44,D21,0)</f>
        <v>73.92506607652018</v>
      </c>
      <c r="H21" s="244" t="s">
        <v>31</v>
      </c>
      <c r="I21" s="245"/>
      <c r="J21" s="246"/>
      <c r="K21" s="81">
        <v>4</v>
      </c>
      <c r="L21" s="81">
        <f>IF(D178="",0,1)</f>
        <v>1</v>
      </c>
      <c r="M21" s="81">
        <f t="shared" si="0"/>
        <v>4</v>
      </c>
      <c r="N21" s="140">
        <f>D183</f>
        <v>25.435205751554992</v>
      </c>
      <c r="O21" s="139">
        <f t="shared" si="1"/>
        <v>101.74082300621997</v>
      </c>
    </row>
    <row r="22" spans="3:15" ht="13.5" thickBot="1">
      <c r="C22" s="199" t="s">
        <v>119</v>
      </c>
      <c r="D22" s="200"/>
      <c r="E22" s="73">
        <f>SUM(E20:E21)</f>
        <v>73.92506607652018</v>
      </c>
      <c r="H22" s="247" t="s">
        <v>32</v>
      </c>
      <c r="I22" s="248"/>
      <c r="J22" s="249"/>
      <c r="K22" s="141">
        <v>3</v>
      </c>
      <c r="L22" s="141">
        <f>IF(D189="",0,1)</f>
        <v>1</v>
      </c>
      <c r="M22" s="141">
        <f t="shared" si="0"/>
        <v>3</v>
      </c>
      <c r="N22" s="142">
        <f>D194</f>
        <v>36.012097561927014</v>
      </c>
      <c r="O22" s="143">
        <f t="shared" si="1"/>
        <v>108.03629268578104</v>
      </c>
    </row>
    <row r="23" spans="3:15" ht="13.5" thickBot="1">
      <c r="C23" s="35"/>
      <c r="D23" s="22"/>
      <c r="E23" s="36"/>
      <c r="H23" s="250" t="s">
        <v>33</v>
      </c>
      <c r="I23" s="251"/>
      <c r="J23" s="252"/>
      <c r="K23" s="144">
        <v>31.5</v>
      </c>
      <c r="L23" s="144"/>
      <c r="M23" s="144">
        <f>SUM(M5:M22)</f>
        <v>22</v>
      </c>
      <c r="N23" s="145"/>
      <c r="O23" s="146">
        <f>SUM(O5:O22)</f>
        <v>1272.4147703612834</v>
      </c>
    </row>
    <row r="24" spans="3:5" ht="13.5" thickBot="1">
      <c r="C24" s="194" t="s">
        <v>9</v>
      </c>
      <c r="D24" s="195"/>
      <c r="E24" s="196"/>
    </row>
    <row r="25" spans="3:13" ht="19.5" thickBot="1" thickTop="1">
      <c r="C25" s="40"/>
      <c r="D25" s="18"/>
      <c r="E25" s="41"/>
      <c r="I25" s="4" t="s">
        <v>34</v>
      </c>
      <c r="J25" s="192">
        <f>O23/M23</f>
        <v>57.83703501642197</v>
      </c>
      <c r="K25" s="193"/>
      <c r="L25" s="74"/>
      <c r="M25" s="74"/>
    </row>
    <row r="26" spans="3:13" ht="13.5" thickTop="1">
      <c r="C26" s="42" t="s">
        <v>35</v>
      </c>
      <c r="D26" s="83">
        <v>30960</v>
      </c>
      <c r="E26" s="41"/>
      <c r="K26" s="5"/>
      <c r="L26" s="5"/>
      <c r="M26" s="5"/>
    </row>
    <row r="27" spans="3:5" ht="13.5" thickBot="1">
      <c r="C27" s="40"/>
      <c r="D27" s="18"/>
      <c r="E27" s="41"/>
    </row>
    <row r="28" spans="3:11" ht="13.5" thickTop="1">
      <c r="C28" s="43" t="s">
        <v>36</v>
      </c>
      <c r="D28" s="24">
        <v>100</v>
      </c>
      <c r="E28" s="41">
        <f>IF(D26="",0,IF(D26&lt;520,D28,0))</f>
        <v>0</v>
      </c>
      <c r="I28" s="231" t="s">
        <v>37</v>
      </c>
      <c r="J28" s="232"/>
      <c r="K28" s="233" t="s">
        <v>38</v>
      </c>
    </row>
    <row r="29" spans="3:11" ht="12.75">
      <c r="C29" s="43" t="s">
        <v>39</v>
      </c>
      <c r="D29" s="24">
        <f>109.1-0.0175*D26</f>
        <v>-432.70000000000005</v>
      </c>
      <c r="E29" s="44">
        <f>IF(AND(IF(D26&lt;=6234,D26,0),IF(D26&gt;=520,D26,0)),D29,0)</f>
        <v>0</v>
      </c>
      <c r="I29" s="234" t="s">
        <v>40</v>
      </c>
      <c r="J29" s="235"/>
      <c r="K29" s="236" t="s">
        <v>41</v>
      </c>
    </row>
    <row r="30" spans="3:11" ht="12.75">
      <c r="C30" s="43" t="s">
        <v>42</v>
      </c>
      <c r="D30" s="24">
        <v>0</v>
      </c>
      <c r="E30" s="44">
        <f>IF(D26&gt;6234,D30,0)</f>
        <v>0</v>
      </c>
      <c r="I30" s="234" t="s">
        <v>44</v>
      </c>
      <c r="J30" s="235"/>
      <c r="K30" s="236" t="s">
        <v>45</v>
      </c>
    </row>
    <row r="31" spans="3:11" ht="12.75">
      <c r="C31" s="45"/>
      <c r="D31" s="20"/>
      <c r="E31" s="41"/>
      <c r="I31" s="234" t="s">
        <v>46</v>
      </c>
      <c r="J31" s="235"/>
      <c r="K31" s="236" t="s">
        <v>47</v>
      </c>
    </row>
    <row r="32" spans="3:11" ht="13.5" thickBot="1">
      <c r="C32" s="197" t="s">
        <v>106</v>
      </c>
      <c r="D32" s="198"/>
      <c r="E32" s="73">
        <f>SUM(E28:E30)</f>
        <v>0</v>
      </c>
      <c r="I32" s="237" t="s">
        <v>48</v>
      </c>
      <c r="J32" s="238"/>
      <c r="K32" s="239" t="s">
        <v>49</v>
      </c>
    </row>
    <row r="33" spans="3:5" ht="14.25" thickBot="1" thickTop="1">
      <c r="C33" s="40"/>
      <c r="D33" s="18"/>
      <c r="E33" s="47"/>
    </row>
    <row r="34" spans="3:5" ht="12.75">
      <c r="C34" s="194" t="s">
        <v>11</v>
      </c>
      <c r="D34" s="195"/>
      <c r="E34" s="196"/>
    </row>
    <row r="35" spans="3:5" ht="12.75">
      <c r="C35" s="40"/>
      <c r="D35" s="18"/>
      <c r="E35" s="41"/>
    </row>
    <row r="36" spans="3:5" ht="12.75">
      <c r="C36" s="48" t="s">
        <v>52</v>
      </c>
      <c r="D36" s="83">
        <v>51600</v>
      </c>
      <c r="E36" s="41"/>
    </row>
    <row r="37" spans="3:5" ht="12.75">
      <c r="C37" s="40"/>
      <c r="D37" s="25"/>
      <c r="E37" s="44"/>
    </row>
    <row r="38" spans="3:5" ht="12.75">
      <c r="C38" s="43" t="s">
        <v>53</v>
      </c>
      <c r="D38" s="24">
        <v>100</v>
      </c>
      <c r="E38" s="41">
        <f>IF(D36="",0,IF(D36&lt;85.6,D38,0))</f>
        <v>0</v>
      </c>
    </row>
    <row r="39" spans="3:8" ht="12.75">
      <c r="C39" s="43" t="s">
        <v>54</v>
      </c>
      <c r="D39" s="24">
        <f>IF(OR(D36="",D36=0),0,540*POWER(D36,-0.379))</f>
        <v>8.836891503651408</v>
      </c>
      <c r="E39" s="49">
        <f>IF(D36&gt;85.6,H39,0)</f>
        <v>8.836891503651408</v>
      </c>
      <c r="H39" s="6">
        <f>540*POWER(D36,-0.379)</f>
        <v>8.836891503651408</v>
      </c>
    </row>
    <row r="40" spans="3:5" ht="12.75">
      <c r="C40" s="40"/>
      <c r="D40" s="26"/>
      <c r="E40" s="50"/>
    </row>
    <row r="41" spans="3:5" ht="12.75">
      <c r="C41" s="40"/>
      <c r="D41" s="21" t="s">
        <v>107</v>
      </c>
      <c r="E41" s="73">
        <f>SUM(E38:E39)</f>
        <v>8.836891503651408</v>
      </c>
    </row>
    <row r="42" spans="3:5" ht="13.5" thickBot="1">
      <c r="C42" s="40"/>
      <c r="D42" s="18"/>
      <c r="E42" s="41"/>
    </row>
    <row r="43" spans="3:5" ht="12.75">
      <c r="C43" s="194" t="s">
        <v>58</v>
      </c>
      <c r="D43" s="195"/>
      <c r="E43" s="196"/>
    </row>
    <row r="44" spans="3:7" ht="17.25" customHeight="1">
      <c r="C44" s="40"/>
      <c r="D44" s="18"/>
      <c r="E44" s="51"/>
      <c r="F44" s="7"/>
      <c r="G44" s="7"/>
    </row>
    <row r="45" spans="3:5" ht="12.75">
      <c r="C45" s="40"/>
      <c r="D45" s="75" t="s">
        <v>59</v>
      </c>
      <c r="E45" s="83">
        <v>7.6</v>
      </c>
    </row>
    <row r="46" spans="3:5" ht="12.75">
      <c r="C46" s="40"/>
      <c r="D46" s="27" t="s">
        <v>61</v>
      </c>
      <c r="E46" s="52">
        <f>D56</f>
        <v>7.800231123498247</v>
      </c>
    </row>
    <row r="47" spans="3:5" ht="12.75">
      <c r="C47" s="40"/>
      <c r="D47" s="75" t="s">
        <v>62</v>
      </c>
      <c r="E47" s="151">
        <v>28.2</v>
      </c>
    </row>
    <row r="48" spans="3:5" ht="12.75">
      <c r="C48" s="40"/>
      <c r="D48" s="27" t="s">
        <v>63</v>
      </c>
      <c r="E48" s="52">
        <f>E47+273.15</f>
        <v>301.34999999999997</v>
      </c>
    </row>
    <row r="49" spans="3:5" ht="12.75">
      <c r="C49" s="40"/>
      <c r="D49" s="18"/>
      <c r="E49" s="53"/>
    </row>
    <row r="50" spans="3:5" ht="12.75">
      <c r="C50" s="40"/>
      <c r="D50" s="20">
        <v>-139.3441</v>
      </c>
      <c r="E50" s="41"/>
    </row>
    <row r="51" spans="3:5" ht="12.75">
      <c r="C51" s="40"/>
      <c r="D51" s="20">
        <f>(1.575701)*(100000/E48)</f>
        <v>522.8807035009125</v>
      </c>
      <c r="E51" s="41"/>
    </row>
    <row r="52" spans="3:5" ht="12.75">
      <c r="C52" s="40"/>
      <c r="D52" s="20">
        <f>-(6.642308)*(10000000/(E48*E48))</f>
        <v>-731.4364822928205</v>
      </c>
      <c r="E52" s="41"/>
    </row>
    <row r="53" spans="3:5" ht="12.75">
      <c r="C53" s="40"/>
      <c r="D53" s="20">
        <f>(1.2438)*(10000000000/(E48*E48*E48))</f>
        <v>454.5032206999539</v>
      </c>
      <c r="E53" s="41"/>
    </row>
    <row r="54" spans="3:5" ht="12.75">
      <c r="C54" s="40"/>
      <c r="D54" s="20">
        <f>-(8.621949)*(100000000000/(E48*E48*E48*E48))</f>
        <v>-104.5491885435716</v>
      </c>
      <c r="E54" s="41"/>
    </row>
    <row r="55" spans="3:5" ht="12.75">
      <c r="C55" s="54" t="s">
        <v>67</v>
      </c>
      <c r="D55" s="20">
        <f>SUM(D50:D54)</f>
        <v>2.054153364474274</v>
      </c>
      <c r="E55" s="41"/>
    </row>
    <row r="56" spans="3:5" ht="12.75">
      <c r="C56" s="54" t="s">
        <v>69</v>
      </c>
      <c r="D56" s="20">
        <f>EXP(D55)</f>
        <v>7.800231123498247</v>
      </c>
      <c r="E56" s="41" t="s">
        <v>70</v>
      </c>
    </row>
    <row r="57" spans="3:5" ht="12.75">
      <c r="C57" s="40"/>
      <c r="D57" s="21" t="s">
        <v>71</v>
      </c>
      <c r="E57" s="73">
        <f>(E45/E46)*100</f>
        <v>97.43301037715344</v>
      </c>
    </row>
    <row r="58" spans="3:5" ht="13.5" thickBot="1">
      <c r="C58" s="40"/>
      <c r="D58" s="18"/>
      <c r="E58" s="41"/>
    </row>
    <row r="59" spans="3:5" ht="12.75">
      <c r="C59" s="194" t="s">
        <v>72</v>
      </c>
      <c r="D59" s="195"/>
      <c r="E59" s="196"/>
    </row>
    <row r="60" spans="3:5" ht="12.75">
      <c r="C60" s="55"/>
      <c r="D60" s="28"/>
      <c r="E60" s="51"/>
    </row>
    <row r="61" spans="3:5" ht="12.75">
      <c r="C61" s="42" t="s">
        <v>74</v>
      </c>
      <c r="D61" s="152">
        <v>2</v>
      </c>
      <c r="E61" s="56"/>
    </row>
    <row r="62" spans="3:7" ht="12.75">
      <c r="C62" s="40"/>
      <c r="D62" s="18"/>
      <c r="E62" s="41"/>
      <c r="F62" s="8"/>
      <c r="G62" s="8"/>
    </row>
    <row r="63" spans="3:5" ht="12.75">
      <c r="C63" s="43" t="s">
        <v>76</v>
      </c>
      <c r="D63" s="24">
        <v>100</v>
      </c>
      <c r="E63" s="41">
        <f>IF(D61="",0,IF(D61&lt;1.311,D63,0))</f>
        <v>0</v>
      </c>
    </row>
    <row r="64" spans="3:8" ht="12.75">
      <c r="C64" s="43" t="s">
        <v>77</v>
      </c>
      <c r="D64" s="24">
        <f>IF(OR(D61="",D61=0),0,120*POWER(D61,-0.673))</f>
        <v>75.26413227125968</v>
      </c>
      <c r="E64" s="44">
        <f>IF(D61&gt;1.311,D64,0)</f>
        <v>75.26413227125968</v>
      </c>
      <c r="H64" s="3"/>
    </row>
    <row r="65" spans="3:7" ht="12.75">
      <c r="C65" s="40"/>
      <c r="D65" s="25" t="s">
        <v>79</v>
      </c>
      <c r="E65" s="73">
        <f>SUM(E63:E64)</f>
        <v>75.26413227125968</v>
      </c>
      <c r="F65" s="9"/>
      <c r="G65" s="9"/>
    </row>
    <row r="66" spans="3:5" ht="13.5" thickBot="1">
      <c r="C66" s="57"/>
      <c r="D66" s="29"/>
      <c r="E66" s="58"/>
    </row>
    <row r="67" spans="3:5" ht="12.75">
      <c r="C67" s="194" t="s">
        <v>15</v>
      </c>
      <c r="D67" s="195"/>
      <c r="E67" s="196"/>
    </row>
    <row r="68" spans="3:5" ht="16.5" customHeight="1">
      <c r="C68" s="59" t="s">
        <v>109</v>
      </c>
      <c r="D68" s="18"/>
      <c r="E68" s="41"/>
    </row>
    <row r="69" spans="3:5" ht="12.75">
      <c r="C69" s="60" t="s">
        <v>82</v>
      </c>
      <c r="D69" s="153"/>
      <c r="E69" s="41"/>
    </row>
    <row r="70" spans="3:5" ht="12.75">
      <c r="C70" s="61" t="s">
        <v>110</v>
      </c>
      <c r="D70" s="20">
        <f>IF(D69="",0,POWER(10,1.974-(0.00174*D69)))</f>
        <v>0</v>
      </c>
      <c r="E70" s="41"/>
    </row>
    <row r="71" spans="3:5" ht="12.75">
      <c r="C71" s="40"/>
      <c r="D71" s="18"/>
      <c r="E71" s="41"/>
    </row>
    <row r="72" spans="3:5" ht="12.75">
      <c r="C72" s="40" t="s">
        <v>83</v>
      </c>
      <c r="D72" s="20">
        <f>IF(D69&lt;2500,D70,0)</f>
        <v>0</v>
      </c>
      <c r="E72" s="41"/>
    </row>
    <row r="73" spans="3:5" ht="12.75">
      <c r="C73" s="40" t="s">
        <v>85</v>
      </c>
      <c r="D73" s="20">
        <f>IF(D69&gt;2500,D70,0)</f>
        <v>0</v>
      </c>
      <c r="E73" s="41"/>
    </row>
    <row r="74" spans="3:5" ht="12.75">
      <c r="C74" s="61" t="s">
        <v>110</v>
      </c>
      <c r="D74" s="73">
        <f>SUM(D72:D73)</f>
        <v>0</v>
      </c>
      <c r="E74" s="41"/>
    </row>
    <row r="75" spans="3:5" ht="13.5" thickBot="1">
      <c r="C75" s="40"/>
      <c r="D75" s="18"/>
      <c r="E75" s="41"/>
    </row>
    <row r="76" spans="3:14" ht="12.75">
      <c r="C76" s="194" t="s">
        <v>16</v>
      </c>
      <c r="D76" s="195"/>
      <c r="E76" s="196"/>
      <c r="J76" s="10"/>
      <c r="K76" s="10"/>
      <c r="L76" s="10"/>
      <c r="M76" s="10"/>
      <c r="N76" s="10"/>
    </row>
    <row r="77" spans="3:5" ht="12.75">
      <c r="C77" s="59" t="s">
        <v>7</v>
      </c>
      <c r="D77" s="18"/>
      <c r="E77" s="41"/>
    </row>
    <row r="78" spans="3:5" ht="12.75">
      <c r="C78" s="40"/>
      <c r="D78" s="18"/>
      <c r="E78" s="41"/>
    </row>
    <row r="79" spans="3:5" ht="12.75">
      <c r="C79" s="60" t="s">
        <v>89</v>
      </c>
      <c r="D79" s="153"/>
      <c r="E79" s="41"/>
    </row>
    <row r="80" spans="3:5" ht="12.75">
      <c r="C80" s="61" t="s">
        <v>112</v>
      </c>
      <c r="D80" s="20">
        <f>IF(OR(D79="",D79=0),0,34.215*POWER(D79,-0.46))</f>
        <v>0</v>
      </c>
      <c r="E80" s="41"/>
    </row>
    <row r="81" spans="3:5" ht="12.75">
      <c r="C81" s="40"/>
      <c r="D81" s="18"/>
      <c r="E81" s="41"/>
    </row>
    <row r="82" spans="3:5" ht="14.25">
      <c r="C82" s="40" t="s">
        <v>113</v>
      </c>
      <c r="D82" s="20">
        <f>IF(D79&lt;2.351,D80,0)</f>
        <v>0</v>
      </c>
      <c r="E82" s="41"/>
    </row>
    <row r="83" spans="3:5" ht="14.25">
      <c r="C83" s="40" t="s">
        <v>114</v>
      </c>
      <c r="D83" s="20">
        <f>IF(D79&gt;2.351,D80,0)</f>
        <v>0</v>
      </c>
      <c r="E83" s="41"/>
    </row>
    <row r="84" spans="3:5" ht="12.75">
      <c r="C84" s="61" t="s">
        <v>112</v>
      </c>
      <c r="D84" s="73">
        <f>SUM(D82:D83)</f>
        <v>0</v>
      </c>
      <c r="E84" s="41"/>
    </row>
    <row r="85" spans="3:5" ht="13.5" thickBot="1">
      <c r="C85" s="40"/>
      <c r="D85" s="18"/>
      <c r="E85" s="41"/>
    </row>
    <row r="86" spans="3:5" ht="12.75">
      <c r="C86" s="194" t="s">
        <v>17</v>
      </c>
      <c r="D86" s="195"/>
      <c r="E86" s="196"/>
    </row>
    <row r="87" spans="3:5" ht="12.75">
      <c r="C87" s="40"/>
      <c r="D87" s="18"/>
      <c r="E87" s="41"/>
    </row>
    <row r="88" spans="3:5" ht="12.75">
      <c r="C88" s="59" t="s">
        <v>116</v>
      </c>
      <c r="D88" s="18"/>
      <c r="E88" s="41"/>
    </row>
    <row r="89" spans="3:5" ht="12.75">
      <c r="C89" s="40"/>
      <c r="D89" s="18"/>
      <c r="E89" s="41"/>
    </row>
    <row r="90" spans="3:5" ht="12.75">
      <c r="C90" s="60" t="s">
        <v>93</v>
      </c>
      <c r="D90" s="153"/>
      <c r="E90" s="41"/>
    </row>
    <row r="91" spans="3:5" ht="15.75">
      <c r="C91" s="61" t="s">
        <v>117</v>
      </c>
      <c r="D91" s="20">
        <f>IF(OR(D90="",D90=0),0,105*POWER(D90,-0.186))</f>
        <v>0</v>
      </c>
      <c r="E91" s="41"/>
    </row>
    <row r="92" spans="3:5" ht="12.75">
      <c r="C92" s="40"/>
      <c r="D92" s="18"/>
      <c r="E92" s="41"/>
    </row>
    <row r="93" spans="3:5" ht="12.75">
      <c r="C93" s="40" t="s">
        <v>94</v>
      </c>
      <c r="D93" s="20">
        <f>IF(D90&lt;1.3,D91,0)</f>
        <v>0</v>
      </c>
      <c r="E93" s="41"/>
    </row>
    <row r="94" spans="3:5" ht="12.75">
      <c r="C94" s="40" t="s">
        <v>95</v>
      </c>
      <c r="D94" s="20">
        <f>IF(D90&gt;1.3,D91,0)</f>
        <v>0</v>
      </c>
      <c r="E94" s="41"/>
    </row>
    <row r="95" spans="3:5" ht="15.75">
      <c r="C95" s="61" t="s">
        <v>117</v>
      </c>
      <c r="D95" s="73">
        <f>SUM(D93:D94)</f>
        <v>0</v>
      </c>
      <c r="E95" s="41"/>
    </row>
    <row r="96" spans="3:5" ht="13.5" thickBot="1">
      <c r="C96" s="40"/>
      <c r="D96" s="18"/>
      <c r="E96" s="41"/>
    </row>
    <row r="97" spans="3:5" ht="12.75">
      <c r="C97" s="194" t="s">
        <v>19</v>
      </c>
      <c r="D97" s="195"/>
      <c r="E97" s="196"/>
    </row>
    <row r="98" spans="3:5" ht="12.75">
      <c r="C98" s="40"/>
      <c r="D98" s="18"/>
      <c r="E98" s="41"/>
    </row>
    <row r="99" spans="3:5" ht="12.75">
      <c r="C99" s="59" t="s">
        <v>96</v>
      </c>
      <c r="D99" s="18"/>
      <c r="E99" s="41"/>
    </row>
    <row r="100" spans="3:5" ht="12.75">
      <c r="C100" s="40"/>
      <c r="D100" s="18"/>
      <c r="E100" s="41"/>
    </row>
    <row r="101" spans="3:14" ht="12.75">
      <c r="C101" s="60" t="s">
        <v>97</v>
      </c>
      <c r="D101" s="153"/>
      <c r="E101" s="41"/>
      <c r="J101" s="189"/>
      <c r="K101" s="189"/>
      <c r="L101" s="189"/>
      <c r="M101" s="189"/>
      <c r="N101" s="189"/>
    </row>
    <row r="102" spans="3:14" ht="15.75">
      <c r="C102" s="61" t="s">
        <v>118</v>
      </c>
      <c r="D102" s="20">
        <f>IF(OR(D101="",D101=0),0,87.25*POWER(D101,-0.298))</f>
        <v>0</v>
      </c>
      <c r="E102" s="41"/>
      <c r="H102" s="2"/>
      <c r="J102" s="189"/>
      <c r="K102" s="189"/>
      <c r="L102" s="189"/>
      <c r="M102" s="189"/>
      <c r="N102" s="189"/>
    </row>
    <row r="103" spans="3:14" ht="12.75">
      <c r="C103" s="40"/>
      <c r="D103" s="18"/>
      <c r="E103" s="41"/>
      <c r="J103" s="189"/>
      <c r="K103" s="189"/>
      <c r="L103" s="189"/>
      <c r="M103" s="189"/>
      <c r="N103" s="189"/>
    </row>
    <row r="104" spans="3:5" ht="12.75">
      <c r="C104" s="40" t="s">
        <v>98</v>
      </c>
      <c r="D104" s="20">
        <f>IF(D101&lt;0.633,D102,0)</f>
        <v>0</v>
      </c>
      <c r="E104" s="41"/>
    </row>
    <row r="105" spans="3:5" ht="12.75">
      <c r="C105" s="40" t="s">
        <v>99</v>
      </c>
      <c r="D105" s="20">
        <f>IF(D101&gt;0.633,D102,0)</f>
        <v>0</v>
      </c>
      <c r="E105" s="41"/>
    </row>
    <row r="106" spans="3:5" ht="15.75">
      <c r="C106" s="61" t="s">
        <v>118</v>
      </c>
      <c r="D106" s="73">
        <f>SUM(D104:D105)</f>
        <v>0</v>
      </c>
      <c r="E106" s="41"/>
    </row>
    <row r="107" spans="3:5" ht="13.5" thickBot="1">
      <c r="C107" s="57"/>
      <c r="D107" s="29"/>
      <c r="E107" s="58"/>
    </row>
    <row r="108" spans="3:5" ht="12.75">
      <c r="C108" s="194" t="s">
        <v>1</v>
      </c>
      <c r="D108" s="195"/>
      <c r="E108" s="196"/>
    </row>
    <row r="109" spans="3:5" ht="12.75">
      <c r="C109" s="40"/>
      <c r="D109" s="18"/>
      <c r="E109" s="41"/>
    </row>
    <row r="110" spans="3:5" ht="15" customHeight="1">
      <c r="C110" s="59" t="s">
        <v>7</v>
      </c>
      <c r="D110" s="18"/>
      <c r="E110" s="62"/>
    </row>
    <row r="111" spans="3:5" ht="12.75">
      <c r="C111" s="40"/>
      <c r="D111" s="18"/>
      <c r="E111" s="41"/>
    </row>
    <row r="112" spans="3:5" ht="12.75">
      <c r="C112" s="60" t="s">
        <v>10</v>
      </c>
      <c r="D112" s="154"/>
      <c r="E112" s="41"/>
    </row>
    <row r="113" spans="3:8" ht="12.75">
      <c r="C113" s="61" t="s">
        <v>101</v>
      </c>
      <c r="D113" s="20">
        <f>IF(OR(D112="",D112=0),0,162.2*POWER(D112,-0.343))</f>
        <v>0</v>
      </c>
      <c r="E113" s="41"/>
      <c r="H113" s="11"/>
    </row>
    <row r="114" spans="3:5" ht="12.75">
      <c r="C114" s="40"/>
      <c r="D114" s="18"/>
      <c r="E114" s="41"/>
    </row>
    <row r="115" spans="3:5" ht="12.75">
      <c r="C115" s="40" t="s">
        <v>102</v>
      </c>
      <c r="D115" s="20">
        <f>IF(D112&lt;4.097,D113,0)</f>
        <v>0</v>
      </c>
      <c r="E115" s="41"/>
    </row>
    <row r="116" spans="3:5" ht="12.75">
      <c r="C116" s="40" t="s">
        <v>103</v>
      </c>
      <c r="D116" s="20">
        <f>IF(D112&gt;4.097,D113,0)</f>
        <v>0</v>
      </c>
      <c r="E116" s="41"/>
    </row>
    <row r="117" spans="3:5" ht="12.75">
      <c r="C117" s="61" t="s">
        <v>101</v>
      </c>
      <c r="D117" s="73">
        <f>SUM(D115:D116)</f>
        <v>0</v>
      </c>
      <c r="E117" s="41"/>
    </row>
    <row r="118" spans="3:5" ht="13.5" thickBot="1">
      <c r="C118" s="40"/>
      <c r="D118" s="18"/>
      <c r="E118" s="41"/>
    </row>
    <row r="119" spans="3:5" ht="12.75">
      <c r="C119" s="194" t="s">
        <v>20</v>
      </c>
      <c r="D119" s="195"/>
      <c r="E119" s="196"/>
    </row>
    <row r="120" spans="3:5" ht="12.75">
      <c r="C120" s="63"/>
      <c r="D120" s="30"/>
      <c r="E120" s="64"/>
    </row>
    <row r="121" spans="3:5" ht="12.75">
      <c r="C121" s="59" t="s">
        <v>21</v>
      </c>
      <c r="D121" s="18"/>
      <c r="E121" s="41"/>
    </row>
    <row r="122" spans="3:5" ht="12.75">
      <c r="C122" s="40"/>
      <c r="D122" s="18"/>
      <c r="E122" s="41"/>
    </row>
    <row r="123" spans="3:5" ht="12.75">
      <c r="C123" s="60" t="s">
        <v>25</v>
      </c>
      <c r="D123" s="153"/>
      <c r="E123" s="41"/>
    </row>
    <row r="124" spans="3:8" ht="15.75">
      <c r="C124" s="61" t="s">
        <v>28</v>
      </c>
      <c r="D124" s="20">
        <f>IF(OR(D123="",D123=0),0,45.8*POWER(D123,-0.343))</f>
        <v>0</v>
      </c>
      <c r="E124" s="41"/>
      <c r="H124" s="2"/>
    </row>
    <row r="125" spans="3:5" ht="12.75">
      <c r="C125" s="40"/>
      <c r="D125" s="18"/>
      <c r="E125" s="41"/>
    </row>
    <row r="126" spans="3:5" ht="12.75">
      <c r="C126" s="40" t="s">
        <v>104</v>
      </c>
      <c r="D126" s="20">
        <f>IF(D123&lt;0.11,D124,0)</f>
        <v>0</v>
      </c>
      <c r="E126" s="41"/>
    </row>
    <row r="127" spans="3:5" ht="12.75">
      <c r="C127" s="40" t="s">
        <v>104</v>
      </c>
      <c r="D127" s="20">
        <f>IF(D123&gt;0.11,D124,0)</f>
        <v>0</v>
      </c>
      <c r="E127" s="41"/>
    </row>
    <row r="128" spans="3:5" ht="15.75">
      <c r="C128" s="61" t="s">
        <v>28</v>
      </c>
      <c r="D128" s="73">
        <f>SUM(D126:D127)</f>
        <v>0</v>
      </c>
      <c r="E128" s="41"/>
    </row>
    <row r="129" spans="3:5" ht="13.5" thickBot="1">
      <c r="C129" s="40"/>
      <c r="D129" s="20"/>
      <c r="E129" s="41"/>
    </row>
    <row r="130" spans="3:5" ht="12.75">
      <c r="C130" s="194" t="s">
        <v>22</v>
      </c>
      <c r="D130" s="195"/>
      <c r="E130" s="196"/>
    </row>
    <row r="131" spans="3:5" ht="12.75">
      <c r="C131" s="40"/>
      <c r="D131" s="18"/>
      <c r="E131" s="41"/>
    </row>
    <row r="132" spans="3:5" ht="12.75">
      <c r="C132" s="59" t="s">
        <v>7</v>
      </c>
      <c r="D132" s="18"/>
      <c r="E132" s="41"/>
    </row>
    <row r="133" spans="3:5" ht="12.75">
      <c r="C133" s="40"/>
      <c r="D133" s="18"/>
      <c r="E133" s="41"/>
    </row>
    <row r="134" spans="3:5" ht="12.75">
      <c r="C134" s="60" t="s">
        <v>43</v>
      </c>
      <c r="D134" s="153"/>
      <c r="E134" s="41"/>
    </row>
    <row r="135" spans="3:5" ht="12.75">
      <c r="C135" s="61" t="s">
        <v>105</v>
      </c>
      <c r="D135" s="20">
        <f>IF(OR(D134="",D134=0),0,34.215*POWER(D134,-0.46))</f>
        <v>0</v>
      </c>
      <c r="E135" s="41"/>
    </row>
    <row r="136" spans="3:5" ht="12.75">
      <c r="C136" s="40"/>
      <c r="D136" s="18"/>
      <c r="E136" s="41"/>
    </row>
    <row r="137" spans="3:5" ht="15.75">
      <c r="C137" s="40" t="s">
        <v>50</v>
      </c>
      <c r="D137" s="20">
        <f>IF(D134&lt;0.0971,D135,0)</f>
        <v>0</v>
      </c>
      <c r="E137" s="41"/>
    </row>
    <row r="138" spans="3:5" ht="15.75">
      <c r="C138" s="40" t="s">
        <v>51</v>
      </c>
      <c r="D138" s="20">
        <f>IF(D134&gt;0.0971,D135,0)</f>
        <v>0</v>
      </c>
      <c r="E138" s="41"/>
    </row>
    <row r="139" spans="3:5" ht="12.75">
      <c r="C139" s="61" t="s">
        <v>105</v>
      </c>
      <c r="D139" s="73">
        <f>SUM(D137:D138)</f>
        <v>0</v>
      </c>
      <c r="E139" s="41"/>
    </row>
    <row r="140" spans="3:5" ht="13.5" thickBot="1">
      <c r="C140" s="40"/>
      <c r="D140" s="18"/>
      <c r="E140" s="41"/>
    </row>
    <row r="141" spans="3:5" ht="12.75">
      <c r="C141" s="194" t="s">
        <v>24</v>
      </c>
      <c r="D141" s="195"/>
      <c r="E141" s="196"/>
    </row>
    <row r="142" spans="3:5" ht="12.75">
      <c r="C142" s="40"/>
      <c r="D142" s="18"/>
      <c r="E142" s="41"/>
    </row>
    <row r="143" spans="3:5" ht="12.75">
      <c r="C143" s="59" t="s">
        <v>55</v>
      </c>
      <c r="D143" s="18"/>
      <c r="E143" s="41"/>
    </row>
    <row r="144" spans="3:5" ht="12.75">
      <c r="C144" s="40"/>
      <c r="D144" s="18"/>
      <c r="E144" s="41"/>
    </row>
    <row r="145" spans="3:5" ht="12.75">
      <c r="C145" s="60" t="s">
        <v>56</v>
      </c>
      <c r="D145" s="153"/>
      <c r="E145" s="41"/>
    </row>
    <row r="146" spans="3:5" ht="15.75">
      <c r="C146" s="61" t="s">
        <v>57</v>
      </c>
      <c r="D146" s="20">
        <f>IF(OR(D145="",D145=0),0,123*POWER(D145,-0.295))</f>
        <v>0</v>
      </c>
      <c r="E146" s="41"/>
    </row>
    <row r="147" spans="3:5" ht="12.75">
      <c r="C147" s="40"/>
      <c r="D147" s="20"/>
      <c r="E147" s="41"/>
    </row>
    <row r="148" spans="3:5" ht="12.75">
      <c r="C148" s="40" t="s">
        <v>100</v>
      </c>
      <c r="D148" s="20">
        <f>IF(D145&lt;2.018,D146,0)</f>
        <v>0</v>
      </c>
      <c r="E148" s="41"/>
    </row>
    <row r="149" spans="3:5" ht="12.75">
      <c r="C149" s="40" t="s">
        <v>60</v>
      </c>
      <c r="D149" s="20">
        <f>IF(D145&gt;2.018,D146,0)</f>
        <v>0</v>
      </c>
      <c r="E149" s="41"/>
    </row>
    <row r="150" spans="3:5" ht="15.75">
      <c r="C150" s="61" t="s">
        <v>57</v>
      </c>
      <c r="D150" s="73">
        <f>SUM(D148:D149)</f>
        <v>0</v>
      </c>
      <c r="E150" s="41"/>
    </row>
    <row r="151" spans="3:5" ht="13.5" thickBot="1">
      <c r="C151" s="40"/>
      <c r="D151" s="18"/>
      <c r="E151" s="41"/>
    </row>
    <row r="152" spans="3:5" ht="12.75">
      <c r="C152" s="194" t="s">
        <v>26</v>
      </c>
      <c r="D152" s="195"/>
      <c r="E152" s="196"/>
    </row>
    <row r="153" spans="3:7" ht="20.25">
      <c r="C153" s="59" t="s">
        <v>64</v>
      </c>
      <c r="D153" s="18"/>
      <c r="E153" s="65"/>
      <c r="F153" s="12"/>
      <c r="G153" s="12"/>
    </row>
    <row r="154" spans="3:5" ht="12.75">
      <c r="C154" s="40"/>
      <c r="D154" s="18"/>
      <c r="E154" s="41"/>
    </row>
    <row r="155" spans="3:5" ht="12.75">
      <c r="C155" s="60" t="s">
        <v>65</v>
      </c>
      <c r="D155" s="83">
        <v>8</v>
      </c>
      <c r="E155" s="41"/>
    </row>
    <row r="156" spans="3:5" ht="15.75">
      <c r="C156" s="61" t="s">
        <v>108</v>
      </c>
      <c r="D156" s="20">
        <f>IF(OR(D155="",D155=0),0,108*POWER(D155,-0.178))</f>
        <v>74.58882019976826</v>
      </c>
      <c r="E156" s="41"/>
    </row>
    <row r="157" spans="3:5" ht="12.75">
      <c r="C157" s="40"/>
      <c r="D157" s="18"/>
      <c r="E157" s="41"/>
    </row>
    <row r="158" spans="3:5" ht="12.75">
      <c r="C158" s="40" t="s">
        <v>66</v>
      </c>
      <c r="D158" s="20">
        <f>IF(D155&lt;1.54,D156,0)</f>
        <v>0</v>
      </c>
      <c r="E158" s="41"/>
    </row>
    <row r="159" spans="3:5" ht="12.75">
      <c r="C159" s="40" t="s">
        <v>68</v>
      </c>
      <c r="D159" s="20">
        <f>IF(D155&gt;1.54,D156,0)</f>
        <v>74.58882019976826</v>
      </c>
      <c r="E159" s="41"/>
    </row>
    <row r="160" spans="3:5" ht="15.75">
      <c r="C160" s="61" t="s">
        <v>108</v>
      </c>
      <c r="D160" s="73">
        <f>SUM(D158:D159)</f>
        <v>74.58882019976826</v>
      </c>
      <c r="E160" s="41"/>
    </row>
    <row r="161" spans="3:5" ht="13.5" thickBot="1">
      <c r="C161" s="40"/>
      <c r="D161" s="18"/>
      <c r="E161" s="41"/>
    </row>
    <row r="162" spans="3:5" ht="12.75">
      <c r="C162" s="194" t="s">
        <v>29</v>
      </c>
      <c r="D162" s="195"/>
      <c r="E162" s="196"/>
    </row>
    <row r="163" spans="3:14" ht="20.25">
      <c r="C163" s="59" t="s">
        <v>73</v>
      </c>
      <c r="D163" s="18"/>
      <c r="E163" s="41"/>
      <c r="J163" s="13"/>
      <c r="K163" s="188"/>
      <c r="L163" s="188"/>
      <c r="M163" s="188"/>
      <c r="N163" s="188"/>
    </row>
    <row r="164" spans="3:7" ht="8.25" customHeight="1">
      <c r="C164" s="40"/>
      <c r="D164" s="31"/>
      <c r="E164" s="66"/>
      <c r="F164" s="14"/>
      <c r="G164" s="14"/>
    </row>
    <row r="165" spans="3:5" ht="14.25" customHeight="1">
      <c r="C165" s="59" t="s">
        <v>75</v>
      </c>
      <c r="D165" s="32"/>
      <c r="E165" s="41"/>
    </row>
    <row r="166" spans="3:14" ht="12.75">
      <c r="C166" s="40"/>
      <c r="D166" s="18"/>
      <c r="E166" s="41"/>
      <c r="N166" s="15"/>
    </row>
    <row r="167" spans="3:5" ht="12.75">
      <c r="C167" s="60" t="s">
        <v>29</v>
      </c>
      <c r="D167" s="153"/>
      <c r="E167" s="41"/>
    </row>
    <row r="168" spans="3:15" ht="15.75">
      <c r="C168" s="61" t="s">
        <v>78</v>
      </c>
      <c r="D168" s="33">
        <f>IF(D167="",0,(100-(16.678*D167)+(0.1587*POWER(D167,2))))</f>
        <v>0</v>
      </c>
      <c r="E168" s="41"/>
      <c r="O168" s="8"/>
    </row>
    <row r="169" spans="3:15" ht="12.75">
      <c r="C169" s="40"/>
      <c r="D169" s="18"/>
      <c r="E169" s="41"/>
      <c r="O169" s="8"/>
    </row>
    <row r="170" spans="3:15" ht="12.75">
      <c r="C170" s="40" t="s">
        <v>80</v>
      </c>
      <c r="D170" s="20">
        <f>IF(D167&lt;6.384,D168,0)</f>
        <v>0</v>
      </c>
      <c r="E170" s="41"/>
      <c r="O170" s="8"/>
    </row>
    <row r="171" spans="3:5" ht="12.75">
      <c r="C171" s="40" t="s">
        <v>81</v>
      </c>
      <c r="D171" s="20">
        <f>IF(D167&gt;6.384,D168,0)</f>
        <v>0</v>
      </c>
      <c r="E171" s="41"/>
    </row>
    <row r="172" spans="3:5" ht="15.75">
      <c r="C172" s="61" t="s">
        <v>78</v>
      </c>
      <c r="D172" s="73">
        <f>SUM(D170:D171)</f>
        <v>0</v>
      </c>
      <c r="E172" s="41"/>
    </row>
    <row r="173" spans="3:15" ht="21" thickBot="1">
      <c r="C173" s="40"/>
      <c r="D173" s="18"/>
      <c r="E173" s="41"/>
      <c r="J173" s="190"/>
      <c r="K173" s="190"/>
      <c r="L173" s="190"/>
      <c r="M173" s="190"/>
      <c r="N173" s="190"/>
      <c r="O173" s="190"/>
    </row>
    <row r="174" spans="3:14" ht="12.75">
      <c r="C174" s="194" t="s">
        <v>31</v>
      </c>
      <c r="D174" s="195"/>
      <c r="E174" s="196"/>
      <c r="J174" s="189"/>
      <c r="K174" s="189"/>
      <c r="L174" s="189"/>
      <c r="M174" s="189"/>
      <c r="N174" s="189"/>
    </row>
    <row r="175" spans="3:14" ht="12.75">
      <c r="C175" s="40"/>
      <c r="D175" s="18"/>
      <c r="E175" s="41"/>
      <c r="J175" s="189"/>
      <c r="K175" s="189"/>
      <c r="L175" s="189"/>
      <c r="M175" s="189"/>
      <c r="N175" s="189"/>
    </row>
    <row r="176" spans="3:14" ht="20.25">
      <c r="C176" s="59" t="s">
        <v>84</v>
      </c>
      <c r="D176" s="31"/>
      <c r="E176" s="41"/>
      <c r="J176" s="189"/>
      <c r="K176" s="189"/>
      <c r="L176" s="189"/>
      <c r="M176" s="189"/>
      <c r="N176" s="189"/>
    </row>
    <row r="177" spans="3:14" ht="12.75">
      <c r="C177" s="40"/>
      <c r="D177" s="18"/>
      <c r="E177" s="41"/>
      <c r="J177" s="189"/>
      <c r="K177" s="189"/>
      <c r="L177" s="189"/>
      <c r="M177" s="189"/>
      <c r="N177" s="189"/>
    </row>
    <row r="178" spans="3:14" ht="12.75">
      <c r="C178" s="60" t="s">
        <v>86</v>
      </c>
      <c r="D178" s="83">
        <v>29</v>
      </c>
      <c r="E178" s="41"/>
      <c r="J178" s="10"/>
      <c r="K178" s="10"/>
      <c r="L178" s="10"/>
      <c r="M178" s="10"/>
      <c r="N178" s="10"/>
    </row>
    <row r="179" spans="3:15" ht="14.25">
      <c r="C179" s="46" t="s">
        <v>111</v>
      </c>
      <c r="D179" s="33">
        <f>IF(D178="",0,IF(D178&lt;=0,0,97.5*POWER(5*D178,-0.27)))</f>
        <v>25.435205751554992</v>
      </c>
      <c r="E179" s="41"/>
      <c r="H179" s="15"/>
      <c r="J179" s="189"/>
      <c r="K179" s="189"/>
      <c r="L179" s="189"/>
      <c r="M179" s="189"/>
      <c r="N179" s="189"/>
      <c r="O179" s="8"/>
    </row>
    <row r="180" spans="3:15" ht="12.75">
      <c r="C180" s="40"/>
      <c r="D180" s="18"/>
      <c r="E180" s="41"/>
      <c r="J180" s="189"/>
      <c r="K180" s="189"/>
      <c r="L180" s="189"/>
      <c r="M180" s="189"/>
      <c r="N180" s="189"/>
      <c r="O180" s="8"/>
    </row>
    <row r="181" spans="3:15" ht="12.75">
      <c r="C181" s="40" t="s">
        <v>87</v>
      </c>
      <c r="D181" s="20">
        <f>IF(D178="",0,IF(D179&lt;1.311,100,0))</f>
        <v>0</v>
      </c>
      <c r="E181" s="41"/>
      <c r="J181" s="189"/>
      <c r="K181" s="189"/>
      <c r="L181" s="189"/>
      <c r="M181" s="189"/>
      <c r="N181" s="189"/>
      <c r="O181" s="8"/>
    </row>
    <row r="182" spans="3:14" ht="12.75">
      <c r="C182" s="40" t="s">
        <v>88</v>
      </c>
      <c r="D182" s="20">
        <f>IF(D179&gt;1.311,D179,0)</f>
        <v>25.435205751554992</v>
      </c>
      <c r="E182" s="41"/>
      <c r="J182" s="189"/>
      <c r="K182" s="189"/>
      <c r="L182" s="189"/>
      <c r="M182" s="189"/>
      <c r="N182" s="189"/>
    </row>
    <row r="183" spans="3:14" ht="14.25">
      <c r="C183" s="46" t="s">
        <v>111</v>
      </c>
      <c r="D183" s="73">
        <f>SUM(D181:D182)</f>
        <v>25.435205751554992</v>
      </c>
      <c r="E183" s="41"/>
      <c r="J183" s="16"/>
      <c r="K183" s="16"/>
      <c r="L183" s="16"/>
      <c r="M183" s="16"/>
      <c r="N183" s="16"/>
    </row>
    <row r="184" spans="3:14" ht="13.5" thickBot="1">
      <c r="C184" s="57"/>
      <c r="D184" s="34"/>
      <c r="E184" s="58"/>
      <c r="J184" s="16"/>
      <c r="K184" s="16"/>
      <c r="L184" s="16"/>
      <c r="M184" s="16"/>
      <c r="N184" s="16"/>
    </row>
    <row r="185" spans="3:5" ht="12.75">
      <c r="C185" s="194" t="s">
        <v>32</v>
      </c>
      <c r="D185" s="195"/>
      <c r="E185" s="196"/>
    </row>
    <row r="186" spans="3:5" ht="12.75">
      <c r="C186" s="55"/>
      <c r="D186" s="28"/>
      <c r="E186" s="51"/>
    </row>
    <row r="187" spans="3:5" ht="12.75">
      <c r="C187" s="59" t="s">
        <v>84</v>
      </c>
      <c r="D187" s="18"/>
      <c r="E187" s="41"/>
    </row>
    <row r="188" spans="3:5" ht="12.75">
      <c r="C188" s="40"/>
      <c r="D188" s="18"/>
      <c r="E188" s="41"/>
    </row>
    <row r="189" spans="3:5" ht="12.75">
      <c r="C189" s="60" t="s">
        <v>90</v>
      </c>
      <c r="D189" s="83">
        <v>40</v>
      </c>
      <c r="E189" s="41"/>
    </row>
    <row r="190" spans="3:5" ht="14.25">
      <c r="C190" s="46" t="s">
        <v>115</v>
      </c>
      <c r="D190" s="67">
        <f>IF(D189&lt;=0,0,97.5*POWER(D189,-0.27))</f>
        <v>36.012097561927014</v>
      </c>
      <c r="E190" s="41"/>
    </row>
    <row r="191" spans="3:5" ht="12.75">
      <c r="C191" s="40"/>
      <c r="D191" s="18"/>
      <c r="E191" s="41"/>
    </row>
    <row r="192" spans="3:5" ht="12.75">
      <c r="C192" s="40" t="s">
        <v>91</v>
      </c>
      <c r="D192" s="19">
        <f>IF(D189="",0,IF(D189&lt;=0,100,0))</f>
        <v>0</v>
      </c>
      <c r="E192" s="41"/>
    </row>
    <row r="193" spans="3:5" ht="12.75">
      <c r="C193" s="40" t="s">
        <v>92</v>
      </c>
      <c r="D193" s="20">
        <f>IF(D189&gt;0,D190,0)</f>
        <v>36.012097561927014</v>
      </c>
      <c r="E193" s="41"/>
    </row>
    <row r="194" spans="3:5" ht="14.25">
      <c r="C194" s="46" t="s">
        <v>115</v>
      </c>
      <c r="D194" s="73">
        <f>SUM(D192:D193)</f>
        <v>36.012097561927014</v>
      </c>
      <c r="E194" s="41"/>
    </row>
    <row r="195" spans="3:5" ht="13.5" thickBot="1">
      <c r="C195" s="68"/>
      <c r="D195" s="69"/>
      <c r="E195" s="70"/>
    </row>
  </sheetData>
  <mergeCells count="66">
    <mergeCell ref="H3:O3"/>
    <mergeCell ref="C4:E4"/>
    <mergeCell ref="C10:E10"/>
    <mergeCell ref="C14:D14"/>
    <mergeCell ref="C7:D7"/>
    <mergeCell ref="C8:D8"/>
    <mergeCell ref="C9:D9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20:J20"/>
    <mergeCell ref="H21:J21"/>
    <mergeCell ref="H22:J22"/>
    <mergeCell ref="H15:J15"/>
    <mergeCell ref="H16:J16"/>
    <mergeCell ref="H17:J17"/>
    <mergeCell ref="H18:J18"/>
    <mergeCell ref="I31:J31"/>
    <mergeCell ref="C16:E16"/>
    <mergeCell ref="C32:D32"/>
    <mergeCell ref="C22:D22"/>
    <mergeCell ref="C24:E24"/>
    <mergeCell ref="H23:J23"/>
    <mergeCell ref="I28:J28"/>
    <mergeCell ref="I29:J29"/>
    <mergeCell ref="I30:J30"/>
    <mergeCell ref="H19:J19"/>
    <mergeCell ref="C67:E67"/>
    <mergeCell ref="C76:E76"/>
    <mergeCell ref="C86:E86"/>
    <mergeCell ref="I32:J32"/>
    <mergeCell ref="C34:E34"/>
    <mergeCell ref="C43:E43"/>
    <mergeCell ref="C59:E59"/>
    <mergeCell ref="K163:N163"/>
    <mergeCell ref="J102:N102"/>
    <mergeCell ref="J103:N103"/>
    <mergeCell ref="J173:O173"/>
    <mergeCell ref="C185:E185"/>
    <mergeCell ref="C162:E162"/>
    <mergeCell ref="C174:E174"/>
    <mergeCell ref="C3:F3"/>
    <mergeCell ref="C152:E152"/>
    <mergeCell ref="C97:E97"/>
    <mergeCell ref="C130:E130"/>
    <mergeCell ref="C141:E141"/>
    <mergeCell ref="C119:E119"/>
    <mergeCell ref="C108:E108"/>
    <mergeCell ref="J25:K25"/>
    <mergeCell ref="J182:N182"/>
    <mergeCell ref="J181:N181"/>
    <mergeCell ref="J174:N174"/>
    <mergeCell ref="J175:N175"/>
    <mergeCell ref="J176:N176"/>
    <mergeCell ref="J177:N177"/>
    <mergeCell ref="J179:N179"/>
    <mergeCell ref="J180:N180"/>
    <mergeCell ref="J101:N101"/>
  </mergeCells>
  <conditionalFormatting sqref="J25">
    <cfRule type="cellIs" priority="1" dxfId="0" operator="between" stopIfTrue="1">
      <formula>50</formula>
      <formula>69</formula>
    </cfRule>
    <cfRule type="cellIs" priority="2" dxfId="1" operator="between" stopIfTrue="1">
      <formula>30</formula>
      <formula>49</formula>
    </cfRule>
    <cfRule type="cellIs" priority="3" dxfId="2" operator="between" stopIfTrue="1">
      <formula>0</formula>
      <formula>29</formula>
    </cfRule>
  </conditionalFormatting>
  <conditionalFormatting sqref="D7:D8">
    <cfRule type="cellIs" priority="4" dxfId="3" operator="lessThan" stopIfTrue="1">
      <formula>6.7</formula>
    </cfRule>
  </conditionalFormatting>
  <printOptions/>
  <pageMargins left="1.03" right="0.41" top="0.91" bottom="1.06" header="0.42" footer="0.55"/>
  <pageSetup horizontalDpi="600" verticalDpi="600" orientation="portrait" scale="87" r:id="rId1"/>
  <headerFooter alignWithMargins="0">
    <oddHeader>&amp;LIndice de Calidad del Agua</oddHeader>
    <oddFooter>&amp;LCalidad del Agua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C3:P195"/>
  <sheetViews>
    <sheetView showGridLines="0" showZeros="0" zoomScale="50" zoomScaleNormal="50" workbookViewId="0" topLeftCell="A3">
      <selection activeCell="I25" sqref="I25:K32"/>
    </sheetView>
  </sheetViews>
  <sheetFormatPr defaultColWidth="11.421875" defaultRowHeight="12.75"/>
  <cols>
    <col min="3" max="3" width="29.00390625" style="0" customWidth="1"/>
    <col min="4" max="4" width="13.00390625" style="0" customWidth="1"/>
    <col min="6" max="7" width="4.00390625" style="0" customWidth="1"/>
    <col min="9" max="9" width="13.00390625" style="0" customWidth="1"/>
    <col min="10" max="10" width="23.421875" style="0" customWidth="1"/>
    <col min="11" max="11" width="18.7109375" style="0" customWidth="1"/>
    <col min="12" max="13" width="15.8515625" style="0" customWidth="1"/>
    <col min="14" max="14" width="8.7109375" style="0" bestFit="1" customWidth="1"/>
    <col min="15" max="15" width="9.8515625" style="0" bestFit="1" customWidth="1"/>
  </cols>
  <sheetData>
    <row r="3" spans="3:16" ht="28.5" thickBot="1">
      <c r="C3" s="191" t="s">
        <v>130</v>
      </c>
      <c r="D3" s="191"/>
      <c r="E3" s="191"/>
      <c r="F3" s="191"/>
      <c r="G3" s="17"/>
      <c r="H3" s="174" t="s">
        <v>130</v>
      </c>
      <c r="I3" s="174"/>
      <c r="J3" s="174"/>
      <c r="K3" s="174"/>
      <c r="L3" s="174"/>
      <c r="M3" s="174"/>
      <c r="N3" s="174"/>
      <c r="O3" s="174"/>
      <c r="P3" s="1"/>
    </row>
    <row r="4" spans="3:15" ht="12.75">
      <c r="C4" s="207" t="s">
        <v>0</v>
      </c>
      <c r="D4" s="208"/>
      <c r="E4" s="209"/>
      <c r="H4" s="253" t="s">
        <v>2</v>
      </c>
      <c r="I4" s="254"/>
      <c r="J4" s="254"/>
      <c r="K4" s="71" t="s">
        <v>3</v>
      </c>
      <c r="L4" s="71" t="s">
        <v>120</v>
      </c>
      <c r="M4" s="71" t="s">
        <v>121</v>
      </c>
      <c r="N4" s="71" t="s">
        <v>4</v>
      </c>
      <c r="O4" s="72" t="s">
        <v>5</v>
      </c>
    </row>
    <row r="5" spans="3:15" ht="12.75">
      <c r="C5" s="35"/>
      <c r="D5" s="22"/>
      <c r="E5" s="36"/>
      <c r="H5" s="255" t="s">
        <v>0</v>
      </c>
      <c r="I5" s="256"/>
      <c r="J5" s="256"/>
      <c r="K5" s="155">
        <v>1</v>
      </c>
      <c r="L5" s="155">
        <f>IF(D6="",0,1)</f>
        <v>1</v>
      </c>
      <c r="M5" s="155">
        <f aca="true" t="shared" si="0" ref="M5:M22">+K5*L5</f>
        <v>1</v>
      </c>
      <c r="N5" s="156">
        <f>E14</f>
        <v>70.25868224350984</v>
      </c>
      <c r="O5" s="157">
        <f>IF(L5=1,K5*N5,0)</f>
        <v>70.25868224350984</v>
      </c>
    </row>
    <row r="6" spans="3:15" ht="12.75">
      <c r="C6" s="37" t="s">
        <v>6</v>
      </c>
      <c r="D6" s="84">
        <v>8.1</v>
      </c>
      <c r="E6" s="36"/>
      <c r="H6" s="255" t="s">
        <v>8</v>
      </c>
      <c r="I6" s="256"/>
      <c r="J6" s="256"/>
      <c r="K6" s="155">
        <v>1</v>
      </c>
      <c r="L6" s="155">
        <f>IF(D18="",0,1)</f>
        <v>1</v>
      </c>
      <c r="M6" s="155">
        <f t="shared" si="0"/>
        <v>1</v>
      </c>
      <c r="N6" s="156">
        <f>E22</f>
        <v>100</v>
      </c>
      <c r="O6" s="157">
        <f aca="true" t="shared" si="1" ref="O6:O22">K6*N6</f>
        <v>100</v>
      </c>
    </row>
    <row r="7" spans="3:15" ht="12.75">
      <c r="C7" s="205" t="s">
        <v>122</v>
      </c>
      <c r="D7" s="206"/>
      <c r="E7" s="38">
        <f>0.2335*D6+0.44</f>
        <v>2.33135</v>
      </c>
      <c r="H7" s="255" t="s">
        <v>9</v>
      </c>
      <c r="I7" s="256"/>
      <c r="J7" s="256"/>
      <c r="K7" s="155">
        <v>0.5</v>
      </c>
      <c r="L7" s="155">
        <f>IF(D26="",0,1)</f>
        <v>1</v>
      </c>
      <c r="M7" s="155">
        <f t="shared" si="0"/>
        <v>0.5</v>
      </c>
      <c r="N7" s="156">
        <f>E32</f>
        <v>0</v>
      </c>
      <c r="O7" s="157">
        <f t="shared" si="1"/>
        <v>0</v>
      </c>
    </row>
    <row r="8" spans="3:15" ht="12.75">
      <c r="C8" s="205" t="s">
        <v>123</v>
      </c>
      <c r="D8" s="206"/>
      <c r="E8" s="38">
        <v>100</v>
      </c>
      <c r="H8" s="255" t="s">
        <v>11</v>
      </c>
      <c r="I8" s="256"/>
      <c r="J8" s="256"/>
      <c r="K8" s="155">
        <v>2</v>
      </c>
      <c r="L8" s="155">
        <f>IF(D36="",0,1)</f>
        <v>1</v>
      </c>
      <c r="M8" s="155">
        <f t="shared" si="0"/>
        <v>2</v>
      </c>
      <c r="N8" s="156">
        <f>E41</f>
        <v>8.836891503651408</v>
      </c>
      <c r="O8" s="157">
        <f t="shared" si="1"/>
        <v>17.673783007302816</v>
      </c>
    </row>
    <row r="9" spans="3:15" ht="12.75">
      <c r="C9" s="205" t="s">
        <v>124</v>
      </c>
      <c r="D9" s="206"/>
      <c r="E9" s="38">
        <f>4.22-(0.293*D6)</f>
        <v>1.8466999999999998</v>
      </c>
      <c r="H9" s="255" t="s">
        <v>12</v>
      </c>
      <c r="I9" s="256"/>
      <c r="J9" s="256"/>
      <c r="K9" s="155">
        <v>5</v>
      </c>
      <c r="L9" s="155">
        <f>IF(D45="",0,1)</f>
        <v>1</v>
      </c>
      <c r="M9" s="155">
        <f t="shared" si="0"/>
        <v>5</v>
      </c>
      <c r="N9" s="156">
        <f>E57</f>
        <v>93.58697049384476</v>
      </c>
      <c r="O9" s="157">
        <f t="shared" si="1"/>
        <v>467.9348524692238</v>
      </c>
    </row>
    <row r="10" spans="3:15" ht="12.75">
      <c r="C10" s="201" t="s">
        <v>13</v>
      </c>
      <c r="D10" s="202"/>
      <c r="E10" s="203"/>
      <c r="H10" s="255" t="s">
        <v>14</v>
      </c>
      <c r="I10" s="256"/>
      <c r="J10" s="256"/>
      <c r="K10" s="155">
        <v>5</v>
      </c>
      <c r="L10" s="155">
        <f>IF(D61="",0,1)</f>
        <v>1</v>
      </c>
      <c r="M10" s="155">
        <f t="shared" si="0"/>
        <v>5</v>
      </c>
      <c r="N10" s="156">
        <f>E65</f>
        <v>75.26413227125968</v>
      </c>
      <c r="O10" s="157">
        <f t="shared" si="1"/>
        <v>376.3206613562984</v>
      </c>
    </row>
    <row r="11" spans="3:15" ht="14.25">
      <c r="C11" s="35" t="s">
        <v>125</v>
      </c>
      <c r="D11" s="23">
        <f>POWER(10,E7)</f>
        <v>214.4618262975949</v>
      </c>
      <c r="E11" s="38">
        <f>IF(AND(D6&lt;6.7,D6&lt;&gt;""),D11,0)</f>
        <v>0</v>
      </c>
      <c r="H11" s="257" t="s">
        <v>15</v>
      </c>
      <c r="I11" s="258"/>
      <c r="J11" s="259"/>
      <c r="K11" s="155">
        <v>1</v>
      </c>
      <c r="L11" s="155">
        <f>IF(D69="",0,1)</f>
        <v>0</v>
      </c>
      <c r="M11" s="155">
        <f t="shared" si="0"/>
        <v>0</v>
      </c>
      <c r="N11" s="158">
        <f>D74</f>
        <v>0</v>
      </c>
      <c r="O11" s="157">
        <f t="shared" si="1"/>
        <v>0</v>
      </c>
    </row>
    <row r="12" spans="3:15" ht="14.25">
      <c r="C12" s="35" t="s">
        <v>126</v>
      </c>
      <c r="D12" s="23">
        <f>E8</f>
        <v>100</v>
      </c>
      <c r="E12" s="38">
        <f>IF(AND(IF(D6&gt;=6.7,D12,0),IF(D6&lt;=7.3,D12,0)),D12,0)</f>
        <v>0</v>
      </c>
      <c r="H12" s="257" t="s">
        <v>16</v>
      </c>
      <c r="I12" s="258"/>
      <c r="J12" s="259"/>
      <c r="K12" s="155">
        <v>0.5</v>
      </c>
      <c r="L12" s="155">
        <f>IF(D79="",0,1)</f>
        <v>0</v>
      </c>
      <c r="M12" s="155">
        <f t="shared" si="0"/>
        <v>0</v>
      </c>
      <c r="N12" s="158">
        <f>D84</f>
        <v>0</v>
      </c>
      <c r="O12" s="157">
        <f t="shared" si="1"/>
        <v>0</v>
      </c>
    </row>
    <row r="13" spans="3:15" ht="14.25">
      <c r="C13" s="35" t="s">
        <v>127</v>
      </c>
      <c r="D13" s="23">
        <f>POWER(10,E9)</f>
        <v>70.25868224350984</v>
      </c>
      <c r="E13" s="38">
        <f>IF(D6&gt;7.3,D13,0)</f>
        <v>70.25868224350984</v>
      </c>
      <c r="H13" s="257" t="s">
        <v>17</v>
      </c>
      <c r="I13" s="258"/>
      <c r="J13" s="259"/>
      <c r="K13" s="155">
        <v>1</v>
      </c>
      <c r="L13" s="155">
        <f>IF(D90="",0,1)</f>
        <v>0</v>
      </c>
      <c r="M13" s="155">
        <f t="shared" si="0"/>
        <v>0</v>
      </c>
      <c r="N13" s="158">
        <f>D95</f>
        <v>0</v>
      </c>
      <c r="O13" s="157">
        <f t="shared" si="1"/>
        <v>0</v>
      </c>
    </row>
    <row r="14" spans="3:15" ht="12.75">
      <c r="C14" s="199" t="s">
        <v>18</v>
      </c>
      <c r="D14" s="204"/>
      <c r="E14" s="73">
        <f>SUM(E11:E13)</f>
        <v>70.25868224350984</v>
      </c>
      <c r="H14" s="257" t="s">
        <v>19</v>
      </c>
      <c r="I14" s="258"/>
      <c r="J14" s="259"/>
      <c r="K14" s="155">
        <v>2</v>
      </c>
      <c r="L14" s="155">
        <f>IF(D101="",0,1)</f>
        <v>0</v>
      </c>
      <c r="M14" s="155">
        <f t="shared" si="0"/>
        <v>0</v>
      </c>
      <c r="N14" s="158">
        <f>D106</f>
        <v>0</v>
      </c>
      <c r="O14" s="157">
        <f t="shared" si="1"/>
        <v>0</v>
      </c>
    </row>
    <row r="15" spans="3:15" ht="13.5" thickBot="1">
      <c r="C15" s="35"/>
      <c r="D15" s="22"/>
      <c r="E15" s="36"/>
      <c r="H15" s="257" t="s">
        <v>1</v>
      </c>
      <c r="I15" s="258"/>
      <c r="J15" s="259"/>
      <c r="K15" s="155">
        <v>2</v>
      </c>
      <c r="L15" s="155">
        <f>IF(D112="",0,1)</f>
        <v>0</v>
      </c>
      <c r="M15" s="155">
        <f t="shared" si="0"/>
        <v>0</v>
      </c>
      <c r="N15" s="158">
        <f>D117</f>
        <v>0</v>
      </c>
      <c r="O15" s="157">
        <f t="shared" si="1"/>
        <v>0</v>
      </c>
    </row>
    <row r="16" spans="3:15" ht="12.75">
      <c r="C16" s="207" t="s">
        <v>8</v>
      </c>
      <c r="D16" s="208"/>
      <c r="E16" s="209"/>
      <c r="H16" s="257" t="s">
        <v>20</v>
      </c>
      <c r="I16" s="258"/>
      <c r="J16" s="259"/>
      <c r="K16" s="155">
        <v>2</v>
      </c>
      <c r="L16" s="155">
        <f>IF(D123="",0,1)</f>
        <v>0</v>
      </c>
      <c r="M16" s="155">
        <f t="shared" si="0"/>
        <v>0</v>
      </c>
      <c r="N16" s="158">
        <f>D128</f>
        <v>0</v>
      </c>
      <c r="O16" s="157">
        <f t="shared" si="1"/>
        <v>0</v>
      </c>
    </row>
    <row r="17" spans="3:15" ht="12.75">
      <c r="C17" s="35"/>
      <c r="D17" s="22"/>
      <c r="E17" s="36"/>
      <c r="H17" s="257" t="s">
        <v>22</v>
      </c>
      <c r="I17" s="258"/>
      <c r="J17" s="259"/>
      <c r="K17" s="155">
        <v>2</v>
      </c>
      <c r="L17" s="155">
        <f>IF(D134="",0,1)</f>
        <v>0</v>
      </c>
      <c r="M17" s="155">
        <f t="shared" si="0"/>
        <v>0</v>
      </c>
      <c r="N17" s="158">
        <f>D139</f>
        <v>0</v>
      </c>
      <c r="O17" s="157">
        <f t="shared" si="1"/>
        <v>0</v>
      </c>
    </row>
    <row r="18" spans="3:15" ht="12.75">
      <c r="C18" s="37" t="s">
        <v>23</v>
      </c>
      <c r="D18" s="84">
        <v>7</v>
      </c>
      <c r="E18" s="36"/>
      <c r="H18" s="257" t="s">
        <v>24</v>
      </c>
      <c r="I18" s="258"/>
      <c r="J18" s="259"/>
      <c r="K18" s="155">
        <v>1</v>
      </c>
      <c r="L18" s="155">
        <f>IF(D145="",0,1)</f>
        <v>0</v>
      </c>
      <c r="M18" s="155">
        <f t="shared" si="0"/>
        <v>0</v>
      </c>
      <c r="N18" s="158">
        <f>D150</f>
        <v>0</v>
      </c>
      <c r="O18" s="157">
        <f t="shared" si="1"/>
        <v>0</v>
      </c>
    </row>
    <row r="19" spans="3:15" ht="12.75">
      <c r="C19" s="35"/>
      <c r="D19" s="23"/>
      <c r="E19" s="36"/>
      <c r="H19" s="257" t="s">
        <v>26</v>
      </c>
      <c r="I19" s="258"/>
      <c r="J19" s="259"/>
      <c r="K19" s="155">
        <v>0.5</v>
      </c>
      <c r="L19" s="155">
        <f>IF(D155="",0,1)</f>
        <v>1</v>
      </c>
      <c r="M19" s="155">
        <f t="shared" si="0"/>
        <v>0.5</v>
      </c>
      <c r="N19" s="158">
        <f>D160</f>
        <v>78.50780460778934</v>
      </c>
      <c r="O19" s="157">
        <f t="shared" si="1"/>
        <v>39.25390230389467</v>
      </c>
    </row>
    <row r="20" spans="3:15" ht="12.75">
      <c r="C20" s="35" t="s">
        <v>27</v>
      </c>
      <c r="D20" s="23">
        <v>100</v>
      </c>
      <c r="E20" s="36">
        <f>IF(D18="",0,IF(D18&lt;14.144,D20,0))</f>
        <v>100</v>
      </c>
      <c r="H20" s="257" t="s">
        <v>29</v>
      </c>
      <c r="I20" s="258"/>
      <c r="J20" s="259"/>
      <c r="K20" s="155">
        <v>3</v>
      </c>
      <c r="L20" s="155">
        <f>IF(D167="",0,1)</f>
        <v>0</v>
      </c>
      <c r="M20" s="155">
        <f t="shared" si="0"/>
        <v>0</v>
      </c>
      <c r="N20" s="158">
        <f>D172</f>
        <v>0</v>
      </c>
      <c r="O20" s="157">
        <f t="shared" si="1"/>
        <v>0</v>
      </c>
    </row>
    <row r="21" spans="3:15" ht="12.75">
      <c r="C21" s="35" t="s">
        <v>30</v>
      </c>
      <c r="D21" s="23">
        <f>IF(OR(D18="",D18=0),0,266.5*POWER(D18,-0.37))</f>
        <v>129.7211943396547</v>
      </c>
      <c r="E21" s="39">
        <f>IF(D18&gt;14.44,D21,0)</f>
        <v>0</v>
      </c>
      <c r="H21" s="257" t="s">
        <v>31</v>
      </c>
      <c r="I21" s="258"/>
      <c r="J21" s="259"/>
      <c r="K21" s="155">
        <v>4</v>
      </c>
      <c r="L21" s="155">
        <f>IF(D178="",0,1)</f>
        <v>1</v>
      </c>
      <c r="M21" s="155">
        <f t="shared" si="0"/>
        <v>4</v>
      </c>
      <c r="N21" s="158">
        <f>D183</f>
        <v>23.31989103880311</v>
      </c>
      <c r="O21" s="157">
        <f t="shared" si="1"/>
        <v>93.27956415521244</v>
      </c>
    </row>
    <row r="22" spans="3:15" ht="13.5" thickBot="1">
      <c r="C22" s="199" t="s">
        <v>119</v>
      </c>
      <c r="D22" s="200"/>
      <c r="E22" s="73">
        <f>SUM(E20:E21)</f>
        <v>100</v>
      </c>
      <c r="H22" s="260" t="s">
        <v>32</v>
      </c>
      <c r="I22" s="261"/>
      <c r="J22" s="262"/>
      <c r="K22" s="159">
        <v>3</v>
      </c>
      <c r="L22" s="159">
        <f>IF(D189="",0,1)</f>
        <v>1</v>
      </c>
      <c r="M22" s="159">
        <f t="shared" si="0"/>
        <v>3</v>
      </c>
      <c r="N22" s="160">
        <f>D194</f>
        <v>15.39976946872197</v>
      </c>
      <c r="O22" s="161">
        <f t="shared" si="1"/>
        <v>46.19930840616591</v>
      </c>
    </row>
    <row r="23" spans="3:15" ht="13.5" thickBot="1">
      <c r="C23" s="35"/>
      <c r="D23" s="22"/>
      <c r="E23" s="36"/>
      <c r="H23" s="263" t="s">
        <v>33</v>
      </c>
      <c r="I23" s="264"/>
      <c r="J23" s="264"/>
      <c r="K23" s="162">
        <v>31.5</v>
      </c>
      <c r="L23" s="162"/>
      <c r="M23" s="162">
        <f>SUM(M5:M22)</f>
        <v>22</v>
      </c>
      <c r="N23" s="163"/>
      <c r="O23" s="164">
        <f>SUM(O5:O22)</f>
        <v>1210.920753941608</v>
      </c>
    </row>
    <row r="24" spans="3:5" ht="13.5" thickBot="1">
      <c r="C24" s="207" t="s">
        <v>9</v>
      </c>
      <c r="D24" s="208"/>
      <c r="E24" s="209"/>
    </row>
    <row r="25" spans="3:13" ht="19.5" thickBot="1" thickTop="1">
      <c r="C25" s="40"/>
      <c r="D25" s="18"/>
      <c r="E25" s="41"/>
      <c r="I25" s="4" t="s">
        <v>34</v>
      </c>
      <c r="J25" s="192">
        <f>O23/M23</f>
        <v>55.041852451891266</v>
      </c>
      <c r="K25" s="193"/>
      <c r="L25" s="74"/>
      <c r="M25" s="74"/>
    </row>
    <row r="26" spans="3:13" ht="13.5" thickTop="1">
      <c r="C26" s="42" t="s">
        <v>35</v>
      </c>
      <c r="D26" s="84">
        <v>31020</v>
      </c>
      <c r="E26" s="41"/>
      <c r="K26" s="5"/>
      <c r="L26" s="5"/>
      <c r="M26" s="5"/>
    </row>
    <row r="27" spans="3:5" ht="13.5" thickBot="1">
      <c r="C27" s="40"/>
      <c r="D27" s="18"/>
      <c r="E27" s="41"/>
    </row>
    <row r="28" spans="3:11" ht="13.5" thickTop="1">
      <c r="C28" s="43" t="s">
        <v>36</v>
      </c>
      <c r="D28" s="24">
        <v>100</v>
      </c>
      <c r="E28" s="41">
        <f>IF(D26="",0,IF(D26&lt;520,D28,0))</f>
        <v>0</v>
      </c>
      <c r="I28" s="231" t="s">
        <v>37</v>
      </c>
      <c r="J28" s="232"/>
      <c r="K28" s="233" t="s">
        <v>38</v>
      </c>
    </row>
    <row r="29" spans="3:11" ht="12.75">
      <c r="C29" s="43" t="s">
        <v>39</v>
      </c>
      <c r="D29" s="24">
        <f>109.1-0.0175*D26</f>
        <v>-433.75</v>
      </c>
      <c r="E29" s="44">
        <f>IF(AND(IF(D26&lt;=6234,D26,0),IF(D26&gt;=520,D26,0)),D29,0)</f>
        <v>0</v>
      </c>
      <c r="I29" s="234" t="s">
        <v>40</v>
      </c>
      <c r="J29" s="235"/>
      <c r="K29" s="236" t="s">
        <v>41</v>
      </c>
    </row>
    <row r="30" spans="3:11" ht="12.75">
      <c r="C30" s="43" t="s">
        <v>42</v>
      </c>
      <c r="D30" s="24">
        <v>0</v>
      </c>
      <c r="E30" s="44">
        <f>IF(D26&gt;6234,D30,0)</f>
        <v>0</v>
      </c>
      <c r="I30" s="234" t="s">
        <v>44</v>
      </c>
      <c r="J30" s="235"/>
      <c r="K30" s="236" t="s">
        <v>45</v>
      </c>
    </row>
    <row r="31" spans="3:11" ht="12.75">
      <c r="C31" s="45"/>
      <c r="D31" s="20"/>
      <c r="E31" s="41"/>
      <c r="I31" s="234" t="s">
        <v>46</v>
      </c>
      <c r="J31" s="235"/>
      <c r="K31" s="236" t="s">
        <v>47</v>
      </c>
    </row>
    <row r="32" spans="3:11" ht="13.5" thickBot="1">
      <c r="C32" s="197" t="s">
        <v>106</v>
      </c>
      <c r="D32" s="198"/>
      <c r="E32" s="73">
        <f>SUM(E28:E30)</f>
        <v>0</v>
      </c>
      <c r="I32" s="237" t="s">
        <v>48</v>
      </c>
      <c r="J32" s="238"/>
      <c r="K32" s="239" t="s">
        <v>49</v>
      </c>
    </row>
    <row r="33" spans="3:5" ht="14.25" thickBot="1" thickTop="1">
      <c r="C33" s="40"/>
      <c r="D33" s="18"/>
      <c r="E33" s="47"/>
    </row>
    <row r="34" spans="3:5" ht="12.75">
      <c r="C34" s="207" t="s">
        <v>11</v>
      </c>
      <c r="D34" s="208"/>
      <c r="E34" s="209"/>
    </row>
    <row r="35" spans="3:5" ht="12.75">
      <c r="C35" s="40"/>
      <c r="D35" s="18"/>
      <c r="E35" s="41"/>
    </row>
    <row r="36" spans="3:5" ht="12.75">
      <c r="C36" s="48" t="s">
        <v>52</v>
      </c>
      <c r="D36" s="84">
        <v>51600</v>
      </c>
      <c r="E36" s="41"/>
    </row>
    <row r="37" spans="3:5" ht="12.75">
      <c r="C37" s="40"/>
      <c r="D37" s="25"/>
      <c r="E37" s="44"/>
    </row>
    <row r="38" spans="3:5" ht="12.75">
      <c r="C38" s="43" t="s">
        <v>53</v>
      </c>
      <c r="D38" s="24">
        <v>100</v>
      </c>
      <c r="E38" s="41">
        <f>IF(D36="",0,IF(D36&lt;85.6,D38,0))</f>
        <v>0</v>
      </c>
    </row>
    <row r="39" spans="3:8" ht="12.75">
      <c r="C39" s="43" t="s">
        <v>54</v>
      </c>
      <c r="D39" s="24">
        <f>IF(OR(D36="",D36=0),0,540*POWER(D36,-0.379))</f>
        <v>8.836891503651408</v>
      </c>
      <c r="E39" s="49">
        <f>IF(D36&gt;85.6,H39,0)</f>
        <v>8.836891503651408</v>
      </c>
      <c r="H39" s="6">
        <f>540*POWER(D36,-0.379)</f>
        <v>8.836891503651408</v>
      </c>
    </row>
    <row r="40" spans="3:5" ht="12.75">
      <c r="C40" s="40"/>
      <c r="D40" s="26"/>
      <c r="E40" s="50"/>
    </row>
    <row r="41" spans="3:5" ht="12.75">
      <c r="C41" s="40"/>
      <c r="D41" s="21" t="s">
        <v>107</v>
      </c>
      <c r="E41" s="73">
        <f>SUM(E38:E39)</f>
        <v>8.836891503651408</v>
      </c>
    </row>
    <row r="42" spans="3:5" ht="13.5" thickBot="1">
      <c r="C42" s="40"/>
      <c r="D42" s="18"/>
      <c r="E42" s="41"/>
    </row>
    <row r="43" spans="3:5" ht="12.75">
      <c r="C43" s="207" t="s">
        <v>58</v>
      </c>
      <c r="D43" s="208"/>
      <c r="E43" s="209"/>
    </row>
    <row r="44" spans="3:7" ht="17.25" customHeight="1">
      <c r="C44" s="40"/>
      <c r="D44" s="18"/>
      <c r="E44" s="51"/>
      <c r="F44" s="7"/>
      <c r="G44" s="7"/>
    </row>
    <row r="45" spans="3:5" ht="12.75">
      <c r="C45" s="40"/>
      <c r="D45" s="75" t="s">
        <v>59</v>
      </c>
      <c r="E45" s="84">
        <v>7.3</v>
      </c>
    </row>
    <row r="46" spans="3:5" ht="12.75">
      <c r="C46" s="40"/>
      <c r="D46" s="27" t="s">
        <v>61</v>
      </c>
      <c r="E46" s="52">
        <f>D56</f>
        <v>7.800231123498247</v>
      </c>
    </row>
    <row r="47" spans="3:5" ht="12.75">
      <c r="C47" s="40"/>
      <c r="D47" s="75" t="s">
        <v>62</v>
      </c>
      <c r="E47" s="134">
        <v>28.2</v>
      </c>
    </row>
    <row r="48" spans="3:5" ht="12.75">
      <c r="C48" s="40"/>
      <c r="D48" s="27" t="s">
        <v>63</v>
      </c>
      <c r="E48" s="52">
        <f>E47+273.15</f>
        <v>301.34999999999997</v>
      </c>
    </row>
    <row r="49" spans="3:5" ht="12.75">
      <c r="C49" s="40"/>
      <c r="D49" s="18"/>
      <c r="E49" s="53"/>
    </row>
    <row r="50" spans="3:5" ht="12.75">
      <c r="C50" s="40"/>
      <c r="D50" s="20">
        <v>-139.3441</v>
      </c>
      <c r="E50" s="41"/>
    </row>
    <row r="51" spans="3:5" ht="12.75">
      <c r="C51" s="40"/>
      <c r="D51" s="20">
        <f>(1.575701)*(100000/E48)</f>
        <v>522.8807035009125</v>
      </c>
      <c r="E51" s="41"/>
    </row>
    <row r="52" spans="3:5" ht="12.75">
      <c r="C52" s="40"/>
      <c r="D52" s="20">
        <f>-(6.642308)*(10000000/(E48*E48))</f>
        <v>-731.4364822928205</v>
      </c>
      <c r="E52" s="41"/>
    </row>
    <row r="53" spans="3:5" ht="12.75">
      <c r="C53" s="40"/>
      <c r="D53" s="20">
        <f>(1.2438)*(10000000000/(E48*E48*E48))</f>
        <v>454.5032206999539</v>
      </c>
      <c r="E53" s="41"/>
    </row>
    <row r="54" spans="3:5" ht="12.75">
      <c r="C54" s="40"/>
      <c r="D54" s="20">
        <f>-(8.621949)*(100000000000/(E48*E48*E48*E48))</f>
        <v>-104.5491885435716</v>
      </c>
      <c r="E54" s="41"/>
    </row>
    <row r="55" spans="3:5" ht="12.75">
      <c r="C55" s="54" t="s">
        <v>67</v>
      </c>
      <c r="D55" s="20">
        <f>SUM(D50:D54)</f>
        <v>2.054153364474274</v>
      </c>
      <c r="E55" s="41"/>
    </row>
    <row r="56" spans="3:5" ht="12.75">
      <c r="C56" s="54" t="s">
        <v>69</v>
      </c>
      <c r="D56" s="20">
        <f>EXP(D55)</f>
        <v>7.800231123498247</v>
      </c>
      <c r="E56" s="41" t="s">
        <v>70</v>
      </c>
    </row>
    <row r="57" spans="3:5" ht="12.75">
      <c r="C57" s="40"/>
      <c r="D57" s="21" t="s">
        <v>71</v>
      </c>
      <c r="E57" s="73">
        <f>(E45/E46)*100</f>
        <v>93.58697049384476</v>
      </c>
    </row>
    <row r="58" spans="3:5" ht="13.5" thickBot="1">
      <c r="C58" s="40"/>
      <c r="D58" s="18"/>
      <c r="E58" s="41"/>
    </row>
    <row r="59" spans="3:5" ht="12.75">
      <c r="C59" s="207" t="s">
        <v>72</v>
      </c>
      <c r="D59" s="208"/>
      <c r="E59" s="209"/>
    </row>
    <row r="60" spans="3:5" ht="12.75">
      <c r="C60" s="55"/>
      <c r="D60" s="28"/>
      <c r="E60" s="51"/>
    </row>
    <row r="61" spans="3:5" ht="12.75">
      <c r="C61" s="42" t="s">
        <v>74</v>
      </c>
      <c r="D61" s="135">
        <v>2</v>
      </c>
      <c r="E61" s="56"/>
    </row>
    <row r="62" spans="3:7" ht="12.75">
      <c r="C62" s="40"/>
      <c r="D62" s="18"/>
      <c r="E62" s="41"/>
      <c r="F62" s="8"/>
      <c r="G62" s="8"/>
    </row>
    <row r="63" spans="3:5" ht="12.75">
      <c r="C63" s="43" t="s">
        <v>76</v>
      </c>
      <c r="D63" s="24">
        <v>100</v>
      </c>
      <c r="E63" s="41">
        <f>IF(D61="",0,IF(D61&lt;1.311,D63,0))</f>
        <v>0</v>
      </c>
    </row>
    <row r="64" spans="3:8" ht="12.75">
      <c r="C64" s="43" t="s">
        <v>77</v>
      </c>
      <c r="D64" s="24">
        <f>IF(OR(D61="",D61=0),0,120*POWER(D61,-0.673))</f>
        <v>75.26413227125968</v>
      </c>
      <c r="E64" s="44">
        <f>IF(D61&gt;1.311,D64,0)</f>
        <v>75.26413227125968</v>
      </c>
      <c r="H64" s="3"/>
    </row>
    <row r="65" spans="3:7" ht="12.75">
      <c r="C65" s="40"/>
      <c r="D65" s="25" t="s">
        <v>79</v>
      </c>
      <c r="E65" s="73">
        <f>SUM(E63:E64)</f>
        <v>75.26413227125968</v>
      </c>
      <c r="F65" s="9"/>
      <c r="G65" s="9"/>
    </row>
    <row r="66" spans="3:5" ht="13.5" thickBot="1">
      <c r="C66" s="57"/>
      <c r="D66" s="29"/>
      <c r="E66" s="58"/>
    </row>
    <row r="67" spans="3:5" ht="12.75">
      <c r="C67" s="207" t="s">
        <v>15</v>
      </c>
      <c r="D67" s="208"/>
      <c r="E67" s="209"/>
    </row>
    <row r="68" spans="3:5" ht="16.5" customHeight="1">
      <c r="C68" s="59" t="s">
        <v>109</v>
      </c>
      <c r="D68" s="18"/>
      <c r="E68" s="41"/>
    </row>
    <row r="69" spans="3:5" ht="12.75">
      <c r="C69" s="60" t="s">
        <v>82</v>
      </c>
      <c r="D69" s="136"/>
      <c r="E69" s="41"/>
    </row>
    <row r="70" spans="3:5" ht="12.75">
      <c r="C70" s="61" t="s">
        <v>110</v>
      </c>
      <c r="D70" s="20">
        <f>IF(D69="",0,POWER(10,1.974-(0.00174*D69)))</f>
        <v>0</v>
      </c>
      <c r="E70" s="41"/>
    </row>
    <row r="71" spans="3:5" ht="12.75">
      <c r="C71" s="40"/>
      <c r="D71" s="18"/>
      <c r="E71" s="41"/>
    </row>
    <row r="72" spans="3:5" ht="12.75">
      <c r="C72" s="40" t="s">
        <v>83</v>
      </c>
      <c r="D72" s="20">
        <f>IF(D69&lt;2500,D70,0)</f>
        <v>0</v>
      </c>
      <c r="E72" s="41"/>
    </row>
    <row r="73" spans="3:5" ht="12.75">
      <c r="C73" s="40" t="s">
        <v>85</v>
      </c>
      <c r="D73" s="20">
        <f>IF(D69&gt;2500,D70,0)</f>
        <v>0</v>
      </c>
      <c r="E73" s="41"/>
    </row>
    <row r="74" spans="3:5" ht="12.75">
      <c r="C74" s="61" t="s">
        <v>110</v>
      </c>
      <c r="D74" s="73">
        <f>SUM(D72:D73)</f>
        <v>0</v>
      </c>
      <c r="E74" s="41"/>
    </row>
    <row r="75" spans="3:5" ht="13.5" thickBot="1">
      <c r="C75" s="40"/>
      <c r="D75" s="18"/>
      <c r="E75" s="41"/>
    </row>
    <row r="76" spans="3:14" ht="12.75">
      <c r="C76" s="207" t="s">
        <v>16</v>
      </c>
      <c r="D76" s="208"/>
      <c r="E76" s="209"/>
      <c r="J76" s="10"/>
      <c r="K76" s="10"/>
      <c r="L76" s="10"/>
      <c r="M76" s="10"/>
      <c r="N76" s="10"/>
    </row>
    <row r="77" spans="3:5" ht="12.75">
      <c r="C77" s="59" t="s">
        <v>7</v>
      </c>
      <c r="D77" s="18"/>
      <c r="E77" s="41"/>
    </row>
    <row r="78" spans="3:5" ht="12.75">
      <c r="C78" s="40"/>
      <c r="D78" s="18"/>
      <c r="E78" s="41"/>
    </row>
    <row r="79" spans="3:5" ht="12.75">
      <c r="C79" s="60" t="s">
        <v>89</v>
      </c>
      <c r="D79" s="136"/>
      <c r="E79" s="41"/>
    </row>
    <row r="80" spans="3:5" ht="12.75">
      <c r="C80" s="61" t="s">
        <v>112</v>
      </c>
      <c r="D80" s="20">
        <f>IF(OR(D79="",D79=0),0,34.215*POWER(D79,-0.46))</f>
        <v>0</v>
      </c>
      <c r="E80" s="41"/>
    </row>
    <row r="81" spans="3:5" ht="12.75">
      <c r="C81" s="40"/>
      <c r="D81" s="18"/>
      <c r="E81" s="41"/>
    </row>
    <row r="82" spans="3:5" ht="14.25">
      <c r="C82" s="40" t="s">
        <v>113</v>
      </c>
      <c r="D82" s="20">
        <f>IF(D79&lt;2.351,D80,0)</f>
        <v>0</v>
      </c>
      <c r="E82" s="41"/>
    </row>
    <row r="83" spans="3:5" ht="14.25">
      <c r="C83" s="40" t="s">
        <v>114</v>
      </c>
      <c r="D83" s="20">
        <f>IF(D79&gt;2.351,D80,0)</f>
        <v>0</v>
      </c>
      <c r="E83" s="41"/>
    </row>
    <row r="84" spans="3:5" ht="12.75">
      <c r="C84" s="61" t="s">
        <v>112</v>
      </c>
      <c r="D84" s="73">
        <f>SUM(D82:D83)</f>
        <v>0</v>
      </c>
      <c r="E84" s="41"/>
    </row>
    <row r="85" spans="3:5" ht="13.5" thickBot="1">
      <c r="C85" s="40"/>
      <c r="D85" s="18"/>
      <c r="E85" s="41"/>
    </row>
    <row r="86" spans="3:5" ht="12.75">
      <c r="C86" s="207" t="s">
        <v>17</v>
      </c>
      <c r="D86" s="208"/>
      <c r="E86" s="209"/>
    </row>
    <row r="87" spans="3:5" ht="12.75">
      <c r="C87" s="40"/>
      <c r="D87" s="18"/>
      <c r="E87" s="41"/>
    </row>
    <row r="88" spans="3:5" ht="12.75">
      <c r="C88" s="59" t="s">
        <v>116</v>
      </c>
      <c r="D88" s="18"/>
      <c r="E88" s="41"/>
    </row>
    <row r="89" spans="3:5" ht="12.75">
      <c r="C89" s="40"/>
      <c r="D89" s="18"/>
      <c r="E89" s="41"/>
    </row>
    <row r="90" spans="3:5" ht="12.75">
      <c r="C90" s="60" t="s">
        <v>93</v>
      </c>
      <c r="D90" s="136"/>
      <c r="E90" s="41"/>
    </row>
    <row r="91" spans="3:5" ht="15.75">
      <c r="C91" s="61" t="s">
        <v>117</v>
      </c>
      <c r="D91" s="20">
        <f>IF(OR(D90="",D90=0),0,105*POWER(D90,-0.186))</f>
        <v>0</v>
      </c>
      <c r="E91" s="41"/>
    </row>
    <row r="92" spans="3:5" ht="12.75">
      <c r="C92" s="40"/>
      <c r="D92" s="18"/>
      <c r="E92" s="41"/>
    </row>
    <row r="93" spans="3:5" ht="12.75">
      <c r="C93" s="40" t="s">
        <v>94</v>
      </c>
      <c r="D93" s="20">
        <f>IF(D90&lt;1.3,D91,0)</f>
        <v>0</v>
      </c>
      <c r="E93" s="41"/>
    </row>
    <row r="94" spans="3:5" ht="12.75">
      <c r="C94" s="40" t="s">
        <v>95</v>
      </c>
      <c r="D94" s="20">
        <f>IF(D90&gt;1.3,D91,0)</f>
        <v>0</v>
      </c>
      <c r="E94" s="41"/>
    </row>
    <row r="95" spans="3:5" ht="15.75">
      <c r="C95" s="61" t="s">
        <v>117</v>
      </c>
      <c r="D95" s="73">
        <f>SUM(D93:D94)</f>
        <v>0</v>
      </c>
      <c r="E95" s="41"/>
    </row>
    <row r="96" spans="3:5" ht="13.5" thickBot="1">
      <c r="C96" s="40"/>
      <c r="D96" s="18"/>
      <c r="E96" s="41"/>
    </row>
    <row r="97" spans="3:5" ht="12.75">
      <c r="C97" s="207" t="s">
        <v>19</v>
      </c>
      <c r="D97" s="208"/>
      <c r="E97" s="209"/>
    </row>
    <row r="98" spans="3:5" ht="12.75">
      <c r="C98" s="40"/>
      <c r="D98" s="18"/>
      <c r="E98" s="41"/>
    </row>
    <row r="99" spans="3:5" ht="12.75">
      <c r="C99" s="59" t="s">
        <v>96</v>
      </c>
      <c r="D99" s="18"/>
      <c r="E99" s="41"/>
    </row>
    <row r="100" spans="3:5" ht="12.75">
      <c r="C100" s="40"/>
      <c r="D100" s="18"/>
      <c r="E100" s="41"/>
    </row>
    <row r="101" spans="3:14" ht="12.75">
      <c r="C101" s="60" t="s">
        <v>97</v>
      </c>
      <c r="D101" s="136"/>
      <c r="E101" s="41"/>
      <c r="J101" s="189"/>
      <c r="K101" s="189"/>
      <c r="L101" s="189"/>
      <c r="M101" s="189"/>
      <c r="N101" s="189"/>
    </row>
    <row r="102" spans="3:14" ht="15.75">
      <c r="C102" s="61" t="s">
        <v>118</v>
      </c>
      <c r="D102" s="20">
        <f>IF(OR(D101="",D101=0),0,87.25*POWER(D101,-0.298))</f>
        <v>0</v>
      </c>
      <c r="E102" s="41"/>
      <c r="H102" s="2"/>
      <c r="J102" s="189"/>
      <c r="K102" s="189"/>
      <c r="L102" s="189"/>
      <c r="M102" s="189"/>
      <c r="N102" s="189"/>
    </row>
    <row r="103" spans="3:14" ht="12.75">
      <c r="C103" s="40"/>
      <c r="D103" s="18"/>
      <c r="E103" s="41"/>
      <c r="J103" s="189"/>
      <c r="K103" s="189"/>
      <c r="L103" s="189"/>
      <c r="M103" s="189"/>
      <c r="N103" s="189"/>
    </row>
    <row r="104" spans="3:5" ht="12.75">
      <c r="C104" s="40" t="s">
        <v>98</v>
      </c>
      <c r="D104" s="20">
        <f>IF(D101&lt;0.633,D102,0)</f>
        <v>0</v>
      </c>
      <c r="E104" s="41"/>
    </row>
    <row r="105" spans="3:5" ht="12.75">
      <c r="C105" s="40" t="s">
        <v>99</v>
      </c>
      <c r="D105" s="20">
        <f>IF(D101&gt;0.633,D102,0)</f>
        <v>0</v>
      </c>
      <c r="E105" s="41"/>
    </row>
    <row r="106" spans="3:5" ht="15.75">
      <c r="C106" s="61" t="s">
        <v>118</v>
      </c>
      <c r="D106" s="73">
        <f>SUM(D104:D105)</f>
        <v>0</v>
      </c>
      <c r="E106" s="41"/>
    </row>
    <row r="107" spans="3:5" ht="13.5" thickBot="1">
      <c r="C107" s="57"/>
      <c r="D107" s="29"/>
      <c r="E107" s="58"/>
    </row>
    <row r="108" spans="3:5" ht="12.75">
      <c r="C108" s="207" t="s">
        <v>1</v>
      </c>
      <c r="D108" s="208"/>
      <c r="E108" s="209"/>
    </row>
    <row r="109" spans="3:5" ht="12.75">
      <c r="C109" s="40"/>
      <c r="D109" s="18"/>
      <c r="E109" s="41"/>
    </row>
    <row r="110" spans="3:5" ht="15" customHeight="1">
      <c r="C110" s="59" t="s">
        <v>7</v>
      </c>
      <c r="D110" s="18"/>
      <c r="E110" s="62"/>
    </row>
    <row r="111" spans="3:5" ht="12.75">
      <c r="C111" s="40"/>
      <c r="D111" s="18"/>
      <c r="E111" s="41"/>
    </row>
    <row r="112" spans="3:5" ht="12.75">
      <c r="C112" s="60" t="s">
        <v>10</v>
      </c>
      <c r="D112" s="137"/>
      <c r="E112" s="41"/>
    </row>
    <row r="113" spans="3:8" ht="12.75">
      <c r="C113" s="61" t="s">
        <v>101</v>
      </c>
      <c r="D113" s="20">
        <f>IF(OR(D112="",D112=0),0,162.2*POWER(D112,-0.343))</f>
        <v>0</v>
      </c>
      <c r="E113" s="41"/>
      <c r="H113" s="11"/>
    </row>
    <row r="114" spans="3:5" ht="12.75">
      <c r="C114" s="40"/>
      <c r="D114" s="18"/>
      <c r="E114" s="41"/>
    </row>
    <row r="115" spans="3:5" ht="12.75">
      <c r="C115" s="40" t="s">
        <v>102</v>
      </c>
      <c r="D115" s="20">
        <f>IF(D112&lt;4.097,D113,0)</f>
        <v>0</v>
      </c>
      <c r="E115" s="41"/>
    </row>
    <row r="116" spans="3:5" ht="12.75">
      <c r="C116" s="40" t="s">
        <v>103</v>
      </c>
      <c r="D116" s="20">
        <f>IF(D112&gt;4.097,D113,0)</f>
        <v>0</v>
      </c>
      <c r="E116" s="41"/>
    </row>
    <row r="117" spans="3:5" ht="12.75">
      <c r="C117" s="61" t="s">
        <v>101</v>
      </c>
      <c r="D117" s="73">
        <f>SUM(D115:D116)</f>
        <v>0</v>
      </c>
      <c r="E117" s="41"/>
    </row>
    <row r="118" spans="3:5" ht="13.5" thickBot="1">
      <c r="C118" s="40"/>
      <c r="D118" s="18"/>
      <c r="E118" s="41"/>
    </row>
    <row r="119" spans="3:5" ht="12.75">
      <c r="C119" s="207" t="s">
        <v>20</v>
      </c>
      <c r="D119" s="208"/>
      <c r="E119" s="209"/>
    </row>
    <row r="120" spans="3:5" ht="12.75">
      <c r="C120" s="63"/>
      <c r="D120" s="30"/>
      <c r="E120" s="64"/>
    </row>
    <row r="121" spans="3:5" ht="12.75">
      <c r="C121" s="59" t="s">
        <v>21</v>
      </c>
      <c r="D121" s="18"/>
      <c r="E121" s="41"/>
    </row>
    <row r="122" spans="3:5" ht="12.75">
      <c r="C122" s="40"/>
      <c r="D122" s="18"/>
      <c r="E122" s="41"/>
    </row>
    <row r="123" spans="3:5" ht="12.75">
      <c r="C123" s="60" t="s">
        <v>25</v>
      </c>
      <c r="D123" s="136"/>
      <c r="E123" s="41"/>
    </row>
    <row r="124" spans="3:8" ht="15.75">
      <c r="C124" s="61" t="s">
        <v>28</v>
      </c>
      <c r="D124" s="20">
        <f>IF(OR(D123="",D123=0),0,45.8*POWER(D123,-0.343))</f>
        <v>0</v>
      </c>
      <c r="E124" s="41"/>
      <c r="H124" s="2"/>
    </row>
    <row r="125" spans="3:5" ht="12.75">
      <c r="C125" s="40"/>
      <c r="D125" s="18"/>
      <c r="E125" s="41"/>
    </row>
    <row r="126" spans="3:5" ht="12.75">
      <c r="C126" s="40" t="s">
        <v>104</v>
      </c>
      <c r="D126" s="20">
        <f>IF(D123&lt;0.11,D124,0)</f>
        <v>0</v>
      </c>
      <c r="E126" s="41"/>
    </row>
    <row r="127" spans="3:5" ht="12.75">
      <c r="C127" s="40" t="s">
        <v>104</v>
      </c>
      <c r="D127" s="20">
        <f>IF(D123&gt;0.11,D124,0)</f>
        <v>0</v>
      </c>
      <c r="E127" s="41"/>
    </row>
    <row r="128" spans="3:5" ht="15.75">
      <c r="C128" s="61" t="s">
        <v>28</v>
      </c>
      <c r="D128" s="73">
        <f>SUM(D126:D127)</f>
        <v>0</v>
      </c>
      <c r="E128" s="41"/>
    </row>
    <row r="129" spans="3:5" ht="13.5" thickBot="1">
      <c r="C129" s="40"/>
      <c r="D129" s="20"/>
      <c r="E129" s="41"/>
    </row>
    <row r="130" spans="3:5" ht="12.75">
      <c r="C130" s="207" t="s">
        <v>22</v>
      </c>
      <c r="D130" s="208"/>
      <c r="E130" s="209"/>
    </row>
    <row r="131" spans="3:5" ht="12.75">
      <c r="C131" s="40"/>
      <c r="D131" s="18"/>
      <c r="E131" s="41"/>
    </row>
    <row r="132" spans="3:5" ht="12.75">
      <c r="C132" s="59" t="s">
        <v>7</v>
      </c>
      <c r="D132" s="18"/>
      <c r="E132" s="41"/>
    </row>
    <row r="133" spans="3:5" ht="12.75">
      <c r="C133" s="40"/>
      <c r="D133" s="18"/>
      <c r="E133" s="41"/>
    </row>
    <row r="134" spans="3:5" ht="12.75">
      <c r="C134" s="60" t="s">
        <v>43</v>
      </c>
      <c r="D134" s="136"/>
      <c r="E134" s="41"/>
    </row>
    <row r="135" spans="3:5" ht="12.75">
      <c r="C135" s="61" t="s">
        <v>105</v>
      </c>
      <c r="D135" s="20">
        <f>IF(OR(D134="",D134=0),0,34.215*POWER(D134,-0.46))</f>
        <v>0</v>
      </c>
      <c r="E135" s="41"/>
    </row>
    <row r="136" spans="3:5" ht="12.75">
      <c r="C136" s="40"/>
      <c r="D136" s="18"/>
      <c r="E136" s="41"/>
    </row>
    <row r="137" spans="3:5" ht="15.75">
      <c r="C137" s="40" t="s">
        <v>50</v>
      </c>
      <c r="D137" s="20">
        <f>IF(D134&lt;0.0971,D135,0)</f>
        <v>0</v>
      </c>
      <c r="E137" s="41"/>
    </row>
    <row r="138" spans="3:5" ht="15.75">
      <c r="C138" s="40" t="s">
        <v>51</v>
      </c>
      <c r="D138" s="20">
        <f>IF(D134&gt;0.0971,D135,0)</f>
        <v>0</v>
      </c>
      <c r="E138" s="41"/>
    </row>
    <row r="139" spans="3:5" ht="12.75">
      <c r="C139" s="61" t="s">
        <v>105</v>
      </c>
      <c r="D139" s="73">
        <f>SUM(D137:D138)</f>
        <v>0</v>
      </c>
      <c r="E139" s="41"/>
    </row>
    <row r="140" spans="3:5" ht="13.5" thickBot="1">
      <c r="C140" s="40"/>
      <c r="D140" s="18"/>
      <c r="E140" s="41"/>
    </row>
    <row r="141" spans="3:5" ht="12.75">
      <c r="C141" s="207" t="s">
        <v>24</v>
      </c>
      <c r="D141" s="208"/>
      <c r="E141" s="209"/>
    </row>
    <row r="142" spans="3:5" ht="12.75">
      <c r="C142" s="40"/>
      <c r="D142" s="18"/>
      <c r="E142" s="41"/>
    </row>
    <row r="143" spans="3:5" ht="12.75">
      <c r="C143" s="59" t="s">
        <v>55</v>
      </c>
      <c r="D143" s="18"/>
      <c r="E143" s="41"/>
    </row>
    <row r="144" spans="3:5" ht="12.75">
      <c r="C144" s="40"/>
      <c r="D144" s="18"/>
      <c r="E144" s="41"/>
    </row>
    <row r="145" spans="3:5" ht="12.75">
      <c r="C145" s="60" t="s">
        <v>56</v>
      </c>
      <c r="D145" s="136"/>
      <c r="E145" s="41"/>
    </row>
    <row r="146" spans="3:5" ht="15.75">
      <c r="C146" s="61" t="s">
        <v>57</v>
      </c>
      <c r="D146" s="20">
        <f>IF(OR(D145="",D145=0),0,123*POWER(D145,-0.295))</f>
        <v>0</v>
      </c>
      <c r="E146" s="41"/>
    </row>
    <row r="147" spans="3:5" ht="12.75">
      <c r="C147" s="40"/>
      <c r="D147" s="20"/>
      <c r="E147" s="41"/>
    </row>
    <row r="148" spans="3:5" ht="12.75">
      <c r="C148" s="40" t="s">
        <v>100</v>
      </c>
      <c r="D148" s="20">
        <f>IF(D145&lt;2.018,D146,0)</f>
        <v>0</v>
      </c>
      <c r="E148" s="41"/>
    </row>
    <row r="149" spans="3:5" ht="12.75">
      <c r="C149" s="40" t="s">
        <v>60</v>
      </c>
      <c r="D149" s="20">
        <f>IF(D145&gt;2.018,D146,0)</f>
        <v>0</v>
      </c>
      <c r="E149" s="41"/>
    </row>
    <row r="150" spans="3:5" ht="15.75">
      <c r="C150" s="61" t="s">
        <v>57</v>
      </c>
      <c r="D150" s="73">
        <f>SUM(D148:D149)</f>
        <v>0</v>
      </c>
      <c r="E150" s="41"/>
    </row>
    <row r="151" spans="3:5" ht="13.5" thickBot="1">
      <c r="C151" s="40"/>
      <c r="D151" s="18"/>
      <c r="E151" s="41"/>
    </row>
    <row r="152" spans="3:5" ht="12.75">
      <c r="C152" s="207" t="s">
        <v>26</v>
      </c>
      <c r="D152" s="208"/>
      <c r="E152" s="209"/>
    </row>
    <row r="153" spans="3:7" ht="20.25">
      <c r="C153" s="59" t="s">
        <v>64</v>
      </c>
      <c r="D153" s="18"/>
      <c r="E153" s="65"/>
      <c r="F153" s="12"/>
      <c r="G153" s="12"/>
    </row>
    <row r="154" spans="3:5" ht="12.75">
      <c r="C154" s="40"/>
      <c r="D154" s="18"/>
      <c r="E154" s="41"/>
    </row>
    <row r="155" spans="3:5" ht="12.75">
      <c r="C155" s="60" t="s">
        <v>65</v>
      </c>
      <c r="D155" s="84">
        <v>6</v>
      </c>
      <c r="E155" s="41"/>
    </row>
    <row r="156" spans="3:5" ht="15.75">
      <c r="C156" s="61" t="s">
        <v>108</v>
      </c>
      <c r="D156" s="20">
        <f>IF(OR(D155="",D155=0),0,108*POWER(D155,-0.178))</f>
        <v>78.50780460778934</v>
      </c>
      <c r="E156" s="41"/>
    </row>
    <row r="157" spans="3:5" ht="12.75">
      <c r="C157" s="40"/>
      <c r="D157" s="18"/>
      <c r="E157" s="41"/>
    </row>
    <row r="158" spans="3:5" ht="12.75">
      <c r="C158" s="40" t="s">
        <v>66</v>
      </c>
      <c r="D158" s="20">
        <f>IF(D155&lt;1.54,D156,0)</f>
        <v>0</v>
      </c>
      <c r="E158" s="41"/>
    </row>
    <row r="159" spans="3:5" ht="12.75">
      <c r="C159" s="40" t="s">
        <v>68</v>
      </c>
      <c r="D159" s="20">
        <f>IF(D155&gt;1.54,D156,0)</f>
        <v>78.50780460778934</v>
      </c>
      <c r="E159" s="41"/>
    </row>
    <row r="160" spans="3:5" ht="15.75">
      <c r="C160" s="61" t="s">
        <v>108</v>
      </c>
      <c r="D160" s="73">
        <f>SUM(D158:D159)</f>
        <v>78.50780460778934</v>
      </c>
      <c r="E160" s="41"/>
    </row>
    <row r="161" spans="3:5" ht="13.5" thickBot="1">
      <c r="C161" s="40"/>
      <c r="D161" s="18"/>
      <c r="E161" s="41"/>
    </row>
    <row r="162" spans="3:5" ht="12.75">
      <c r="C162" s="207" t="s">
        <v>29</v>
      </c>
      <c r="D162" s="208"/>
      <c r="E162" s="209"/>
    </row>
    <row r="163" spans="3:14" ht="20.25">
      <c r="C163" s="59" t="s">
        <v>73</v>
      </c>
      <c r="D163" s="18"/>
      <c r="E163" s="41"/>
      <c r="J163" s="13"/>
      <c r="K163" s="188"/>
      <c r="L163" s="188"/>
      <c r="M163" s="188"/>
      <c r="N163" s="188"/>
    </row>
    <row r="164" spans="3:7" ht="8.25" customHeight="1">
      <c r="C164" s="40"/>
      <c r="D164" s="31"/>
      <c r="E164" s="66"/>
      <c r="F164" s="14"/>
      <c r="G164" s="14"/>
    </row>
    <row r="165" spans="3:5" ht="14.25" customHeight="1">
      <c r="C165" s="59" t="s">
        <v>75</v>
      </c>
      <c r="D165" s="32"/>
      <c r="E165" s="41"/>
    </row>
    <row r="166" spans="3:14" ht="12.75">
      <c r="C166" s="40"/>
      <c r="D166" s="18"/>
      <c r="E166" s="41"/>
      <c r="N166" s="15"/>
    </row>
    <row r="167" spans="3:5" ht="12.75">
      <c r="C167" s="60" t="s">
        <v>29</v>
      </c>
      <c r="D167" s="136"/>
      <c r="E167" s="41"/>
    </row>
    <row r="168" spans="3:15" ht="15.75">
      <c r="C168" s="61" t="s">
        <v>78</v>
      </c>
      <c r="D168" s="33">
        <f>IF(D167="",0,(100-(16.678*D167)+(0.1587*POWER(D167,2))))</f>
        <v>0</v>
      </c>
      <c r="E168" s="41"/>
      <c r="O168" s="8"/>
    </row>
    <row r="169" spans="3:15" ht="12.75">
      <c r="C169" s="40"/>
      <c r="D169" s="18"/>
      <c r="E169" s="41"/>
      <c r="O169" s="8"/>
    </row>
    <row r="170" spans="3:15" ht="12.75">
      <c r="C170" s="40" t="s">
        <v>80</v>
      </c>
      <c r="D170" s="20">
        <f>IF(D167&lt;6.384,D168,0)</f>
        <v>0</v>
      </c>
      <c r="E170" s="41"/>
      <c r="O170" s="8"/>
    </row>
    <row r="171" spans="3:5" ht="12.75">
      <c r="C171" s="40" t="s">
        <v>81</v>
      </c>
      <c r="D171" s="20">
        <f>IF(D167&gt;6.384,D168,0)</f>
        <v>0</v>
      </c>
      <c r="E171" s="41"/>
    </row>
    <row r="172" spans="3:5" ht="15.75">
      <c r="C172" s="61" t="s">
        <v>78</v>
      </c>
      <c r="D172" s="73">
        <f>SUM(D170:D171)</f>
        <v>0</v>
      </c>
      <c r="E172" s="41"/>
    </row>
    <row r="173" spans="3:15" ht="21" thickBot="1">
      <c r="C173" s="40"/>
      <c r="D173" s="18"/>
      <c r="E173" s="41"/>
      <c r="J173" s="190"/>
      <c r="K173" s="190"/>
      <c r="L173" s="190"/>
      <c r="M173" s="190"/>
      <c r="N173" s="190"/>
      <c r="O173" s="190"/>
    </row>
    <row r="174" spans="3:14" ht="12.75">
      <c r="C174" s="207" t="s">
        <v>31</v>
      </c>
      <c r="D174" s="208"/>
      <c r="E174" s="209"/>
      <c r="J174" s="189"/>
      <c r="K174" s="189"/>
      <c r="L174" s="189"/>
      <c r="M174" s="189"/>
      <c r="N174" s="189"/>
    </row>
    <row r="175" spans="3:14" ht="12.75">
      <c r="C175" s="40"/>
      <c r="D175" s="18"/>
      <c r="E175" s="41"/>
      <c r="J175" s="189"/>
      <c r="K175" s="189"/>
      <c r="L175" s="189"/>
      <c r="M175" s="189"/>
      <c r="N175" s="189"/>
    </row>
    <row r="176" spans="3:14" ht="20.25">
      <c r="C176" s="59" t="s">
        <v>84</v>
      </c>
      <c r="D176" s="31"/>
      <c r="E176" s="41"/>
      <c r="J176" s="189"/>
      <c r="K176" s="189"/>
      <c r="L176" s="189"/>
      <c r="M176" s="189"/>
      <c r="N176" s="189"/>
    </row>
    <row r="177" spans="3:14" ht="12.75">
      <c r="C177" s="40"/>
      <c r="D177" s="18"/>
      <c r="E177" s="41"/>
      <c r="J177" s="189"/>
      <c r="K177" s="189"/>
      <c r="L177" s="189"/>
      <c r="M177" s="189"/>
      <c r="N177" s="189"/>
    </row>
    <row r="178" spans="3:14" ht="12.75">
      <c r="C178" s="60" t="s">
        <v>86</v>
      </c>
      <c r="D178" s="84">
        <v>40</v>
      </c>
      <c r="E178" s="41"/>
      <c r="J178" s="10"/>
      <c r="K178" s="10"/>
      <c r="L178" s="10"/>
      <c r="M178" s="10"/>
      <c r="N178" s="10"/>
    </row>
    <row r="179" spans="3:15" ht="14.25">
      <c r="C179" s="46" t="s">
        <v>111</v>
      </c>
      <c r="D179" s="33">
        <f>IF(D178="",0,IF(D178&lt;=0,0,97.5*POWER(5*D178,-0.27)))</f>
        <v>23.31989103880311</v>
      </c>
      <c r="E179" s="41"/>
      <c r="H179" s="15"/>
      <c r="J179" s="189"/>
      <c r="K179" s="189"/>
      <c r="L179" s="189"/>
      <c r="M179" s="189"/>
      <c r="N179" s="189"/>
      <c r="O179" s="8"/>
    </row>
    <row r="180" spans="3:15" ht="12.75">
      <c r="C180" s="40"/>
      <c r="D180" s="18"/>
      <c r="E180" s="41"/>
      <c r="J180" s="189"/>
      <c r="K180" s="189"/>
      <c r="L180" s="189"/>
      <c r="M180" s="189"/>
      <c r="N180" s="189"/>
      <c r="O180" s="8"/>
    </row>
    <row r="181" spans="3:15" ht="12.75">
      <c r="C181" s="40" t="s">
        <v>87</v>
      </c>
      <c r="D181" s="20">
        <f>IF(D178="",0,IF(D179&lt;1.311,100,0))</f>
        <v>0</v>
      </c>
      <c r="E181" s="41"/>
      <c r="J181" s="189"/>
      <c r="K181" s="189"/>
      <c r="L181" s="189"/>
      <c r="M181" s="189"/>
      <c r="N181" s="189"/>
      <c r="O181" s="8"/>
    </row>
    <row r="182" spans="3:14" ht="12.75">
      <c r="C182" s="40" t="s">
        <v>88</v>
      </c>
      <c r="D182" s="20">
        <f>IF(D179&gt;1.311,D179,0)</f>
        <v>23.31989103880311</v>
      </c>
      <c r="E182" s="41"/>
      <c r="J182" s="189"/>
      <c r="K182" s="189"/>
      <c r="L182" s="189"/>
      <c r="M182" s="189"/>
      <c r="N182" s="189"/>
    </row>
    <row r="183" spans="3:14" ht="14.25">
      <c r="C183" s="46" t="s">
        <v>111</v>
      </c>
      <c r="D183" s="73">
        <f>SUM(D181:D182)</f>
        <v>23.31989103880311</v>
      </c>
      <c r="E183" s="41"/>
      <c r="J183" s="16"/>
      <c r="K183" s="16"/>
      <c r="L183" s="16"/>
      <c r="M183" s="16"/>
      <c r="N183" s="16"/>
    </row>
    <row r="184" spans="3:14" ht="13.5" thickBot="1">
      <c r="C184" s="57"/>
      <c r="D184" s="34"/>
      <c r="E184" s="58"/>
      <c r="J184" s="16"/>
      <c r="K184" s="16"/>
      <c r="L184" s="16"/>
      <c r="M184" s="16"/>
      <c r="N184" s="16"/>
    </row>
    <row r="185" spans="3:5" ht="12.75">
      <c r="C185" s="207" t="s">
        <v>32</v>
      </c>
      <c r="D185" s="208"/>
      <c r="E185" s="209"/>
    </row>
    <row r="186" spans="3:5" ht="12.75">
      <c r="C186" s="55"/>
      <c r="D186" s="28"/>
      <c r="E186" s="51"/>
    </row>
    <row r="187" spans="3:5" ht="12.75">
      <c r="C187" s="59" t="s">
        <v>84</v>
      </c>
      <c r="D187" s="18"/>
      <c r="E187" s="41"/>
    </row>
    <row r="188" spans="3:5" ht="12.75">
      <c r="C188" s="40"/>
      <c r="D188" s="18"/>
      <c r="E188" s="41"/>
    </row>
    <row r="189" spans="3:5" ht="12.75">
      <c r="C189" s="60" t="s">
        <v>90</v>
      </c>
      <c r="D189" s="84">
        <v>930</v>
      </c>
      <c r="E189" s="41"/>
    </row>
    <row r="190" spans="3:5" ht="14.25">
      <c r="C190" s="46" t="s">
        <v>115</v>
      </c>
      <c r="D190" s="67">
        <f>IF(D189&lt;=0,0,97.5*POWER(D189,-0.27))</f>
        <v>15.39976946872197</v>
      </c>
      <c r="E190" s="41"/>
    </row>
    <row r="191" spans="3:5" ht="12.75">
      <c r="C191" s="40"/>
      <c r="D191" s="18"/>
      <c r="E191" s="41"/>
    </row>
    <row r="192" spans="3:5" ht="12.75">
      <c r="C192" s="40" t="s">
        <v>91</v>
      </c>
      <c r="D192" s="19">
        <f>IF(D189="",0,IF(D189&lt;=0,100,0))</f>
        <v>0</v>
      </c>
      <c r="E192" s="41"/>
    </row>
    <row r="193" spans="3:5" ht="12.75">
      <c r="C193" s="40" t="s">
        <v>92</v>
      </c>
      <c r="D193" s="20">
        <f>IF(D189&gt;0,D190,0)</f>
        <v>15.39976946872197</v>
      </c>
      <c r="E193" s="41"/>
    </row>
    <row r="194" spans="3:5" ht="14.25">
      <c r="C194" s="46" t="s">
        <v>115</v>
      </c>
      <c r="D194" s="73">
        <f>SUM(D192:D193)</f>
        <v>15.39976946872197</v>
      </c>
      <c r="E194" s="41"/>
    </row>
    <row r="195" spans="3:5" ht="13.5" thickBot="1">
      <c r="C195" s="68"/>
      <c r="D195" s="69"/>
      <c r="E195" s="70"/>
    </row>
  </sheetData>
  <mergeCells count="66">
    <mergeCell ref="H3:O3"/>
    <mergeCell ref="C4:E4"/>
    <mergeCell ref="C10:E10"/>
    <mergeCell ref="C14:D14"/>
    <mergeCell ref="C7:D7"/>
    <mergeCell ref="C8:D8"/>
    <mergeCell ref="C9:D9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20:J20"/>
    <mergeCell ref="H21:J21"/>
    <mergeCell ref="H22:J22"/>
    <mergeCell ref="H15:J15"/>
    <mergeCell ref="H16:J16"/>
    <mergeCell ref="H17:J17"/>
    <mergeCell ref="H18:J18"/>
    <mergeCell ref="I31:J31"/>
    <mergeCell ref="C16:E16"/>
    <mergeCell ref="C32:D32"/>
    <mergeCell ref="C22:D22"/>
    <mergeCell ref="C24:E24"/>
    <mergeCell ref="H23:J23"/>
    <mergeCell ref="I28:J28"/>
    <mergeCell ref="I29:J29"/>
    <mergeCell ref="I30:J30"/>
    <mergeCell ref="H19:J19"/>
    <mergeCell ref="C67:E67"/>
    <mergeCell ref="C76:E76"/>
    <mergeCell ref="C86:E86"/>
    <mergeCell ref="I32:J32"/>
    <mergeCell ref="C34:E34"/>
    <mergeCell ref="C43:E43"/>
    <mergeCell ref="C59:E59"/>
    <mergeCell ref="K163:N163"/>
    <mergeCell ref="J102:N102"/>
    <mergeCell ref="J103:N103"/>
    <mergeCell ref="J173:O173"/>
    <mergeCell ref="C185:E185"/>
    <mergeCell ref="C162:E162"/>
    <mergeCell ref="C174:E174"/>
    <mergeCell ref="C3:F3"/>
    <mergeCell ref="C152:E152"/>
    <mergeCell ref="C97:E97"/>
    <mergeCell ref="C130:E130"/>
    <mergeCell ref="C141:E141"/>
    <mergeCell ref="C119:E119"/>
    <mergeCell ref="C108:E108"/>
    <mergeCell ref="J25:K25"/>
    <mergeCell ref="J182:N182"/>
    <mergeCell ref="J181:N181"/>
    <mergeCell ref="J174:N174"/>
    <mergeCell ref="J175:N175"/>
    <mergeCell ref="J176:N176"/>
    <mergeCell ref="J177:N177"/>
    <mergeCell ref="J179:N179"/>
    <mergeCell ref="J180:N180"/>
    <mergeCell ref="J101:N101"/>
  </mergeCells>
  <conditionalFormatting sqref="J25">
    <cfRule type="cellIs" priority="1" dxfId="0" operator="between" stopIfTrue="1">
      <formula>50</formula>
      <formula>69</formula>
    </cfRule>
    <cfRule type="cellIs" priority="2" dxfId="1" operator="between" stopIfTrue="1">
      <formula>30</formula>
      <formula>49</formula>
    </cfRule>
    <cfRule type="cellIs" priority="3" dxfId="2" operator="between" stopIfTrue="1">
      <formula>0</formula>
      <formula>29</formula>
    </cfRule>
  </conditionalFormatting>
  <conditionalFormatting sqref="D7:D8">
    <cfRule type="cellIs" priority="4" dxfId="3" operator="lessThan" stopIfTrue="1">
      <formula>6.7</formula>
    </cfRule>
  </conditionalFormatting>
  <printOptions/>
  <pageMargins left="0.91" right="0.41" top="0.91" bottom="1.06" header="0.42" footer="0.55"/>
  <pageSetup horizontalDpi="600" verticalDpi="600" orientation="portrait" scale="87" r:id="rId1"/>
  <headerFooter alignWithMargins="0">
    <oddHeader>&amp;LIndice de Calidad del Agua</oddHeader>
    <oddFooter>&amp;LCalidad del Agua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C3:P195"/>
  <sheetViews>
    <sheetView showGridLines="0" showZeros="0" zoomScale="50" zoomScaleNormal="50" workbookViewId="0" topLeftCell="A3">
      <selection activeCell="I25" sqref="I25:K32"/>
    </sheetView>
  </sheetViews>
  <sheetFormatPr defaultColWidth="11.421875" defaultRowHeight="12.75"/>
  <cols>
    <col min="3" max="3" width="29.00390625" style="0" customWidth="1"/>
    <col min="4" max="4" width="13.00390625" style="0" customWidth="1"/>
    <col min="6" max="7" width="4.00390625" style="0" customWidth="1"/>
    <col min="8" max="8" width="11.421875" style="0" customWidth="1"/>
    <col min="9" max="9" width="13.00390625" style="0" customWidth="1"/>
    <col min="10" max="10" width="24.00390625" style="0" customWidth="1"/>
    <col min="11" max="13" width="15.8515625" style="0" customWidth="1"/>
    <col min="14" max="14" width="9.28125" style="0" customWidth="1"/>
    <col min="15" max="15" width="8.7109375" style="0" customWidth="1"/>
  </cols>
  <sheetData>
    <row r="3" spans="3:16" ht="28.5" thickBot="1">
      <c r="C3" s="191" t="s">
        <v>131</v>
      </c>
      <c r="D3" s="191"/>
      <c r="E3" s="191"/>
      <c r="F3" s="191"/>
      <c r="G3" s="17"/>
      <c r="H3" s="174" t="s">
        <v>131</v>
      </c>
      <c r="I3" s="174"/>
      <c r="J3" s="174"/>
      <c r="K3" s="174"/>
      <c r="L3" s="174"/>
      <c r="M3" s="174"/>
      <c r="N3" s="174"/>
      <c r="O3" s="174"/>
      <c r="P3" s="1"/>
    </row>
    <row r="4" spans="3:15" ht="12.75">
      <c r="C4" s="210" t="s">
        <v>0</v>
      </c>
      <c r="D4" s="211"/>
      <c r="E4" s="212"/>
      <c r="H4" s="265" t="s">
        <v>2</v>
      </c>
      <c r="I4" s="266"/>
      <c r="J4" s="266"/>
      <c r="K4" s="147" t="s">
        <v>3</v>
      </c>
      <c r="L4" s="147" t="s">
        <v>120</v>
      </c>
      <c r="M4" s="147" t="s">
        <v>121</v>
      </c>
      <c r="N4" s="147" t="s">
        <v>4</v>
      </c>
      <c r="O4" s="148" t="s">
        <v>5</v>
      </c>
    </row>
    <row r="5" spans="3:15" ht="12.75">
      <c r="C5" s="35"/>
      <c r="D5" s="22"/>
      <c r="E5" s="36"/>
      <c r="H5" s="255" t="s">
        <v>0</v>
      </c>
      <c r="I5" s="256"/>
      <c r="J5" s="256"/>
      <c r="K5" s="155">
        <v>1</v>
      </c>
      <c r="L5" s="155">
        <f>IF(D6="",0,1)</f>
        <v>1</v>
      </c>
      <c r="M5" s="155">
        <f aca="true" t="shared" si="0" ref="M5:M22">+K5*L5</f>
        <v>1</v>
      </c>
      <c r="N5" s="156">
        <f>E14</f>
        <v>70.25868224350984</v>
      </c>
      <c r="O5" s="157">
        <f>IF(L5=1,K5*N5,0)</f>
        <v>70.25868224350984</v>
      </c>
    </row>
    <row r="6" spans="3:15" ht="12.75">
      <c r="C6" s="37" t="s">
        <v>6</v>
      </c>
      <c r="D6" s="84">
        <v>8.1</v>
      </c>
      <c r="E6" s="36"/>
      <c r="H6" s="255" t="s">
        <v>8</v>
      </c>
      <c r="I6" s="256"/>
      <c r="J6" s="256"/>
      <c r="K6" s="155">
        <v>1</v>
      </c>
      <c r="L6" s="155">
        <f>IF(D18="",0,1)</f>
        <v>1</v>
      </c>
      <c r="M6" s="155">
        <f t="shared" si="0"/>
        <v>1</v>
      </c>
      <c r="N6" s="156">
        <f>E22</f>
        <v>70.05878083757105</v>
      </c>
      <c r="O6" s="157">
        <f aca="true" t="shared" si="1" ref="O6:O22">K6*N6</f>
        <v>70.05878083757105</v>
      </c>
    </row>
    <row r="7" spans="3:15" ht="12.75">
      <c r="C7" s="205" t="s">
        <v>122</v>
      </c>
      <c r="D7" s="206"/>
      <c r="E7" s="38">
        <f>0.2335*D6+0.44</f>
        <v>2.33135</v>
      </c>
      <c r="H7" s="255" t="s">
        <v>9</v>
      </c>
      <c r="I7" s="256"/>
      <c r="J7" s="256"/>
      <c r="K7" s="155">
        <v>0.5</v>
      </c>
      <c r="L7" s="155">
        <f>IF(D26="",0,1)</f>
        <v>1</v>
      </c>
      <c r="M7" s="155">
        <f t="shared" si="0"/>
        <v>0.5</v>
      </c>
      <c r="N7" s="156">
        <f>E32</f>
        <v>0</v>
      </c>
      <c r="O7" s="157">
        <f t="shared" si="1"/>
        <v>0</v>
      </c>
    </row>
    <row r="8" spans="3:15" ht="12.75">
      <c r="C8" s="205" t="s">
        <v>123</v>
      </c>
      <c r="D8" s="206"/>
      <c r="E8" s="38">
        <v>100</v>
      </c>
      <c r="H8" s="255" t="s">
        <v>11</v>
      </c>
      <c r="I8" s="256"/>
      <c r="J8" s="256"/>
      <c r="K8" s="155">
        <v>2</v>
      </c>
      <c r="L8" s="155">
        <f>IF(D36="",0,1)</f>
        <v>1</v>
      </c>
      <c r="M8" s="155">
        <f t="shared" si="0"/>
        <v>2</v>
      </c>
      <c r="N8" s="156">
        <f>E41</f>
        <v>8.830409500871237</v>
      </c>
      <c r="O8" s="157">
        <f t="shared" si="1"/>
        <v>17.660819001742475</v>
      </c>
    </row>
    <row r="9" spans="3:15" ht="12.75">
      <c r="C9" s="205" t="s">
        <v>124</v>
      </c>
      <c r="D9" s="206"/>
      <c r="E9" s="38">
        <f>4.22-(0.293*D6)</f>
        <v>1.8466999999999998</v>
      </c>
      <c r="H9" s="255" t="s">
        <v>12</v>
      </c>
      <c r="I9" s="256"/>
      <c r="J9" s="256"/>
      <c r="K9" s="155">
        <v>5</v>
      </c>
      <c r="L9" s="155">
        <f>IF(D45="",0,1)</f>
        <v>1</v>
      </c>
      <c r="M9" s="155">
        <f t="shared" si="0"/>
        <v>5</v>
      </c>
      <c r="N9" s="156">
        <f>E57</f>
        <v>99.9970369660259</v>
      </c>
      <c r="O9" s="157">
        <f t="shared" si="1"/>
        <v>499.9851848301295</v>
      </c>
    </row>
    <row r="10" spans="3:15" ht="12.75">
      <c r="C10" s="201" t="s">
        <v>13</v>
      </c>
      <c r="D10" s="202"/>
      <c r="E10" s="203"/>
      <c r="H10" s="255" t="s">
        <v>14</v>
      </c>
      <c r="I10" s="256"/>
      <c r="J10" s="256"/>
      <c r="K10" s="155">
        <v>5</v>
      </c>
      <c r="L10" s="155">
        <f>IF(D61="",0,1)</f>
        <v>1</v>
      </c>
      <c r="M10" s="155">
        <f t="shared" si="0"/>
        <v>5</v>
      </c>
      <c r="N10" s="156">
        <f>E65</f>
        <v>75.26413227125968</v>
      </c>
      <c r="O10" s="157">
        <f t="shared" si="1"/>
        <v>376.3206613562984</v>
      </c>
    </row>
    <row r="11" spans="3:15" ht="14.25">
      <c r="C11" s="35" t="s">
        <v>125</v>
      </c>
      <c r="D11" s="23">
        <f>POWER(10,E7)</f>
        <v>214.4618262975949</v>
      </c>
      <c r="E11" s="38">
        <f>IF(AND(D6&lt;6.7,D6&lt;&gt;""),D11,0)</f>
        <v>0</v>
      </c>
      <c r="H11" s="257" t="s">
        <v>15</v>
      </c>
      <c r="I11" s="258"/>
      <c r="J11" s="259"/>
      <c r="K11" s="155">
        <v>1</v>
      </c>
      <c r="L11" s="155">
        <f>IF(D69="",0,1)</f>
        <v>0</v>
      </c>
      <c r="M11" s="155">
        <f t="shared" si="0"/>
        <v>0</v>
      </c>
      <c r="N11" s="158">
        <f>D74</f>
        <v>0</v>
      </c>
      <c r="O11" s="157">
        <f t="shared" si="1"/>
        <v>0</v>
      </c>
    </row>
    <row r="12" spans="3:15" ht="14.25">
      <c r="C12" s="35" t="s">
        <v>126</v>
      </c>
      <c r="D12" s="23">
        <f>E8</f>
        <v>100</v>
      </c>
      <c r="E12" s="38">
        <f>IF(AND(IF(D6&gt;=6.7,D12,0),IF(D6&lt;=7.3,D12,0)),D12,0)</f>
        <v>0</v>
      </c>
      <c r="H12" s="257" t="s">
        <v>16</v>
      </c>
      <c r="I12" s="258"/>
      <c r="J12" s="259"/>
      <c r="K12" s="155">
        <v>0.5</v>
      </c>
      <c r="L12" s="155">
        <f>IF(D79="",0,1)</f>
        <v>0</v>
      </c>
      <c r="M12" s="155">
        <f t="shared" si="0"/>
        <v>0</v>
      </c>
      <c r="N12" s="158">
        <f>D84</f>
        <v>0</v>
      </c>
      <c r="O12" s="157">
        <f t="shared" si="1"/>
        <v>0</v>
      </c>
    </row>
    <row r="13" spans="3:15" ht="14.25">
      <c r="C13" s="35" t="s">
        <v>127</v>
      </c>
      <c r="D13" s="23">
        <f>POWER(10,E9)</f>
        <v>70.25868224350984</v>
      </c>
      <c r="E13" s="38">
        <f>IF(D6&gt;7.3,D13,0)</f>
        <v>70.25868224350984</v>
      </c>
      <c r="H13" s="257" t="s">
        <v>17</v>
      </c>
      <c r="I13" s="258"/>
      <c r="J13" s="259"/>
      <c r="K13" s="155">
        <v>1</v>
      </c>
      <c r="L13" s="155">
        <f>IF(D90="",0,1)</f>
        <v>0</v>
      </c>
      <c r="M13" s="155">
        <f t="shared" si="0"/>
        <v>0</v>
      </c>
      <c r="N13" s="158">
        <f>D95</f>
        <v>0</v>
      </c>
      <c r="O13" s="157">
        <f t="shared" si="1"/>
        <v>0</v>
      </c>
    </row>
    <row r="14" spans="3:15" ht="12.75">
      <c r="C14" s="199" t="s">
        <v>18</v>
      </c>
      <c r="D14" s="204"/>
      <c r="E14" s="73">
        <f>SUM(E11:E13)</f>
        <v>70.25868224350984</v>
      </c>
      <c r="H14" s="257" t="s">
        <v>19</v>
      </c>
      <c r="I14" s="258"/>
      <c r="J14" s="259"/>
      <c r="K14" s="155">
        <v>2</v>
      </c>
      <c r="L14" s="155">
        <f>IF(D101="",0,1)</f>
        <v>0</v>
      </c>
      <c r="M14" s="155">
        <f t="shared" si="0"/>
        <v>0</v>
      </c>
      <c r="N14" s="158">
        <f>D106</f>
        <v>0</v>
      </c>
      <c r="O14" s="157">
        <f t="shared" si="1"/>
        <v>0</v>
      </c>
    </row>
    <row r="15" spans="3:15" ht="13.5" thickBot="1">
      <c r="C15" s="35"/>
      <c r="D15" s="22"/>
      <c r="E15" s="36"/>
      <c r="H15" s="257" t="s">
        <v>1</v>
      </c>
      <c r="I15" s="258"/>
      <c r="J15" s="259"/>
      <c r="K15" s="155">
        <v>2</v>
      </c>
      <c r="L15" s="155">
        <f>IF(D112="",0,1)</f>
        <v>0</v>
      </c>
      <c r="M15" s="155">
        <f t="shared" si="0"/>
        <v>0</v>
      </c>
      <c r="N15" s="158">
        <f>D117</f>
        <v>0</v>
      </c>
      <c r="O15" s="157">
        <f t="shared" si="1"/>
        <v>0</v>
      </c>
    </row>
    <row r="16" spans="3:15" ht="12.75">
      <c r="C16" s="210" t="s">
        <v>8</v>
      </c>
      <c r="D16" s="211"/>
      <c r="E16" s="212"/>
      <c r="H16" s="257" t="s">
        <v>20</v>
      </c>
      <c r="I16" s="258"/>
      <c r="J16" s="259"/>
      <c r="K16" s="155">
        <v>2</v>
      </c>
      <c r="L16" s="155">
        <f>IF(D123="",0,1)</f>
        <v>0</v>
      </c>
      <c r="M16" s="155">
        <f t="shared" si="0"/>
        <v>0</v>
      </c>
      <c r="N16" s="158">
        <f>D128</f>
        <v>0</v>
      </c>
      <c r="O16" s="157">
        <f t="shared" si="1"/>
        <v>0</v>
      </c>
    </row>
    <row r="17" spans="3:15" ht="12.75">
      <c r="C17" s="35"/>
      <c r="D17" s="22"/>
      <c r="E17" s="36"/>
      <c r="H17" s="257" t="s">
        <v>22</v>
      </c>
      <c r="I17" s="258"/>
      <c r="J17" s="259"/>
      <c r="K17" s="155">
        <v>2</v>
      </c>
      <c r="L17" s="155">
        <f>IF(D134="",0,1)</f>
        <v>0</v>
      </c>
      <c r="M17" s="155">
        <f t="shared" si="0"/>
        <v>0</v>
      </c>
      <c r="N17" s="158">
        <f>D139</f>
        <v>0</v>
      </c>
      <c r="O17" s="157">
        <f t="shared" si="1"/>
        <v>0</v>
      </c>
    </row>
    <row r="18" spans="3:15" ht="12.75">
      <c r="C18" s="37" t="s">
        <v>23</v>
      </c>
      <c r="D18" s="84">
        <v>37</v>
      </c>
      <c r="E18" s="36"/>
      <c r="H18" s="257" t="s">
        <v>24</v>
      </c>
      <c r="I18" s="258"/>
      <c r="J18" s="259"/>
      <c r="K18" s="155">
        <v>1</v>
      </c>
      <c r="L18" s="155">
        <f>IF(D145="",0,1)</f>
        <v>0</v>
      </c>
      <c r="M18" s="155">
        <f t="shared" si="0"/>
        <v>0</v>
      </c>
      <c r="N18" s="158">
        <f>D150</f>
        <v>0</v>
      </c>
      <c r="O18" s="157">
        <f t="shared" si="1"/>
        <v>0</v>
      </c>
    </row>
    <row r="19" spans="3:15" ht="12.75">
      <c r="C19" s="35"/>
      <c r="D19" s="23"/>
      <c r="E19" s="36"/>
      <c r="H19" s="257" t="s">
        <v>26</v>
      </c>
      <c r="I19" s="258"/>
      <c r="J19" s="259"/>
      <c r="K19" s="155">
        <v>0.5</v>
      </c>
      <c r="L19" s="155">
        <f>IF(D155="",0,1)</f>
        <v>1</v>
      </c>
      <c r="M19" s="155">
        <f t="shared" si="0"/>
        <v>0.5</v>
      </c>
      <c r="N19" s="158">
        <f>D160</f>
        <v>62.29777248046101</v>
      </c>
      <c r="O19" s="157">
        <f t="shared" si="1"/>
        <v>31.148886240230507</v>
      </c>
    </row>
    <row r="20" spans="3:15" ht="12.75">
      <c r="C20" s="35" t="s">
        <v>27</v>
      </c>
      <c r="D20" s="23">
        <v>100</v>
      </c>
      <c r="E20" s="36">
        <f>IF(D18="",0,IF(D18&lt;14.144,D20,0))</f>
        <v>0</v>
      </c>
      <c r="H20" s="257" t="s">
        <v>29</v>
      </c>
      <c r="I20" s="258"/>
      <c r="J20" s="259"/>
      <c r="K20" s="155">
        <v>3</v>
      </c>
      <c r="L20" s="155">
        <f>IF(D167="",0,1)</f>
        <v>0</v>
      </c>
      <c r="M20" s="155">
        <f t="shared" si="0"/>
        <v>0</v>
      </c>
      <c r="N20" s="158">
        <f>D172</f>
        <v>0</v>
      </c>
      <c r="O20" s="157">
        <f t="shared" si="1"/>
        <v>0</v>
      </c>
    </row>
    <row r="21" spans="3:15" ht="12.75">
      <c r="C21" s="35" t="s">
        <v>30</v>
      </c>
      <c r="D21" s="23">
        <f>IF(OR(D18="",D18=0),0,266.5*POWER(D18,-0.37))</f>
        <v>70.05878083757105</v>
      </c>
      <c r="E21" s="39">
        <f>IF(D18&gt;14.44,D21,0)</f>
        <v>70.05878083757105</v>
      </c>
      <c r="H21" s="257" t="s">
        <v>31</v>
      </c>
      <c r="I21" s="258"/>
      <c r="J21" s="259"/>
      <c r="K21" s="155">
        <v>4</v>
      </c>
      <c r="L21" s="155">
        <f>IF(D178="",0,1)</f>
        <v>1</v>
      </c>
      <c r="M21" s="155">
        <f t="shared" si="0"/>
        <v>4</v>
      </c>
      <c r="N21" s="158">
        <f>D183</f>
        <v>25.435205751554992</v>
      </c>
      <c r="O21" s="157">
        <f t="shared" si="1"/>
        <v>101.74082300621997</v>
      </c>
    </row>
    <row r="22" spans="3:15" ht="13.5" thickBot="1">
      <c r="C22" s="199" t="s">
        <v>119</v>
      </c>
      <c r="D22" s="200"/>
      <c r="E22" s="73">
        <f>SUM(E20:E21)</f>
        <v>70.05878083757105</v>
      </c>
      <c r="H22" s="260" t="s">
        <v>32</v>
      </c>
      <c r="I22" s="261"/>
      <c r="J22" s="262"/>
      <c r="K22" s="159">
        <v>3</v>
      </c>
      <c r="L22" s="159">
        <f>IF(D189="",0,1)</f>
        <v>1</v>
      </c>
      <c r="M22" s="159">
        <f t="shared" si="0"/>
        <v>3</v>
      </c>
      <c r="N22" s="160">
        <f>D194</f>
        <v>39.27870458350554</v>
      </c>
      <c r="O22" s="161">
        <f t="shared" si="1"/>
        <v>117.8361137505166</v>
      </c>
    </row>
    <row r="23" spans="3:15" ht="13.5" thickBot="1">
      <c r="C23" s="35"/>
      <c r="D23" s="22"/>
      <c r="E23" s="36"/>
      <c r="H23" s="263" t="s">
        <v>33</v>
      </c>
      <c r="I23" s="264"/>
      <c r="J23" s="264"/>
      <c r="K23" s="162">
        <v>31.5</v>
      </c>
      <c r="L23" s="162"/>
      <c r="M23" s="162">
        <f>SUM(M5:M22)</f>
        <v>22</v>
      </c>
      <c r="N23" s="163"/>
      <c r="O23" s="164">
        <f>SUM(O5:O22)</f>
        <v>1285.0099512662182</v>
      </c>
    </row>
    <row r="24" spans="3:5" ht="13.5" thickBot="1">
      <c r="C24" s="210" t="s">
        <v>9</v>
      </c>
      <c r="D24" s="211"/>
      <c r="E24" s="212"/>
    </row>
    <row r="25" spans="3:13" ht="19.5" thickBot="1" thickTop="1">
      <c r="C25" s="40"/>
      <c r="D25" s="18"/>
      <c r="E25" s="41"/>
      <c r="I25" s="4" t="s">
        <v>34</v>
      </c>
      <c r="J25" s="192">
        <f>O23/M23</f>
        <v>58.409543239373555</v>
      </c>
      <c r="K25" s="193"/>
      <c r="L25" s="74"/>
      <c r="M25" s="74"/>
    </row>
    <row r="26" spans="3:13" ht="13.5" thickTop="1">
      <c r="C26" s="42" t="s">
        <v>35</v>
      </c>
      <c r="D26" s="84">
        <v>31020</v>
      </c>
      <c r="E26" s="41"/>
      <c r="K26" s="5"/>
      <c r="L26" s="5"/>
      <c r="M26" s="5"/>
    </row>
    <row r="27" spans="3:5" ht="13.5" thickBot="1">
      <c r="C27" s="40"/>
      <c r="D27" s="18"/>
      <c r="E27" s="41"/>
    </row>
    <row r="28" spans="3:11" ht="13.5" thickTop="1">
      <c r="C28" s="43" t="s">
        <v>36</v>
      </c>
      <c r="D28" s="24">
        <v>100</v>
      </c>
      <c r="E28" s="41">
        <f>IF(D26="",0,IF(D26&lt;520,D28,0))</f>
        <v>0</v>
      </c>
      <c r="I28" s="231" t="s">
        <v>37</v>
      </c>
      <c r="J28" s="232"/>
      <c r="K28" s="233" t="s">
        <v>38</v>
      </c>
    </row>
    <row r="29" spans="3:11" ht="12.75">
      <c r="C29" s="43" t="s">
        <v>39</v>
      </c>
      <c r="D29" s="24">
        <f>109.1-0.0175*D26</f>
        <v>-433.75</v>
      </c>
      <c r="E29" s="44">
        <f>IF(AND(IF(D26&lt;=6234,D26,0),IF(D26&gt;=520,D26,0)),D29,0)</f>
        <v>0</v>
      </c>
      <c r="I29" s="234" t="s">
        <v>40</v>
      </c>
      <c r="J29" s="235"/>
      <c r="K29" s="236" t="s">
        <v>41</v>
      </c>
    </row>
    <row r="30" spans="3:11" ht="12.75">
      <c r="C30" s="43" t="s">
        <v>42</v>
      </c>
      <c r="D30" s="24">
        <v>0</v>
      </c>
      <c r="E30" s="44">
        <f>IF(D26&gt;6234,D30,0)</f>
        <v>0</v>
      </c>
      <c r="I30" s="234" t="s">
        <v>44</v>
      </c>
      <c r="J30" s="235"/>
      <c r="K30" s="236" t="s">
        <v>45</v>
      </c>
    </row>
    <row r="31" spans="3:11" ht="12.75">
      <c r="C31" s="45"/>
      <c r="D31" s="20"/>
      <c r="E31" s="41"/>
      <c r="I31" s="234" t="s">
        <v>46</v>
      </c>
      <c r="J31" s="235"/>
      <c r="K31" s="236" t="s">
        <v>47</v>
      </c>
    </row>
    <row r="32" spans="3:11" ht="13.5" thickBot="1">
      <c r="C32" s="197" t="s">
        <v>106</v>
      </c>
      <c r="D32" s="198"/>
      <c r="E32" s="73">
        <f>SUM(E28:E30)</f>
        <v>0</v>
      </c>
      <c r="I32" s="237" t="s">
        <v>48</v>
      </c>
      <c r="J32" s="238"/>
      <c r="K32" s="239" t="s">
        <v>49</v>
      </c>
    </row>
    <row r="33" spans="3:5" ht="14.25" thickBot="1" thickTop="1">
      <c r="C33" s="40"/>
      <c r="D33" s="18"/>
      <c r="E33" s="47"/>
    </row>
    <row r="34" spans="3:5" ht="12.75">
      <c r="C34" s="210" t="s">
        <v>11</v>
      </c>
      <c r="D34" s="211"/>
      <c r="E34" s="212"/>
    </row>
    <row r="35" spans="3:5" ht="12.75">
      <c r="C35" s="40"/>
      <c r="D35" s="18"/>
      <c r="E35" s="41"/>
    </row>
    <row r="36" spans="3:5" ht="12.75">
      <c r="C36" s="48" t="s">
        <v>52</v>
      </c>
      <c r="D36" s="84">
        <v>51700</v>
      </c>
      <c r="E36" s="41"/>
    </row>
    <row r="37" spans="3:5" ht="12.75">
      <c r="C37" s="40"/>
      <c r="D37" s="25"/>
      <c r="E37" s="44"/>
    </row>
    <row r="38" spans="3:5" ht="12.75">
      <c r="C38" s="43" t="s">
        <v>53</v>
      </c>
      <c r="D38" s="24">
        <v>100</v>
      </c>
      <c r="E38" s="41">
        <f>IF(D36="",0,IF(D36&lt;85.6,D38,0))</f>
        <v>0</v>
      </c>
    </row>
    <row r="39" spans="3:8" ht="12.75">
      <c r="C39" s="43" t="s">
        <v>54</v>
      </c>
      <c r="D39" s="24">
        <f>IF(OR(D36="",D36=0),0,540*POWER(D36,-0.379))</f>
        <v>8.830409500871237</v>
      </c>
      <c r="E39" s="49">
        <f>IF(D36&gt;85.6,H39,0)</f>
        <v>8.830409500871237</v>
      </c>
      <c r="H39" s="6">
        <f>540*POWER(D36,-0.379)</f>
        <v>8.830409500871237</v>
      </c>
    </row>
    <row r="40" spans="3:5" ht="12.75">
      <c r="C40" s="40"/>
      <c r="D40" s="26"/>
      <c r="E40" s="50"/>
    </row>
    <row r="41" spans="3:5" ht="12.75">
      <c r="C41" s="40"/>
      <c r="D41" s="21" t="s">
        <v>107</v>
      </c>
      <c r="E41" s="73">
        <f>SUM(E38:E39)</f>
        <v>8.830409500871237</v>
      </c>
    </row>
    <row r="42" spans="3:5" ht="13.5" thickBot="1">
      <c r="C42" s="40"/>
      <c r="D42" s="18"/>
      <c r="E42" s="41"/>
    </row>
    <row r="43" spans="3:5" ht="12.75">
      <c r="C43" s="210" t="s">
        <v>58</v>
      </c>
      <c r="D43" s="211"/>
      <c r="E43" s="212"/>
    </row>
    <row r="44" spans="3:7" ht="17.25" customHeight="1">
      <c r="C44" s="40"/>
      <c r="D44" s="18"/>
      <c r="E44" s="51"/>
      <c r="F44" s="7"/>
      <c r="G44" s="7"/>
    </row>
    <row r="45" spans="3:5" ht="12.75">
      <c r="C45" s="40"/>
      <c r="D45" s="75" t="s">
        <v>59</v>
      </c>
      <c r="E45" s="84">
        <v>7.8</v>
      </c>
    </row>
    <row r="46" spans="3:5" ht="12.75">
      <c r="C46" s="40"/>
      <c r="D46" s="27" t="s">
        <v>61</v>
      </c>
      <c r="E46" s="52">
        <f>D56</f>
        <v>7.800231123498247</v>
      </c>
    </row>
    <row r="47" spans="3:5" ht="12.75">
      <c r="C47" s="40"/>
      <c r="D47" s="75" t="s">
        <v>62</v>
      </c>
      <c r="E47" s="134">
        <v>28.2</v>
      </c>
    </row>
    <row r="48" spans="3:5" ht="12.75">
      <c r="C48" s="40"/>
      <c r="D48" s="27" t="s">
        <v>63</v>
      </c>
      <c r="E48" s="52">
        <f>E47+273.15</f>
        <v>301.34999999999997</v>
      </c>
    </row>
    <row r="49" spans="3:5" ht="12.75">
      <c r="C49" s="40"/>
      <c r="D49" s="18"/>
      <c r="E49" s="53"/>
    </row>
    <row r="50" spans="3:5" ht="12.75">
      <c r="C50" s="40"/>
      <c r="D50" s="20">
        <v>-139.3441</v>
      </c>
      <c r="E50" s="41"/>
    </row>
    <row r="51" spans="3:5" ht="12.75">
      <c r="C51" s="40"/>
      <c r="D51" s="20">
        <f>(1.575701)*(100000/E48)</f>
        <v>522.8807035009125</v>
      </c>
      <c r="E51" s="41"/>
    </row>
    <row r="52" spans="3:5" ht="12.75">
      <c r="C52" s="40"/>
      <c r="D52" s="20">
        <f>-(6.642308)*(10000000/(E48*E48))</f>
        <v>-731.4364822928205</v>
      </c>
      <c r="E52" s="41"/>
    </row>
    <row r="53" spans="3:5" ht="12.75">
      <c r="C53" s="40"/>
      <c r="D53" s="20">
        <f>(1.2438)*(10000000000/(E48*E48*E48))</f>
        <v>454.5032206999539</v>
      </c>
      <c r="E53" s="41"/>
    </row>
    <row r="54" spans="3:5" ht="12.75">
      <c r="C54" s="40"/>
      <c r="D54" s="20">
        <f>-(8.621949)*(100000000000/(E48*E48*E48*E48))</f>
        <v>-104.5491885435716</v>
      </c>
      <c r="E54" s="41"/>
    </row>
    <row r="55" spans="3:5" ht="12.75">
      <c r="C55" s="54" t="s">
        <v>67</v>
      </c>
      <c r="D55" s="20">
        <f>SUM(D50:D54)</f>
        <v>2.054153364474274</v>
      </c>
      <c r="E55" s="41"/>
    </row>
    <row r="56" spans="3:5" ht="12.75">
      <c r="C56" s="54" t="s">
        <v>69</v>
      </c>
      <c r="D56" s="20">
        <f>EXP(D55)</f>
        <v>7.800231123498247</v>
      </c>
      <c r="E56" s="41" t="s">
        <v>70</v>
      </c>
    </row>
    <row r="57" spans="3:5" ht="12.75">
      <c r="C57" s="40"/>
      <c r="D57" s="21" t="s">
        <v>71</v>
      </c>
      <c r="E57" s="73">
        <f>(E45/E46)*100</f>
        <v>99.9970369660259</v>
      </c>
    </row>
    <row r="58" spans="3:5" ht="13.5" thickBot="1">
      <c r="C58" s="40"/>
      <c r="D58" s="18"/>
      <c r="E58" s="41"/>
    </row>
    <row r="59" spans="3:5" ht="12.75">
      <c r="C59" s="210" t="s">
        <v>72</v>
      </c>
      <c r="D59" s="211"/>
      <c r="E59" s="212"/>
    </row>
    <row r="60" spans="3:5" ht="12.75">
      <c r="C60" s="55"/>
      <c r="D60" s="28"/>
      <c r="E60" s="51"/>
    </row>
    <row r="61" spans="3:5" ht="12.75">
      <c r="C61" s="42" t="s">
        <v>74</v>
      </c>
      <c r="D61" s="135">
        <v>2</v>
      </c>
      <c r="E61" s="56"/>
    </row>
    <row r="62" spans="3:7" ht="12.75">
      <c r="C62" s="40"/>
      <c r="D62" s="18"/>
      <c r="E62" s="41"/>
      <c r="F62" s="8"/>
      <c r="G62" s="8"/>
    </row>
    <row r="63" spans="3:5" ht="12.75">
      <c r="C63" s="43" t="s">
        <v>76</v>
      </c>
      <c r="D63" s="24">
        <v>100</v>
      </c>
      <c r="E63" s="41">
        <f>IF(D61="",0,IF(D61&lt;1.311,D63,0))</f>
        <v>0</v>
      </c>
    </row>
    <row r="64" spans="3:8" ht="12.75">
      <c r="C64" s="43" t="s">
        <v>77</v>
      </c>
      <c r="D64" s="24">
        <f>IF(OR(D61="",D61=0),0,120*POWER(D61,-0.673))</f>
        <v>75.26413227125968</v>
      </c>
      <c r="E64" s="44">
        <f>IF(D61&gt;1.311,D64,0)</f>
        <v>75.26413227125968</v>
      </c>
      <c r="H64" s="3"/>
    </row>
    <row r="65" spans="3:7" ht="12.75">
      <c r="C65" s="40"/>
      <c r="D65" s="25" t="s">
        <v>79</v>
      </c>
      <c r="E65" s="73">
        <f>SUM(E63:E64)</f>
        <v>75.26413227125968</v>
      </c>
      <c r="F65" s="9"/>
      <c r="G65" s="9"/>
    </row>
    <row r="66" spans="3:5" ht="13.5" thickBot="1">
      <c r="C66" s="57"/>
      <c r="D66" s="29"/>
      <c r="E66" s="58"/>
    </row>
    <row r="67" spans="3:5" ht="12.75">
      <c r="C67" s="210" t="s">
        <v>15</v>
      </c>
      <c r="D67" s="211"/>
      <c r="E67" s="212"/>
    </row>
    <row r="68" spans="3:5" ht="16.5" customHeight="1">
      <c r="C68" s="59" t="s">
        <v>109</v>
      </c>
      <c r="D68" s="18"/>
      <c r="E68" s="41"/>
    </row>
    <row r="69" spans="3:5" ht="12.75">
      <c r="C69" s="60" t="s">
        <v>82</v>
      </c>
      <c r="D69" s="136"/>
      <c r="E69" s="41"/>
    </row>
    <row r="70" spans="3:5" ht="12.75">
      <c r="C70" s="61" t="s">
        <v>110</v>
      </c>
      <c r="D70" s="20">
        <f>IF(D69="",0,POWER(10,1.974-(0.00174*D69)))</f>
        <v>0</v>
      </c>
      <c r="E70" s="41"/>
    </row>
    <row r="71" spans="3:5" ht="12.75">
      <c r="C71" s="40"/>
      <c r="D71" s="18"/>
      <c r="E71" s="41"/>
    </row>
    <row r="72" spans="3:5" ht="12.75">
      <c r="C72" s="40" t="s">
        <v>83</v>
      </c>
      <c r="D72" s="20">
        <f>IF(D69&lt;2500,D70,0)</f>
        <v>0</v>
      </c>
      <c r="E72" s="41"/>
    </row>
    <row r="73" spans="3:5" ht="12.75">
      <c r="C73" s="40" t="s">
        <v>85</v>
      </c>
      <c r="D73" s="20">
        <f>IF(D69&gt;2500,D70,0)</f>
        <v>0</v>
      </c>
      <c r="E73" s="41"/>
    </row>
    <row r="74" spans="3:5" ht="12.75">
      <c r="C74" s="61" t="s">
        <v>110</v>
      </c>
      <c r="D74" s="73">
        <f>SUM(D72:D73)</f>
        <v>0</v>
      </c>
      <c r="E74" s="41"/>
    </row>
    <row r="75" spans="3:5" ht="13.5" thickBot="1">
      <c r="C75" s="40"/>
      <c r="D75" s="18"/>
      <c r="E75" s="41"/>
    </row>
    <row r="76" spans="3:14" ht="12.75">
      <c r="C76" s="210" t="s">
        <v>16</v>
      </c>
      <c r="D76" s="211"/>
      <c r="E76" s="212"/>
      <c r="J76" s="10"/>
      <c r="K76" s="10"/>
      <c r="L76" s="10"/>
      <c r="M76" s="10"/>
      <c r="N76" s="10"/>
    </row>
    <row r="77" spans="3:5" ht="12.75">
      <c r="C77" s="59" t="s">
        <v>7</v>
      </c>
      <c r="D77" s="18"/>
      <c r="E77" s="41"/>
    </row>
    <row r="78" spans="3:5" ht="12.75">
      <c r="C78" s="40"/>
      <c r="D78" s="18"/>
      <c r="E78" s="41"/>
    </row>
    <row r="79" spans="3:5" ht="12.75">
      <c r="C79" s="60" t="s">
        <v>89</v>
      </c>
      <c r="D79" s="136"/>
      <c r="E79" s="41"/>
    </row>
    <row r="80" spans="3:5" ht="12.75">
      <c r="C80" s="61" t="s">
        <v>112</v>
      </c>
      <c r="D80" s="20">
        <f>IF(OR(D79="",D79=0),0,34.215*POWER(D79,-0.46))</f>
        <v>0</v>
      </c>
      <c r="E80" s="41"/>
    </row>
    <row r="81" spans="3:5" ht="12.75">
      <c r="C81" s="40"/>
      <c r="D81" s="18"/>
      <c r="E81" s="41"/>
    </row>
    <row r="82" spans="3:5" ht="14.25">
      <c r="C82" s="40" t="s">
        <v>113</v>
      </c>
      <c r="D82" s="20">
        <f>IF(D79&lt;2.351,D80,0)</f>
        <v>0</v>
      </c>
      <c r="E82" s="41"/>
    </row>
    <row r="83" spans="3:5" ht="14.25">
      <c r="C83" s="40" t="s">
        <v>114</v>
      </c>
      <c r="D83" s="20">
        <f>IF(D79&gt;2.351,D80,0)</f>
        <v>0</v>
      </c>
      <c r="E83" s="41"/>
    </row>
    <row r="84" spans="3:5" ht="12.75">
      <c r="C84" s="61" t="s">
        <v>112</v>
      </c>
      <c r="D84" s="73">
        <f>SUM(D82:D83)</f>
        <v>0</v>
      </c>
      <c r="E84" s="41"/>
    </row>
    <row r="85" spans="3:5" ht="13.5" thickBot="1">
      <c r="C85" s="40"/>
      <c r="D85" s="18"/>
      <c r="E85" s="41"/>
    </row>
    <row r="86" spans="3:5" ht="12.75">
      <c r="C86" s="210" t="s">
        <v>17</v>
      </c>
      <c r="D86" s="211"/>
      <c r="E86" s="212"/>
    </row>
    <row r="87" spans="3:5" ht="12.75">
      <c r="C87" s="40"/>
      <c r="D87" s="18"/>
      <c r="E87" s="41"/>
    </row>
    <row r="88" spans="3:5" ht="12.75">
      <c r="C88" s="59" t="s">
        <v>116</v>
      </c>
      <c r="D88" s="18"/>
      <c r="E88" s="41"/>
    </row>
    <row r="89" spans="3:5" ht="12.75">
      <c r="C89" s="40"/>
      <c r="D89" s="18"/>
      <c r="E89" s="41"/>
    </row>
    <row r="90" spans="3:5" ht="12.75">
      <c r="C90" s="60" t="s">
        <v>93</v>
      </c>
      <c r="D90" s="136"/>
      <c r="E90" s="41"/>
    </row>
    <row r="91" spans="3:5" ht="15.75">
      <c r="C91" s="61" t="s">
        <v>117</v>
      </c>
      <c r="D91" s="20">
        <f>IF(OR(D90="",D90=0),0,105*POWER(D90,-0.186))</f>
        <v>0</v>
      </c>
      <c r="E91" s="41"/>
    </row>
    <row r="92" spans="3:5" ht="12.75">
      <c r="C92" s="40"/>
      <c r="D92" s="18"/>
      <c r="E92" s="41"/>
    </row>
    <row r="93" spans="3:5" ht="12.75">
      <c r="C93" s="40" t="s">
        <v>94</v>
      </c>
      <c r="D93" s="20">
        <f>IF(D90&lt;1.3,D91,0)</f>
        <v>0</v>
      </c>
      <c r="E93" s="41"/>
    </row>
    <row r="94" spans="3:5" ht="12.75">
      <c r="C94" s="40" t="s">
        <v>95</v>
      </c>
      <c r="D94" s="20">
        <f>IF(D90&gt;1.3,D91,0)</f>
        <v>0</v>
      </c>
      <c r="E94" s="41"/>
    </row>
    <row r="95" spans="3:5" ht="15.75">
      <c r="C95" s="61" t="s">
        <v>117</v>
      </c>
      <c r="D95" s="73">
        <f>SUM(D93:D94)</f>
        <v>0</v>
      </c>
      <c r="E95" s="41"/>
    </row>
    <row r="96" spans="3:5" ht="13.5" thickBot="1">
      <c r="C96" s="40"/>
      <c r="D96" s="18"/>
      <c r="E96" s="41"/>
    </row>
    <row r="97" spans="3:5" ht="12.75">
      <c r="C97" s="210" t="s">
        <v>19</v>
      </c>
      <c r="D97" s="211"/>
      <c r="E97" s="212"/>
    </row>
    <row r="98" spans="3:5" ht="12.75">
      <c r="C98" s="40"/>
      <c r="D98" s="18"/>
      <c r="E98" s="41"/>
    </row>
    <row r="99" spans="3:5" ht="12.75">
      <c r="C99" s="59" t="s">
        <v>96</v>
      </c>
      <c r="D99" s="18"/>
      <c r="E99" s="41"/>
    </row>
    <row r="100" spans="3:5" ht="12.75">
      <c r="C100" s="40"/>
      <c r="D100" s="18"/>
      <c r="E100" s="41"/>
    </row>
    <row r="101" spans="3:14" ht="12.75">
      <c r="C101" s="60" t="s">
        <v>97</v>
      </c>
      <c r="D101" s="136"/>
      <c r="E101" s="41"/>
      <c r="J101" s="189"/>
      <c r="K101" s="189"/>
      <c r="L101" s="189"/>
      <c r="M101" s="189"/>
      <c r="N101" s="189"/>
    </row>
    <row r="102" spans="3:14" ht="15.75">
      <c r="C102" s="61" t="s">
        <v>118</v>
      </c>
      <c r="D102" s="20">
        <f>IF(OR(D101="",D101=0),0,87.25*POWER(D101,-0.298))</f>
        <v>0</v>
      </c>
      <c r="E102" s="41"/>
      <c r="H102" s="2"/>
      <c r="J102" s="189"/>
      <c r="K102" s="189"/>
      <c r="L102" s="189"/>
      <c r="M102" s="189"/>
      <c r="N102" s="189"/>
    </row>
    <row r="103" spans="3:14" ht="12.75">
      <c r="C103" s="40"/>
      <c r="D103" s="18"/>
      <c r="E103" s="41"/>
      <c r="J103" s="189"/>
      <c r="K103" s="189"/>
      <c r="L103" s="189"/>
      <c r="M103" s="189"/>
      <c r="N103" s="189"/>
    </row>
    <row r="104" spans="3:5" ht="12.75">
      <c r="C104" s="40" t="s">
        <v>98</v>
      </c>
      <c r="D104" s="20">
        <f>IF(D101&lt;0.633,D102,0)</f>
        <v>0</v>
      </c>
      <c r="E104" s="41"/>
    </row>
    <row r="105" spans="3:5" ht="12.75">
      <c r="C105" s="40" t="s">
        <v>99</v>
      </c>
      <c r="D105" s="20">
        <f>IF(D101&gt;0.633,D102,0)</f>
        <v>0</v>
      </c>
      <c r="E105" s="41"/>
    </row>
    <row r="106" spans="3:5" ht="15.75">
      <c r="C106" s="61" t="s">
        <v>118</v>
      </c>
      <c r="D106" s="73">
        <f>SUM(D104:D105)</f>
        <v>0</v>
      </c>
      <c r="E106" s="41"/>
    </row>
    <row r="107" spans="3:5" ht="13.5" thickBot="1">
      <c r="C107" s="57"/>
      <c r="D107" s="29"/>
      <c r="E107" s="58"/>
    </row>
    <row r="108" spans="3:5" ht="12.75">
      <c r="C108" s="210" t="s">
        <v>1</v>
      </c>
      <c r="D108" s="211"/>
      <c r="E108" s="212"/>
    </row>
    <row r="109" spans="3:5" ht="12.75">
      <c r="C109" s="40"/>
      <c r="D109" s="18"/>
      <c r="E109" s="41"/>
    </row>
    <row r="110" spans="3:5" ht="15" customHeight="1">
      <c r="C110" s="59" t="s">
        <v>7</v>
      </c>
      <c r="D110" s="18"/>
      <c r="E110" s="62"/>
    </row>
    <row r="111" spans="3:5" ht="12.75">
      <c r="C111" s="40"/>
      <c r="D111" s="18"/>
      <c r="E111" s="41"/>
    </row>
    <row r="112" spans="3:5" ht="12.75">
      <c r="C112" s="60" t="s">
        <v>10</v>
      </c>
      <c r="D112" s="137"/>
      <c r="E112" s="41"/>
    </row>
    <row r="113" spans="3:8" ht="12.75">
      <c r="C113" s="61" t="s">
        <v>101</v>
      </c>
      <c r="D113" s="20">
        <f>IF(OR(D112="",D112=0),0,162.2*POWER(D112,-0.343))</f>
        <v>0</v>
      </c>
      <c r="E113" s="41"/>
      <c r="H113" s="11"/>
    </row>
    <row r="114" spans="3:5" ht="12.75">
      <c r="C114" s="40"/>
      <c r="D114" s="18"/>
      <c r="E114" s="41"/>
    </row>
    <row r="115" spans="3:5" ht="12.75">
      <c r="C115" s="40" t="s">
        <v>102</v>
      </c>
      <c r="D115" s="20">
        <f>IF(D112&lt;4.097,D113,0)</f>
        <v>0</v>
      </c>
      <c r="E115" s="41"/>
    </row>
    <row r="116" spans="3:5" ht="12.75">
      <c r="C116" s="40" t="s">
        <v>103</v>
      </c>
      <c r="D116" s="20">
        <f>IF(D112&gt;4.097,D113,0)</f>
        <v>0</v>
      </c>
      <c r="E116" s="41"/>
    </row>
    <row r="117" spans="3:5" ht="12.75">
      <c r="C117" s="61" t="s">
        <v>101</v>
      </c>
      <c r="D117" s="73">
        <f>SUM(D115:D116)</f>
        <v>0</v>
      </c>
      <c r="E117" s="41"/>
    </row>
    <row r="118" spans="3:5" ht="13.5" thickBot="1">
      <c r="C118" s="40"/>
      <c r="D118" s="18"/>
      <c r="E118" s="41"/>
    </row>
    <row r="119" spans="3:5" ht="12.75">
      <c r="C119" s="210" t="s">
        <v>20</v>
      </c>
      <c r="D119" s="211"/>
      <c r="E119" s="212"/>
    </row>
    <row r="120" spans="3:5" ht="12.75">
      <c r="C120" s="63"/>
      <c r="D120" s="30"/>
      <c r="E120" s="64"/>
    </row>
    <row r="121" spans="3:5" ht="12.75">
      <c r="C121" s="59" t="s">
        <v>21</v>
      </c>
      <c r="D121" s="18"/>
      <c r="E121" s="41"/>
    </row>
    <row r="122" spans="3:5" ht="12.75">
      <c r="C122" s="40"/>
      <c r="D122" s="18"/>
      <c r="E122" s="41"/>
    </row>
    <row r="123" spans="3:5" ht="12.75">
      <c r="C123" s="60" t="s">
        <v>25</v>
      </c>
      <c r="D123" s="136"/>
      <c r="E123" s="41"/>
    </row>
    <row r="124" spans="3:8" ht="15.75">
      <c r="C124" s="61" t="s">
        <v>28</v>
      </c>
      <c r="D124" s="20">
        <f>IF(OR(D123="",D123=0),0,45.8*POWER(D123,-0.343))</f>
        <v>0</v>
      </c>
      <c r="E124" s="41"/>
      <c r="H124" s="2"/>
    </row>
    <row r="125" spans="3:5" ht="12.75">
      <c r="C125" s="40"/>
      <c r="D125" s="18"/>
      <c r="E125" s="41"/>
    </row>
    <row r="126" spans="3:5" ht="12.75">
      <c r="C126" s="40" t="s">
        <v>104</v>
      </c>
      <c r="D126" s="20">
        <f>IF(D123&lt;0.11,D124,0)</f>
        <v>0</v>
      </c>
      <c r="E126" s="41"/>
    </row>
    <row r="127" spans="3:5" ht="12.75">
      <c r="C127" s="40" t="s">
        <v>104</v>
      </c>
      <c r="D127" s="20">
        <f>IF(D123&gt;0.11,D124,0)</f>
        <v>0</v>
      </c>
      <c r="E127" s="41"/>
    </row>
    <row r="128" spans="3:5" ht="15.75">
      <c r="C128" s="61" t="s">
        <v>28</v>
      </c>
      <c r="D128" s="73">
        <f>SUM(D126:D127)</f>
        <v>0</v>
      </c>
      <c r="E128" s="41"/>
    </row>
    <row r="129" spans="3:5" ht="13.5" thickBot="1">
      <c r="C129" s="40"/>
      <c r="D129" s="20"/>
      <c r="E129" s="41"/>
    </row>
    <row r="130" spans="3:5" ht="12.75">
      <c r="C130" s="210" t="s">
        <v>22</v>
      </c>
      <c r="D130" s="211"/>
      <c r="E130" s="212"/>
    </row>
    <row r="131" spans="3:5" ht="12.75">
      <c r="C131" s="40"/>
      <c r="D131" s="18"/>
      <c r="E131" s="41"/>
    </row>
    <row r="132" spans="3:5" ht="12.75">
      <c r="C132" s="59" t="s">
        <v>7</v>
      </c>
      <c r="D132" s="18"/>
      <c r="E132" s="41"/>
    </row>
    <row r="133" spans="3:5" ht="12.75">
      <c r="C133" s="40"/>
      <c r="D133" s="18"/>
      <c r="E133" s="41"/>
    </row>
    <row r="134" spans="3:5" ht="12.75">
      <c r="C134" s="60" t="s">
        <v>43</v>
      </c>
      <c r="D134" s="136"/>
      <c r="E134" s="41"/>
    </row>
    <row r="135" spans="3:5" ht="12.75">
      <c r="C135" s="61" t="s">
        <v>105</v>
      </c>
      <c r="D135" s="20">
        <f>IF(OR(D134="",D134=0),0,34.215*POWER(D134,-0.46))</f>
        <v>0</v>
      </c>
      <c r="E135" s="41"/>
    </row>
    <row r="136" spans="3:5" ht="12.75">
      <c r="C136" s="40"/>
      <c r="D136" s="18"/>
      <c r="E136" s="41"/>
    </row>
    <row r="137" spans="3:5" ht="15.75">
      <c r="C137" s="40" t="s">
        <v>50</v>
      </c>
      <c r="D137" s="20">
        <f>IF(D134&lt;0.0971,D135,0)</f>
        <v>0</v>
      </c>
      <c r="E137" s="41"/>
    </row>
    <row r="138" spans="3:5" ht="15.75">
      <c r="C138" s="40" t="s">
        <v>51</v>
      </c>
      <c r="D138" s="20">
        <f>IF(D134&gt;0.0971,D135,0)</f>
        <v>0</v>
      </c>
      <c r="E138" s="41"/>
    </row>
    <row r="139" spans="3:5" ht="12.75">
      <c r="C139" s="61" t="s">
        <v>105</v>
      </c>
      <c r="D139" s="73">
        <f>SUM(D137:D138)</f>
        <v>0</v>
      </c>
      <c r="E139" s="41"/>
    </row>
    <row r="140" spans="3:5" ht="13.5" thickBot="1">
      <c r="C140" s="40"/>
      <c r="D140" s="18"/>
      <c r="E140" s="41"/>
    </row>
    <row r="141" spans="3:5" ht="12.75">
      <c r="C141" s="210" t="s">
        <v>24</v>
      </c>
      <c r="D141" s="211"/>
      <c r="E141" s="212"/>
    </row>
    <row r="142" spans="3:5" ht="12.75">
      <c r="C142" s="40"/>
      <c r="D142" s="18"/>
      <c r="E142" s="41"/>
    </row>
    <row r="143" spans="3:5" ht="12.75">
      <c r="C143" s="59" t="s">
        <v>55</v>
      </c>
      <c r="D143" s="18"/>
      <c r="E143" s="41"/>
    </row>
    <row r="144" spans="3:5" ht="12.75">
      <c r="C144" s="40"/>
      <c r="D144" s="18"/>
      <c r="E144" s="41"/>
    </row>
    <row r="145" spans="3:5" ht="12.75">
      <c r="C145" s="60" t="s">
        <v>56</v>
      </c>
      <c r="D145" s="136"/>
      <c r="E145" s="41"/>
    </row>
    <row r="146" spans="3:5" ht="15.75">
      <c r="C146" s="61" t="s">
        <v>57</v>
      </c>
      <c r="D146" s="20">
        <f>IF(OR(D145="",D145=0),0,123*POWER(D145,-0.295))</f>
        <v>0</v>
      </c>
      <c r="E146" s="41"/>
    </row>
    <row r="147" spans="3:5" ht="12.75">
      <c r="C147" s="40"/>
      <c r="D147" s="20"/>
      <c r="E147" s="41"/>
    </row>
    <row r="148" spans="3:5" ht="12.75">
      <c r="C148" s="40" t="s">
        <v>100</v>
      </c>
      <c r="D148" s="20">
        <f>IF(D145&lt;2.018,D146,0)</f>
        <v>0</v>
      </c>
      <c r="E148" s="41"/>
    </row>
    <row r="149" spans="3:5" ht="12.75">
      <c r="C149" s="40" t="s">
        <v>60</v>
      </c>
      <c r="D149" s="20">
        <f>IF(D145&gt;2.018,D146,0)</f>
        <v>0</v>
      </c>
      <c r="E149" s="41"/>
    </row>
    <row r="150" spans="3:5" ht="15.75">
      <c r="C150" s="61" t="s">
        <v>57</v>
      </c>
      <c r="D150" s="73">
        <f>SUM(D148:D149)</f>
        <v>0</v>
      </c>
      <c r="E150" s="41"/>
    </row>
    <row r="151" spans="3:5" ht="13.5" thickBot="1">
      <c r="C151" s="40"/>
      <c r="D151" s="18"/>
      <c r="E151" s="41"/>
    </row>
    <row r="152" spans="3:5" ht="12.75">
      <c r="C152" s="210" t="s">
        <v>26</v>
      </c>
      <c r="D152" s="211"/>
      <c r="E152" s="212"/>
    </row>
    <row r="153" spans="3:7" ht="20.25">
      <c r="C153" s="59" t="s">
        <v>64</v>
      </c>
      <c r="D153" s="18"/>
      <c r="E153" s="65"/>
      <c r="F153" s="12"/>
      <c r="G153" s="12"/>
    </row>
    <row r="154" spans="3:5" ht="12.75">
      <c r="C154" s="40"/>
      <c r="D154" s="18"/>
      <c r="E154" s="41"/>
    </row>
    <row r="155" spans="3:5" ht="12.75">
      <c r="C155" s="60" t="s">
        <v>65</v>
      </c>
      <c r="D155" s="84">
        <v>22</v>
      </c>
      <c r="E155" s="41"/>
    </row>
    <row r="156" spans="3:5" ht="15.75">
      <c r="C156" s="61" t="s">
        <v>108</v>
      </c>
      <c r="D156" s="20">
        <f>IF(OR(D155="",D155=0),0,108*POWER(D155,-0.178))</f>
        <v>62.29777248046101</v>
      </c>
      <c r="E156" s="41"/>
    </row>
    <row r="157" spans="3:5" ht="12.75">
      <c r="C157" s="40"/>
      <c r="D157" s="18"/>
      <c r="E157" s="41"/>
    </row>
    <row r="158" spans="3:5" ht="12.75">
      <c r="C158" s="40" t="s">
        <v>66</v>
      </c>
      <c r="D158" s="20">
        <f>IF(D155&lt;1.54,D156,0)</f>
        <v>0</v>
      </c>
      <c r="E158" s="41"/>
    </row>
    <row r="159" spans="3:5" ht="12.75">
      <c r="C159" s="40" t="s">
        <v>68</v>
      </c>
      <c r="D159" s="20">
        <f>IF(D155&gt;1.54,D156,0)</f>
        <v>62.29777248046101</v>
      </c>
      <c r="E159" s="41"/>
    </row>
    <row r="160" spans="3:5" ht="15.75">
      <c r="C160" s="61" t="s">
        <v>108</v>
      </c>
      <c r="D160" s="73">
        <f>SUM(D158:D159)</f>
        <v>62.29777248046101</v>
      </c>
      <c r="E160" s="41"/>
    </row>
    <row r="161" spans="3:5" ht="13.5" thickBot="1">
      <c r="C161" s="40"/>
      <c r="D161" s="18"/>
      <c r="E161" s="41"/>
    </row>
    <row r="162" spans="3:5" ht="12.75">
      <c r="C162" s="210" t="s">
        <v>29</v>
      </c>
      <c r="D162" s="211"/>
      <c r="E162" s="212"/>
    </row>
    <row r="163" spans="3:14" ht="20.25">
      <c r="C163" s="59" t="s">
        <v>73</v>
      </c>
      <c r="D163" s="18"/>
      <c r="E163" s="41"/>
      <c r="J163" s="13"/>
      <c r="K163" s="188"/>
      <c r="L163" s="188"/>
      <c r="M163" s="188"/>
      <c r="N163" s="188"/>
    </row>
    <row r="164" spans="3:7" ht="8.25" customHeight="1">
      <c r="C164" s="40"/>
      <c r="D164" s="31"/>
      <c r="E164" s="66"/>
      <c r="F164" s="14"/>
      <c r="G164" s="14"/>
    </row>
    <row r="165" spans="3:5" ht="14.25" customHeight="1">
      <c r="C165" s="59" t="s">
        <v>75</v>
      </c>
      <c r="D165" s="32"/>
      <c r="E165" s="41"/>
    </row>
    <row r="166" spans="3:14" ht="12.75">
      <c r="C166" s="40"/>
      <c r="D166" s="18"/>
      <c r="E166" s="41"/>
      <c r="N166" s="15"/>
    </row>
    <row r="167" spans="3:5" ht="12.75">
      <c r="C167" s="60" t="s">
        <v>29</v>
      </c>
      <c r="D167" s="136"/>
      <c r="E167" s="41"/>
    </row>
    <row r="168" spans="3:15" ht="15.75">
      <c r="C168" s="61" t="s">
        <v>78</v>
      </c>
      <c r="D168" s="33">
        <f>IF(D167="",0,(100-(16.678*D167)+(0.1587*POWER(D167,2))))</f>
        <v>0</v>
      </c>
      <c r="E168" s="41"/>
      <c r="O168" s="8"/>
    </row>
    <row r="169" spans="3:15" ht="12.75">
      <c r="C169" s="40"/>
      <c r="D169" s="18"/>
      <c r="E169" s="41"/>
      <c r="O169" s="8"/>
    </row>
    <row r="170" spans="3:15" ht="12.75">
      <c r="C170" s="40" t="s">
        <v>80</v>
      </c>
      <c r="D170" s="20">
        <f>IF(D167&lt;6.384,D168,0)</f>
        <v>0</v>
      </c>
      <c r="E170" s="41"/>
      <c r="O170" s="8"/>
    </row>
    <row r="171" spans="3:5" ht="12.75">
      <c r="C171" s="40" t="s">
        <v>81</v>
      </c>
      <c r="D171" s="20">
        <f>IF(D167&gt;6.384,D168,0)</f>
        <v>0</v>
      </c>
      <c r="E171" s="41"/>
    </row>
    <row r="172" spans="3:5" ht="15.75">
      <c r="C172" s="61" t="s">
        <v>78</v>
      </c>
      <c r="D172" s="73">
        <f>SUM(D170:D171)</f>
        <v>0</v>
      </c>
      <c r="E172" s="41"/>
    </row>
    <row r="173" spans="3:15" ht="21" thickBot="1">
      <c r="C173" s="40"/>
      <c r="D173" s="18"/>
      <c r="E173" s="41"/>
      <c r="J173" s="190"/>
      <c r="K173" s="190"/>
      <c r="L173" s="190"/>
      <c r="M173" s="190"/>
      <c r="N173" s="190"/>
      <c r="O173" s="190"/>
    </row>
    <row r="174" spans="3:14" ht="12.75">
      <c r="C174" s="210" t="s">
        <v>31</v>
      </c>
      <c r="D174" s="211"/>
      <c r="E174" s="212"/>
      <c r="J174" s="189"/>
      <c r="K174" s="189"/>
      <c r="L174" s="189"/>
      <c r="M174" s="189"/>
      <c r="N174" s="189"/>
    </row>
    <row r="175" spans="3:14" ht="12.75">
      <c r="C175" s="40"/>
      <c r="D175" s="18"/>
      <c r="E175" s="41"/>
      <c r="J175" s="189"/>
      <c r="K175" s="189"/>
      <c r="L175" s="189"/>
      <c r="M175" s="189"/>
      <c r="N175" s="189"/>
    </row>
    <row r="176" spans="3:14" ht="20.25">
      <c r="C176" s="59" t="s">
        <v>84</v>
      </c>
      <c r="D176" s="31"/>
      <c r="E176" s="41"/>
      <c r="J176" s="189"/>
      <c r="K176" s="189"/>
      <c r="L176" s="189"/>
      <c r="M176" s="189"/>
      <c r="N176" s="189"/>
    </row>
    <row r="177" spans="3:14" ht="12.75">
      <c r="C177" s="40"/>
      <c r="D177" s="18"/>
      <c r="E177" s="41"/>
      <c r="J177" s="189"/>
      <c r="K177" s="189"/>
      <c r="L177" s="189"/>
      <c r="M177" s="189"/>
      <c r="N177" s="189"/>
    </row>
    <row r="178" spans="3:14" ht="12.75">
      <c r="C178" s="60" t="s">
        <v>86</v>
      </c>
      <c r="D178" s="84">
        <v>29</v>
      </c>
      <c r="E178" s="41"/>
      <c r="J178" s="10"/>
      <c r="K178" s="10"/>
      <c r="L178" s="10"/>
      <c r="M178" s="10"/>
      <c r="N178" s="10"/>
    </row>
    <row r="179" spans="3:15" ht="14.25">
      <c r="C179" s="46" t="s">
        <v>111</v>
      </c>
      <c r="D179" s="33">
        <f>IF(D178="",0,IF(D178&lt;=0,0,97.5*POWER(5*D178,-0.27)))</f>
        <v>25.435205751554992</v>
      </c>
      <c r="E179" s="41"/>
      <c r="H179" s="15"/>
      <c r="J179" s="189"/>
      <c r="K179" s="189"/>
      <c r="L179" s="189"/>
      <c r="M179" s="189"/>
      <c r="N179" s="189"/>
      <c r="O179" s="8"/>
    </row>
    <row r="180" spans="3:15" ht="12.75">
      <c r="C180" s="40"/>
      <c r="D180" s="18"/>
      <c r="E180" s="41"/>
      <c r="J180" s="189"/>
      <c r="K180" s="189"/>
      <c r="L180" s="189"/>
      <c r="M180" s="189"/>
      <c r="N180" s="189"/>
      <c r="O180" s="8"/>
    </row>
    <row r="181" spans="3:15" ht="12.75">
      <c r="C181" s="40" t="s">
        <v>87</v>
      </c>
      <c r="D181" s="20">
        <f>IF(D178="",0,IF(D179&lt;1.311,100,0))</f>
        <v>0</v>
      </c>
      <c r="E181" s="41"/>
      <c r="J181" s="189"/>
      <c r="K181" s="189"/>
      <c r="L181" s="189"/>
      <c r="M181" s="189"/>
      <c r="N181" s="189"/>
      <c r="O181" s="8"/>
    </row>
    <row r="182" spans="3:14" ht="12.75">
      <c r="C182" s="40" t="s">
        <v>88</v>
      </c>
      <c r="D182" s="20">
        <f>IF(D179&gt;1.311,D179,0)</f>
        <v>25.435205751554992</v>
      </c>
      <c r="E182" s="41"/>
      <c r="J182" s="189"/>
      <c r="K182" s="189"/>
      <c r="L182" s="189"/>
      <c r="M182" s="189"/>
      <c r="N182" s="189"/>
    </row>
    <row r="183" spans="3:14" ht="14.25">
      <c r="C183" s="46" t="s">
        <v>111</v>
      </c>
      <c r="D183" s="73">
        <f>SUM(D181:D182)</f>
        <v>25.435205751554992</v>
      </c>
      <c r="E183" s="41"/>
      <c r="J183" s="16"/>
      <c r="K183" s="16"/>
      <c r="L183" s="16"/>
      <c r="M183" s="16"/>
      <c r="N183" s="16"/>
    </row>
    <row r="184" spans="3:14" ht="13.5" thickBot="1">
      <c r="C184" s="57"/>
      <c r="D184" s="34"/>
      <c r="E184" s="58"/>
      <c r="J184" s="16"/>
      <c r="K184" s="16"/>
      <c r="L184" s="16"/>
      <c r="M184" s="16"/>
      <c r="N184" s="16"/>
    </row>
    <row r="185" spans="3:5" ht="12.75">
      <c r="C185" s="210" t="s">
        <v>32</v>
      </c>
      <c r="D185" s="211"/>
      <c r="E185" s="212"/>
    </row>
    <row r="186" spans="3:5" ht="12.75">
      <c r="C186" s="55"/>
      <c r="D186" s="28"/>
      <c r="E186" s="51"/>
    </row>
    <row r="187" spans="3:5" ht="12.75">
      <c r="C187" s="59" t="s">
        <v>84</v>
      </c>
      <c r="D187" s="18"/>
      <c r="E187" s="41"/>
    </row>
    <row r="188" spans="3:5" ht="12.75">
      <c r="C188" s="40"/>
      <c r="D188" s="18"/>
      <c r="E188" s="41"/>
    </row>
    <row r="189" spans="3:5" ht="12.75">
      <c r="C189" s="60" t="s">
        <v>90</v>
      </c>
      <c r="D189" s="84">
        <v>29</v>
      </c>
      <c r="E189" s="41"/>
    </row>
    <row r="190" spans="3:5" ht="14.25">
      <c r="C190" s="46" t="s">
        <v>115</v>
      </c>
      <c r="D190" s="67">
        <f>IF(D189&lt;=0,0,97.5*POWER(D189,-0.27))</f>
        <v>39.27870458350554</v>
      </c>
      <c r="E190" s="41"/>
    </row>
    <row r="191" spans="3:5" ht="12.75">
      <c r="C191" s="40"/>
      <c r="D191" s="18"/>
      <c r="E191" s="41"/>
    </row>
    <row r="192" spans="3:5" ht="12.75">
      <c r="C192" s="40" t="s">
        <v>91</v>
      </c>
      <c r="D192" s="19">
        <f>IF(D189="",0,IF(D189&lt;=0,100,0))</f>
        <v>0</v>
      </c>
      <c r="E192" s="41"/>
    </row>
    <row r="193" spans="3:5" ht="12.75">
      <c r="C193" s="40" t="s">
        <v>92</v>
      </c>
      <c r="D193" s="20">
        <f>IF(D189&gt;0,D190,0)</f>
        <v>39.27870458350554</v>
      </c>
      <c r="E193" s="41"/>
    </row>
    <row r="194" spans="3:5" ht="14.25">
      <c r="C194" s="46" t="s">
        <v>115</v>
      </c>
      <c r="D194" s="73">
        <f>SUM(D192:D193)</f>
        <v>39.27870458350554</v>
      </c>
      <c r="E194" s="41"/>
    </row>
    <row r="195" spans="3:5" ht="13.5" thickBot="1">
      <c r="C195" s="68"/>
      <c r="D195" s="69"/>
      <c r="E195" s="70"/>
    </row>
  </sheetData>
  <mergeCells count="66">
    <mergeCell ref="H3:O3"/>
    <mergeCell ref="C4:E4"/>
    <mergeCell ref="C10:E10"/>
    <mergeCell ref="C14:D14"/>
    <mergeCell ref="C7:D7"/>
    <mergeCell ref="C8:D8"/>
    <mergeCell ref="C9:D9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20:J20"/>
    <mergeCell ref="H21:J21"/>
    <mergeCell ref="H22:J22"/>
    <mergeCell ref="H15:J15"/>
    <mergeCell ref="H16:J16"/>
    <mergeCell ref="H17:J17"/>
    <mergeCell ref="H18:J18"/>
    <mergeCell ref="I31:J31"/>
    <mergeCell ref="C16:E16"/>
    <mergeCell ref="C32:D32"/>
    <mergeCell ref="C22:D22"/>
    <mergeCell ref="C24:E24"/>
    <mergeCell ref="H23:J23"/>
    <mergeCell ref="I28:J28"/>
    <mergeCell ref="I29:J29"/>
    <mergeCell ref="I30:J30"/>
    <mergeCell ref="H19:J19"/>
    <mergeCell ref="C67:E67"/>
    <mergeCell ref="C76:E76"/>
    <mergeCell ref="C86:E86"/>
    <mergeCell ref="I32:J32"/>
    <mergeCell ref="C34:E34"/>
    <mergeCell ref="C43:E43"/>
    <mergeCell ref="C59:E59"/>
    <mergeCell ref="K163:N163"/>
    <mergeCell ref="J102:N102"/>
    <mergeCell ref="J103:N103"/>
    <mergeCell ref="J173:O173"/>
    <mergeCell ref="C185:E185"/>
    <mergeCell ref="C162:E162"/>
    <mergeCell ref="C174:E174"/>
    <mergeCell ref="C3:F3"/>
    <mergeCell ref="C152:E152"/>
    <mergeCell ref="C97:E97"/>
    <mergeCell ref="C130:E130"/>
    <mergeCell ref="C141:E141"/>
    <mergeCell ref="C119:E119"/>
    <mergeCell ref="C108:E108"/>
    <mergeCell ref="J25:K25"/>
    <mergeCell ref="J182:N182"/>
    <mergeCell ref="J181:N181"/>
    <mergeCell ref="J174:N174"/>
    <mergeCell ref="J175:N175"/>
    <mergeCell ref="J176:N176"/>
    <mergeCell ref="J177:N177"/>
    <mergeCell ref="J179:N179"/>
    <mergeCell ref="J180:N180"/>
    <mergeCell ref="J101:N101"/>
  </mergeCells>
  <conditionalFormatting sqref="J25">
    <cfRule type="cellIs" priority="1" dxfId="0" operator="between" stopIfTrue="1">
      <formula>50</formula>
      <formula>69</formula>
    </cfRule>
    <cfRule type="cellIs" priority="2" dxfId="1" operator="between" stopIfTrue="1">
      <formula>30</formula>
      <formula>49</formula>
    </cfRule>
    <cfRule type="cellIs" priority="3" dxfId="2" operator="between" stopIfTrue="1">
      <formula>0</formula>
      <formula>29</formula>
    </cfRule>
  </conditionalFormatting>
  <conditionalFormatting sqref="D7:D8">
    <cfRule type="cellIs" priority="4" dxfId="3" operator="lessThan" stopIfTrue="1">
      <formula>6.7</formula>
    </cfRule>
  </conditionalFormatting>
  <printOptions/>
  <pageMargins left="1.03" right="0.41" top="0.91" bottom="1.06" header="0.42" footer="0.55"/>
  <pageSetup horizontalDpi="600" verticalDpi="600" orientation="portrait" scale="87" r:id="rId1"/>
  <headerFooter alignWithMargins="0">
    <oddHeader>&amp;LIndice de Calidad del Agua</oddHeader>
    <oddFooter>&amp;LCalidad del Agua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C3:P195"/>
  <sheetViews>
    <sheetView showGridLines="0" showZeros="0" zoomScale="75" zoomScaleNormal="75" workbookViewId="0" topLeftCell="E12">
      <selection activeCell="I25" sqref="I25:K32"/>
    </sheetView>
  </sheetViews>
  <sheetFormatPr defaultColWidth="11.421875" defaultRowHeight="12.75"/>
  <cols>
    <col min="3" max="3" width="29.00390625" style="0" customWidth="1"/>
    <col min="4" max="4" width="13.00390625" style="0" customWidth="1"/>
    <col min="6" max="7" width="4.00390625" style="0" customWidth="1"/>
    <col min="9" max="9" width="13.00390625" style="0" customWidth="1"/>
    <col min="10" max="10" width="21.8515625" style="0" customWidth="1"/>
    <col min="11" max="13" width="15.8515625" style="0" customWidth="1"/>
    <col min="14" max="14" width="9.28125" style="0" customWidth="1"/>
    <col min="15" max="15" width="8.7109375" style="0" customWidth="1"/>
  </cols>
  <sheetData>
    <row r="3" spans="3:16" ht="28.5" thickBot="1">
      <c r="C3" s="191" t="s">
        <v>132</v>
      </c>
      <c r="D3" s="191"/>
      <c r="E3" s="191"/>
      <c r="F3" s="191"/>
      <c r="G3" s="17"/>
      <c r="H3" s="174" t="s">
        <v>132</v>
      </c>
      <c r="I3" s="174"/>
      <c r="J3" s="174"/>
      <c r="K3" s="174"/>
      <c r="L3" s="174"/>
      <c r="M3" s="174"/>
      <c r="N3" s="174"/>
      <c r="O3" s="174"/>
      <c r="P3" s="1"/>
    </row>
    <row r="4" spans="3:15" ht="12.75">
      <c r="C4" s="213" t="s">
        <v>0</v>
      </c>
      <c r="D4" s="214"/>
      <c r="E4" s="215"/>
      <c r="H4" s="253" t="s">
        <v>2</v>
      </c>
      <c r="I4" s="254"/>
      <c r="J4" s="254"/>
      <c r="K4" s="71" t="s">
        <v>3</v>
      </c>
      <c r="L4" s="71" t="s">
        <v>120</v>
      </c>
      <c r="M4" s="71" t="s">
        <v>121</v>
      </c>
      <c r="N4" s="71" t="s">
        <v>4</v>
      </c>
      <c r="O4" s="72" t="s">
        <v>5</v>
      </c>
    </row>
    <row r="5" spans="3:15" ht="12.75">
      <c r="C5" s="35"/>
      <c r="D5" s="22"/>
      <c r="E5" s="36"/>
      <c r="H5" s="216" t="s">
        <v>0</v>
      </c>
      <c r="I5" s="217"/>
      <c r="J5" s="217"/>
      <c r="K5" s="81">
        <v>1</v>
      </c>
      <c r="L5" s="81">
        <f>IF(D6="",0,1)</f>
        <v>1</v>
      </c>
      <c r="M5" s="81">
        <f aca="true" t="shared" si="0" ref="M5:M22">+K5*L5</f>
        <v>1</v>
      </c>
      <c r="N5" s="138">
        <f>E14</f>
        <v>70.25868224350984</v>
      </c>
      <c r="O5" s="139">
        <f>IF(L5=1,K5*N5,0)</f>
        <v>70.25868224350984</v>
      </c>
    </row>
    <row r="6" spans="3:15" ht="12.75">
      <c r="C6" s="37" t="s">
        <v>6</v>
      </c>
      <c r="D6" s="165">
        <v>8.1</v>
      </c>
      <c r="E6" s="36"/>
      <c r="H6" s="216" t="s">
        <v>8</v>
      </c>
      <c r="I6" s="217"/>
      <c r="J6" s="217"/>
      <c r="K6" s="81">
        <v>1</v>
      </c>
      <c r="L6" s="81">
        <f>IF(D18="",0,1)</f>
        <v>1</v>
      </c>
      <c r="M6" s="81">
        <f t="shared" si="0"/>
        <v>1</v>
      </c>
      <c r="N6" s="138">
        <f>E22</f>
        <v>89.65166941178683</v>
      </c>
      <c r="O6" s="139">
        <f aca="true" t="shared" si="1" ref="O6:O22">K6*N6</f>
        <v>89.65166941178683</v>
      </c>
    </row>
    <row r="7" spans="3:15" ht="12.75">
      <c r="C7" s="205" t="s">
        <v>122</v>
      </c>
      <c r="D7" s="206"/>
      <c r="E7" s="38">
        <f>0.2335*D6+0.44</f>
        <v>2.33135</v>
      </c>
      <c r="H7" s="216" t="s">
        <v>9</v>
      </c>
      <c r="I7" s="217"/>
      <c r="J7" s="217"/>
      <c r="K7" s="81">
        <v>0.5</v>
      </c>
      <c r="L7" s="81">
        <f>IF(D26="",0,1)</f>
        <v>1</v>
      </c>
      <c r="M7" s="81">
        <f t="shared" si="0"/>
        <v>0.5</v>
      </c>
      <c r="N7" s="138">
        <f>E32</f>
        <v>0</v>
      </c>
      <c r="O7" s="139">
        <f t="shared" si="1"/>
        <v>0</v>
      </c>
    </row>
    <row r="8" spans="3:15" ht="12.75">
      <c r="C8" s="205" t="s">
        <v>123</v>
      </c>
      <c r="D8" s="206"/>
      <c r="E8" s="38">
        <v>100</v>
      </c>
      <c r="H8" s="216" t="s">
        <v>11</v>
      </c>
      <c r="I8" s="217"/>
      <c r="J8" s="217"/>
      <c r="K8" s="81">
        <v>2</v>
      </c>
      <c r="L8" s="81">
        <f>IF(D36="",0,1)</f>
        <v>1</v>
      </c>
      <c r="M8" s="81">
        <f t="shared" si="0"/>
        <v>2</v>
      </c>
      <c r="N8" s="138">
        <f>E41</f>
        <v>8.836891503651408</v>
      </c>
      <c r="O8" s="139">
        <f t="shared" si="1"/>
        <v>17.673783007302816</v>
      </c>
    </row>
    <row r="9" spans="3:15" ht="12.75">
      <c r="C9" s="205" t="s">
        <v>124</v>
      </c>
      <c r="D9" s="206"/>
      <c r="E9" s="38">
        <f>4.22-(0.293*D6)</f>
        <v>1.8466999999999998</v>
      </c>
      <c r="H9" s="216" t="s">
        <v>12</v>
      </c>
      <c r="I9" s="217"/>
      <c r="J9" s="217"/>
      <c r="K9" s="81">
        <v>5</v>
      </c>
      <c r="L9" s="81">
        <f>IF(D45="",0,1)</f>
        <v>1</v>
      </c>
      <c r="M9" s="81">
        <f t="shared" si="0"/>
        <v>5</v>
      </c>
      <c r="N9" s="138">
        <f>E57</f>
        <v>97.43301037715344</v>
      </c>
      <c r="O9" s="139">
        <f t="shared" si="1"/>
        <v>487.1650518857672</v>
      </c>
    </row>
    <row r="10" spans="3:15" ht="12.75">
      <c r="C10" s="201" t="s">
        <v>13</v>
      </c>
      <c r="D10" s="202"/>
      <c r="E10" s="203"/>
      <c r="H10" s="216" t="s">
        <v>14</v>
      </c>
      <c r="I10" s="217"/>
      <c r="J10" s="217"/>
      <c r="K10" s="81">
        <v>5</v>
      </c>
      <c r="L10" s="81">
        <f>IF(D61="",0,1)</f>
        <v>1</v>
      </c>
      <c r="M10" s="81">
        <f t="shared" si="0"/>
        <v>5</v>
      </c>
      <c r="N10" s="138">
        <f>E65</f>
        <v>75.26413227125968</v>
      </c>
      <c r="O10" s="139">
        <f t="shared" si="1"/>
        <v>376.3206613562984</v>
      </c>
    </row>
    <row r="11" spans="3:15" ht="14.25">
      <c r="C11" s="35" t="s">
        <v>125</v>
      </c>
      <c r="D11" s="23">
        <f>POWER(10,E7)</f>
        <v>214.4618262975949</v>
      </c>
      <c r="E11" s="38">
        <f>IF(AND(D6&lt;6.7,D6&lt;&gt;""),D11,0)</f>
        <v>0</v>
      </c>
      <c r="H11" s="218" t="s">
        <v>15</v>
      </c>
      <c r="I11" s="219"/>
      <c r="J11" s="220"/>
      <c r="K11" s="81">
        <v>1</v>
      </c>
      <c r="L11" s="81">
        <f>IF(D69="",0,1)</f>
        <v>0</v>
      </c>
      <c r="M11" s="81">
        <f t="shared" si="0"/>
        <v>0</v>
      </c>
      <c r="N11" s="140">
        <f>D74</f>
        <v>0</v>
      </c>
      <c r="O11" s="139">
        <f t="shared" si="1"/>
        <v>0</v>
      </c>
    </row>
    <row r="12" spans="3:15" ht="14.25">
      <c r="C12" s="35" t="s">
        <v>126</v>
      </c>
      <c r="D12" s="23">
        <f>E8</f>
        <v>100</v>
      </c>
      <c r="E12" s="38">
        <f>IF(AND(IF(D6&gt;=6.7,D12,0),IF(D6&lt;=7.3,D12,0)),D12,0)</f>
        <v>0</v>
      </c>
      <c r="H12" s="218" t="s">
        <v>16</v>
      </c>
      <c r="I12" s="219"/>
      <c r="J12" s="220"/>
      <c r="K12" s="81">
        <v>0.5</v>
      </c>
      <c r="L12" s="81">
        <f>IF(D79="",0,1)</f>
        <v>0</v>
      </c>
      <c r="M12" s="81">
        <f t="shared" si="0"/>
        <v>0</v>
      </c>
      <c r="N12" s="140">
        <f>D84</f>
        <v>0</v>
      </c>
      <c r="O12" s="139">
        <f t="shared" si="1"/>
        <v>0</v>
      </c>
    </row>
    <row r="13" spans="3:15" ht="14.25">
      <c r="C13" s="35" t="s">
        <v>127</v>
      </c>
      <c r="D13" s="23">
        <f>POWER(10,E9)</f>
        <v>70.25868224350984</v>
      </c>
      <c r="E13" s="38">
        <f>IF(D6&gt;7.3,D13,0)</f>
        <v>70.25868224350984</v>
      </c>
      <c r="H13" s="218" t="s">
        <v>17</v>
      </c>
      <c r="I13" s="219"/>
      <c r="J13" s="220"/>
      <c r="K13" s="81">
        <v>1</v>
      </c>
      <c r="L13" s="81">
        <f>IF(D90="",0,1)</f>
        <v>0</v>
      </c>
      <c r="M13" s="81">
        <f t="shared" si="0"/>
        <v>0</v>
      </c>
      <c r="N13" s="140">
        <f>D95</f>
        <v>0</v>
      </c>
      <c r="O13" s="139">
        <f t="shared" si="1"/>
        <v>0</v>
      </c>
    </row>
    <row r="14" spans="3:15" ht="12.75">
      <c r="C14" s="199" t="s">
        <v>18</v>
      </c>
      <c r="D14" s="204"/>
      <c r="E14" s="73">
        <f>SUM(E11:E13)</f>
        <v>70.25868224350984</v>
      </c>
      <c r="H14" s="218" t="s">
        <v>19</v>
      </c>
      <c r="I14" s="219"/>
      <c r="J14" s="220"/>
      <c r="K14" s="81">
        <v>2</v>
      </c>
      <c r="L14" s="81">
        <f>IF(D101="",0,1)</f>
        <v>0</v>
      </c>
      <c r="M14" s="81">
        <f t="shared" si="0"/>
        <v>0</v>
      </c>
      <c r="N14" s="140">
        <f>D106</f>
        <v>0</v>
      </c>
      <c r="O14" s="139">
        <f t="shared" si="1"/>
        <v>0</v>
      </c>
    </row>
    <row r="15" spans="3:15" ht="13.5" thickBot="1">
      <c r="C15" s="35"/>
      <c r="D15" s="22"/>
      <c r="E15" s="36"/>
      <c r="H15" s="218" t="s">
        <v>1</v>
      </c>
      <c r="I15" s="219"/>
      <c r="J15" s="220"/>
      <c r="K15" s="81">
        <v>2</v>
      </c>
      <c r="L15" s="81">
        <f>IF(D112="",0,1)</f>
        <v>0</v>
      </c>
      <c r="M15" s="81">
        <f t="shared" si="0"/>
        <v>0</v>
      </c>
      <c r="N15" s="140">
        <f>D117</f>
        <v>0</v>
      </c>
      <c r="O15" s="139">
        <f t="shared" si="1"/>
        <v>0</v>
      </c>
    </row>
    <row r="16" spans="3:15" ht="12.75">
      <c r="C16" s="213" t="s">
        <v>8</v>
      </c>
      <c r="D16" s="214"/>
      <c r="E16" s="215"/>
      <c r="H16" s="218" t="s">
        <v>20</v>
      </c>
      <c r="I16" s="219"/>
      <c r="J16" s="220"/>
      <c r="K16" s="81">
        <v>2</v>
      </c>
      <c r="L16" s="81">
        <f>IF(D123="",0,1)</f>
        <v>0</v>
      </c>
      <c r="M16" s="81">
        <f t="shared" si="0"/>
        <v>0</v>
      </c>
      <c r="N16" s="140">
        <f>D128</f>
        <v>0</v>
      </c>
      <c r="O16" s="139">
        <f t="shared" si="1"/>
        <v>0</v>
      </c>
    </row>
    <row r="17" spans="3:15" ht="12.75">
      <c r="C17" s="35"/>
      <c r="D17" s="22"/>
      <c r="E17" s="36"/>
      <c r="H17" s="218" t="s">
        <v>22</v>
      </c>
      <c r="I17" s="219"/>
      <c r="J17" s="220"/>
      <c r="K17" s="81">
        <v>2</v>
      </c>
      <c r="L17" s="81">
        <f>IF(D134="",0,1)</f>
        <v>0</v>
      </c>
      <c r="M17" s="81">
        <f t="shared" si="0"/>
        <v>0</v>
      </c>
      <c r="N17" s="140">
        <f>D139</f>
        <v>0</v>
      </c>
      <c r="O17" s="139">
        <f t="shared" si="1"/>
        <v>0</v>
      </c>
    </row>
    <row r="18" spans="3:15" ht="12.75">
      <c r="C18" s="37" t="s">
        <v>23</v>
      </c>
      <c r="D18" s="165">
        <v>19</v>
      </c>
      <c r="E18" s="36"/>
      <c r="H18" s="218" t="s">
        <v>24</v>
      </c>
      <c r="I18" s="219"/>
      <c r="J18" s="220"/>
      <c r="K18" s="81">
        <v>1</v>
      </c>
      <c r="L18" s="81">
        <f>IF(D145="",0,1)</f>
        <v>0</v>
      </c>
      <c r="M18" s="81">
        <f t="shared" si="0"/>
        <v>0</v>
      </c>
      <c r="N18" s="140">
        <f>D150</f>
        <v>0</v>
      </c>
      <c r="O18" s="139">
        <f t="shared" si="1"/>
        <v>0</v>
      </c>
    </row>
    <row r="19" spans="3:15" ht="12.75">
      <c r="C19" s="35"/>
      <c r="D19" s="23"/>
      <c r="E19" s="36"/>
      <c r="H19" s="218" t="s">
        <v>26</v>
      </c>
      <c r="I19" s="219"/>
      <c r="J19" s="220"/>
      <c r="K19" s="81">
        <v>0.5</v>
      </c>
      <c r="L19" s="81">
        <f>IF(D155="",0,1)</f>
        <v>1</v>
      </c>
      <c r="M19" s="81">
        <f t="shared" si="0"/>
        <v>0.5</v>
      </c>
      <c r="N19" s="140">
        <f>D160</f>
        <v>108</v>
      </c>
      <c r="O19" s="139">
        <f t="shared" si="1"/>
        <v>54</v>
      </c>
    </row>
    <row r="20" spans="3:15" ht="12.75">
      <c r="C20" s="35" t="s">
        <v>27</v>
      </c>
      <c r="D20" s="23">
        <v>100</v>
      </c>
      <c r="E20" s="36">
        <f>IF(D18="",0,IF(D18&lt;14.144,D20,0))</f>
        <v>0</v>
      </c>
      <c r="H20" s="218" t="s">
        <v>29</v>
      </c>
      <c r="I20" s="219"/>
      <c r="J20" s="220"/>
      <c r="K20" s="81">
        <v>3</v>
      </c>
      <c r="L20" s="81">
        <f>IF(D167="",0,1)</f>
        <v>0</v>
      </c>
      <c r="M20" s="81">
        <f t="shared" si="0"/>
        <v>0</v>
      </c>
      <c r="N20" s="140">
        <f>D172</f>
        <v>0</v>
      </c>
      <c r="O20" s="139">
        <f t="shared" si="1"/>
        <v>0</v>
      </c>
    </row>
    <row r="21" spans="3:15" ht="12.75">
      <c r="C21" s="35" t="s">
        <v>30</v>
      </c>
      <c r="D21" s="23">
        <f>IF(OR(D18="",D18=0),0,266.5*POWER(D18,-0.37))</f>
        <v>89.65166941178683</v>
      </c>
      <c r="E21" s="39">
        <f>IF(D18&gt;14.44,D21,0)</f>
        <v>89.65166941178683</v>
      </c>
      <c r="H21" s="218" t="s">
        <v>31</v>
      </c>
      <c r="I21" s="219"/>
      <c r="J21" s="220"/>
      <c r="K21" s="81">
        <v>4</v>
      </c>
      <c r="L21" s="81">
        <f>IF(D178="",0,1)</f>
        <v>1</v>
      </c>
      <c r="M21" s="81">
        <f t="shared" si="0"/>
        <v>4</v>
      </c>
      <c r="N21" s="140">
        <f>D183</f>
        <v>25.435205751554992</v>
      </c>
      <c r="O21" s="139">
        <f t="shared" si="1"/>
        <v>101.74082300621997</v>
      </c>
    </row>
    <row r="22" spans="3:15" ht="13.5" thickBot="1">
      <c r="C22" s="199" t="s">
        <v>119</v>
      </c>
      <c r="D22" s="200"/>
      <c r="E22" s="73">
        <f>SUM(E20:E21)</f>
        <v>89.65166941178683</v>
      </c>
      <c r="H22" s="221" t="s">
        <v>32</v>
      </c>
      <c r="I22" s="222"/>
      <c r="J22" s="223"/>
      <c r="K22" s="141">
        <v>3</v>
      </c>
      <c r="L22" s="141">
        <f>IF(D189="",0,1)</f>
        <v>1</v>
      </c>
      <c r="M22" s="141">
        <f t="shared" si="0"/>
        <v>3</v>
      </c>
      <c r="N22" s="142">
        <f>D194</f>
        <v>39.27870458350554</v>
      </c>
      <c r="O22" s="143">
        <f t="shared" si="1"/>
        <v>117.8361137505166</v>
      </c>
    </row>
    <row r="23" spans="3:15" ht="13.5" thickBot="1">
      <c r="C23" s="35"/>
      <c r="D23" s="22"/>
      <c r="E23" s="36"/>
      <c r="H23" s="224" t="s">
        <v>33</v>
      </c>
      <c r="I23" s="225"/>
      <c r="J23" s="225"/>
      <c r="K23" s="144">
        <v>31.5</v>
      </c>
      <c r="L23" s="144"/>
      <c r="M23" s="144">
        <f>SUM(M5:M22)</f>
        <v>22</v>
      </c>
      <c r="N23" s="145"/>
      <c r="O23" s="146">
        <f>SUM(O5:O22)</f>
        <v>1314.6467846614016</v>
      </c>
    </row>
    <row r="24" spans="3:5" ht="13.5" thickBot="1">
      <c r="C24" s="213" t="s">
        <v>9</v>
      </c>
      <c r="D24" s="214"/>
      <c r="E24" s="215"/>
    </row>
    <row r="25" spans="3:13" ht="19.5" thickBot="1" thickTop="1">
      <c r="C25" s="40"/>
      <c r="D25" s="18"/>
      <c r="E25" s="41"/>
      <c r="I25" s="4" t="s">
        <v>34</v>
      </c>
      <c r="J25" s="192">
        <f>O23/M23</f>
        <v>59.75667203006371</v>
      </c>
      <c r="K25" s="193"/>
      <c r="L25" s="74"/>
      <c r="M25" s="74"/>
    </row>
    <row r="26" spans="3:13" ht="13.5" thickTop="1">
      <c r="C26" s="42" t="s">
        <v>35</v>
      </c>
      <c r="D26" s="165">
        <v>30960</v>
      </c>
      <c r="E26" s="41"/>
      <c r="K26" s="5"/>
      <c r="L26" s="5"/>
      <c r="M26" s="5"/>
    </row>
    <row r="27" spans="3:5" ht="13.5" thickBot="1">
      <c r="C27" s="40"/>
      <c r="D27" s="18"/>
      <c r="E27" s="41"/>
    </row>
    <row r="28" spans="3:13" ht="13.5" thickTop="1">
      <c r="C28" s="43" t="s">
        <v>36</v>
      </c>
      <c r="D28" s="24">
        <v>100</v>
      </c>
      <c r="E28" s="41">
        <f>IF(D26="",0,IF(D26&lt;520,D28,0))</f>
        <v>0</v>
      </c>
      <c r="I28" s="231" t="s">
        <v>37</v>
      </c>
      <c r="J28" s="232"/>
      <c r="K28" s="233" t="s">
        <v>38</v>
      </c>
      <c r="L28" s="74"/>
      <c r="M28" s="74"/>
    </row>
    <row r="29" spans="3:13" ht="12.75">
      <c r="C29" s="43" t="s">
        <v>39</v>
      </c>
      <c r="D29" s="24">
        <f>109.1-0.0175*D26</f>
        <v>-432.70000000000005</v>
      </c>
      <c r="E29" s="44">
        <f>IF(AND(IF(D26&lt;=6234,D26,0),IF(D26&gt;=520,D26,0)),D29,0)</f>
        <v>0</v>
      </c>
      <c r="I29" s="234" t="s">
        <v>40</v>
      </c>
      <c r="J29" s="235"/>
      <c r="K29" s="236" t="s">
        <v>41</v>
      </c>
      <c r="L29" s="74"/>
      <c r="M29" s="74"/>
    </row>
    <row r="30" spans="3:13" ht="12.75">
      <c r="C30" s="43" t="s">
        <v>42</v>
      </c>
      <c r="D30" s="24">
        <v>0</v>
      </c>
      <c r="E30" s="44">
        <f>IF(D26&gt;6234,D30,0)</f>
        <v>0</v>
      </c>
      <c r="I30" s="234" t="s">
        <v>44</v>
      </c>
      <c r="J30" s="235"/>
      <c r="K30" s="236" t="s">
        <v>45</v>
      </c>
      <c r="L30" s="74"/>
      <c r="M30" s="74"/>
    </row>
    <row r="31" spans="3:13" ht="12.75">
      <c r="C31" s="45"/>
      <c r="D31" s="20"/>
      <c r="E31" s="41"/>
      <c r="I31" s="234" t="s">
        <v>46</v>
      </c>
      <c r="J31" s="235"/>
      <c r="K31" s="236" t="s">
        <v>47</v>
      </c>
      <c r="L31" s="74"/>
      <c r="M31" s="74"/>
    </row>
    <row r="32" spans="3:13" ht="13.5" thickBot="1">
      <c r="C32" s="197" t="s">
        <v>106</v>
      </c>
      <c r="D32" s="198"/>
      <c r="E32" s="73">
        <f>SUM(E28:E30)</f>
        <v>0</v>
      </c>
      <c r="I32" s="237" t="s">
        <v>48</v>
      </c>
      <c r="J32" s="238"/>
      <c r="K32" s="239" t="s">
        <v>49</v>
      </c>
      <c r="L32" s="74"/>
      <c r="M32" s="74"/>
    </row>
    <row r="33" spans="3:5" ht="14.25" thickBot="1" thickTop="1">
      <c r="C33" s="40"/>
      <c r="D33" s="18"/>
      <c r="E33" s="47"/>
    </row>
    <row r="34" spans="3:5" ht="12.75">
      <c r="C34" s="213" t="s">
        <v>11</v>
      </c>
      <c r="D34" s="214"/>
      <c r="E34" s="215"/>
    </row>
    <row r="35" spans="3:5" ht="12.75">
      <c r="C35" s="40"/>
      <c r="D35" s="18"/>
      <c r="E35" s="41"/>
    </row>
    <row r="36" spans="3:5" ht="12.75">
      <c r="C36" s="48" t="s">
        <v>52</v>
      </c>
      <c r="D36" s="165">
        <v>51600</v>
      </c>
      <c r="E36" s="41"/>
    </row>
    <row r="37" spans="3:5" ht="12.75">
      <c r="C37" s="40"/>
      <c r="D37" s="25"/>
      <c r="E37" s="44"/>
    </row>
    <row r="38" spans="3:5" ht="12.75">
      <c r="C38" s="43" t="s">
        <v>53</v>
      </c>
      <c r="D38" s="24">
        <v>100</v>
      </c>
      <c r="E38" s="41">
        <f>IF(D36="",0,IF(D36&lt;85.6,D38,0))</f>
        <v>0</v>
      </c>
    </row>
    <row r="39" spans="3:8" ht="12.75">
      <c r="C39" s="43" t="s">
        <v>54</v>
      </c>
      <c r="D39" s="24">
        <f>IF(OR(D36="",D36=0),0,540*POWER(D36,-0.379))</f>
        <v>8.836891503651408</v>
      </c>
      <c r="E39" s="49">
        <f>IF(D36&gt;85.6,H39,0)</f>
        <v>8.836891503651408</v>
      </c>
      <c r="H39" s="6">
        <f>540*POWER(D36,-0.379)</f>
        <v>8.836891503651408</v>
      </c>
    </row>
    <row r="40" spans="3:5" ht="12.75">
      <c r="C40" s="40"/>
      <c r="D40" s="26"/>
      <c r="E40" s="50"/>
    </row>
    <row r="41" spans="3:5" ht="12.75">
      <c r="C41" s="40"/>
      <c r="D41" s="21" t="s">
        <v>107</v>
      </c>
      <c r="E41" s="73">
        <f>SUM(E38:E39)</f>
        <v>8.836891503651408</v>
      </c>
    </row>
    <row r="42" spans="3:5" ht="13.5" thickBot="1">
      <c r="C42" s="40"/>
      <c r="D42" s="18"/>
      <c r="E42" s="41"/>
    </row>
    <row r="43" spans="3:5" ht="12.75">
      <c r="C43" s="213" t="s">
        <v>58</v>
      </c>
      <c r="D43" s="214"/>
      <c r="E43" s="215"/>
    </row>
    <row r="44" spans="3:7" ht="17.25" customHeight="1">
      <c r="C44" s="40"/>
      <c r="D44" s="18"/>
      <c r="E44" s="51"/>
      <c r="F44" s="7"/>
      <c r="G44" s="7"/>
    </row>
    <row r="45" spans="3:5" ht="12.75">
      <c r="C45" s="40"/>
      <c r="D45" s="75" t="s">
        <v>59</v>
      </c>
      <c r="E45" s="165">
        <v>7.6</v>
      </c>
    </row>
    <row r="46" spans="3:5" ht="12.75">
      <c r="C46" s="40"/>
      <c r="D46" s="27" t="s">
        <v>61</v>
      </c>
      <c r="E46" s="52">
        <f>D56</f>
        <v>7.800231123498247</v>
      </c>
    </row>
    <row r="47" spans="3:5" ht="12.75">
      <c r="C47" s="40"/>
      <c r="D47" s="75" t="s">
        <v>62</v>
      </c>
      <c r="E47" s="169">
        <v>28.2</v>
      </c>
    </row>
    <row r="48" spans="3:5" ht="12.75">
      <c r="C48" s="40"/>
      <c r="D48" s="27" t="s">
        <v>63</v>
      </c>
      <c r="E48" s="52">
        <f>E47+273.15</f>
        <v>301.34999999999997</v>
      </c>
    </row>
    <row r="49" spans="3:5" ht="12.75">
      <c r="C49" s="40"/>
      <c r="D49" s="18"/>
      <c r="E49" s="53"/>
    </row>
    <row r="50" spans="3:5" ht="12.75">
      <c r="C50" s="40"/>
      <c r="D50" s="20">
        <v>-139.3441</v>
      </c>
      <c r="E50" s="41"/>
    </row>
    <row r="51" spans="3:5" ht="12.75">
      <c r="C51" s="40"/>
      <c r="D51" s="20">
        <f>(1.575701)*(100000/E48)</f>
        <v>522.8807035009125</v>
      </c>
      <c r="E51" s="41"/>
    </row>
    <row r="52" spans="3:5" ht="12.75">
      <c r="C52" s="40"/>
      <c r="D52" s="20">
        <f>-(6.642308)*(10000000/(E48*E48))</f>
        <v>-731.4364822928205</v>
      </c>
      <c r="E52" s="41"/>
    </row>
    <row r="53" spans="3:5" ht="12.75">
      <c r="C53" s="40"/>
      <c r="D53" s="20">
        <f>(1.2438)*(10000000000/(E48*E48*E48))</f>
        <v>454.5032206999539</v>
      </c>
      <c r="E53" s="41"/>
    </row>
    <row r="54" spans="3:5" ht="12.75">
      <c r="C54" s="40"/>
      <c r="D54" s="20">
        <f>-(8.621949)*(100000000000/(E48*E48*E48*E48))</f>
        <v>-104.5491885435716</v>
      </c>
      <c r="E54" s="41"/>
    </row>
    <row r="55" spans="3:5" ht="12.75">
      <c r="C55" s="54" t="s">
        <v>67</v>
      </c>
      <c r="D55" s="20">
        <f>SUM(D50:D54)</f>
        <v>2.054153364474274</v>
      </c>
      <c r="E55" s="41"/>
    </row>
    <row r="56" spans="3:5" ht="12.75">
      <c r="C56" s="54" t="s">
        <v>69</v>
      </c>
      <c r="D56" s="20">
        <f>EXP(D55)</f>
        <v>7.800231123498247</v>
      </c>
      <c r="E56" s="41" t="s">
        <v>70</v>
      </c>
    </row>
    <row r="57" spans="3:5" ht="12.75">
      <c r="C57" s="40"/>
      <c r="D57" s="21" t="s">
        <v>71</v>
      </c>
      <c r="E57" s="73">
        <f>(E45/E46)*100</f>
        <v>97.43301037715344</v>
      </c>
    </row>
    <row r="58" spans="3:5" ht="13.5" thickBot="1">
      <c r="C58" s="40"/>
      <c r="D58" s="18"/>
      <c r="E58" s="41"/>
    </row>
    <row r="59" spans="3:5" ht="12.75">
      <c r="C59" s="213" t="s">
        <v>72</v>
      </c>
      <c r="D59" s="214"/>
      <c r="E59" s="215"/>
    </row>
    <row r="60" spans="3:5" ht="12.75">
      <c r="C60" s="55"/>
      <c r="D60" s="28"/>
      <c r="E60" s="51"/>
    </row>
    <row r="61" spans="3:5" ht="12.75">
      <c r="C61" s="42" t="s">
        <v>74</v>
      </c>
      <c r="D61" s="168">
        <v>2</v>
      </c>
      <c r="E61" s="56"/>
    </row>
    <row r="62" spans="3:7" ht="12.75">
      <c r="C62" s="40"/>
      <c r="D62" s="18"/>
      <c r="E62" s="41"/>
      <c r="F62" s="8"/>
      <c r="G62" s="8"/>
    </row>
    <row r="63" spans="3:5" ht="12.75">
      <c r="C63" s="43" t="s">
        <v>76</v>
      </c>
      <c r="D63" s="24">
        <v>100</v>
      </c>
      <c r="E63" s="41">
        <f>IF(D61="",0,IF(D61&lt;1.311,D63,0))</f>
        <v>0</v>
      </c>
    </row>
    <row r="64" spans="3:8" ht="12.75">
      <c r="C64" s="43" t="s">
        <v>77</v>
      </c>
      <c r="D64" s="24">
        <f>IF(OR(D61="",D61=0),0,120*POWER(D61,-0.673))</f>
        <v>75.26413227125968</v>
      </c>
      <c r="E64" s="44">
        <f>IF(D61&gt;1.311,D64,0)</f>
        <v>75.26413227125968</v>
      </c>
      <c r="H64" s="3"/>
    </row>
    <row r="65" spans="3:7" ht="12.75">
      <c r="C65" s="40"/>
      <c r="D65" s="25" t="s">
        <v>79</v>
      </c>
      <c r="E65" s="73">
        <f>SUM(E63:E64)</f>
        <v>75.26413227125968</v>
      </c>
      <c r="F65" s="9"/>
      <c r="G65" s="9"/>
    </row>
    <row r="66" spans="3:5" ht="13.5" thickBot="1">
      <c r="C66" s="57"/>
      <c r="D66" s="29"/>
      <c r="E66" s="58"/>
    </row>
    <row r="67" spans="3:5" ht="12.75">
      <c r="C67" s="213" t="s">
        <v>15</v>
      </c>
      <c r="D67" s="214"/>
      <c r="E67" s="215"/>
    </row>
    <row r="68" spans="3:5" ht="16.5" customHeight="1">
      <c r="C68" s="59" t="s">
        <v>109</v>
      </c>
      <c r="D68" s="18"/>
      <c r="E68" s="41"/>
    </row>
    <row r="69" spans="3:5" ht="12.75">
      <c r="C69" s="60" t="s">
        <v>82</v>
      </c>
      <c r="D69" s="166"/>
      <c r="E69" s="41"/>
    </row>
    <row r="70" spans="3:5" ht="12.75">
      <c r="C70" s="61" t="s">
        <v>110</v>
      </c>
      <c r="D70" s="20">
        <f>IF(D69="",0,POWER(10,1.974-(0.00174*D69)))</f>
        <v>0</v>
      </c>
      <c r="E70" s="41"/>
    </row>
    <row r="71" spans="3:5" ht="12.75">
      <c r="C71" s="40"/>
      <c r="D71" s="18"/>
      <c r="E71" s="41"/>
    </row>
    <row r="72" spans="3:5" ht="12.75">
      <c r="C72" s="40" t="s">
        <v>83</v>
      </c>
      <c r="D72" s="20">
        <f>IF(D69&lt;2500,D70,0)</f>
        <v>0</v>
      </c>
      <c r="E72" s="41"/>
    </row>
    <row r="73" spans="3:5" ht="12.75">
      <c r="C73" s="40" t="s">
        <v>85</v>
      </c>
      <c r="D73" s="20">
        <f>IF(D69&gt;2500,D70,0)</f>
        <v>0</v>
      </c>
      <c r="E73" s="41"/>
    </row>
    <row r="74" spans="3:5" ht="12.75">
      <c r="C74" s="61" t="s">
        <v>110</v>
      </c>
      <c r="D74" s="73">
        <f>SUM(D72:D73)</f>
        <v>0</v>
      </c>
      <c r="E74" s="41"/>
    </row>
    <row r="75" spans="3:5" ht="13.5" thickBot="1">
      <c r="C75" s="40"/>
      <c r="D75" s="18"/>
      <c r="E75" s="41"/>
    </row>
    <row r="76" spans="3:14" ht="12.75">
      <c r="C76" s="213" t="s">
        <v>16</v>
      </c>
      <c r="D76" s="214"/>
      <c r="E76" s="215"/>
      <c r="J76" s="10"/>
      <c r="K76" s="10"/>
      <c r="L76" s="10"/>
      <c r="M76" s="10"/>
      <c r="N76" s="10"/>
    </row>
    <row r="77" spans="3:5" ht="12.75">
      <c r="C77" s="59" t="s">
        <v>7</v>
      </c>
      <c r="D77" s="18"/>
      <c r="E77" s="41"/>
    </row>
    <row r="78" spans="3:5" ht="12.75">
      <c r="C78" s="40"/>
      <c r="D78" s="18"/>
      <c r="E78" s="41"/>
    </row>
    <row r="79" spans="3:5" ht="12.75">
      <c r="C79" s="60" t="s">
        <v>89</v>
      </c>
      <c r="D79" s="166"/>
      <c r="E79" s="41"/>
    </row>
    <row r="80" spans="3:5" ht="12.75">
      <c r="C80" s="61" t="s">
        <v>112</v>
      </c>
      <c r="D80" s="20">
        <f>IF(OR(D79="",D79=0),0,34.215*POWER(D79,-0.46))</f>
        <v>0</v>
      </c>
      <c r="E80" s="41"/>
    </row>
    <row r="81" spans="3:5" ht="12.75">
      <c r="C81" s="40"/>
      <c r="D81" s="18"/>
      <c r="E81" s="41"/>
    </row>
    <row r="82" spans="3:5" ht="14.25">
      <c r="C82" s="40" t="s">
        <v>113</v>
      </c>
      <c r="D82" s="20">
        <f>IF(D79&lt;2.351,D80,0)</f>
        <v>0</v>
      </c>
      <c r="E82" s="41"/>
    </row>
    <row r="83" spans="3:5" ht="14.25">
      <c r="C83" s="40" t="s">
        <v>114</v>
      </c>
      <c r="D83" s="20">
        <f>IF(D79&gt;2.351,D80,0)</f>
        <v>0</v>
      </c>
      <c r="E83" s="41"/>
    </row>
    <row r="84" spans="3:5" ht="12.75">
      <c r="C84" s="61" t="s">
        <v>112</v>
      </c>
      <c r="D84" s="73">
        <f>SUM(D82:D83)</f>
        <v>0</v>
      </c>
      <c r="E84" s="41"/>
    </row>
    <row r="85" spans="3:5" ht="13.5" thickBot="1">
      <c r="C85" s="40"/>
      <c r="D85" s="18"/>
      <c r="E85" s="41"/>
    </row>
    <row r="86" spans="3:5" ht="12.75">
      <c r="C86" s="213" t="s">
        <v>17</v>
      </c>
      <c r="D86" s="214"/>
      <c r="E86" s="215"/>
    </row>
    <row r="87" spans="3:5" ht="12.75">
      <c r="C87" s="40"/>
      <c r="D87" s="18"/>
      <c r="E87" s="41"/>
    </row>
    <row r="88" spans="3:5" ht="12.75">
      <c r="C88" s="59" t="s">
        <v>116</v>
      </c>
      <c r="D88" s="18"/>
      <c r="E88" s="41"/>
    </row>
    <row r="89" spans="3:5" ht="12.75">
      <c r="C89" s="40"/>
      <c r="D89" s="18"/>
      <c r="E89" s="41"/>
    </row>
    <row r="90" spans="3:5" ht="12.75">
      <c r="C90" s="60" t="s">
        <v>93</v>
      </c>
      <c r="D90" s="166"/>
      <c r="E90" s="41"/>
    </row>
    <row r="91" spans="3:5" ht="15.75">
      <c r="C91" s="61" t="s">
        <v>117</v>
      </c>
      <c r="D91" s="20">
        <f>IF(OR(D90="",D90=0),0,105*POWER(D90,-0.186))</f>
        <v>0</v>
      </c>
      <c r="E91" s="41"/>
    </row>
    <row r="92" spans="3:5" ht="12.75">
      <c r="C92" s="40"/>
      <c r="D92" s="18"/>
      <c r="E92" s="41"/>
    </row>
    <row r="93" spans="3:5" ht="12.75">
      <c r="C93" s="40" t="s">
        <v>94</v>
      </c>
      <c r="D93" s="20">
        <f>IF(D90&lt;1.3,D91,0)</f>
        <v>0</v>
      </c>
      <c r="E93" s="41"/>
    </row>
    <row r="94" spans="3:5" ht="12.75">
      <c r="C94" s="40" t="s">
        <v>95</v>
      </c>
      <c r="D94" s="20">
        <f>IF(D90&gt;1.3,D91,0)</f>
        <v>0</v>
      </c>
      <c r="E94" s="41"/>
    </row>
    <row r="95" spans="3:5" ht="15.75">
      <c r="C95" s="61" t="s">
        <v>117</v>
      </c>
      <c r="D95" s="73">
        <f>SUM(D93:D94)</f>
        <v>0</v>
      </c>
      <c r="E95" s="41"/>
    </row>
    <row r="96" spans="3:5" ht="13.5" thickBot="1">
      <c r="C96" s="40"/>
      <c r="D96" s="18"/>
      <c r="E96" s="41"/>
    </row>
    <row r="97" spans="3:5" ht="12.75">
      <c r="C97" s="213" t="s">
        <v>19</v>
      </c>
      <c r="D97" s="214"/>
      <c r="E97" s="215"/>
    </row>
    <row r="98" spans="3:5" ht="12.75">
      <c r="C98" s="40"/>
      <c r="D98" s="18"/>
      <c r="E98" s="41"/>
    </row>
    <row r="99" spans="3:5" ht="12.75">
      <c r="C99" s="59" t="s">
        <v>96</v>
      </c>
      <c r="D99" s="18"/>
      <c r="E99" s="41"/>
    </row>
    <row r="100" spans="3:5" ht="12.75">
      <c r="C100" s="40"/>
      <c r="D100" s="18"/>
      <c r="E100" s="41"/>
    </row>
    <row r="101" spans="3:14" ht="12.75">
      <c r="C101" s="60" t="s">
        <v>97</v>
      </c>
      <c r="D101" s="166"/>
      <c r="E101" s="41"/>
      <c r="J101" s="189"/>
      <c r="K101" s="189"/>
      <c r="L101" s="189"/>
      <c r="M101" s="189"/>
      <c r="N101" s="189"/>
    </row>
    <row r="102" spans="3:14" ht="15.75">
      <c r="C102" s="61" t="s">
        <v>118</v>
      </c>
      <c r="D102" s="20">
        <f>IF(OR(D101="",D101=0),0,87.25*POWER(D101,-0.298))</f>
        <v>0</v>
      </c>
      <c r="E102" s="41"/>
      <c r="H102" s="2"/>
      <c r="J102" s="189"/>
      <c r="K102" s="189"/>
      <c r="L102" s="189"/>
      <c r="M102" s="189"/>
      <c r="N102" s="189"/>
    </row>
    <row r="103" spans="3:14" ht="12.75">
      <c r="C103" s="40"/>
      <c r="D103" s="18"/>
      <c r="E103" s="41"/>
      <c r="J103" s="189"/>
      <c r="K103" s="189"/>
      <c r="L103" s="189"/>
      <c r="M103" s="189"/>
      <c r="N103" s="189"/>
    </row>
    <row r="104" spans="3:5" ht="12.75">
      <c r="C104" s="40" t="s">
        <v>98</v>
      </c>
      <c r="D104" s="20">
        <f>IF(D101&lt;0.633,D102,0)</f>
        <v>0</v>
      </c>
      <c r="E104" s="41"/>
    </row>
    <row r="105" spans="3:5" ht="12.75">
      <c r="C105" s="40" t="s">
        <v>99</v>
      </c>
      <c r="D105" s="20">
        <f>IF(D101&gt;0.633,D102,0)</f>
        <v>0</v>
      </c>
      <c r="E105" s="41"/>
    </row>
    <row r="106" spans="3:5" ht="15.75">
      <c r="C106" s="61" t="s">
        <v>118</v>
      </c>
      <c r="D106" s="73">
        <f>SUM(D104:D105)</f>
        <v>0</v>
      </c>
      <c r="E106" s="41"/>
    </row>
    <row r="107" spans="3:5" ht="13.5" thickBot="1">
      <c r="C107" s="57"/>
      <c r="D107" s="29"/>
      <c r="E107" s="58"/>
    </row>
    <row r="108" spans="3:5" ht="12.75">
      <c r="C108" s="213" t="s">
        <v>1</v>
      </c>
      <c r="D108" s="214"/>
      <c r="E108" s="215"/>
    </row>
    <row r="109" spans="3:5" ht="12.75">
      <c r="C109" s="40"/>
      <c r="D109" s="18"/>
      <c r="E109" s="41"/>
    </row>
    <row r="110" spans="3:5" ht="15" customHeight="1">
      <c r="C110" s="59" t="s">
        <v>7</v>
      </c>
      <c r="D110" s="18"/>
      <c r="E110" s="62"/>
    </row>
    <row r="111" spans="3:5" ht="12.75">
      <c r="C111" s="40"/>
      <c r="D111" s="18"/>
      <c r="E111" s="41"/>
    </row>
    <row r="112" spans="3:5" ht="12.75">
      <c r="C112" s="60" t="s">
        <v>10</v>
      </c>
      <c r="D112" s="167"/>
      <c r="E112" s="41"/>
    </row>
    <row r="113" spans="3:8" ht="12.75">
      <c r="C113" s="61" t="s">
        <v>101</v>
      </c>
      <c r="D113" s="20">
        <f>IF(OR(D112="",D112=0),0,162.2*POWER(D112,-0.343))</f>
        <v>0</v>
      </c>
      <c r="E113" s="41"/>
      <c r="H113" s="11"/>
    </row>
    <row r="114" spans="3:5" ht="12.75">
      <c r="C114" s="40"/>
      <c r="D114" s="18"/>
      <c r="E114" s="41"/>
    </row>
    <row r="115" spans="3:5" ht="12.75">
      <c r="C115" s="40" t="s">
        <v>102</v>
      </c>
      <c r="D115" s="20">
        <f>IF(D112&lt;4.097,D113,0)</f>
        <v>0</v>
      </c>
      <c r="E115" s="41"/>
    </row>
    <row r="116" spans="3:5" ht="12.75">
      <c r="C116" s="40" t="s">
        <v>103</v>
      </c>
      <c r="D116" s="20">
        <f>IF(D112&gt;4.097,D113,0)</f>
        <v>0</v>
      </c>
      <c r="E116" s="41"/>
    </row>
    <row r="117" spans="3:5" ht="12.75">
      <c r="C117" s="61" t="s">
        <v>101</v>
      </c>
      <c r="D117" s="73">
        <f>SUM(D115:D116)</f>
        <v>0</v>
      </c>
      <c r="E117" s="41"/>
    </row>
    <row r="118" spans="3:5" ht="13.5" thickBot="1">
      <c r="C118" s="40"/>
      <c r="D118" s="18"/>
      <c r="E118" s="41"/>
    </row>
    <row r="119" spans="3:5" ht="12.75">
      <c r="C119" s="213" t="s">
        <v>20</v>
      </c>
      <c r="D119" s="214"/>
      <c r="E119" s="215"/>
    </row>
    <row r="120" spans="3:5" ht="12.75">
      <c r="C120" s="63"/>
      <c r="D120" s="30"/>
      <c r="E120" s="64"/>
    </row>
    <row r="121" spans="3:5" ht="12.75">
      <c r="C121" s="59" t="s">
        <v>21</v>
      </c>
      <c r="D121" s="18"/>
      <c r="E121" s="41"/>
    </row>
    <row r="122" spans="3:5" ht="12.75">
      <c r="C122" s="40"/>
      <c r="D122" s="18"/>
      <c r="E122" s="41"/>
    </row>
    <row r="123" spans="3:5" ht="12.75">
      <c r="C123" s="60" t="s">
        <v>25</v>
      </c>
      <c r="D123" s="166"/>
      <c r="E123" s="41"/>
    </row>
    <row r="124" spans="3:8" ht="15.75">
      <c r="C124" s="61" t="s">
        <v>28</v>
      </c>
      <c r="D124" s="20">
        <f>IF(OR(D123="",D123=0),0,45.8*POWER(D123,-0.343))</f>
        <v>0</v>
      </c>
      <c r="E124" s="41"/>
      <c r="H124" s="2"/>
    </row>
    <row r="125" spans="3:5" ht="12.75">
      <c r="C125" s="40"/>
      <c r="D125" s="18"/>
      <c r="E125" s="41"/>
    </row>
    <row r="126" spans="3:5" ht="12.75">
      <c r="C126" s="40" t="s">
        <v>104</v>
      </c>
      <c r="D126" s="20">
        <f>IF(D123&lt;0.11,D124,0)</f>
        <v>0</v>
      </c>
      <c r="E126" s="41"/>
    </row>
    <row r="127" spans="3:5" ht="12.75">
      <c r="C127" s="40" t="s">
        <v>104</v>
      </c>
      <c r="D127" s="20">
        <f>IF(D123&gt;0.11,D124,0)</f>
        <v>0</v>
      </c>
      <c r="E127" s="41"/>
    </row>
    <row r="128" spans="3:5" ht="15.75">
      <c r="C128" s="61" t="s">
        <v>28</v>
      </c>
      <c r="D128" s="73">
        <f>SUM(D126:D127)</f>
        <v>0</v>
      </c>
      <c r="E128" s="41"/>
    </row>
    <row r="129" spans="3:5" ht="13.5" thickBot="1">
      <c r="C129" s="40"/>
      <c r="D129" s="20"/>
      <c r="E129" s="41"/>
    </row>
    <row r="130" spans="3:5" ht="12.75">
      <c r="C130" s="213" t="s">
        <v>22</v>
      </c>
      <c r="D130" s="214"/>
      <c r="E130" s="215"/>
    </row>
    <row r="131" spans="3:5" ht="12.75">
      <c r="C131" s="40"/>
      <c r="D131" s="18"/>
      <c r="E131" s="41"/>
    </row>
    <row r="132" spans="3:5" ht="12.75">
      <c r="C132" s="59" t="s">
        <v>7</v>
      </c>
      <c r="D132" s="18"/>
      <c r="E132" s="41"/>
    </row>
    <row r="133" spans="3:5" ht="12.75">
      <c r="C133" s="40"/>
      <c r="D133" s="18"/>
      <c r="E133" s="41"/>
    </row>
    <row r="134" spans="3:5" ht="12.75">
      <c r="C134" s="60" t="s">
        <v>43</v>
      </c>
      <c r="D134" s="166"/>
      <c r="E134" s="41"/>
    </row>
    <row r="135" spans="3:5" ht="12.75">
      <c r="C135" s="61" t="s">
        <v>105</v>
      </c>
      <c r="D135" s="20">
        <f>IF(OR(D134="",D134=0),0,34.215*POWER(D134,-0.46))</f>
        <v>0</v>
      </c>
      <c r="E135" s="41"/>
    </row>
    <row r="136" spans="3:5" ht="12.75">
      <c r="C136" s="40"/>
      <c r="D136" s="18"/>
      <c r="E136" s="41"/>
    </row>
    <row r="137" spans="3:5" ht="15.75">
      <c r="C137" s="40" t="s">
        <v>50</v>
      </c>
      <c r="D137" s="20">
        <f>IF(D134&lt;0.0971,D135,0)</f>
        <v>0</v>
      </c>
      <c r="E137" s="41"/>
    </row>
    <row r="138" spans="3:5" ht="15.75">
      <c r="C138" s="40" t="s">
        <v>51</v>
      </c>
      <c r="D138" s="20">
        <f>IF(D134&gt;0.0971,D135,0)</f>
        <v>0</v>
      </c>
      <c r="E138" s="41"/>
    </row>
    <row r="139" spans="3:5" ht="12.75">
      <c r="C139" s="61" t="s">
        <v>105</v>
      </c>
      <c r="D139" s="73">
        <f>SUM(D137:D138)</f>
        <v>0</v>
      </c>
      <c r="E139" s="41"/>
    </row>
    <row r="140" spans="3:5" ht="13.5" thickBot="1">
      <c r="C140" s="40"/>
      <c r="D140" s="18"/>
      <c r="E140" s="41"/>
    </row>
    <row r="141" spans="3:5" ht="12.75">
      <c r="C141" s="213" t="s">
        <v>24</v>
      </c>
      <c r="D141" s="214"/>
      <c r="E141" s="215"/>
    </row>
    <row r="142" spans="3:5" ht="12.75">
      <c r="C142" s="40"/>
      <c r="D142" s="18"/>
      <c r="E142" s="41"/>
    </row>
    <row r="143" spans="3:5" ht="12.75">
      <c r="C143" s="59" t="s">
        <v>55</v>
      </c>
      <c r="D143" s="18"/>
      <c r="E143" s="41"/>
    </row>
    <row r="144" spans="3:5" ht="12.75">
      <c r="C144" s="40"/>
      <c r="D144" s="18"/>
      <c r="E144" s="41"/>
    </row>
    <row r="145" spans="3:5" ht="12.75">
      <c r="C145" s="60" t="s">
        <v>56</v>
      </c>
      <c r="D145" s="166"/>
      <c r="E145" s="41"/>
    </row>
    <row r="146" spans="3:5" ht="15.75">
      <c r="C146" s="61" t="s">
        <v>57</v>
      </c>
      <c r="D146" s="20">
        <f>IF(OR(D145="",D145=0),0,123*POWER(D145,-0.295))</f>
        <v>0</v>
      </c>
      <c r="E146" s="41"/>
    </row>
    <row r="147" spans="3:5" ht="12.75">
      <c r="C147" s="40"/>
      <c r="D147" s="20"/>
      <c r="E147" s="41"/>
    </row>
    <row r="148" spans="3:5" ht="12.75">
      <c r="C148" s="40" t="s">
        <v>100</v>
      </c>
      <c r="D148" s="20">
        <f>IF(D145&lt;2.018,D146,0)</f>
        <v>0</v>
      </c>
      <c r="E148" s="41"/>
    </row>
    <row r="149" spans="3:5" ht="12.75">
      <c r="C149" s="40" t="s">
        <v>60</v>
      </c>
      <c r="D149" s="20">
        <f>IF(D145&gt;2.018,D146,0)</f>
        <v>0</v>
      </c>
      <c r="E149" s="41"/>
    </row>
    <row r="150" spans="3:5" ht="15.75">
      <c r="C150" s="61" t="s">
        <v>57</v>
      </c>
      <c r="D150" s="73">
        <f>SUM(D148:D149)</f>
        <v>0</v>
      </c>
      <c r="E150" s="41"/>
    </row>
    <row r="151" spans="3:5" ht="13.5" thickBot="1">
      <c r="C151" s="40"/>
      <c r="D151" s="18"/>
      <c r="E151" s="41"/>
    </row>
    <row r="152" spans="3:5" ht="12.75">
      <c r="C152" s="213" t="s">
        <v>26</v>
      </c>
      <c r="D152" s="214"/>
      <c r="E152" s="215"/>
    </row>
    <row r="153" spans="3:7" ht="20.25">
      <c r="C153" s="59" t="s">
        <v>64</v>
      </c>
      <c r="D153" s="18"/>
      <c r="E153" s="65"/>
      <c r="F153" s="12"/>
      <c r="G153" s="12"/>
    </row>
    <row r="154" spans="3:5" ht="12.75">
      <c r="C154" s="40"/>
      <c r="D154" s="18"/>
      <c r="E154" s="41"/>
    </row>
    <row r="155" spans="3:5" ht="12.75">
      <c r="C155" s="60" t="s">
        <v>65</v>
      </c>
      <c r="D155" s="165">
        <v>1</v>
      </c>
      <c r="E155" s="41"/>
    </row>
    <row r="156" spans="3:5" ht="15.75">
      <c r="C156" s="61" t="s">
        <v>108</v>
      </c>
      <c r="D156" s="20">
        <f>IF(OR(D155="",D155=0),0,108*POWER(D155,-0.178))</f>
        <v>108</v>
      </c>
      <c r="E156" s="41"/>
    </row>
    <row r="157" spans="3:5" ht="12.75">
      <c r="C157" s="40"/>
      <c r="D157" s="18"/>
      <c r="E157" s="41"/>
    </row>
    <row r="158" spans="3:5" ht="12.75">
      <c r="C158" s="40" t="s">
        <v>66</v>
      </c>
      <c r="D158" s="20">
        <f>IF(D155&lt;1.54,D156,0)</f>
        <v>108</v>
      </c>
      <c r="E158" s="41"/>
    </row>
    <row r="159" spans="3:5" ht="12.75">
      <c r="C159" s="40" t="s">
        <v>68</v>
      </c>
      <c r="D159" s="20">
        <f>IF(D155&gt;1.54,D156,0)</f>
        <v>0</v>
      </c>
      <c r="E159" s="41"/>
    </row>
    <row r="160" spans="3:5" ht="15.75">
      <c r="C160" s="61" t="s">
        <v>108</v>
      </c>
      <c r="D160" s="73">
        <f>SUM(D158:D159)</f>
        <v>108</v>
      </c>
      <c r="E160" s="41"/>
    </row>
    <row r="161" spans="3:5" ht="13.5" thickBot="1">
      <c r="C161" s="40"/>
      <c r="D161" s="18"/>
      <c r="E161" s="41"/>
    </row>
    <row r="162" spans="3:5" ht="12.75">
      <c r="C162" s="213" t="s">
        <v>29</v>
      </c>
      <c r="D162" s="214"/>
      <c r="E162" s="215"/>
    </row>
    <row r="163" spans="3:14" ht="20.25">
      <c r="C163" s="59" t="s">
        <v>73</v>
      </c>
      <c r="D163" s="18"/>
      <c r="E163" s="41"/>
      <c r="J163" s="13"/>
      <c r="K163" s="188"/>
      <c r="L163" s="188"/>
      <c r="M163" s="188"/>
      <c r="N163" s="188"/>
    </row>
    <row r="164" spans="3:7" ht="8.25" customHeight="1">
      <c r="C164" s="40"/>
      <c r="D164" s="31"/>
      <c r="E164" s="66"/>
      <c r="F164" s="14"/>
      <c r="G164" s="14"/>
    </row>
    <row r="165" spans="3:5" ht="14.25" customHeight="1">
      <c r="C165" s="59" t="s">
        <v>75</v>
      </c>
      <c r="D165" s="32"/>
      <c r="E165" s="41"/>
    </row>
    <row r="166" spans="3:14" ht="12.75">
      <c r="C166" s="40"/>
      <c r="D166" s="18"/>
      <c r="E166" s="41"/>
      <c r="N166" s="15"/>
    </row>
    <row r="167" spans="3:5" ht="12.75">
      <c r="C167" s="60" t="s">
        <v>29</v>
      </c>
      <c r="D167" s="166"/>
      <c r="E167" s="41"/>
    </row>
    <row r="168" spans="3:15" ht="15.75">
      <c r="C168" s="61" t="s">
        <v>78</v>
      </c>
      <c r="D168" s="33">
        <f>IF(D167="",0,(100-(16.678*D167)+(0.1587*POWER(D167,2))))</f>
        <v>0</v>
      </c>
      <c r="E168" s="41"/>
      <c r="O168" s="8"/>
    </row>
    <row r="169" spans="3:15" ht="12.75">
      <c r="C169" s="40"/>
      <c r="D169" s="18"/>
      <c r="E169" s="41"/>
      <c r="O169" s="8"/>
    </row>
    <row r="170" spans="3:15" ht="12.75">
      <c r="C170" s="40" t="s">
        <v>80</v>
      </c>
      <c r="D170" s="20">
        <f>IF(D167&lt;6.384,D168,0)</f>
        <v>0</v>
      </c>
      <c r="E170" s="41"/>
      <c r="O170" s="8"/>
    </row>
    <row r="171" spans="3:5" ht="12.75">
      <c r="C171" s="40" t="s">
        <v>81</v>
      </c>
      <c r="D171" s="20">
        <f>IF(D167&gt;6.384,D168,0)</f>
        <v>0</v>
      </c>
      <c r="E171" s="41"/>
    </row>
    <row r="172" spans="3:5" ht="15.75">
      <c r="C172" s="61" t="s">
        <v>78</v>
      </c>
      <c r="D172" s="73">
        <f>SUM(D170:D171)</f>
        <v>0</v>
      </c>
      <c r="E172" s="41"/>
    </row>
    <row r="173" spans="3:15" ht="21" thickBot="1">
      <c r="C173" s="40"/>
      <c r="D173" s="18"/>
      <c r="E173" s="41"/>
      <c r="J173" s="190"/>
      <c r="K173" s="190"/>
      <c r="L173" s="190"/>
      <c r="M173" s="190"/>
      <c r="N173" s="190"/>
      <c r="O173" s="190"/>
    </row>
    <row r="174" spans="3:14" ht="12.75">
      <c r="C174" s="213" t="s">
        <v>31</v>
      </c>
      <c r="D174" s="214"/>
      <c r="E174" s="215"/>
      <c r="J174" s="189"/>
      <c r="K174" s="189"/>
      <c r="L174" s="189"/>
      <c r="M174" s="189"/>
      <c r="N174" s="189"/>
    </row>
    <row r="175" spans="3:14" ht="12.75">
      <c r="C175" s="40"/>
      <c r="D175" s="18"/>
      <c r="E175" s="41"/>
      <c r="J175" s="189"/>
      <c r="K175" s="189"/>
      <c r="L175" s="189"/>
      <c r="M175" s="189"/>
      <c r="N175" s="189"/>
    </row>
    <row r="176" spans="3:14" ht="20.25">
      <c r="C176" s="59" t="s">
        <v>84</v>
      </c>
      <c r="D176" s="31"/>
      <c r="E176" s="41"/>
      <c r="J176" s="189"/>
      <c r="K176" s="189"/>
      <c r="L176" s="189"/>
      <c r="M176" s="189"/>
      <c r="N176" s="189"/>
    </row>
    <row r="177" spans="3:14" ht="12.75">
      <c r="C177" s="40"/>
      <c r="D177" s="18"/>
      <c r="E177" s="41"/>
      <c r="J177" s="189"/>
      <c r="K177" s="189"/>
      <c r="L177" s="189"/>
      <c r="M177" s="189"/>
      <c r="N177" s="189"/>
    </row>
    <row r="178" spans="3:14" ht="12.75">
      <c r="C178" s="60" t="s">
        <v>86</v>
      </c>
      <c r="D178" s="165">
        <v>29</v>
      </c>
      <c r="E178" s="41"/>
      <c r="J178" s="10"/>
      <c r="K178" s="10"/>
      <c r="L178" s="10"/>
      <c r="M178" s="10"/>
      <c r="N178" s="10"/>
    </row>
    <row r="179" spans="3:15" ht="14.25">
      <c r="C179" s="46" t="s">
        <v>111</v>
      </c>
      <c r="D179" s="33">
        <f>IF(D178="",0,IF(D178&lt;=0,0,97.5*POWER(5*D178,-0.27)))</f>
        <v>25.435205751554992</v>
      </c>
      <c r="E179" s="41"/>
      <c r="H179" s="15"/>
      <c r="J179" s="189"/>
      <c r="K179" s="189"/>
      <c r="L179" s="189"/>
      <c r="M179" s="189"/>
      <c r="N179" s="189"/>
      <c r="O179" s="8"/>
    </row>
    <row r="180" spans="3:15" ht="12.75">
      <c r="C180" s="40"/>
      <c r="D180" s="18"/>
      <c r="E180" s="41"/>
      <c r="J180" s="189"/>
      <c r="K180" s="189"/>
      <c r="L180" s="189"/>
      <c r="M180" s="189"/>
      <c r="N180" s="189"/>
      <c r="O180" s="8"/>
    </row>
    <row r="181" spans="3:15" ht="12.75">
      <c r="C181" s="40" t="s">
        <v>87</v>
      </c>
      <c r="D181" s="20">
        <f>IF(D178="",0,IF(D179&lt;1.311,100,0))</f>
        <v>0</v>
      </c>
      <c r="E181" s="41"/>
      <c r="J181" s="189"/>
      <c r="K181" s="189"/>
      <c r="L181" s="189"/>
      <c r="M181" s="189"/>
      <c r="N181" s="189"/>
      <c r="O181" s="8"/>
    </row>
    <row r="182" spans="3:14" ht="12.75">
      <c r="C182" s="40" t="s">
        <v>88</v>
      </c>
      <c r="D182" s="20">
        <f>IF(D179&gt;1.311,D179,0)</f>
        <v>25.435205751554992</v>
      </c>
      <c r="E182" s="41"/>
      <c r="J182" s="189"/>
      <c r="K182" s="189"/>
      <c r="L182" s="189"/>
      <c r="M182" s="189"/>
      <c r="N182" s="189"/>
    </row>
    <row r="183" spans="3:14" ht="14.25">
      <c r="C183" s="46" t="s">
        <v>111</v>
      </c>
      <c r="D183" s="73">
        <f>SUM(D181:D182)</f>
        <v>25.435205751554992</v>
      </c>
      <c r="E183" s="41"/>
      <c r="J183" s="16"/>
      <c r="K183" s="16"/>
      <c r="L183" s="16"/>
      <c r="M183" s="16"/>
      <c r="N183" s="16"/>
    </row>
    <row r="184" spans="3:14" ht="13.5" thickBot="1">
      <c r="C184" s="57"/>
      <c r="D184" s="34"/>
      <c r="E184" s="58"/>
      <c r="J184" s="16"/>
      <c r="K184" s="16"/>
      <c r="L184" s="16"/>
      <c r="M184" s="16"/>
      <c r="N184" s="16"/>
    </row>
    <row r="185" spans="3:5" ht="12.75">
      <c r="C185" s="213" t="s">
        <v>32</v>
      </c>
      <c r="D185" s="214"/>
      <c r="E185" s="215"/>
    </row>
    <row r="186" spans="3:5" ht="12.75">
      <c r="C186" s="55"/>
      <c r="D186" s="28"/>
      <c r="E186" s="51"/>
    </row>
    <row r="187" spans="3:5" ht="12.75">
      <c r="C187" s="59" t="s">
        <v>84</v>
      </c>
      <c r="D187" s="18"/>
      <c r="E187" s="41"/>
    </row>
    <row r="188" spans="3:5" ht="12.75">
      <c r="C188" s="40"/>
      <c r="D188" s="18"/>
      <c r="E188" s="41"/>
    </row>
    <row r="189" spans="3:5" ht="12.75">
      <c r="C189" s="60" t="s">
        <v>90</v>
      </c>
      <c r="D189" s="165">
        <v>29</v>
      </c>
      <c r="E189" s="41"/>
    </row>
    <row r="190" spans="3:5" ht="14.25">
      <c r="C190" s="46" t="s">
        <v>115</v>
      </c>
      <c r="D190" s="67">
        <f>IF(D189&lt;=0,0,97.5*POWER(D189,-0.27))</f>
        <v>39.27870458350554</v>
      </c>
      <c r="E190" s="41"/>
    </row>
    <row r="191" spans="3:5" ht="12.75">
      <c r="C191" s="40"/>
      <c r="D191" s="18"/>
      <c r="E191" s="41"/>
    </row>
    <row r="192" spans="3:5" ht="12.75">
      <c r="C192" s="40" t="s">
        <v>91</v>
      </c>
      <c r="D192" s="20">
        <f>IF(D189="",0,IF(D189&lt;=0,100,0))</f>
        <v>0</v>
      </c>
      <c r="E192" s="41"/>
    </row>
    <row r="193" spans="3:5" ht="12.75">
      <c r="C193" s="40" t="s">
        <v>92</v>
      </c>
      <c r="D193" s="20">
        <f>IF(D189&gt;0,D190,0)</f>
        <v>39.27870458350554</v>
      </c>
      <c r="E193" s="41"/>
    </row>
    <row r="194" spans="3:5" ht="14.25">
      <c r="C194" s="46" t="s">
        <v>115</v>
      </c>
      <c r="D194" s="73">
        <f>SUM(D192:D193)</f>
        <v>39.27870458350554</v>
      </c>
      <c r="E194" s="41"/>
    </row>
    <row r="195" spans="3:5" ht="13.5" thickBot="1">
      <c r="C195" s="68"/>
      <c r="D195" s="69"/>
      <c r="E195" s="70"/>
    </row>
  </sheetData>
  <mergeCells count="66">
    <mergeCell ref="H3:O3"/>
    <mergeCell ref="C4:E4"/>
    <mergeCell ref="C10:E10"/>
    <mergeCell ref="C14:D14"/>
    <mergeCell ref="C7:D7"/>
    <mergeCell ref="C8:D8"/>
    <mergeCell ref="C9:D9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20:J20"/>
    <mergeCell ref="H21:J21"/>
    <mergeCell ref="H22:J22"/>
    <mergeCell ref="H15:J15"/>
    <mergeCell ref="H16:J16"/>
    <mergeCell ref="H17:J17"/>
    <mergeCell ref="H18:J18"/>
    <mergeCell ref="I31:J31"/>
    <mergeCell ref="C16:E16"/>
    <mergeCell ref="C32:D32"/>
    <mergeCell ref="C22:D22"/>
    <mergeCell ref="C24:E24"/>
    <mergeCell ref="H23:J23"/>
    <mergeCell ref="I28:J28"/>
    <mergeCell ref="I29:J29"/>
    <mergeCell ref="I30:J30"/>
    <mergeCell ref="H19:J19"/>
    <mergeCell ref="C67:E67"/>
    <mergeCell ref="C76:E76"/>
    <mergeCell ref="C86:E86"/>
    <mergeCell ref="I32:J32"/>
    <mergeCell ref="C34:E34"/>
    <mergeCell ref="C43:E43"/>
    <mergeCell ref="C59:E59"/>
    <mergeCell ref="K163:N163"/>
    <mergeCell ref="J102:N102"/>
    <mergeCell ref="J103:N103"/>
    <mergeCell ref="J173:O173"/>
    <mergeCell ref="C185:E185"/>
    <mergeCell ref="C162:E162"/>
    <mergeCell ref="C174:E174"/>
    <mergeCell ref="C3:F3"/>
    <mergeCell ref="C152:E152"/>
    <mergeCell ref="C97:E97"/>
    <mergeCell ref="C130:E130"/>
    <mergeCell ref="C141:E141"/>
    <mergeCell ref="C119:E119"/>
    <mergeCell ref="C108:E108"/>
    <mergeCell ref="J25:K25"/>
    <mergeCell ref="J182:N182"/>
    <mergeCell ref="J181:N181"/>
    <mergeCell ref="J174:N174"/>
    <mergeCell ref="J175:N175"/>
    <mergeCell ref="J176:N176"/>
    <mergeCell ref="J177:N177"/>
    <mergeCell ref="J179:N179"/>
    <mergeCell ref="J180:N180"/>
    <mergeCell ref="J101:N101"/>
  </mergeCells>
  <conditionalFormatting sqref="J25">
    <cfRule type="cellIs" priority="1" dxfId="0" operator="between" stopIfTrue="1">
      <formula>50</formula>
      <formula>69</formula>
    </cfRule>
    <cfRule type="cellIs" priority="2" dxfId="1" operator="between" stopIfTrue="1">
      <formula>30</formula>
      <formula>49</formula>
    </cfRule>
    <cfRule type="cellIs" priority="3" dxfId="2" operator="between" stopIfTrue="1">
      <formula>0</formula>
      <formula>29</formula>
    </cfRule>
  </conditionalFormatting>
  <conditionalFormatting sqref="D7:D8">
    <cfRule type="cellIs" priority="4" dxfId="3" operator="lessThan" stopIfTrue="1">
      <formula>6.7</formula>
    </cfRule>
  </conditionalFormatting>
  <printOptions/>
  <pageMargins left="1.06" right="0.41" top="0.91" bottom="1.06" header="0.42" footer="0.55"/>
  <pageSetup horizontalDpi="600" verticalDpi="600" orientation="portrait" scale="87" r:id="rId1"/>
  <headerFooter alignWithMargins="0">
    <oddHeader>&amp;LIndice de Calidad del Agua</oddHeader>
    <oddFooter>&amp;LCalidad del Agua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U194"/>
  <sheetViews>
    <sheetView zoomScale="50" zoomScaleNormal="50" workbookViewId="0" topLeftCell="A37">
      <selection activeCell="R2" sqref="R2:U2"/>
    </sheetView>
  </sheetViews>
  <sheetFormatPr defaultColWidth="11.421875" defaultRowHeight="12.75"/>
  <cols>
    <col min="2" max="2" width="23.28125" style="0" customWidth="1"/>
    <col min="3" max="3" width="10.421875" style="0" customWidth="1"/>
    <col min="4" max="4" width="13.140625" style="0" customWidth="1"/>
    <col min="5" max="5" width="2.7109375" style="0" customWidth="1"/>
    <col min="6" max="6" width="23.28125" style="0" customWidth="1"/>
    <col min="9" max="9" width="1.7109375" style="0" customWidth="1"/>
    <col min="10" max="10" width="23.140625" style="0" customWidth="1"/>
    <col min="13" max="13" width="2.8515625" style="0" customWidth="1"/>
    <col min="14" max="14" width="23.140625" style="0" customWidth="1"/>
    <col min="17" max="17" width="2.28125" style="0" customWidth="1"/>
    <col min="18" max="18" width="23.8515625" style="0" customWidth="1"/>
    <col min="19" max="19" width="10.8515625" style="0" customWidth="1"/>
    <col min="21" max="21" width="2.00390625" style="0" customWidth="1"/>
  </cols>
  <sheetData>
    <row r="2" spans="2:21" ht="28.5" thickBot="1">
      <c r="B2" s="191" t="s">
        <v>128</v>
      </c>
      <c r="C2" s="191"/>
      <c r="D2" s="191"/>
      <c r="E2" s="191"/>
      <c r="F2" s="191" t="s">
        <v>129</v>
      </c>
      <c r="G2" s="191"/>
      <c r="H2" s="191"/>
      <c r="I2" s="191"/>
      <c r="J2" s="191" t="s">
        <v>130</v>
      </c>
      <c r="K2" s="191"/>
      <c r="L2" s="191"/>
      <c r="M2" s="191"/>
      <c r="N2" s="191" t="s">
        <v>131</v>
      </c>
      <c r="O2" s="191"/>
      <c r="P2" s="191"/>
      <c r="Q2" s="191"/>
      <c r="R2" s="191" t="s">
        <v>132</v>
      </c>
      <c r="S2" s="191"/>
      <c r="T2" s="191"/>
      <c r="U2" s="191"/>
    </row>
    <row r="3" spans="2:20" ht="12.75">
      <c r="B3" s="175" t="s">
        <v>0</v>
      </c>
      <c r="C3" s="176"/>
      <c r="D3" s="177"/>
      <c r="F3" s="194" t="s">
        <v>0</v>
      </c>
      <c r="G3" s="195"/>
      <c r="H3" s="196"/>
      <c r="J3" s="207" t="s">
        <v>0</v>
      </c>
      <c r="K3" s="208"/>
      <c r="L3" s="209"/>
      <c r="N3" s="210" t="s">
        <v>0</v>
      </c>
      <c r="O3" s="211"/>
      <c r="P3" s="212"/>
      <c r="R3" s="213" t="s">
        <v>0</v>
      </c>
      <c r="S3" s="214"/>
      <c r="T3" s="215"/>
    </row>
    <row r="4" spans="2:20" ht="12.75">
      <c r="B4" s="76"/>
      <c r="C4" s="77"/>
      <c r="D4" s="78"/>
      <c r="F4" s="35"/>
      <c r="G4" s="22"/>
      <c r="H4" s="36"/>
      <c r="J4" s="35"/>
      <c r="K4" s="22"/>
      <c r="L4" s="36"/>
      <c r="N4" s="35"/>
      <c r="O4" s="22"/>
      <c r="P4" s="36"/>
      <c r="R4" s="35"/>
      <c r="S4" s="22"/>
      <c r="T4" s="36"/>
    </row>
    <row r="5" spans="2:20" ht="12.75">
      <c r="B5" s="79" t="s">
        <v>6</v>
      </c>
      <c r="C5" s="84">
        <v>8.1</v>
      </c>
      <c r="D5" s="78"/>
      <c r="F5" s="37" t="s">
        <v>6</v>
      </c>
      <c r="G5" s="83">
        <v>8.1</v>
      </c>
      <c r="H5" s="36"/>
      <c r="J5" s="37" t="s">
        <v>6</v>
      </c>
      <c r="K5" s="84">
        <v>8.1</v>
      </c>
      <c r="L5" s="36"/>
      <c r="N5" s="37" t="s">
        <v>6</v>
      </c>
      <c r="O5" s="84">
        <v>8.1</v>
      </c>
      <c r="P5" s="36"/>
      <c r="R5" s="37" t="s">
        <v>6</v>
      </c>
      <c r="S5" s="165">
        <v>8.1</v>
      </c>
      <c r="T5" s="36"/>
    </row>
    <row r="6" spans="2:20" ht="12.75">
      <c r="B6" s="183" t="s">
        <v>122</v>
      </c>
      <c r="C6" s="184"/>
      <c r="D6" s="80">
        <f>0.2335*C5+0.44</f>
        <v>2.33135</v>
      </c>
      <c r="F6" s="205" t="s">
        <v>122</v>
      </c>
      <c r="G6" s="206"/>
      <c r="H6" s="38">
        <f>0.2335*G5+0.44</f>
        <v>2.33135</v>
      </c>
      <c r="J6" s="205" t="s">
        <v>122</v>
      </c>
      <c r="K6" s="206"/>
      <c r="L6" s="38">
        <f>0.2335*K5+0.44</f>
        <v>2.33135</v>
      </c>
      <c r="N6" s="205" t="s">
        <v>122</v>
      </c>
      <c r="O6" s="206"/>
      <c r="P6" s="38">
        <f>0.2335*O5+0.44</f>
        <v>2.33135</v>
      </c>
      <c r="R6" s="205" t="s">
        <v>122</v>
      </c>
      <c r="S6" s="206"/>
      <c r="T6" s="38">
        <f>0.2335*S5+0.44</f>
        <v>2.33135</v>
      </c>
    </row>
    <row r="7" spans="2:20" ht="12.75">
      <c r="B7" s="183" t="s">
        <v>123</v>
      </c>
      <c r="C7" s="184"/>
      <c r="D7" s="80">
        <v>100</v>
      </c>
      <c r="F7" s="205" t="s">
        <v>123</v>
      </c>
      <c r="G7" s="206"/>
      <c r="H7" s="38">
        <v>100</v>
      </c>
      <c r="J7" s="205" t="s">
        <v>123</v>
      </c>
      <c r="K7" s="206"/>
      <c r="L7" s="38">
        <v>100</v>
      </c>
      <c r="N7" s="205" t="s">
        <v>123</v>
      </c>
      <c r="O7" s="206"/>
      <c r="P7" s="38">
        <v>100</v>
      </c>
      <c r="R7" s="205" t="s">
        <v>123</v>
      </c>
      <c r="S7" s="206"/>
      <c r="T7" s="38">
        <v>100</v>
      </c>
    </row>
    <row r="8" spans="2:20" ht="12.75">
      <c r="B8" s="183" t="s">
        <v>124</v>
      </c>
      <c r="C8" s="184"/>
      <c r="D8" s="80">
        <f>4.22-(0.293*C5)</f>
        <v>1.8466999999999998</v>
      </c>
      <c r="F8" s="205" t="s">
        <v>124</v>
      </c>
      <c r="G8" s="206"/>
      <c r="H8" s="38">
        <f>4.22-(0.293*G5)</f>
        <v>1.8466999999999998</v>
      </c>
      <c r="J8" s="205" t="s">
        <v>124</v>
      </c>
      <c r="K8" s="206"/>
      <c r="L8" s="38">
        <f>4.22-(0.293*K5)</f>
        <v>1.8466999999999998</v>
      </c>
      <c r="N8" s="205" t="s">
        <v>124</v>
      </c>
      <c r="O8" s="206"/>
      <c r="P8" s="38">
        <f>4.22-(0.293*O5)</f>
        <v>1.8466999999999998</v>
      </c>
      <c r="R8" s="205" t="s">
        <v>124</v>
      </c>
      <c r="S8" s="206"/>
      <c r="T8" s="38">
        <f>4.22-(0.293*S5)</f>
        <v>1.8466999999999998</v>
      </c>
    </row>
    <row r="9" spans="2:20" ht="12.75">
      <c r="B9" s="178" t="s">
        <v>13</v>
      </c>
      <c r="C9" s="179"/>
      <c r="D9" s="180"/>
      <c r="F9" s="201" t="s">
        <v>13</v>
      </c>
      <c r="G9" s="202"/>
      <c r="H9" s="203"/>
      <c r="J9" s="201" t="s">
        <v>13</v>
      </c>
      <c r="K9" s="202"/>
      <c r="L9" s="203"/>
      <c r="N9" s="201" t="s">
        <v>13</v>
      </c>
      <c r="O9" s="202"/>
      <c r="P9" s="203"/>
      <c r="R9" s="201" t="s">
        <v>13</v>
      </c>
      <c r="S9" s="202"/>
      <c r="T9" s="203"/>
    </row>
    <row r="10" spans="2:20" ht="14.25">
      <c r="B10" s="76" t="s">
        <v>125</v>
      </c>
      <c r="C10" s="82">
        <f>POWER(10,D6)</f>
        <v>214.4618262975949</v>
      </c>
      <c r="D10" s="80">
        <f>IF(AND(C5&lt;6.7,C5&lt;&gt;""),C10,0)</f>
        <v>0</v>
      </c>
      <c r="F10" s="35" t="s">
        <v>125</v>
      </c>
      <c r="G10" s="23">
        <f>POWER(10,H6)</f>
        <v>214.4618262975949</v>
      </c>
      <c r="H10" s="38">
        <f>IF(AND(G5&lt;6.7,G5&lt;&gt;""),G10,0)</f>
        <v>0</v>
      </c>
      <c r="J10" s="35" t="s">
        <v>125</v>
      </c>
      <c r="K10" s="23">
        <f>POWER(10,L6)</f>
        <v>214.4618262975949</v>
      </c>
      <c r="L10" s="38">
        <f>IF(AND(K5&lt;6.7,K5&lt;&gt;""),K10,0)</f>
        <v>0</v>
      </c>
      <c r="N10" s="35" t="s">
        <v>125</v>
      </c>
      <c r="O10" s="23">
        <f>POWER(10,P6)</f>
        <v>214.4618262975949</v>
      </c>
      <c r="P10" s="38">
        <f>IF(AND(O5&lt;6.7,O5&lt;&gt;""),O10,0)</f>
        <v>0</v>
      </c>
      <c r="R10" s="35" t="s">
        <v>125</v>
      </c>
      <c r="S10" s="23">
        <f>POWER(10,T6)</f>
        <v>214.4618262975949</v>
      </c>
      <c r="T10" s="38">
        <f>IF(AND(S5&lt;6.7,S5&lt;&gt;""),S10,0)</f>
        <v>0</v>
      </c>
    </row>
    <row r="11" spans="2:20" ht="14.25">
      <c r="B11" s="76" t="s">
        <v>126</v>
      </c>
      <c r="C11" s="82">
        <f>D7</f>
        <v>100</v>
      </c>
      <c r="D11" s="80">
        <f>IF(AND(IF(C5&gt;=6.7,C11,0),IF(C5&lt;=7.3,C11,0)),C11,0)</f>
        <v>0</v>
      </c>
      <c r="F11" s="35" t="s">
        <v>126</v>
      </c>
      <c r="G11" s="23">
        <f>H7</f>
        <v>100</v>
      </c>
      <c r="H11" s="38">
        <f>IF(AND(IF(G5&gt;=6.7,G11,0),IF(G5&lt;=7.3,G11,0)),G11,0)</f>
        <v>0</v>
      </c>
      <c r="J11" s="35" t="s">
        <v>126</v>
      </c>
      <c r="K11" s="23">
        <f>L7</f>
        <v>100</v>
      </c>
      <c r="L11" s="38">
        <f>IF(AND(IF(K5&gt;=6.7,K11,0),IF(K5&lt;=7.3,K11,0)),K11,0)</f>
        <v>0</v>
      </c>
      <c r="N11" s="35" t="s">
        <v>126</v>
      </c>
      <c r="O11" s="23">
        <f>P7</f>
        <v>100</v>
      </c>
      <c r="P11" s="38">
        <f>IF(AND(IF(O5&gt;=6.7,O11,0),IF(O5&lt;=7.3,O11,0)),O11,0)</f>
        <v>0</v>
      </c>
      <c r="R11" s="35" t="s">
        <v>126</v>
      </c>
      <c r="S11" s="23">
        <f>T7</f>
        <v>100</v>
      </c>
      <c r="T11" s="38">
        <f>IF(AND(IF(S5&gt;=6.7,S11,0),IF(S5&lt;=7.3,S11,0)),S11,0)</f>
        <v>0</v>
      </c>
    </row>
    <row r="12" spans="2:20" ht="14.25">
      <c r="B12" s="76" t="s">
        <v>127</v>
      </c>
      <c r="C12" s="82">
        <f>POWER(10,D8)</f>
        <v>70.25868224350984</v>
      </c>
      <c r="D12" s="80">
        <f>IF(C5&gt;7.3,C12,0)</f>
        <v>70.25868224350984</v>
      </c>
      <c r="F12" s="35" t="s">
        <v>127</v>
      </c>
      <c r="G12" s="23">
        <f>POWER(10,H8)</f>
        <v>70.25868224350984</v>
      </c>
      <c r="H12" s="38">
        <f>IF(G5&gt;7.3,G12,0)</f>
        <v>70.25868224350984</v>
      </c>
      <c r="J12" s="35" t="s">
        <v>127</v>
      </c>
      <c r="K12" s="23">
        <f>POWER(10,L8)</f>
        <v>70.25868224350984</v>
      </c>
      <c r="L12" s="38">
        <f>IF(K5&gt;7.3,K12,0)</f>
        <v>70.25868224350984</v>
      </c>
      <c r="N12" s="35" t="s">
        <v>127</v>
      </c>
      <c r="O12" s="23">
        <f>POWER(10,P8)</f>
        <v>70.25868224350984</v>
      </c>
      <c r="P12" s="38">
        <f>IF(O5&gt;7.3,O12,0)</f>
        <v>70.25868224350984</v>
      </c>
      <c r="R12" s="35" t="s">
        <v>127</v>
      </c>
      <c r="S12" s="23">
        <f>POWER(10,T8)</f>
        <v>70.25868224350984</v>
      </c>
      <c r="T12" s="38">
        <f>IF(S5&gt;7.3,S12,0)</f>
        <v>70.25868224350984</v>
      </c>
    </row>
    <row r="13" spans="2:20" ht="12.75">
      <c r="B13" s="181" t="s">
        <v>18</v>
      </c>
      <c r="C13" s="182"/>
      <c r="D13" s="85">
        <f>SUM(D10:D12)</f>
        <v>70.25868224350984</v>
      </c>
      <c r="F13" s="199" t="s">
        <v>18</v>
      </c>
      <c r="G13" s="204"/>
      <c r="H13" s="73">
        <f>SUM(H10:H12)</f>
        <v>70.25868224350984</v>
      </c>
      <c r="J13" s="199" t="s">
        <v>18</v>
      </c>
      <c r="K13" s="204"/>
      <c r="L13" s="73">
        <f>SUM(L10:L12)</f>
        <v>70.25868224350984</v>
      </c>
      <c r="N13" s="199" t="s">
        <v>18</v>
      </c>
      <c r="O13" s="204"/>
      <c r="P13" s="73">
        <f>SUM(P10:P12)</f>
        <v>70.25868224350984</v>
      </c>
      <c r="R13" s="199" t="s">
        <v>18</v>
      </c>
      <c r="S13" s="204"/>
      <c r="T13" s="73">
        <f>SUM(T10:T12)</f>
        <v>70.25868224350984</v>
      </c>
    </row>
    <row r="14" spans="2:20" ht="13.5" thickBot="1">
      <c r="B14" s="76"/>
      <c r="C14" s="77"/>
      <c r="D14" s="78"/>
      <c r="F14" s="35"/>
      <c r="G14" s="22"/>
      <c r="H14" s="36"/>
      <c r="J14" s="35"/>
      <c r="K14" s="22"/>
      <c r="L14" s="36"/>
      <c r="N14" s="35"/>
      <c r="O14" s="22"/>
      <c r="P14" s="36"/>
      <c r="R14" s="35"/>
      <c r="S14" s="22"/>
      <c r="T14" s="36"/>
    </row>
    <row r="15" spans="2:20" ht="12.75">
      <c r="B15" s="175" t="s">
        <v>8</v>
      </c>
      <c r="C15" s="176"/>
      <c r="D15" s="177"/>
      <c r="F15" s="194" t="s">
        <v>8</v>
      </c>
      <c r="G15" s="195"/>
      <c r="H15" s="196"/>
      <c r="J15" s="207" t="s">
        <v>8</v>
      </c>
      <c r="K15" s="208"/>
      <c r="L15" s="209"/>
      <c r="N15" s="210" t="s">
        <v>8</v>
      </c>
      <c r="O15" s="211"/>
      <c r="P15" s="212"/>
      <c r="R15" s="213" t="s">
        <v>8</v>
      </c>
      <c r="S15" s="214"/>
      <c r="T15" s="215"/>
    </row>
    <row r="16" spans="2:20" ht="12.75">
      <c r="B16" s="76"/>
      <c r="C16" s="77"/>
      <c r="D16" s="78"/>
      <c r="F16" s="35"/>
      <c r="G16" s="22"/>
      <c r="H16" s="36"/>
      <c r="J16" s="35"/>
      <c r="K16" s="22"/>
      <c r="L16" s="36"/>
      <c r="N16" s="35"/>
      <c r="O16" s="22"/>
      <c r="P16" s="36"/>
      <c r="R16" s="35"/>
      <c r="S16" s="22"/>
      <c r="T16" s="36"/>
    </row>
    <row r="17" spans="2:20" ht="12.75">
      <c r="B17" s="79" t="s">
        <v>23</v>
      </c>
      <c r="C17" s="84">
        <v>17</v>
      </c>
      <c r="D17" s="78"/>
      <c r="F17" s="37" t="s">
        <v>23</v>
      </c>
      <c r="G17" s="83">
        <v>32</v>
      </c>
      <c r="H17" s="36"/>
      <c r="J17" s="37" t="s">
        <v>23</v>
      </c>
      <c r="K17" s="84">
        <v>7</v>
      </c>
      <c r="L17" s="36"/>
      <c r="N17" s="37" t="s">
        <v>23</v>
      </c>
      <c r="O17" s="84">
        <v>37</v>
      </c>
      <c r="P17" s="36"/>
      <c r="R17" s="37" t="s">
        <v>23</v>
      </c>
      <c r="S17" s="165">
        <v>19</v>
      </c>
      <c r="T17" s="36"/>
    </row>
    <row r="18" spans="2:20" ht="12.75">
      <c r="B18" s="76"/>
      <c r="C18" s="82"/>
      <c r="D18" s="78"/>
      <c r="F18" s="35"/>
      <c r="G18" s="23"/>
      <c r="H18" s="36"/>
      <c r="J18" s="35"/>
      <c r="K18" s="23"/>
      <c r="L18" s="36"/>
      <c r="N18" s="35"/>
      <c r="O18" s="23"/>
      <c r="P18" s="36"/>
      <c r="R18" s="35"/>
      <c r="S18" s="23"/>
      <c r="T18" s="36"/>
    </row>
    <row r="19" spans="2:20" ht="12.75">
      <c r="B19" s="76" t="s">
        <v>27</v>
      </c>
      <c r="C19" s="82">
        <v>100</v>
      </c>
      <c r="D19" s="78">
        <f>IF(C17="",0,IF(C17&lt;14.144,C19,0))</f>
        <v>0</v>
      </c>
      <c r="F19" s="35" t="s">
        <v>27</v>
      </c>
      <c r="G19" s="23">
        <v>100</v>
      </c>
      <c r="H19" s="36">
        <f>IF(G17="",0,IF(G17&lt;14.144,G19,0))</f>
        <v>0</v>
      </c>
      <c r="J19" s="35" t="s">
        <v>27</v>
      </c>
      <c r="K19" s="23">
        <v>100</v>
      </c>
      <c r="L19" s="36">
        <f>IF(K17="",0,IF(K17&lt;14.144,K19,0))</f>
        <v>100</v>
      </c>
      <c r="N19" s="35" t="s">
        <v>27</v>
      </c>
      <c r="O19" s="23">
        <v>100</v>
      </c>
      <c r="P19" s="36">
        <f>IF(O17="",0,IF(O17&lt;14.144,O19,0))</f>
        <v>0</v>
      </c>
      <c r="R19" s="35" t="s">
        <v>27</v>
      </c>
      <c r="S19" s="23">
        <v>100</v>
      </c>
      <c r="T19" s="36">
        <f>IF(S17="",0,IF(S17&lt;14.144,S19,0))</f>
        <v>0</v>
      </c>
    </row>
    <row r="20" spans="2:20" ht="12.75">
      <c r="B20" s="76" t="s">
        <v>30</v>
      </c>
      <c r="C20" s="82">
        <f>IF(OR(C17="",C17=0),0,266.5*POWER(C17,-0.37))</f>
        <v>93.4181177209757</v>
      </c>
      <c r="D20" s="86">
        <f>IF(C17&gt;14.44,C20,0)</f>
        <v>93.4181177209757</v>
      </c>
      <c r="F20" s="35" t="s">
        <v>30</v>
      </c>
      <c r="G20" s="23">
        <f>IF(OR(G17="",G17=0),0,266.5*POWER(G17,-0.37))</f>
        <v>73.92506607652018</v>
      </c>
      <c r="H20" s="39">
        <f>IF(G17&gt;14.44,G20,0)</f>
        <v>73.92506607652018</v>
      </c>
      <c r="J20" s="35" t="s">
        <v>30</v>
      </c>
      <c r="K20" s="23">
        <f>IF(OR(K17="",K17=0),0,266.5*POWER(K17,-0.37))</f>
        <v>129.7211943396547</v>
      </c>
      <c r="L20" s="39">
        <f>IF(K17&gt;14.44,K20,0)</f>
        <v>0</v>
      </c>
      <c r="N20" s="35" t="s">
        <v>30</v>
      </c>
      <c r="O20" s="23">
        <f>IF(OR(O17="",O17=0),0,266.5*POWER(O17,-0.37))</f>
        <v>70.05878083757105</v>
      </c>
      <c r="P20" s="39">
        <f>IF(O17&gt;14.44,O20,0)</f>
        <v>70.05878083757105</v>
      </c>
      <c r="R20" s="35" t="s">
        <v>30</v>
      </c>
      <c r="S20" s="23">
        <f>IF(OR(S17="",S17=0),0,266.5*POWER(S17,-0.37))</f>
        <v>89.65166941178683</v>
      </c>
      <c r="T20" s="39">
        <f>IF(S17&gt;14.44,S20,0)</f>
        <v>89.65166941178683</v>
      </c>
    </row>
    <row r="21" spans="2:20" ht="12.75">
      <c r="B21" s="181" t="s">
        <v>119</v>
      </c>
      <c r="C21" s="173"/>
      <c r="D21" s="85">
        <f>SUM(D19:D20)</f>
        <v>93.4181177209757</v>
      </c>
      <c r="F21" s="199" t="s">
        <v>119</v>
      </c>
      <c r="G21" s="200"/>
      <c r="H21" s="73">
        <f>SUM(H19:H20)</f>
        <v>73.92506607652018</v>
      </c>
      <c r="J21" s="199" t="s">
        <v>119</v>
      </c>
      <c r="K21" s="200"/>
      <c r="L21" s="73">
        <f>SUM(L19:L20)</f>
        <v>100</v>
      </c>
      <c r="N21" s="199" t="s">
        <v>119</v>
      </c>
      <c r="O21" s="200"/>
      <c r="P21" s="73">
        <f>SUM(P19:P20)</f>
        <v>70.05878083757105</v>
      </c>
      <c r="R21" s="199" t="s">
        <v>119</v>
      </c>
      <c r="S21" s="200"/>
      <c r="T21" s="73">
        <f>SUM(T19:T20)</f>
        <v>89.65166941178683</v>
      </c>
    </row>
    <row r="22" spans="2:20" ht="13.5" thickBot="1">
      <c r="B22" s="76"/>
      <c r="C22" s="77"/>
      <c r="D22" s="78"/>
      <c r="F22" s="35"/>
      <c r="G22" s="22"/>
      <c r="H22" s="36"/>
      <c r="J22" s="35"/>
      <c r="K22" s="22"/>
      <c r="L22" s="36"/>
      <c r="N22" s="35"/>
      <c r="O22" s="22"/>
      <c r="P22" s="36"/>
      <c r="R22" s="35"/>
      <c r="S22" s="22"/>
      <c r="T22" s="36"/>
    </row>
    <row r="23" spans="2:20" ht="12.75">
      <c r="B23" s="175" t="s">
        <v>9</v>
      </c>
      <c r="C23" s="176"/>
      <c r="D23" s="177"/>
      <c r="F23" s="194" t="s">
        <v>9</v>
      </c>
      <c r="G23" s="195"/>
      <c r="H23" s="196"/>
      <c r="J23" s="207" t="s">
        <v>9</v>
      </c>
      <c r="K23" s="208"/>
      <c r="L23" s="209"/>
      <c r="N23" s="210" t="s">
        <v>9</v>
      </c>
      <c r="O23" s="211"/>
      <c r="P23" s="212"/>
      <c r="R23" s="213" t="s">
        <v>9</v>
      </c>
      <c r="S23" s="214"/>
      <c r="T23" s="215"/>
    </row>
    <row r="24" spans="2:20" ht="12.75">
      <c r="B24" s="87"/>
      <c r="C24" s="88"/>
      <c r="D24" s="89"/>
      <c r="F24" s="40"/>
      <c r="G24" s="18"/>
      <c r="H24" s="41"/>
      <c r="J24" s="40"/>
      <c r="K24" s="18"/>
      <c r="L24" s="41"/>
      <c r="N24" s="40"/>
      <c r="O24" s="18"/>
      <c r="P24" s="41"/>
      <c r="R24" s="40"/>
      <c r="S24" s="18"/>
      <c r="T24" s="41"/>
    </row>
    <row r="25" spans="2:20" ht="12.75">
      <c r="B25" s="90" t="s">
        <v>35</v>
      </c>
      <c r="C25" s="84">
        <v>31020</v>
      </c>
      <c r="D25" s="89"/>
      <c r="F25" s="42" t="s">
        <v>35</v>
      </c>
      <c r="G25" s="83">
        <v>30960</v>
      </c>
      <c r="H25" s="41"/>
      <c r="J25" s="42" t="s">
        <v>35</v>
      </c>
      <c r="K25" s="84">
        <v>31020</v>
      </c>
      <c r="L25" s="41"/>
      <c r="N25" s="42" t="s">
        <v>35</v>
      </c>
      <c r="O25" s="84">
        <v>31020</v>
      </c>
      <c r="P25" s="41"/>
      <c r="R25" s="42" t="s">
        <v>35</v>
      </c>
      <c r="S25" s="165">
        <v>30960</v>
      </c>
      <c r="T25" s="41"/>
    </row>
    <row r="26" spans="2:20" ht="12.75">
      <c r="B26" s="87"/>
      <c r="C26" s="88"/>
      <c r="D26" s="89"/>
      <c r="F26" s="40"/>
      <c r="G26" s="18"/>
      <c r="H26" s="41"/>
      <c r="J26" s="40"/>
      <c r="K26" s="18"/>
      <c r="L26" s="41"/>
      <c r="N26" s="40"/>
      <c r="O26" s="18"/>
      <c r="P26" s="41"/>
      <c r="R26" s="40"/>
      <c r="S26" s="18"/>
      <c r="T26" s="41"/>
    </row>
    <row r="27" spans="2:20" ht="12.75">
      <c r="B27" s="91" t="s">
        <v>36</v>
      </c>
      <c r="C27" s="92">
        <v>100</v>
      </c>
      <c r="D27" s="89">
        <f>IF(C25="",0,IF(C25&lt;520,C27,0))</f>
        <v>0</v>
      </c>
      <c r="F27" s="43" t="s">
        <v>36</v>
      </c>
      <c r="G27" s="24">
        <v>100</v>
      </c>
      <c r="H27" s="41">
        <f>IF(G25="",0,IF(G25&lt;520,G27,0))</f>
        <v>0</v>
      </c>
      <c r="J27" s="43" t="s">
        <v>36</v>
      </c>
      <c r="K27" s="24">
        <v>100</v>
      </c>
      <c r="L27" s="41">
        <f>IF(K25="",0,IF(K25&lt;520,K27,0))</f>
        <v>0</v>
      </c>
      <c r="N27" s="43" t="s">
        <v>36</v>
      </c>
      <c r="O27" s="24">
        <v>100</v>
      </c>
      <c r="P27" s="41">
        <f>IF(O25="",0,IF(O25&lt;520,O27,0))</f>
        <v>0</v>
      </c>
      <c r="R27" s="43" t="s">
        <v>36</v>
      </c>
      <c r="S27" s="24">
        <v>100</v>
      </c>
      <c r="T27" s="41">
        <f>IF(S25="",0,IF(S25&lt;520,S27,0))</f>
        <v>0</v>
      </c>
    </row>
    <row r="28" spans="2:20" ht="12.75">
      <c r="B28" s="91" t="s">
        <v>39</v>
      </c>
      <c r="C28" s="92">
        <f>109.1-0.0175*C25</f>
        <v>-433.75</v>
      </c>
      <c r="D28" s="93">
        <f>IF(AND(IF(C25&lt;=6234,C25,0),IF(C25&gt;=520,C25,0)),C28,0)</f>
        <v>0</v>
      </c>
      <c r="F28" s="43" t="s">
        <v>39</v>
      </c>
      <c r="G28" s="24">
        <f>109.1-0.0175*G25</f>
        <v>-432.70000000000005</v>
      </c>
      <c r="H28" s="44">
        <f>IF(AND(IF(G25&lt;=6234,G25,0),IF(G25&gt;=520,G25,0)),G28,0)</f>
        <v>0</v>
      </c>
      <c r="J28" s="43" t="s">
        <v>39</v>
      </c>
      <c r="K28" s="24">
        <f>109.1-0.0175*K25</f>
        <v>-433.75</v>
      </c>
      <c r="L28" s="44">
        <f>IF(AND(IF(K25&lt;=6234,K25,0),IF(K25&gt;=520,K25,0)),K28,0)</f>
        <v>0</v>
      </c>
      <c r="N28" s="43" t="s">
        <v>39</v>
      </c>
      <c r="O28" s="24">
        <f>109.1-0.0175*O25</f>
        <v>-433.75</v>
      </c>
      <c r="P28" s="44">
        <f>IF(AND(IF(O25&lt;=6234,O25,0),IF(O25&gt;=520,O25,0)),O28,0)</f>
        <v>0</v>
      </c>
      <c r="R28" s="43" t="s">
        <v>39</v>
      </c>
      <c r="S28" s="24">
        <f>109.1-0.0175*S25</f>
        <v>-432.70000000000005</v>
      </c>
      <c r="T28" s="44">
        <f>IF(AND(IF(S25&lt;=6234,S25,0),IF(S25&gt;=520,S25,0)),S28,0)</f>
        <v>0</v>
      </c>
    </row>
    <row r="29" spans="2:20" ht="12.75">
      <c r="B29" s="91" t="s">
        <v>42</v>
      </c>
      <c r="C29" s="92">
        <v>0</v>
      </c>
      <c r="D29" s="93">
        <f>IF(C25&gt;6234,C29,0)</f>
        <v>0</v>
      </c>
      <c r="F29" s="43" t="s">
        <v>42</v>
      </c>
      <c r="G29" s="24">
        <v>0</v>
      </c>
      <c r="H29" s="44">
        <f>IF(G25&gt;6234,G29,0)</f>
        <v>0</v>
      </c>
      <c r="J29" s="43" t="s">
        <v>42</v>
      </c>
      <c r="K29" s="24">
        <v>0</v>
      </c>
      <c r="L29" s="44">
        <f>IF(K25&gt;6234,K29,0)</f>
        <v>0</v>
      </c>
      <c r="N29" s="43" t="s">
        <v>42</v>
      </c>
      <c r="O29" s="24">
        <v>0</v>
      </c>
      <c r="P29" s="44">
        <f>IF(O25&gt;6234,O29,0)</f>
        <v>0</v>
      </c>
      <c r="R29" s="43" t="s">
        <v>42</v>
      </c>
      <c r="S29" s="24">
        <v>0</v>
      </c>
      <c r="T29" s="44">
        <f>IF(S25&gt;6234,S29,0)</f>
        <v>0</v>
      </c>
    </row>
    <row r="30" spans="2:20" ht="12.75">
      <c r="B30" s="94"/>
      <c r="C30" s="95"/>
      <c r="D30" s="89"/>
      <c r="F30" s="45"/>
      <c r="G30" s="20"/>
      <c r="H30" s="41"/>
      <c r="J30" s="45"/>
      <c r="K30" s="20"/>
      <c r="L30" s="41"/>
      <c r="N30" s="45"/>
      <c r="O30" s="20"/>
      <c r="P30" s="41"/>
      <c r="R30" s="45"/>
      <c r="S30" s="20"/>
      <c r="T30" s="41"/>
    </row>
    <row r="31" spans="2:20" ht="12.75">
      <c r="B31" s="187" t="s">
        <v>106</v>
      </c>
      <c r="C31" s="172"/>
      <c r="D31" s="85">
        <f>SUM(D27:D29)</f>
        <v>0</v>
      </c>
      <c r="F31" s="197" t="s">
        <v>106</v>
      </c>
      <c r="G31" s="198"/>
      <c r="H31" s="73">
        <f>SUM(H27:H29)</f>
        <v>0</v>
      </c>
      <c r="J31" s="197" t="s">
        <v>106</v>
      </c>
      <c r="K31" s="198"/>
      <c r="L31" s="73">
        <f>SUM(L27:L29)</f>
        <v>0</v>
      </c>
      <c r="N31" s="197" t="s">
        <v>106</v>
      </c>
      <c r="O31" s="198"/>
      <c r="P31" s="73">
        <f>SUM(P27:P29)</f>
        <v>0</v>
      </c>
      <c r="R31" s="197" t="s">
        <v>106</v>
      </c>
      <c r="S31" s="198"/>
      <c r="T31" s="73">
        <f>SUM(T27:T29)</f>
        <v>0</v>
      </c>
    </row>
    <row r="32" spans="2:20" ht="13.5" thickBot="1">
      <c r="B32" s="87"/>
      <c r="C32" s="88"/>
      <c r="D32" s="98"/>
      <c r="F32" s="40"/>
      <c r="G32" s="18"/>
      <c r="H32" s="47"/>
      <c r="J32" s="40"/>
      <c r="K32" s="18"/>
      <c r="L32" s="47"/>
      <c r="N32" s="40"/>
      <c r="O32" s="18"/>
      <c r="P32" s="47"/>
      <c r="R32" s="40"/>
      <c r="S32" s="18"/>
      <c r="T32" s="47"/>
    </row>
    <row r="33" spans="2:20" ht="12.75">
      <c r="B33" s="175" t="s">
        <v>11</v>
      </c>
      <c r="C33" s="176"/>
      <c r="D33" s="177"/>
      <c r="F33" s="194" t="s">
        <v>11</v>
      </c>
      <c r="G33" s="195"/>
      <c r="H33" s="196"/>
      <c r="J33" s="207" t="s">
        <v>11</v>
      </c>
      <c r="K33" s="208"/>
      <c r="L33" s="209"/>
      <c r="N33" s="210" t="s">
        <v>11</v>
      </c>
      <c r="O33" s="211"/>
      <c r="P33" s="212"/>
      <c r="R33" s="213" t="s">
        <v>11</v>
      </c>
      <c r="S33" s="214"/>
      <c r="T33" s="215"/>
    </row>
    <row r="34" spans="2:20" ht="12.75">
      <c r="B34" s="87"/>
      <c r="C34" s="88"/>
      <c r="D34" s="89"/>
      <c r="F34" s="40"/>
      <c r="G34" s="18"/>
      <c r="H34" s="41"/>
      <c r="J34" s="40"/>
      <c r="K34" s="18"/>
      <c r="L34" s="41"/>
      <c r="N34" s="40"/>
      <c r="O34" s="18"/>
      <c r="P34" s="41"/>
      <c r="R34" s="40"/>
      <c r="S34" s="18"/>
      <c r="T34" s="41"/>
    </row>
    <row r="35" spans="2:20" ht="12.75">
      <c r="B35" s="99" t="s">
        <v>52</v>
      </c>
      <c r="C35" s="84">
        <v>51700</v>
      </c>
      <c r="D35" s="89"/>
      <c r="F35" s="48" t="s">
        <v>52</v>
      </c>
      <c r="G35" s="83">
        <v>51600</v>
      </c>
      <c r="H35" s="41"/>
      <c r="J35" s="48" t="s">
        <v>52</v>
      </c>
      <c r="K35" s="84">
        <v>51600</v>
      </c>
      <c r="L35" s="41"/>
      <c r="N35" s="48" t="s">
        <v>52</v>
      </c>
      <c r="O35" s="84">
        <v>51700</v>
      </c>
      <c r="P35" s="41"/>
      <c r="R35" s="48" t="s">
        <v>52</v>
      </c>
      <c r="S35" s="165">
        <v>51600</v>
      </c>
      <c r="T35" s="41"/>
    </row>
    <row r="36" spans="2:20" ht="12.75">
      <c r="B36" s="87"/>
      <c r="C36" s="100"/>
      <c r="D36" s="93"/>
      <c r="F36" s="40"/>
      <c r="G36" s="25"/>
      <c r="H36" s="44"/>
      <c r="J36" s="40"/>
      <c r="K36" s="25"/>
      <c r="L36" s="44"/>
      <c r="N36" s="40"/>
      <c r="O36" s="25"/>
      <c r="P36" s="44"/>
      <c r="R36" s="40"/>
      <c r="S36" s="25"/>
      <c r="T36" s="44"/>
    </row>
    <row r="37" spans="2:20" ht="12.75">
      <c r="B37" s="91" t="s">
        <v>53</v>
      </c>
      <c r="C37" s="92">
        <v>100</v>
      </c>
      <c r="D37" s="89">
        <f>IF(C35="",0,IF(C35&lt;85.6,C37,0))</f>
        <v>0</v>
      </c>
      <c r="F37" s="43" t="s">
        <v>53</v>
      </c>
      <c r="G37" s="24">
        <v>100</v>
      </c>
      <c r="H37" s="41">
        <f>IF(G35="",0,IF(G35&lt;85.6,G37,0))</f>
        <v>0</v>
      </c>
      <c r="J37" s="43" t="s">
        <v>53</v>
      </c>
      <c r="K37" s="24">
        <v>100</v>
      </c>
      <c r="L37" s="41">
        <f>IF(K35="",0,IF(K35&lt;85.6,K37,0))</f>
        <v>0</v>
      </c>
      <c r="N37" s="43" t="s">
        <v>53</v>
      </c>
      <c r="O37" s="24">
        <v>100</v>
      </c>
      <c r="P37" s="41">
        <f>IF(O35="",0,IF(O35&lt;85.6,O37,0))</f>
        <v>0</v>
      </c>
      <c r="R37" s="43" t="s">
        <v>53</v>
      </c>
      <c r="S37" s="24">
        <v>100</v>
      </c>
      <c r="T37" s="41">
        <f>IF(S35="",0,IF(S35&lt;85.6,S37,0))</f>
        <v>0</v>
      </c>
    </row>
    <row r="38" spans="2:20" ht="12.75">
      <c r="B38" s="91" t="s">
        <v>54</v>
      </c>
      <c r="C38" s="92">
        <f>IF(OR(C35="",C35=0),0,540*POWER(C35,-0.379))</f>
        <v>8.830409500871237</v>
      </c>
      <c r="D38" s="101">
        <f>IF(C35&gt;85.6,G38,0)</f>
        <v>8.836891503651408</v>
      </c>
      <c r="F38" s="43" t="s">
        <v>54</v>
      </c>
      <c r="G38" s="24">
        <f>IF(OR(G35="",G35=0),0,540*POWER(G35,-0.379))</f>
        <v>8.836891503651408</v>
      </c>
      <c r="H38" s="49">
        <f>IF(G35&gt;85.6,K38,0)</f>
        <v>8.836891503651408</v>
      </c>
      <c r="J38" s="43" t="s">
        <v>54</v>
      </c>
      <c r="K38" s="24">
        <f>IF(OR(K35="",K35=0),0,540*POWER(K35,-0.379))</f>
        <v>8.836891503651408</v>
      </c>
      <c r="L38" s="49">
        <f>IF(K35&gt;85.6,O38,0)</f>
        <v>8.830409500871237</v>
      </c>
      <c r="N38" s="43" t="s">
        <v>54</v>
      </c>
      <c r="O38" s="24">
        <f>IF(OR(O35="",O35=0),0,540*POWER(O35,-0.379))</f>
        <v>8.830409500871237</v>
      </c>
      <c r="P38" s="49">
        <f>IF(O35&gt;85.6,S38,0)</f>
        <v>8.836891503651408</v>
      </c>
      <c r="R38" s="43" t="s">
        <v>54</v>
      </c>
      <c r="S38" s="24">
        <f>IF(OR(S35="",S35=0),0,540*POWER(S35,-0.379))</f>
        <v>8.836891503651408</v>
      </c>
      <c r="T38" s="49">
        <f>IF(S35&gt;85.6,W38,0)</f>
        <v>0</v>
      </c>
    </row>
    <row r="39" spans="2:20" ht="12.75">
      <c r="B39" s="87"/>
      <c r="C39" s="102"/>
      <c r="D39" s="103"/>
      <c r="F39" s="40"/>
      <c r="G39" s="26"/>
      <c r="H39" s="50"/>
      <c r="J39" s="40"/>
      <c r="K39" s="26"/>
      <c r="L39" s="50"/>
      <c r="N39" s="40"/>
      <c r="O39" s="26"/>
      <c r="P39" s="50"/>
      <c r="R39" s="40"/>
      <c r="S39" s="26"/>
      <c r="T39" s="50"/>
    </row>
    <row r="40" spans="2:20" ht="12.75">
      <c r="B40" s="87"/>
      <c r="C40" s="97" t="s">
        <v>107</v>
      </c>
      <c r="D40" s="85">
        <f>SUM(D37:D38)</f>
        <v>8.836891503651408</v>
      </c>
      <c r="F40" s="40"/>
      <c r="G40" s="21" t="s">
        <v>107</v>
      </c>
      <c r="H40" s="73">
        <f>SUM(H37:H38)</f>
        <v>8.836891503651408</v>
      </c>
      <c r="J40" s="40"/>
      <c r="K40" s="21" t="s">
        <v>107</v>
      </c>
      <c r="L40" s="73">
        <f>SUM(L37:L38)</f>
        <v>8.830409500871237</v>
      </c>
      <c r="N40" s="40"/>
      <c r="O40" s="21" t="s">
        <v>107</v>
      </c>
      <c r="P40" s="73">
        <f>SUM(P37:P38)</f>
        <v>8.836891503651408</v>
      </c>
      <c r="R40" s="40"/>
      <c r="S40" s="21" t="s">
        <v>107</v>
      </c>
      <c r="T40" s="73">
        <f>SUM(T37:T38)</f>
        <v>0</v>
      </c>
    </row>
    <row r="41" spans="2:20" ht="13.5" thickBot="1">
      <c r="B41" s="87"/>
      <c r="C41" s="88"/>
      <c r="D41" s="89"/>
      <c r="F41" s="40"/>
      <c r="G41" s="18"/>
      <c r="H41" s="41"/>
      <c r="J41" s="40"/>
      <c r="K41" s="18"/>
      <c r="L41" s="41"/>
      <c r="N41" s="40"/>
      <c r="O41" s="18"/>
      <c r="P41" s="41"/>
      <c r="R41" s="40"/>
      <c r="S41" s="18"/>
      <c r="T41" s="41"/>
    </row>
    <row r="42" spans="2:20" ht="12.75">
      <c r="B42" s="175" t="s">
        <v>58</v>
      </c>
      <c r="C42" s="176"/>
      <c r="D42" s="177"/>
      <c r="F42" s="194" t="s">
        <v>58</v>
      </c>
      <c r="G42" s="195"/>
      <c r="H42" s="196"/>
      <c r="J42" s="207" t="s">
        <v>58</v>
      </c>
      <c r="K42" s="208"/>
      <c r="L42" s="209"/>
      <c r="N42" s="210" t="s">
        <v>58</v>
      </c>
      <c r="O42" s="211"/>
      <c r="P42" s="212"/>
      <c r="R42" s="213" t="s">
        <v>58</v>
      </c>
      <c r="S42" s="214"/>
      <c r="T42" s="215"/>
    </row>
    <row r="43" spans="2:21" ht="33">
      <c r="B43" s="87"/>
      <c r="C43" s="88"/>
      <c r="D43" s="104"/>
      <c r="E43" s="7"/>
      <c r="F43" s="40"/>
      <c r="G43" s="18"/>
      <c r="H43" s="51"/>
      <c r="I43" s="7"/>
      <c r="J43" s="40"/>
      <c r="K43" s="18"/>
      <c r="L43" s="51"/>
      <c r="M43" s="7"/>
      <c r="N43" s="40"/>
      <c r="O43" s="18"/>
      <c r="P43" s="51"/>
      <c r="Q43" s="7"/>
      <c r="R43" s="40"/>
      <c r="S43" s="18"/>
      <c r="T43" s="51"/>
      <c r="U43" s="7"/>
    </row>
    <row r="44" spans="2:20" ht="12.75">
      <c r="B44" s="87"/>
      <c r="C44" s="105" t="s">
        <v>59</v>
      </c>
      <c r="D44" s="84">
        <v>7.6</v>
      </c>
      <c r="F44" s="40"/>
      <c r="G44" s="75" t="s">
        <v>59</v>
      </c>
      <c r="H44" s="83">
        <v>7.6</v>
      </c>
      <c r="J44" s="40"/>
      <c r="K44" s="75" t="s">
        <v>59</v>
      </c>
      <c r="L44" s="84">
        <v>7.3</v>
      </c>
      <c r="N44" s="40"/>
      <c r="O44" s="75" t="s">
        <v>59</v>
      </c>
      <c r="P44" s="84">
        <v>7.8</v>
      </c>
      <c r="R44" s="40"/>
      <c r="S44" s="75" t="s">
        <v>59</v>
      </c>
      <c r="T44" s="165">
        <v>7.6</v>
      </c>
    </row>
    <row r="45" spans="2:20" ht="12.75">
      <c r="B45" s="87"/>
      <c r="C45" s="106" t="s">
        <v>61</v>
      </c>
      <c r="D45" s="107">
        <f>C55</f>
        <v>7.800231123498247</v>
      </c>
      <c r="F45" s="40"/>
      <c r="G45" s="27" t="s">
        <v>61</v>
      </c>
      <c r="H45" s="52">
        <f>G55</f>
        <v>7.800231123498247</v>
      </c>
      <c r="J45" s="40"/>
      <c r="K45" s="27" t="s">
        <v>61</v>
      </c>
      <c r="L45" s="52">
        <f>K55</f>
        <v>7.800231123498247</v>
      </c>
      <c r="N45" s="40"/>
      <c r="O45" s="27" t="s">
        <v>61</v>
      </c>
      <c r="P45" s="52">
        <f>O55</f>
        <v>7.800231123498247</v>
      </c>
      <c r="R45" s="40"/>
      <c r="S45" s="27" t="s">
        <v>61</v>
      </c>
      <c r="T45" s="52">
        <f>S55</f>
        <v>7.800231123498247</v>
      </c>
    </row>
    <row r="46" spans="2:20" ht="12.75">
      <c r="B46" s="87"/>
      <c r="C46" s="105" t="s">
        <v>62</v>
      </c>
      <c r="D46" s="134">
        <v>28.2</v>
      </c>
      <c r="F46" s="40"/>
      <c r="G46" s="75" t="s">
        <v>62</v>
      </c>
      <c r="H46" s="151">
        <v>28.2</v>
      </c>
      <c r="J46" s="40"/>
      <c r="K46" s="75" t="s">
        <v>62</v>
      </c>
      <c r="L46" s="134">
        <v>28.2</v>
      </c>
      <c r="N46" s="40"/>
      <c r="O46" s="75" t="s">
        <v>62</v>
      </c>
      <c r="P46" s="134">
        <v>28.2</v>
      </c>
      <c r="R46" s="40"/>
      <c r="S46" s="75" t="s">
        <v>62</v>
      </c>
      <c r="T46" s="169">
        <v>28.2</v>
      </c>
    </row>
    <row r="47" spans="2:20" ht="12.75">
      <c r="B47" s="87"/>
      <c r="C47" s="106" t="s">
        <v>63</v>
      </c>
      <c r="D47" s="107">
        <f>D46+273.15</f>
        <v>301.34999999999997</v>
      </c>
      <c r="F47" s="40"/>
      <c r="G47" s="27" t="s">
        <v>63</v>
      </c>
      <c r="H47" s="52">
        <f>H46+273.15</f>
        <v>301.34999999999997</v>
      </c>
      <c r="J47" s="40"/>
      <c r="K47" s="27" t="s">
        <v>63</v>
      </c>
      <c r="L47" s="52">
        <f>L46+273.15</f>
        <v>301.34999999999997</v>
      </c>
      <c r="N47" s="40"/>
      <c r="O47" s="27" t="s">
        <v>63</v>
      </c>
      <c r="P47" s="52">
        <f>P46+273.15</f>
        <v>301.34999999999997</v>
      </c>
      <c r="R47" s="40"/>
      <c r="S47" s="27" t="s">
        <v>63</v>
      </c>
      <c r="T47" s="52">
        <f>T46+273.15</f>
        <v>301.34999999999997</v>
      </c>
    </row>
    <row r="48" spans="2:20" ht="12.75">
      <c r="B48" s="87"/>
      <c r="C48" s="88"/>
      <c r="D48" s="108"/>
      <c r="F48" s="40"/>
      <c r="G48" s="18"/>
      <c r="H48" s="53"/>
      <c r="J48" s="40"/>
      <c r="K48" s="18"/>
      <c r="L48" s="53"/>
      <c r="N48" s="40"/>
      <c r="O48" s="18"/>
      <c r="P48" s="53"/>
      <c r="R48" s="40"/>
      <c r="S48" s="18"/>
      <c r="T48" s="53"/>
    </row>
    <row r="49" spans="2:20" ht="12.75">
      <c r="B49" s="87"/>
      <c r="C49" s="95">
        <v>-139.3441</v>
      </c>
      <c r="D49" s="89"/>
      <c r="F49" s="40"/>
      <c r="G49" s="20">
        <v>-139.3441</v>
      </c>
      <c r="H49" s="41"/>
      <c r="J49" s="40"/>
      <c r="K49" s="20">
        <v>-139.3441</v>
      </c>
      <c r="L49" s="41"/>
      <c r="N49" s="40"/>
      <c r="O49" s="20">
        <v>-139.3441</v>
      </c>
      <c r="P49" s="41"/>
      <c r="R49" s="40"/>
      <c r="S49" s="20">
        <v>-139.3441</v>
      </c>
      <c r="T49" s="41"/>
    </row>
    <row r="50" spans="2:20" ht="12.75">
      <c r="B50" s="87"/>
      <c r="C50" s="95">
        <f>(1.575701)*(100000/D47)</f>
        <v>522.8807035009125</v>
      </c>
      <c r="D50" s="89"/>
      <c r="F50" s="40"/>
      <c r="G50" s="20">
        <f>(1.575701)*(100000/H47)</f>
        <v>522.8807035009125</v>
      </c>
      <c r="H50" s="41"/>
      <c r="J50" s="40"/>
      <c r="K50" s="20">
        <f>(1.575701)*(100000/L47)</f>
        <v>522.8807035009125</v>
      </c>
      <c r="L50" s="41"/>
      <c r="N50" s="40"/>
      <c r="O50" s="20">
        <f>(1.575701)*(100000/P47)</f>
        <v>522.8807035009125</v>
      </c>
      <c r="P50" s="41"/>
      <c r="R50" s="40"/>
      <c r="S50" s="20">
        <f>(1.575701)*(100000/T47)</f>
        <v>522.8807035009125</v>
      </c>
      <c r="T50" s="41"/>
    </row>
    <row r="51" spans="2:20" ht="12.75">
      <c r="B51" s="87"/>
      <c r="C51" s="95">
        <f>-(6.642308)*(10000000/(D47*D47))</f>
        <v>-731.4364822928205</v>
      </c>
      <c r="D51" s="89"/>
      <c r="F51" s="40"/>
      <c r="G51" s="20">
        <f>-(6.642308)*(10000000/(H47*H47))</f>
        <v>-731.4364822928205</v>
      </c>
      <c r="H51" s="41"/>
      <c r="J51" s="40"/>
      <c r="K51" s="20">
        <f>-(6.642308)*(10000000/(L47*L47))</f>
        <v>-731.4364822928205</v>
      </c>
      <c r="L51" s="41"/>
      <c r="N51" s="40"/>
      <c r="O51" s="20">
        <f>-(6.642308)*(10000000/(P47*P47))</f>
        <v>-731.4364822928205</v>
      </c>
      <c r="P51" s="41"/>
      <c r="R51" s="40"/>
      <c r="S51" s="20">
        <f>-(6.642308)*(10000000/(T47*T47))</f>
        <v>-731.4364822928205</v>
      </c>
      <c r="T51" s="41"/>
    </row>
    <row r="52" spans="2:20" ht="12.75">
      <c r="B52" s="87"/>
      <c r="C52" s="95">
        <f>(1.2438)*(10000000000/(D47*D47*D47))</f>
        <v>454.5032206999539</v>
      </c>
      <c r="D52" s="89"/>
      <c r="F52" s="40"/>
      <c r="G52" s="20">
        <f>(1.2438)*(10000000000/(H47*H47*H47))</f>
        <v>454.5032206999539</v>
      </c>
      <c r="H52" s="41"/>
      <c r="J52" s="40"/>
      <c r="K52" s="20">
        <f>(1.2438)*(10000000000/(L47*L47*L47))</f>
        <v>454.5032206999539</v>
      </c>
      <c r="L52" s="41"/>
      <c r="N52" s="40"/>
      <c r="O52" s="20">
        <f>(1.2438)*(10000000000/(P47*P47*P47))</f>
        <v>454.5032206999539</v>
      </c>
      <c r="P52" s="41"/>
      <c r="R52" s="40"/>
      <c r="S52" s="20">
        <f>(1.2438)*(10000000000/(T47*T47*T47))</f>
        <v>454.5032206999539</v>
      </c>
      <c r="T52" s="41"/>
    </row>
    <row r="53" spans="2:20" ht="12.75">
      <c r="B53" s="87"/>
      <c r="C53" s="95">
        <f>-(8.621949)*(100000000000/(D47*D47*D47*D47))</f>
        <v>-104.5491885435716</v>
      </c>
      <c r="D53" s="89"/>
      <c r="F53" s="40"/>
      <c r="G53" s="20">
        <f>-(8.621949)*(100000000000/(H47*H47*H47*H47))</f>
        <v>-104.5491885435716</v>
      </c>
      <c r="H53" s="41"/>
      <c r="J53" s="40"/>
      <c r="K53" s="20">
        <f>-(8.621949)*(100000000000/(L47*L47*L47*L47))</f>
        <v>-104.5491885435716</v>
      </c>
      <c r="L53" s="41"/>
      <c r="N53" s="40"/>
      <c r="O53" s="20">
        <f>-(8.621949)*(100000000000/(P47*P47*P47*P47))</f>
        <v>-104.5491885435716</v>
      </c>
      <c r="P53" s="41"/>
      <c r="R53" s="40"/>
      <c r="S53" s="20">
        <f>-(8.621949)*(100000000000/(T47*T47*T47*T47))</f>
        <v>-104.5491885435716</v>
      </c>
      <c r="T53" s="41"/>
    </row>
    <row r="54" spans="2:20" ht="12.75">
      <c r="B54" s="109" t="s">
        <v>67</v>
      </c>
      <c r="C54" s="95">
        <f>SUM(C49:C53)</f>
        <v>2.054153364474274</v>
      </c>
      <c r="D54" s="89"/>
      <c r="F54" s="54" t="s">
        <v>67</v>
      </c>
      <c r="G54" s="20">
        <f>SUM(G49:G53)</f>
        <v>2.054153364474274</v>
      </c>
      <c r="H54" s="41"/>
      <c r="J54" s="54" t="s">
        <v>67</v>
      </c>
      <c r="K54" s="20">
        <f>SUM(K49:K53)</f>
        <v>2.054153364474274</v>
      </c>
      <c r="L54" s="41"/>
      <c r="N54" s="54" t="s">
        <v>67</v>
      </c>
      <c r="O54" s="20">
        <f>SUM(O49:O53)</f>
        <v>2.054153364474274</v>
      </c>
      <c r="P54" s="41"/>
      <c r="R54" s="54" t="s">
        <v>67</v>
      </c>
      <c r="S54" s="20">
        <f>SUM(S49:S53)</f>
        <v>2.054153364474274</v>
      </c>
      <c r="T54" s="41"/>
    </row>
    <row r="55" spans="2:20" ht="12.75">
      <c r="B55" s="109" t="s">
        <v>69</v>
      </c>
      <c r="C55" s="95">
        <f>EXP(C54)</f>
        <v>7.800231123498247</v>
      </c>
      <c r="D55" s="89" t="s">
        <v>70</v>
      </c>
      <c r="F55" s="54" t="s">
        <v>69</v>
      </c>
      <c r="G55" s="20">
        <f>EXP(G54)</f>
        <v>7.800231123498247</v>
      </c>
      <c r="H55" s="41" t="s">
        <v>70</v>
      </c>
      <c r="J55" s="54" t="s">
        <v>69</v>
      </c>
      <c r="K55" s="20">
        <f>EXP(K54)</f>
        <v>7.800231123498247</v>
      </c>
      <c r="L55" s="41" t="s">
        <v>70</v>
      </c>
      <c r="N55" s="54" t="s">
        <v>69</v>
      </c>
      <c r="O55" s="20">
        <f>EXP(O54)</f>
        <v>7.800231123498247</v>
      </c>
      <c r="P55" s="41" t="s">
        <v>70</v>
      </c>
      <c r="R55" s="54" t="s">
        <v>69</v>
      </c>
      <c r="S55" s="20">
        <f>EXP(S54)</f>
        <v>7.800231123498247</v>
      </c>
      <c r="T55" s="41" t="s">
        <v>70</v>
      </c>
    </row>
    <row r="56" spans="2:20" ht="12.75">
      <c r="B56" s="87"/>
      <c r="C56" s="97" t="s">
        <v>71</v>
      </c>
      <c r="D56" s="85">
        <f>(D44/D45)*100</f>
        <v>97.43301037715344</v>
      </c>
      <c r="F56" s="40"/>
      <c r="G56" s="21" t="s">
        <v>71</v>
      </c>
      <c r="H56" s="73">
        <f>(H44/H45)*100</f>
        <v>97.43301037715344</v>
      </c>
      <c r="J56" s="40"/>
      <c r="K56" s="21" t="s">
        <v>71</v>
      </c>
      <c r="L56" s="73">
        <f>(L44/L45)*100</f>
        <v>93.58697049384476</v>
      </c>
      <c r="N56" s="40"/>
      <c r="O56" s="21" t="s">
        <v>71</v>
      </c>
      <c r="P56" s="73">
        <f>(P44/P45)*100</f>
        <v>99.9970369660259</v>
      </c>
      <c r="R56" s="40"/>
      <c r="S56" s="21" t="s">
        <v>71</v>
      </c>
      <c r="T56" s="73">
        <f>(T44/T45)*100</f>
        <v>97.43301037715344</v>
      </c>
    </row>
    <row r="57" spans="2:20" ht="13.5" thickBot="1">
      <c r="B57" s="87"/>
      <c r="C57" s="88"/>
      <c r="D57" s="89"/>
      <c r="F57" s="40"/>
      <c r="G57" s="18"/>
      <c r="H57" s="41"/>
      <c r="J57" s="40"/>
      <c r="K57" s="18"/>
      <c r="L57" s="41"/>
      <c r="N57" s="40"/>
      <c r="O57" s="18"/>
      <c r="P57" s="41"/>
      <c r="R57" s="40"/>
      <c r="S57" s="18"/>
      <c r="T57" s="41"/>
    </row>
    <row r="58" spans="2:20" ht="12.75">
      <c r="B58" s="175" t="s">
        <v>72</v>
      </c>
      <c r="C58" s="176"/>
      <c r="D58" s="177"/>
      <c r="F58" s="194" t="s">
        <v>72</v>
      </c>
      <c r="G58" s="195"/>
      <c r="H58" s="196"/>
      <c r="J58" s="207" t="s">
        <v>72</v>
      </c>
      <c r="K58" s="208"/>
      <c r="L58" s="209"/>
      <c r="N58" s="210" t="s">
        <v>72</v>
      </c>
      <c r="O58" s="211"/>
      <c r="P58" s="212"/>
      <c r="R58" s="213" t="s">
        <v>72</v>
      </c>
      <c r="S58" s="214"/>
      <c r="T58" s="215"/>
    </row>
    <row r="59" spans="2:20" ht="12.75">
      <c r="B59" s="110"/>
      <c r="C59" s="111"/>
      <c r="D59" s="104"/>
      <c r="F59" s="55"/>
      <c r="G59" s="28"/>
      <c r="H59" s="51"/>
      <c r="J59" s="55"/>
      <c r="K59" s="28"/>
      <c r="L59" s="51"/>
      <c r="N59" s="55"/>
      <c r="O59" s="28"/>
      <c r="P59" s="51"/>
      <c r="R59" s="55"/>
      <c r="S59" s="28"/>
      <c r="T59" s="51"/>
    </row>
    <row r="60" spans="2:20" ht="12.75">
      <c r="B60" s="90" t="s">
        <v>74</v>
      </c>
      <c r="C60" s="135">
        <v>2</v>
      </c>
      <c r="D60" s="112"/>
      <c r="F60" s="42" t="s">
        <v>74</v>
      </c>
      <c r="G60" s="152">
        <v>2</v>
      </c>
      <c r="H60" s="56"/>
      <c r="J60" s="42" t="s">
        <v>74</v>
      </c>
      <c r="K60" s="135">
        <v>2</v>
      </c>
      <c r="L60" s="56"/>
      <c r="N60" s="42" t="s">
        <v>74</v>
      </c>
      <c r="O60" s="135">
        <v>2</v>
      </c>
      <c r="P60" s="56"/>
      <c r="R60" s="42" t="s">
        <v>74</v>
      </c>
      <c r="S60" s="168">
        <v>2</v>
      </c>
      <c r="T60" s="56"/>
    </row>
    <row r="61" spans="2:21" ht="12.75">
      <c r="B61" s="87"/>
      <c r="C61" s="88"/>
      <c r="D61" s="89"/>
      <c r="E61" s="8"/>
      <c r="F61" s="40"/>
      <c r="G61" s="18"/>
      <c r="H61" s="41"/>
      <c r="I61" s="8"/>
      <c r="J61" s="40"/>
      <c r="K61" s="18"/>
      <c r="L61" s="41"/>
      <c r="M61" s="8"/>
      <c r="N61" s="40"/>
      <c r="O61" s="18"/>
      <c r="P61" s="41"/>
      <c r="Q61" s="8"/>
      <c r="R61" s="40"/>
      <c r="S61" s="18"/>
      <c r="T61" s="41"/>
      <c r="U61" s="8"/>
    </row>
    <row r="62" spans="2:20" ht="12.75">
      <c r="B62" s="91" t="s">
        <v>76</v>
      </c>
      <c r="C62" s="92">
        <v>100</v>
      </c>
      <c r="D62" s="89">
        <f>IF(C60="",0,IF(C60&lt;1.311,C62,0))</f>
        <v>0</v>
      </c>
      <c r="F62" s="43" t="s">
        <v>76</v>
      </c>
      <c r="G62" s="24">
        <v>100</v>
      </c>
      <c r="H62" s="41">
        <f>IF(G60="",0,IF(G60&lt;1.311,G62,0))</f>
        <v>0</v>
      </c>
      <c r="J62" s="43" t="s">
        <v>76</v>
      </c>
      <c r="K62" s="24">
        <v>100</v>
      </c>
      <c r="L62" s="41">
        <f>IF(K60="",0,IF(K60&lt;1.311,K62,0))</f>
        <v>0</v>
      </c>
      <c r="N62" s="43" t="s">
        <v>76</v>
      </c>
      <c r="O62" s="24">
        <v>100</v>
      </c>
      <c r="P62" s="41">
        <f>IF(O60="",0,IF(O60&lt;1.311,O62,0))</f>
        <v>0</v>
      </c>
      <c r="R62" s="43" t="s">
        <v>76</v>
      </c>
      <c r="S62" s="24">
        <v>100</v>
      </c>
      <c r="T62" s="41">
        <f>IF(S60="",0,IF(S60&lt;1.311,S62,0))</f>
        <v>0</v>
      </c>
    </row>
    <row r="63" spans="2:20" ht="12.75">
      <c r="B63" s="91" t="s">
        <v>77</v>
      </c>
      <c r="C63" s="92">
        <f>IF(OR(C60="",C60=0),0,120*POWER(C60,-0.673))</f>
        <v>75.26413227125968</v>
      </c>
      <c r="D63" s="93">
        <f>IF(C60&gt;1.311,C63,0)</f>
        <v>75.26413227125968</v>
      </c>
      <c r="F63" s="43" t="s">
        <v>77</v>
      </c>
      <c r="G63" s="24">
        <f>IF(OR(G60="",G60=0),0,120*POWER(G60,-0.673))</f>
        <v>75.26413227125968</v>
      </c>
      <c r="H63" s="44">
        <f>IF(G60&gt;1.311,G63,0)</f>
        <v>75.26413227125968</v>
      </c>
      <c r="J63" s="43" t="s">
        <v>77</v>
      </c>
      <c r="K63" s="24">
        <f>IF(OR(K60="",K60=0),0,120*POWER(K60,-0.673))</f>
        <v>75.26413227125968</v>
      </c>
      <c r="L63" s="44">
        <f>IF(K60&gt;1.311,K63,0)</f>
        <v>75.26413227125968</v>
      </c>
      <c r="N63" s="43" t="s">
        <v>77</v>
      </c>
      <c r="O63" s="24">
        <f>IF(OR(O60="",O60=0),0,120*POWER(O60,-0.673))</f>
        <v>75.26413227125968</v>
      </c>
      <c r="P63" s="44">
        <f>IF(O60&gt;1.311,O63,0)</f>
        <v>75.26413227125968</v>
      </c>
      <c r="R63" s="43" t="s">
        <v>77</v>
      </c>
      <c r="S63" s="24">
        <f>IF(OR(S60="",S60=0),0,120*POWER(S60,-0.673))</f>
        <v>75.26413227125968</v>
      </c>
      <c r="T63" s="44">
        <f>IF(S60&gt;1.311,S63,0)</f>
        <v>75.26413227125968</v>
      </c>
    </row>
    <row r="64" spans="2:21" ht="12.75">
      <c r="B64" s="87"/>
      <c r="C64" s="100" t="s">
        <v>79</v>
      </c>
      <c r="D64" s="85">
        <f>SUM(D62:D63)</f>
        <v>75.26413227125968</v>
      </c>
      <c r="E64" s="9"/>
      <c r="F64" s="40"/>
      <c r="G64" s="25" t="s">
        <v>79</v>
      </c>
      <c r="H64" s="73">
        <f>SUM(H62:H63)</f>
        <v>75.26413227125968</v>
      </c>
      <c r="I64" s="9"/>
      <c r="J64" s="40"/>
      <c r="K64" s="25" t="s">
        <v>79</v>
      </c>
      <c r="L64" s="73">
        <f>SUM(L62:L63)</f>
        <v>75.26413227125968</v>
      </c>
      <c r="M64" s="9"/>
      <c r="N64" s="40"/>
      <c r="O64" s="25" t="s">
        <v>79</v>
      </c>
      <c r="P64" s="73">
        <f>SUM(P62:P63)</f>
        <v>75.26413227125968</v>
      </c>
      <c r="Q64" s="9"/>
      <c r="R64" s="40"/>
      <c r="S64" s="25" t="s">
        <v>79</v>
      </c>
      <c r="T64" s="73">
        <f>SUM(T62:T63)</f>
        <v>75.26413227125968</v>
      </c>
      <c r="U64" s="9"/>
    </row>
    <row r="65" spans="2:20" ht="13.5" thickBot="1">
      <c r="B65" s="113"/>
      <c r="C65" s="114"/>
      <c r="D65" s="115"/>
      <c r="F65" s="57"/>
      <c r="G65" s="29"/>
      <c r="H65" s="58"/>
      <c r="J65" s="57"/>
      <c r="K65" s="29"/>
      <c r="L65" s="58"/>
      <c r="N65" s="57"/>
      <c r="O65" s="29"/>
      <c r="P65" s="58"/>
      <c r="R65" s="57"/>
      <c r="S65" s="29"/>
      <c r="T65" s="58"/>
    </row>
    <row r="66" spans="2:20" ht="12.75">
      <c r="B66" s="175" t="s">
        <v>15</v>
      </c>
      <c r="C66" s="176"/>
      <c r="D66" s="177"/>
      <c r="F66" s="194" t="s">
        <v>15</v>
      </c>
      <c r="G66" s="195"/>
      <c r="H66" s="196"/>
      <c r="J66" s="207" t="s">
        <v>15</v>
      </c>
      <c r="K66" s="208"/>
      <c r="L66" s="209"/>
      <c r="N66" s="210" t="s">
        <v>15</v>
      </c>
      <c r="O66" s="211"/>
      <c r="P66" s="212"/>
      <c r="R66" s="213" t="s">
        <v>15</v>
      </c>
      <c r="S66" s="214"/>
      <c r="T66" s="215"/>
    </row>
    <row r="67" spans="2:20" ht="13.5">
      <c r="B67" s="116" t="s">
        <v>109</v>
      </c>
      <c r="C67" s="88"/>
      <c r="D67" s="89"/>
      <c r="F67" s="59" t="s">
        <v>109</v>
      </c>
      <c r="G67" s="18"/>
      <c r="H67" s="41"/>
      <c r="J67" s="59" t="s">
        <v>109</v>
      </c>
      <c r="K67" s="18"/>
      <c r="L67" s="41"/>
      <c r="N67" s="59" t="s">
        <v>109</v>
      </c>
      <c r="O67" s="18"/>
      <c r="P67" s="41"/>
      <c r="R67" s="59" t="s">
        <v>109</v>
      </c>
      <c r="S67" s="18"/>
      <c r="T67" s="41"/>
    </row>
    <row r="68" spans="2:20" ht="12.75">
      <c r="B68" s="117" t="s">
        <v>82</v>
      </c>
      <c r="C68" s="136"/>
      <c r="D68" s="89"/>
      <c r="F68" s="60" t="s">
        <v>82</v>
      </c>
      <c r="G68" s="153"/>
      <c r="H68" s="41"/>
      <c r="J68" s="60" t="s">
        <v>82</v>
      </c>
      <c r="K68" s="136"/>
      <c r="L68" s="41"/>
      <c r="N68" s="60" t="s">
        <v>82</v>
      </c>
      <c r="O68" s="136"/>
      <c r="P68" s="41"/>
      <c r="R68" s="60" t="s">
        <v>82</v>
      </c>
      <c r="S68" s="166"/>
      <c r="T68" s="41"/>
    </row>
    <row r="69" spans="2:20" ht="12.75">
      <c r="B69" s="118" t="s">
        <v>110</v>
      </c>
      <c r="C69" s="95">
        <f>IF(C68="",0,POWER(10,1.974-(0.00174*C68)))</f>
        <v>0</v>
      </c>
      <c r="D69" s="89"/>
      <c r="F69" s="61" t="s">
        <v>110</v>
      </c>
      <c r="G69" s="20">
        <f>IF(G68="",0,POWER(10,1.974-(0.00174*G68)))</f>
        <v>0</v>
      </c>
      <c r="H69" s="41"/>
      <c r="J69" s="61" t="s">
        <v>110</v>
      </c>
      <c r="K69" s="20">
        <f>IF(K68="",0,POWER(10,1.974-(0.00174*K68)))</f>
        <v>0</v>
      </c>
      <c r="L69" s="41"/>
      <c r="N69" s="61" t="s">
        <v>110</v>
      </c>
      <c r="O69" s="20">
        <f>IF(O68="",0,POWER(10,1.974-(0.00174*O68)))</f>
        <v>0</v>
      </c>
      <c r="P69" s="41"/>
      <c r="R69" s="61" t="s">
        <v>110</v>
      </c>
      <c r="S69" s="20">
        <f>IF(S68="",0,POWER(10,1.974-(0.00174*S68)))</f>
        <v>0</v>
      </c>
      <c r="T69" s="41"/>
    </row>
    <row r="70" spans="2:20" ht="12.75">
      <c r="B70" s="87"/>
      <c r="C70" s="88"/>
      <c r="D70" s="89"/>
      <c r="F70" s="40"/>
      <c r="G70" s="18"/>
      <c r="H70" s="41"/>
      <c r="J70" s="40"/>
      <c r="K70" s="18"/>
      <c r="L70" s="41"/>
      <c r="N70" s="40"/>
      <c r="O70" s="18"/>
      <c r="P70" s="41"/>
      <c r="R70" s="40"/>
      <c r="S70" s="18"/>
      <c r="T70" s="41"/>
    </row>
    <row r="71" spans="2:20" ht="12.75">
      <c r="B71" s="87" t="s">
        <v>83</v>
      </c>
      <c r="C71" s="95">
        <f>IF(C68&lt;2500,C69,0)</f>
        <v>0</v>
      </c>
      <c r="D71" s="89"/>
      <c r="F71" s="40" t="s">
        <v>83</v>
      </c>
      <c r="G71" s="20">
        <f>IF(G68&lt;2500,G69,0)</f>
        <v>0</v>
      </c>
      <c r="H71" s="41"/>
      <c r="J71" s="40" t="s">
        <v>83</v>
      </c>
      <c r="K71" s="20">
        <f>IF(K68&lt;2500,K69,0)</f>
        <v>0</v>
      </c>
      <c r="L71" s="41"/>
      <c r="N71" s="40" t="s">
        <v>83</v>
      </c>
      <c r="O71" s="20">
        <f>IF(O68&lt;2500,O69,0)</f>
        <v>0</v>
      </c>
      <c r="P71" s="41"/>
      <c r="R71" s="40" t="s">
        <v>83</v>
      </c>
      <c r="S71" s="20">
        <f>IF(S68&lt;2500,S69,0)</f>
        <v>0</v>
      </c>
      <c r="T71" s="41"/>
    </row>
    <row r="72" spans="2:20" ht="12.75">
      <c r="B72" s="87" t="s">
        <v>85</v>
      </c>
      <c r="C72" s="95">
        <f>IF(C68&gt;2500,C69,0)</f>
        <v>0</v>
      </c>
      <c r="D72" s="89"/>
      <c r="F72" s="40" t="s">
        <v>85</v>
      </c>
      <c r="G72" s="20">
        <f>IF(G68&gt;2500,G69,0)</f>
        <v>0</v>
      </c>
      <c r="H72" s="41"/>
      <c r="J72" s="40" t="s">
        <v>85</v>
      </c>
      <c r="K72" s="20">
        <f>IF(K68&gt;2500,K69,0)</f>
        <v>0</v>
      </c>
      <c r="L72" s="41"/>
      <c r="N72" s="40" t="s">
        <v>85</v>
      </c>
      <c r="O72" s="20">
        <f>IF(O68&gt;2500,O69,0)</f>
        <v>0</v>
      </c>
      <c r="P72" s="41"/>
      <c r="R72" s="40" t="s">
        <v>85</v>
      </c>
      <c r="S72" s="20">
        <f>IF(S68&gt;2500,S69,0)</f>
        <v>0</v>
      </c>
      <c r="T72" s="41"/>
    </row>
    <row r="73" spans="2:20" ht="12.75">
      <c r="B73" s="118" t="s">
        <v>110</v>
      </c>
      <c r="C73" s="85">
        <f>SUM(C71:C72)</f>
        <v>0</v>
      </c>
      <c r="D73" s="89"/>
      <c r="F73" s="61" t="s">
        <v>110</v>
      </c>
      <c r="G73" s="73">
        <f>SUM(G71:G72)</f>
        <v>0</v>
      </c>
      <c r="H73" s="41"/>
      <c r="J73" s="61" t="s">
        <v>110</v>
      </c>
      <c r="K73" s="73">
        <f>SUM(K71:K72)</f>
        <v>0</v>
      </c>
      <c r="L73" s="41"/>
      <c r="N73" s="61" t="s">
        <v>110</v>
      </c>
      <c r="O73" s="73">
        <f>SUM(O71:O72)</f>
        <v>0</v>
      </c>
      <c r="P73" s="41"/>
      <c r="R73" s="61" t="s">
        <v>110</v>
      </c>
      <c r="S73" s="73">
        <f>SUM(S71:S72)</f>
        <v>0</v>
      </c>
      <c r="T73" s="41"/>
    </row>
    <row r="74" spans="2:20" ht="13.5" thickBot="1">
      <c r="B74" s="87"/>
      <c r="C74" s="88"/>
      <c r="D74" s="89"/>
      <c r="F74" s="40"/>
      <c r="G74" s="18"/>
      <c r="H74" s="41"/>
      <c r="J74" s="40"/>
      <c r="K74" s="18"/>
      <c r="L74" s="41"/>
      <c r="N74" s="40"/>
      <c r="O74" s="18"/>
      <c r="P74" s="41"/>
      <c r="R74" s="40"/>
      <c r="S74" s="18"/>
      <c r="T74" s="41"/>
    </row>
    <row r="75" spans="2:20" ht="12.75">
      <c r="B75" s="175" t="s">
        <v>16</v>
      </c>
      <c r="C75" s="176"/>
      <c r="D75" s="177"/>
      <c r="F75" s="194" t="s">
        <v>16</v>
      </c>
      <c r="G75" s="195"/>
      <c r="H75" s="196"/>
      <c r="J75" s="207" t="s">
        <v>16</v>
      </c>
      <c r="K75" s="208"/>
      <c r="L75" s="209"/>
      <c r="N75" s="210" t="s">
        <v>16</v>
      </c>
      <c r="O75" s="211"/>
      <c r="P75" s="212"/>
      <c r="R75" s="213" t="s">
        <v>16</v>
      </c>
      <c r="S75" s="214"/>
      <c r="T75" s="215"/>
    </row>
    <row r="76" spans="2:20" ht="12.75">
      <c r="B76" s="116" t="s">
        <v>7</v>
      </c>
      <c r="C76" s="88"/>
      <c r="D76" s="89"/>
      <c r="F76" s="59" t="s">
        <v>7</v>
      </c>
      <c r="G76" s="18"/>
      <c r="H76" s="41"/>
      <c r="J76" s="59" t="s">
        <v>7</v>
      </c>
      <c r="K76" s="18"/>
      <c r="L76" s="41"/>
      <c r="N76" s="59" t="s">
        <v>7</v>
      </c>
      <c r="O76" s="18"/>
      <c r="P76" s="41"/>
      <c r="R76" s="59" t="s">
        <v>7</v>
      </c>
      <c r="S76" s="18"/>
      <c r="T76" s="41"/>
    </row>
    <row r="77" spans="2:20" ht="12.75">
      <c r="B77" s="87"/>
      <c r="C77" s="88"/>
      <c r="D77" s="89"/>
      <c r="F77" s="40"/>
      <c r="G77" s="18"/>
      <c r="H77" s="41"/>
      <c r="J77" s="40"/>
      <c r="K77" s="18"/>
      <c r="L77" s="41"/>
      <c r="N77" s="40"/>
      <c r="O77" s="18"/>
      <c r="P77" s="41"/>
      <c r="R77" s="40"/>
      <c r="S77" s="18"/>
      <c r="T77" s="41"/>
    </row>
    <row r="78" spans="2:20" ht="12.75">
      <c r="B78" s="117" t="s">
        <v>89</v>
      </c>
      <c r="C78" s="136"/>
      <c r="D78" s="89"/>
      <c r="F78" s="60" t="s">
        <v>89</v>
      </c>
      <c r="G78" s="153"/>
      <c r="H78" s="41"/>
      <c r="J78" s="60" t="s">
        <v>89</v>
      </c>
      <c r="K78" s="136"/>
      <c r="L78" s="41"/>
      <c r="N78" s="60" t="s">
        <v>89</v>
      </c>
      <c r="O78" s="136"/>
      <c r="P78" s="41"/>
      <c r="R78" s="60" t="s">
        <v>89</v>
      </c>
      <c r="S78" s="166"/>
      <c r="T78" s="41"/>
    </row>
    <row r="79" spans="2:20" ht="12.75">
      <c r="B79" s="118" t="s">
        <v>112</v>
      </c>
      <c r="C79" s="95">
        <f>IF(OR(C78="",C78=0),0,34.215*POWER(C78,-0.46))</f>
        <v>0</v>
      </c>
      <c r="D79" s="89"/>
      <c r="F79" s="61" t="s">
        <v>112</v>
      </c>
      <c r="G79" s="20">
        <f>IF(OR(G78="",G78=0),0,34.215*POWER(G78,-0.46))</f>
        <v>0</v>
      </c>
      <c r="H79" s="41"/>
      <c r="J79" s="61" t="s">
        <v>112</v>
      </c>
      <c r="K79" s="20">
        <f>IF(OR(K78="",K78=0),0,34.215*POWER(K78,-0.46))</f>
        <v>0</v>
      </c>
      <c r="L79" s="41"/>
      <c r="N79" s="61" t="s">
        <v>112</v>
      </c>
      <c r="O79" s="20">
        <f>IF(OR(O78="",O78=0),0,34.215*POWER(O78,-0.46))</f>
        <v>0</v>
      </c>
      <c r="P79" s="41"/>
      <c r="R79" s="61" t="s">
        <v>112</v>
      </c>
      <c r="S79" s="20">
        <f>IF(OR(S78="",S78=0),0,34.215*POWER(S78,-0.46))</f>
        <v>0</v>
      </c>
      <c r="T79" s="41"/>
    </row>
    <row r="80" spans="2:20" ht="12.75">
      <c r="B80" s="87"/>
      <c r="C80" s="88"/>
      <c r="D80" s="89"/>
      <c r="F80" s="40"/>
      <c r="G80" s="18"/>
      <c r="H80" s="41"/>
      <c r="J80" s="40"/>
      <c r="K80" s="18"/>
      <c r="L80" s="41"/>
      <c r="N80" s="40"/>
      <c r="O80" s="18"/>
      <c r="P80" s="41"/>
      <c r="R80" s="40"/>
      <c r="S80" s="18"/>
      <c r="T80" s="41"/>
    </row>
    <row r="81" spans="2:20" ht="14.25">
      <c r="B81" s="87" t="s">
        <v>113</v>
      </c>
      <c r="C81" s="95">
        <f>IF(C78&lt;2.351,C79,0)</f>
        <v>0</v>
      </c>
      <c r="D81" s="89"/>
      <c r="F81" s="40" t="s">
        <v>113</v>
      </c>
      <c r="G81" s="20">
        <f>IF(G78&lt;2.351,G79,0)</f>
        <v>0</v>
      </c>
      <c r="H81" s="41"/>
      <c r="J81" s="40" t="s">
        <v>113</v>
      </c>
      <c r="K81" s="20">
        <f>IF(K78&lt;2.351,K79,0)</f>
        <v>0</v>
      </c>
      <c r="L81" s="41"/>
      <c r="N81" s="40" t="s">
        <v>113</v>
      </c>
      <c r="O81" s="20">
        <f>IF(O78&lt;2.351,O79,0)</f>
        <v>0</v>
      </c>
      <c r="P81" s="41"/>
      <c r="R81" s="40" t="s">
        <v>113</v>
      </c>
      <c r="S81" s="20">
        <f>IF(S78&lt;2.351,S79,0)</f>
        <v>0</v>
      </c>
      <c r="T81" s="41"/>
    </row>
    <row r="82" spans="2:20" ht="14.25">
      <c r="B82" s="87" t="s">
        <v>114</v>
      </c>
      <c r="C82" s="95">
        <f>IF(C78&gt;2.351,C79,0)</f>
        <v>0</v>
      </c>
      <c r="D82" s="89"/>
      <c r="F82" s="40" t="s">
        <v>114</v>
      </c>
      <c r="G82" s="20">
        <f>IF(G78&gt;2.351,G79,0)</f>
        <v>0</v>
      </c>
      <c r="H82" s="41"/>
      <c r="J82" s="40" t="s">
        <v>114</v>
      </c>
      <c r="K82" s="20">
        <f>IF(K78&gt;2.351,K79,0)</f>
        <v>0</v>
      </c>
      <c r="L82" s="41"/>
      <c r="N82" s="40" t="s">
        <v>114</v>
      </c>
      <c r="O82" s="20">
        <f>IF(O78&gt;2.351,O79,0)</f>
        <v>0</v>
      </c>
      <c r="P82" s="41"/>
      <c r="R82" s="40" t="s">
        <v>114</v>
      </c>
      <c r="S82" s="20">
        <f>IF(S78&gt;2.351,S79,0)</f>
        <v>0</v>
      </c>
      <c r="T82" s="41"/>
    </row>
    <row r="83" spans="2:20" ht="12.75">
      <c r="B83" s="118" t="s">
        <v>112</v>
      </c>
      <c r="C83" s="85">
        <f>SUM(C81:C82)</f>
        <v>0</v>
      </c>
      <c r="D83" s="89"/>
      <c r="F83" s="61" t="s">
        <v>112</v>
      </c>
      <c r="G83" s="73">
        <f>SUM(G81:G82)</f>
        <v>0</v>
      </c>
      <c r="H83" s="41"/>
      <c r="J83" s="61" t="s">
        <v>112</v>
      </c>
      <c r="K83" s="73">
        <f>SUM(K81:K82)</f>
        <v>0</v>
      </c>
      <c r="L83" s="41"/>
      <c r="N83" s="61" t="s">
        <v>112</v>
      </c>
      <c r="O83" s="73">
        <f>SUM(O81:O82)</f>
        <v>0</v>
      </c>
      <c r="P83" s="41"/>
      <c r="R83" s="61" t="s">
        <v>112</v>
      </c>
      <c r="S83" s="73">
        <f>SUM(S81:S82)</f>
        <v>0</v>
      </c>
      <c r="T83" s="41"/>
    </row>
    <row r="84" spans="2:20" ht="13.5" thickBot="1">
      <c r="B84" s="87"/>
      <c r="C84" s="88"/>
      <c r="D84" s="89"/>
      <c r="F84" s="40"/>
      <c r="G84" s="18"/>
      <c r="H84" s="41"/>
      <c r="J84" s="40"/>
      <c r="K84" s="18"/>
      <c r="L84" s="41"/>
      <c r="N84" s="40"/>
      <c r="O84" s="18"/>
      <c r="P84" s="41"/>
      <c r="R84" s="40"/>
      <c r="S84" s="18"/>
      <c r="T84" s="41"/>
    </row>
    <row r="85" spans="2:20" ht="12.75">
      <c r="B85" s="175" t="s">
        <v>17</v>
      </c>
      <c r="C85" s="176"/>
      <c r="D85" s="177"/>
      <c r="F85" s="194" t="s">
        <v>17</v>
      </c>
      <c r="G85" s="195"/>
      <c r="H85" s="196"/>
      <c r="J85" s="207" t="s">
        <v>17</v>
      </c>
      <c r="K85" s="208"/>
      <c r="L85" s="209"/>
      <c r="N85" s="210" t="s">
        <v>17</v>
      </c>
      <c r="O85" s="211"/>
      <c r="P85" s="212"/>
      <c r="R85" s="213" t="s">
        <v>17</v>
      </c>
      <c r="S85" s="214"/>
      <c r="T85" s="215"/>
    </row>
    <row r="86" spans="2:20" ht="12.75">
      <c r="B86" s="87"/>
      <c r="C86" s="88"/>
      <c r="D86" s="89"/>
      <c r="F86" s="40"/>
      <c r="G86" s="18"/>
      <c r="H86" s="41"/>
      <c r="J86" s="40"/>
      <c r="K86" s="18"/>
      <c r="L86" s="41"/>
      <c r="N86" s="40"/>
      <c r="O86" s="18"/>
      <c r="P86" s="41"/>
      <c r="R86" s="40"/>
      <c r="S86" s="18"/>
      <c r="T86" s="41"/>
    </row>
    <row r="87" spans="2:20" ht="12.75">
      <c r="B87" s="116" t="s">
        <v>116</v>
      </c>
      <c r="C87" s="88"/>
      <c r="D87" s="89"/>
      <c r="F87" s="59" t="s">
        <v>116</v>
      </c>
      <c r="G87" s="18"/>
      <c r="H87" s="41"/>
      <c r="J87" s="59" t="s">
        <v>116</v>
      </c>
      <c r="K87" s="18"/>
      <c r="L87" s="41"/>
      <c r="N87" s="59" t="s">
        <v>116</v>
      </c>
      <c r="O87" s="18"/>
      <c r="P87" s="41"/>
      <c r="R87" s="59" t="s">
        <v>116</v>
      </c>
      <c r="S87" s="18"/>
      <c r="T87" s="41"/>
    </row>
    <row r="88" spans="2:20" ht="12.75">
      <c r="B88" s="87"/>
      <c r="C88" s="88"/>
      <c r="D88" s="89"/>
      <c r="F88" s="40"/>
      <c r="G88" s="18"/>
      <c r="H88" s="41"/>
      <c r="J88" s="40"/>
      <c r="K88" s="18"/>
      <c r="L88" s="41"/>
      <c r="N88" s="40"/>
      <c r="O88" s="18"/>
      <c r="P88" s="41"/>
      <c r="R88" s="40"/>
      <c r="S88" s="18"/>
      <c r="T88" s="41"/>
    </row>
    <row r="89" spans="2:20" ht="12.75">
      <c r="B89" s="117" t="s">
        <v>93</v>
      </c>
      <c r="C89" s="136"/>
      <c r="D89" s="89"/>
      <c r="F89" s="60" t="s">
        <v>93</v>
      </c>
      <c r="G89" s="153"/>
      <c r="H89" s="41"/>
      <c r="J89" s="60" t="s">
        <v>93</v>
      </c>
      <c r="K89" s="136"/>
      <c r="L89" s="41"/>
      <c r="N89" s="60" t="s">
        <v>93</v>
      </c>
      <c r="O89" s="136"/>
      <c r="P89" s="41"/>
      <c r="R89" s="60" t="s">
        <v>93</v>
      </c>
      <c r="S89" s="166"/>
      <c r="T89" s="41"/>
    </row>
    <row r="90" spans="2:20" ht="15.75">
      <c r="B90" s="118" t="s">
        <v>117</v>
      </c>
      <c r="C90" s="95">
        <f>IF(OR(C89="",C89=0),0,105*POWER(C89,-0.186))</f>
        <v>0</v>
      </c>
      <c r="D90" s="89"/>
      <c r="F90" s="61" t="s">
        <v>117</v>
      </c>
      <c r="G90" s="20">
        <f>IF(OR(G89="",G89=0),0,105*POWER(G89,-0.186))</f>
        <v>0</v>
      </c>
      <c r="H90" s="41"/>
      <c r="J90" s="61" t="s">
        <v>117</v>
      </c>
      <c r="K90" s="20">
        <f>IF(OR(K89="",K89=0),0,105*POWER(K89,-0.186))</f>
        <v>0</v>
      </c>
      <c r="L90" s="41"/>
      <c r="N90" s="61" t="s">
        <v>117</v>
      </c>
      <c r="O90" s="20">
        <f>IF(OR(O89="",O89=0),0,105*POWER(O89,-0.186))</f>
        <v>0</v>
      </c>
      <c r="P90" s="41"/>
      <c r="R90" s="61" t="s">
        <v>117</v>
      </c>
      <c r="S90" s="20">
        <f>IF(OR(S89="",S89=0),0,105*POWER(S89,-0.186))</f>
        <v>0</v>
      </c>
      <c r="T90" s="41"/>
    </row>
    <row r="91" spans="2:20" ht="12.75">
      <c r="B91" s="87"/>
      <c r="C91" s="88"/>
      <c r="D91" s="89"/>
      <c r="F91" s="40"/>
      <c r="G91" s="18"/>
      <c r="H91" s="41"/>
      <c r="J91" s="40"/>
      <c r="K91" s="18"/>
      <c r="L91" s="41"/>
      <c r="N91" s="40"/>
      <c r="O91" s="18"/>
      <c r="P91" s="41"/>
      <c r="R91" s="40"/>
      <c r="S91" s="18"/>
      <c r="T91" s="41"/>
    </row>
    <row r="92" spans="2:20" ht="12.75">
      <c r="B92" s="87" t="s">
        <v>94</v>
      </c>
      <c r="C92" s="95">
        <f>IF(C89&lt;1.3,C90,0)</f>
        <v>0</v>
      </c>
      <c r="D92" s="89"/>
      <c r="F92" s="40" t="s">
        <v>94</v>
      </c>
      <c r="G92" s="20">
        <f>IF(G89&lt;1.3,G90,0)</f>
        <v>0</v>
      </c>
      <c r="H92" s="41"/>
      <c r="J92" s="40" t="s">
        <v>94</v>
      </c>
      <c r="K92" s="20">
        <f>IF(K89&lt;1.3,K90,0)</f>
        <v>0</v>
      </c>
      <c r="L92" s="41"/>
      <c r="N92" s="40" t="s">
        <v>94</v>
      </c>
      <c r="O92" s="20">
        <f>IF(O89&lt;1.3,O90,0)</f>
        <v>0</v>
      </c>
      <c r="P92" s="41"/>
      <c r="R92" s="40" t="s">
        <v>94</v>
      </c>
      <c r="S92" s="20">
        <f>IF(S89&lt;1.3,S90,0)</f>
        <v>0</v>
      </c>
      <c r="T92" s="41"/>
    </row>
    <row r="93" spans="2:20" ht="12.75">
      <c r="B93" s="87" t="s">
        <v>95</v>
      </c>
      <c r="C93" s="95">
        <f>IF(C89&gt;1.3,C90,0)</f>
        <v>0</v>
      </c>
      <c r="D93" s="89"/>
      <c r="F93" s="40" t="s">
        <v>95</v>
      </c>
      <c r="G93" s="20">
        <f>IF(G89&gt;1.3,G90,0)</f>
        <v>0</v>
      </c>
      <c r="H93" s="41"/>
      <c r="J93" s="40" t="s">
        <v>95</v>
      </c>
      <c r="K93" s="20">
        <f>IF(K89&gt;1.3,K90,0)</f>
        <v>0</v>
      </c>
      <c r="L93" s="41"/>
      <c r="N93" s="40" t="s">
        <v>95</v>
      </c>
      <c r="O93" s="20">
        <f>IF(O89&gt;1.3,O90,0)</f>
        <v>0</v>
      </c>
      <c r="P93" s="41"/>
      <c r="R93" s="40" t="s">
        <v>95</v>
      </c>
      <c r="S93" s="20">
        <f>IF(S89&gt;1.3,S90,0)</f>
        <v>0</v>
      </c>
      <c r="T93" s="41"/>
    </row>
    <row r="94" spans="2:20" ht="15.75">
      <c r="B94" s="118" t="s">
        <v>117</v>
      </c>
      <c r="C94" s="85">
        <f>SUM(C92:C93)</f>
        <v>0</v>
      </c>
      <c r="D94" s="89"/>
      <c r="F94" s="61" t="s">
        <v>117</v>
      </c>
      <c r="G94" s="73">
        <f>SUM(G92:G93)</f>
        <v>0</v>
      </c>
      <c r="H94" s="41"/>
      <c r="J94" s="61" t="s">
        <v>117</v>
      </c>
      <c r="K94" s="73">
        <f>SUM(K92:K93)</f>
        <v>0</v>
      </c>
      <c r="L94" s="41"/>
      <c r="N94" s="61" t="s">
        <v>117</v>
      </c>
      <c r="O94" s="73">
        <f>SUM(O92:O93)</f>
        <v>0</v>
      </c>
      <c r="P94" s="41"/>
      <c r="R94" s="61" t="s">
        <v>117</v>
      </c>
      <c r="S94" s="73">
        <f>SUM(S92:S93)</f>
        <v>0</v>
      </c>
      <c r="T94" s="41"/>
    </row>
    <row r="95" spans="2:20" ht="13.5" thickBot="1">
      <c r="B95" s="87"/>
      <c r="C95" s="88"/>
      <c r="D95" s="89"/>
      <c r="F95" s="40"/>
      <c r="G95" s="18"/>
      <c r="H95" s="41"/>
      <c r="J95" s="40"/>
      <c r="K95" s="18"/>
      <c r="L95" s="41"/>
      <c r="N95" s="40"/>
      <c r="O95" s="18"/>
      <c r="P95" s="41"/>
      <c r="R95" s="40"/>
      <c r="S95" s="18"/>
      <c r="T95" s="41"/>
    </row>
    <row r="96" spans="2:20" ht="12.75">
      <c r="B96" s="175" t="s">
        <v>19</v>
      </c>
      <c r="C96" s="176"/>
      <c r="D96" s="177"/>
      <c r="F96" s="194" t="s">
        <v>19</v>
      </c>
      <c r="G96" s="195"/>
      <c r="H96" s="196"/>
      <c r="J96" s="207" t="s">
        <v>19</v>
      </c>
      <c r="K96" s="208"/>
      <c r="L96" s="209"/>
      <c r="N96" s="210" t="s">
        <v>19</v>
      </c>
      <c r="O96" s="211"/>
      <c r="P96" s="212"/>
      <c r="R96" s="213" t="s">
        <v>19</v>
      </c>
      <c r="S96" s="214"/>
      <c r="T96" s="215"/>
    </row>
    <row r="97" spans="2:20" ht="12.75">
      <c r="B97" s="87"/>
      <c r="C97" s="88"/>
      <c r="D97" s="89"/>
      <c r="F97" s="40"/>
      <c r="G97" s="18"/>
      <c r="H97" s="41"/>
      <c r="J97" s="40"/>
      <c r="K97" s="18"/>
      <c r="L97" s="41"/>
      <c r="N97" s="40"/>
      <c r="O97" s="18"/>
      <c r="P97" s="41"/>
      <c r="R97" s="40"/>
      <c r="S97" s="18"/>
      <c r="T97" s="41"/>
    </row>
    <row r="98" spans="2:20" ht="12.75">
      <c r="B98" s="116" t="s">
        <v>96</v>
      </c>
      <c r="C98" s="88"/>
      <c r="D98" s="89"/>
      <c r="F98" s="59" t="s">
        <v>96</v>
      </c>
      <c r="G98" s="18"/>
      <c r="H98" s="41"/>
      <c r="J98" s="59" t="s">
        <v>96</v>
      </c>
      <c r="K98" s="18"/>
      <c r="L98" s="41"/>
      <c r="N98" s="59" t="s">
        <v>96</v>
      </c>
      <c r="O98" s="18"/>
      <c r="P98" s="41"/>
      <c r="R98" s="59" t="s">
        <v>96</v>
      </c>
      <c r="S98" s="18"/>
      <c r="T98" s="41"/>
    </row>
    <row r="99" spans="2:20" ht="12.75">
      <c r="B99" s="87"/>
      <c r="C99" s="88"/>
      <c r="D99" s="89"/>
      <c r="F99" s="40"/>
      <c r="G99" s="18"/>
      <c r="H99" s="41"/>
      <c r="J99" s="40"/>
      <c r="K99" s="18"/>
      <c r="L99" s="41"/>
      <c r="N99" s="40"/>
      <c r="O99" s="18"/>
      <c r="P99" s="41"/>
      <c r="R99" s="40"/>
      <c r="S99" s="18"/>
      <c r="T99" s="41"/>
    </row>
    <row r="100" spans="2:20" ht="12.75">
      <c r="B100" s="117" t="s">
        <v>97</v>
      </c>
      <c r="C100" s="136"/>
      <c r="D100" s="89"/>
      <c r="F100" s="60" t="s">
        <v>97</v>
      </c>
      <c r="G100" s="153"/>
      <c r="H100" s="41"/>
      <c r="J100" s="60" t="s">
        <v>97</v>
      </c>
      <c r="K100" s="136"/>
      <c r="L100" s="41"/>
      <c r="N100" s="60" t="s">
        <v>97</v>
      </c>
      <c r="O100" s="136"/>
      <c r="P100" s="41"/>
      <c r="R100" s="60" t="s">
        <v>97</v>
      </c>
      <c r="S100" s="166"/>
      <c r="T100" s="41"/>
    </row>
    <row r="101" spans="2:20" ht="15.75">
      <c r="B101" s="118" t="s">
        <v>118</v>
      </c>
      <c r="C101" s="95">
        <f>IF(OR(C100="",C100=0),0,87.25*POWER(C100,-0.298))</f>
        <v>0</v>
      </c>
      <c r="D101" s="89"/>
      <c r="F101" s="61" t="s">
        <v>118</v>
      </c>
      <c r="G101" s="20">
        <f>IF(OR(G100="",G100=0),0,87.25*POWER(G100,-0.298))</f>
        <v>0</v>
      </c>
      <c r="H101" s="41"/>
      <c r="J101" s="61" t="s">
        <v>118</v>
      </c>
      <c r="K101" s="20">
        <f>IF(OR(K100="",K100=0),0,87.25*POWER(K100,-0.298))</f>
        <v>0</v>
      </c>
      <c r="L101" s="41"/>
      <c r="N101" s="61" t="s">
        <v>118</v>
      </c>
      <c r="O101" s="20">
        <f>IF(OR(O100="",O100=0),0,87.25*POWER(O100,-0.298))</f>
        <v>0</v>
      </c>
      <c r="P101" s="41"/>
      <c r="R101" s="61" t="s">
        <v>118</v>
      </c>
      <c r="S101" s="20">
        <f>IF(OR(S100="",S100=0),0,87.25*POWER(S100,-0.298))</f>
        <v>0</v>
      </c>
      <c r="T101" s="41"/>
    </row>
    <row r="102" spans="2:20" ht="12.75">
      <c r="B102" s="87"/>
      <c r="C102" s="88"/>
      <c r="D102" s="89"/>
      <c r="F102" s="40"/>
      <c r="G102" s="18"/>
      <c r="H102" s="41"/>
      <c r="J102" s="40"/>
      <c r="K102" s="18"/>
      <c r="L102" s="41"/>
      <c r="N102" s="40"/>
      <c r="O102" s="18"/>
      <c r="P102" s="41"/>
      <c r="R102" s="40"/>
      <c r="S102" s="18"/>
      <c r="T102" s="41"/>
    </row>
    <row r="103" spans="2:20" ht="12.75">
      <c r="B103" s="87" t="s">
        <v>98</v>
      </c>
      <c r="C103" s="95">
        <f>IF(C100&lt;0.633,C101,0)</f>
        <v>0</v>
      </c>
      <c r="D103" s="89"/>
      <c r="F103" s="40" t="s">
        <v>98</v>
      </c>
      <c r="G103" s="20">
        <f>IF(G100&lt;0.633,G101,0)</f>
        <v>0</v>
      </c>
      <c r="H103" s="41"/>
      <c r="J103" s="40" t="s">
        <v>98</v>
      </c>
      <c r="K103" s="20">
        <f>IF(K100&lt;0.633,K101,0)</f>
        <v>0</v>
      </c>
      <c r="L103" s="41"/>
      <c r="N103" s="40" t="s">
        <v>98</v>
      </c>
      <c r="O103" s="20">
        <f>IF(O100&lt;0.633,O101,0)</f>
        <v>0</v>
      </c>
      <c r="P103" s="41"/>
      <c r="R103" s="40" t="s">
        <v>98</v>
      </c>
      <c r="S103" s="20">
        <f>IF(S100&lt;0.633,S101,0)</f>
        <v>0</v>
      </c>
      <c r="T103" s="41"/>
    </row>
    <row r="104" spans="2:20" ht="12.75">
      <c r="B104" s="87" t="s">
        <v>99</v>
      </c>
      <c r="C104" s="95">
        <f>IF(C100&gt;0.633,C101,0)</f>
        <v>0</v>
      </c>
      <c r="D104" s="89"/>
      <c r="F104" s="40" t="s">
        <v>99</v>
      </c>
      <c r="G104" s="20">
        <f>IF(G100&gt;0.633,G101,0)</f>
        <v>0</v>
      </c>
      <c r="H104" s="41"/>
      <c r="J104" s="40" t="s">
        <v>99</v>
      </c>
      <c r="K104" s="20">
        <f>IF(K100&gt;0.633,K101,0)</f>
        <v>0</v>
      </c>
      <c r="L104" s="41"/>
      <c r="N104" s="40" t="s">
        <v>99</v>
      </c>
      <c r="O104" s="20">
        <f>IF(O100&gt;0.633,O101,0)</f>
        <v>0</v>
      </c>
      <c r="P104" s="41"/>
      <c r="R104" s="40" t="s">
        <v>99</v>
      </c>
      <c r="S104" s="20">
        <f>IF(S100&gt;0.633,S101,0)</f>
        <v>0</v>
      </c>
      <c r="T104" s="41"/>
    </row>
    <row r="105" spans="2:20" ht="15.75">
      <c r="B105" s="118" t="s">
        <v>118</v>
      </c>
      <c r="C105" s="85">
        <f>SUM(C103:C104)</f>
        <v>0</v>
      </c>
      <c r="D105" s="89"/>
      <c r="F105" s="61" t="s">
        <v>118</v>
      </c>
      <c r="G105" s="73">
        <f>SUM(G103:G104)</f>
        <v>0</v>
      </c>
      <c r="H105" s="41"/>
      <c r="J105" s="61" t="s">
        <v>118</v>
      </c>
      <c r="K105" s="73">
        <f>SUM(K103:K104)</f>
        <v>0</v>
      </c>
      <c r="L105" s="41"/>
      <c r="N105" s="61" t="s">
        <v>118</v>
      </c>
      <c r="O105" s="73">
        <f>SUM(O103:O104)</f>
        <v>0</v>
      </c>
      <c r="P105" s="41"/>
      <c r="R105" s="61" t="s">
        <v>118</v>
      </c>
      <c r="S105" s="73">
        <f>SUM(S103:S104)</f>
        <v>0</v>
      </c>
      <c r="T105" s="41"/>
    </row>
    <row r="106" spans="2:20" ht="13.5" thickBot="1">
      <c r="B106" s="113"/>
      <c r="C106" s="114"/>
      <c r="D106" s="115"/>
      <c r="F106" s="57"/>
      <c r="G106" s="29"/>
      <c r="H106" s="58"/>
      <c r="J106" s="57"/>
      <c r="K106" s="29"/>
      <c r="L106" s="58"/>
      <c r="N106" s="57"/>
      <c r="O106" s="29"/>
      <c r="P106" s="58"/>
      <c r="R106" s="57"/>
      <c r="S106" s="29"/>
      <c r="T106" s="58"/>
    </row>
    <row r="107" spans="2:20" ht="12.75">
      <c r="B107" s="175" t="s">
        <v>1</v>
      </c>
      <c r="C107" s="176"/>
      <c r="D107" s="177"/>
      <c r="F107" s="194" t="s">
        <v>1</v>
      </c>
      <c r="G107" s="195"/>
      <c r="H107" s="196"/>
      <c r="J107" s="207" t="s">
        <v>1</v>
      </c>
      <c r="K107" s="208"/>
      <c r="L107" s="209"/>
      <c r="N107" s="210" t="s">
        <v>1</v>
      </c>
      <c r="O107" s="211"/>
      <c r="P107" s="212"/>
      <c r="R107" s="213" t="s">
        <v>1</v>
      </c>
      <c r="S107" s="214"/>
      <c r="T107" s="215"/>
    </row>
    <row r="108" spans="2:20" ht="12.75">
      <c r="B108" s="87"/>
      <c r="C108" s="88"/>
      <c r="D108" s="89"/>
      <c r="F108" s="40"/>
      <c r="G108" s="18"/>
      <c r="H108" s="41"/>
      <c r="J108" s="40"/>
      <c r="K108" s="18"/>
      <c r="L108" s="41"/>
      <c r="N108" s="40"/>
      <c r="O108" s="18"/>
      <c r="P108" s="41"/>
      <c r="R108" s="40"/>
      <c r="S108" s="18"/>
      <c r="T108" s="41"/>
    </row>
    <row r="109" spans="2:20" ht="20.25">
      <c r="B109" s="116" t="s">
        <v>7</v>
      </c>
      <c r="C109" s="88"/>
      <c r="D109" s="119"/>
      <c r="F109" s="59" t="s">
        <v>7</v>
      </c>
      <c r="G109" s="18"/>
      <c r="H109" s="62"/>
      <c r="J109" s="59" t="s">
        <v>7</v>
      </c>
      <c r="K109" s="18"/>
      <c r="L109" s="62"/>
      <c r="N109" s="59" t="s">
        <v>7</v>
      </c>
      <c r="O109" s="18"/>
      <c r="P109" s="62"/>
      <c r="R109" s="59" t="s">
        <v>7</v>
      </c>
      <c r="S109" s="18"/>
      <c r="T109" s="62"/>
    </row>
    <row r="110" spans="2:20" ht="12.75">
      <c r="B110" s="87"/>
      <c r="C110" s="88"/>
      <c r="D110" s="89"/>
      <c r="F110" s="40"/>
      <c r="G110" s="18"/>
      <c r="H110" s="41"/>
      <c r="J110" s="40"/>
      <c r="K110" s="18"/>
      <c r="L110" s="41"/>
      <c r="N110" s="40"/>
      <c r="O110" s="18"/>
      <c r="P110" s="41"/>
      <c r="R110" s="40"/>
      <c r="S110" s="18"/>
      <c r="T110" s="41"/>
    </row>
    <row r="111" spans="2:20" ht="12.75">
      <c r="B111" s="117" t="s">
        <v>10</v>
      </c>
      <c r="C111" s="137"/>
      <c r="D111" s="89"/>
      <c r="F111" s="60" t="s">
        <v>10</v>
      </c>
      <c r="G111" s="154"/>
      <c r="H111" s="41"/>
      <c r="J111" s="60" t="s">
        <v>10</v>
      </c>
      <c r="K111" s="137"/>
      <c r="L111" s="41"/>
      <c r="N111" s="60" t="s">
        <v>10</v>
      </c>
      <c r="O111" s="137"/>
      <c r="P111" s="41"/>
      <c r="R111" s="60" t="s">
        <v>10</v>
      </c>
      <c r="S111" s="167"/>
      <c r="T111" s="41"/>
    </row>
    <row r="112" spans="2:20" ht="12.75">
      <c r="B112" s="118" t="s">
        <v>101</v>
      </c>
      <c r="C112" s="95">
        <f>IF(OR(C111="",C111=0),0,162.2*POWER(C111,-0.343))</f>
        <v>0</v>
      </c>
      <c r="D112" s="89"/>
      <c r="F112" s="61" t="s">
        <v>101</v>
      </c>
      <c r="G112" s="20">
        <f>IF(OR(G111="",G111=0),0,162.2*POWER(G111,-0.343))</f>
        <v>0</v>
      </c>
      <c r="H112" s="41"/>
      <c r="J112" s="61" t="s">
        <v>101</v>
      </c>
      <c r="K112" s="20">
        <f>IF(OR(K111="",K111=0),0,162.2*POWER(K111,-0.343))</f>
        <v>0</v>
      </c>
      <c r="L112" s="41"/>
      <c r="N112" s="61" t="s">
        <v>101</v>
      </c>
      <c r="O112" s="20">
        <f>IF(OR(O111="",O111=0),0,162.2*POWER(O111,-0.343))</f>
        <v>0</v>
      </c>
      <c r="P112" s="41"/>
      <c r="R112" s="61" t="s">
        <v>101</v>
      </c>
      <c r="S112" s="20">
        <f>IF(OR(S111="",S111=0),0,162.2*POWER(S111,-0.343))</f>
        <v>0</v>
      </c>
      <c r="T112" s="41"/>
    </row>
    <row r="113" spans="2:20" ht="12.75">
      <c r="B113" s="87"/>
      <c r="C113" s="88"/>
      <c r="D113" s="89"/>
      <c r="F113" s="40"/>
      <c r="G113" s="18"/>
      <c r="H113" s="41"/>
      <c r="J113" s="40"/>
      <c r="K113" s="18"/>
      <c r="L113" s="41"/>
      <c r="N113" s="40"/>
      <c r="O113" s="18"/>
      <c r="P113" s="41"/>
      <c r="R113" s="40"/>
      <c r="S113" s="18"/>
      <c r="T113" s="41"/>
    </row>
    <row r="114" spans="2:20" ht="12.75">
      <c r="B114" s="87" t="s">
        <v>102</v>
      </c>
      <c r="C114" s="95">
        <f>IF(C111&lt;4.097,C112,0)</f>
        <v>0</v>
      </c>
      <c r="D114" s="89"/>
      <c r="F114" s="40" t="s">
        <v>102</v>
      </c>
      <c r="G114" s="20">
        <f>IF(G111&lt;4.097,G112,0)</f>
        <v>0</v>
      </c>
      <c r="H114" s="41"/>
      <c r="J114" s="40" t="s">
        <v>102</v>
      </c>
      <c r="K114" s="20">
        <f>IF(K111&lt;4.097,K112,0)</f>
        <v>0</v>
      </c>
      <c r="L114" s="41"/>
      <c r="N114" s="40" t="s">
        <v>102</v>
      </c>
      <c r="O114" s="20">
        <f>IF(O111&lt;4.097,O112,0)</f>
        <v>0</v>
      </c>
      <c r="P114" s="41"/>
      <c r="R114" s="40" t="s">
        <v>102</v>
      </c>
      <c r="S114" s="20">
        <f>IF(S111&lt;4.097,S112,0)</f>
        <v>0</v>
      </c>
      <c r="T114" s="41"/>
    </row>
    <row r="115" spans="2:20" ht="12.75">
      <c r="B115" s="87" t="s">
        <v>103</v>
      </c>
      <c r="C115" s="95">
        <f>IF(C111&gt;4.097,C112,0)</f>
        <v>0</v>
      </c>
      <c r="D115" s="89"/>
      <c r="F115" s="40" t="s">
        <v>103</v>
      </c>
      <c r="G115" s="20">
        <f>IF(G111&gt;4.097,G112,0)</f>
        <v>0</v>
      </c>
      <c r="H115" s="41"/>
      <c r="J115" s="40" t="s">
        <v>103</v>
      </c>
      <c r="K115" s="20">
        <f>IF(K111&gt;4.097,K112,0)</f>
        <v>0</v>
      </c>
      <c r="L115" s="41"/>
      <c r="N115" s="40" t="s">
        <v>103</v>
      </c>
      <c r="O115" s="20">
        <f>IF(O111&gt;4.097,O112,0)</f>
        <v>0</v>
      </c>
      <c r="P115" s="41"/>
      <c r="R115" s="40" t="s">
        <v>103</v>
      </c>
      <c r="S115" s="20">
        <f>IF(S111&gt;4.097,S112,0)</f>
        <v>0</v>
      </c>
      <c r="T115" s="41"/>
    </row>
    <row r="116" spans="2:20" ht="12.75">
      <c r="B116" s="118" t="s">
        <v>101</v>
      </c>
      <c r="C116" s="85">
        <f>SUM(C114:C115)</f>
        <v>0</v>
      </c>
      <c r="D116" s="89"/>
      <c r="F116" s="61" t="s">
        <v>101</v>
      </c>
      <c r="G116" s="73">
        <f>SUM(G114:G115)</f>
        <v>0</v>
      </c>
      <c r="H116" s="41"/>
      <c r="J116" s="61" t="s">
        <v>101</v>
      </c>
      <c r="K116" s="73">
        <f>SUM(K114:K115)</f>
        <v>0</v>
      </c>
      <c r="L116" s="41"/>
      <c r="N116" s="61" t="s">
        <v>101</v>
      </c>
      <c r="O116" s="73">
        <f>SUM(O114:O115)</f>
        <v>0</v>
      </c>
      <c r="P116" s="41"/>
      <c r="R116" s="61" t="s">
        <v>101</v>
      </c>
      <c r="S116" s="73">
        <f>SUM(S114:S115)</f>
        <v>0</v>
      </c>
      <c r="T116" s="41"/>
    </row>
    <row r="117" spans="2:20" ht="13.5" thickBot="1">
      <c r="B117" s="87"/>
      <c r="C117" s="88"/>
      <c r="D117" s="89"/>
      <c r="F117" s="40"/>
      <c r="G117" s="18"/>
      <c r="H117" s="41"/>
      <c r="J117" s="40"/>
      <c r="K117" s="18"/>
      <c r="L117" s="41"/>
      <c r="N117" s="40"/>
      <c r="O117" s="18"/>
      <c r="P117" s="41"/>
      <c r="R117" s="40"/>
      <c r="S117" s="18"/>
      <c r="T117" s="41"/>
    </row>
    <row r="118" spans="2:20" ht="12.75">
      <c r="B118" s="175" t="s">
        <v>20</v>
      </c>
      <c r="C118" s="176"/>
      <c r="D118" s="177"/>
      <c r="F118" s="194" t="s">
        <v>20</v>
      </c>
      <c r="G118" s="195"/>
      <c r="H118" s="196"/>
      <c r="J118" s="207" t="s">
        <v>20</v>
      </c>
      <c r="K118" s="208"/>
      <c r="L118" s="209"/>
      <c r="N118" s="210" t="s">
        <v>20</v>
      </c>
      <c r="O118" s="211"/>
      <c r="P118" s="212"/>
      <c r="R118" s="213" t="s">
        <v>20</v>
      </c>
      <c r="S118" s="214"/>
      <c r="T118" s="215"/>
    </row>
    <row r="119" spans="2:20" ht="12.75">
      <c r="B119" s="120"/>
      <c r="C119" s="121"/>
      <c r="D119" s="122"/>
      <c r="F119" s="63"/>
      <c r="G119" s="30"/>
      <c r="H119" s="64"/>
      <c r="J119" s="63"/>
      <c r="K119" s="30"/>
      <c r="L119" s="64"/>
      <c r="N119" s="63"/>
      <c r="O119" s="30"/>
      <c r="P119" s="64"/>
      <c r="R119" s="63"/>
      <c r="S119" s="30"/>
      <c r="T119" s="64"/>
    </row>
    <row r="120" spans="2:20" ht="12.75">
      <c r="B120" s="116" t="s">
        <v>21</v>
      </c>
      <c r="C120" s="88"/>
      <c r="D120" s="89"/>
      <c r="F120" s="59" t="s">
        <v>21</v>
      </c>
      <c r="G120" s="18"/>
      <c r="H120" s="41"/>
      <c r="J120" s="59" t="s">
        <v>21</v>
      </c>
      <c r="K120" s="18"/>
      <c r="L120" s="41"/>
      <c r="N120" s="59" t="s">
        <v>21</v>
      </c>
      <c r="O120" s="18"/>
      <c r="P120" s="41"/>
      <c r="R120" s="59" t="s">
        <v>21</v>
      </c>
      <c r="S120" s="18"/>
      <c r="T120" s="41"/>
    </row>
    <row r="121" spans="2:20" ht="12.75">
      <c r="B121" s="87"/>
      <c r="C121" s="88"/>
      <c r="D121" s="89"/>
      <c r="F121" s="40"/>
      <c r="G121" s="18"/>
      <c r="H121" s="41"/>
      <c r="J121" s="40"/>
      <c r="K121" s="18"/>
      <c r="L121" s="41"/>
      <c r="N121" s="40"/>
      <c r="O121" s="18"/>
      <c r="P121" s="41"/>
      <c r="R121" s="40"/>
      <c r="S121" s="18"/>
      <c r="T121" s="41"/>
    </row>
    <row r="122" spans="2:20" ht="12.75">
      <c r="B122" s="117" t="s">
        <v>25</v>
      </c>
      <c r="C122" s="136"/>
      <c r="D122" s="89"/>
      <c r="F122" s="60" t="s">
        <v>25</v>
      </c>
      <c r="G122" s="153"/>
      <c r="H122" s="41"/>
      <c r="J122" s="60" t="s">
        <v>25</v>
      </c>
      <c r="K122" s="136"/>
      <c r="L122" s="41"/>
      <c r="N122" s="60" t="s">
        <v>25</v>
      </c>
      <c r="O122" s="136"/>
      <c r="P122" s="41"/>
      <c r="R122" s="60" t="s">
        <v>25</v>
      </c>
      <c r="S122" s="166"/>
      <c r="T122" s="41"/>
    </row>
    <row r="123" spans="2:20" ht="15.75">
      <c r="B123" s="118" t="s">
        <v>28</v>
      </c>
      <c r="C123" s="95">
        <f>IF(OR(C122="",C122=0),0,45.8*POWER(C122,-0.343))</f>
        <v>0</v>
      </c>
      <c r="D123" s="89"/>
      <c r="F123" s="61" t="s">
        <v>28</v>
      </c>
      <c r="G123" s="20">
        <f>IF(OR(G122="",G122=0),0,45.8*POWER(G122,-0.343))</f>
        <v>0</v>
      </c>
      <c r="H123" s="41"/>
      <c r="J123" s="61" t="s">
        <v>28</v>
      </c>
      <c r="K123" s="20">
        <f>IF(OR(K122="",K122=0),0,45.8*POWER(K122,-0.343))</f>
        <v>0</v>
      </c>
      <c r="L123" s="41"/>
      <c r="N123" s="61" t="s">
        <v>28</v>
      </c>
      <c r="O123" s="20">
        <f>IF(OR(O122="",O122=0),0,45.8*POWER(O122,-0.343))</f>
        <v>0</v>
      </c>
      <c r="P123" s="41"/>
      <c r="R123" s="61" t="s">
        <v>28</v>
      </c>
      <c r="S123" s="20">
        <f>IF(OR(S122="",S122=0),0,45.8*POWER(S122,-0.343))</f>
        <v>0</v>
      </c>
      <c r="T123" s="41"/>
    </row>
    <row r="124" spans="2:20" ht="12.75">
      <c r="B124" s="87"/>
      <c r="C124" s="88"/>
      <c r="D124" s="89"/>
      <c r="F124" s="40"/>
      <c r="G124" s="18"/>
      <c r="H124" s="41"/>
      <c r="J124" s="40"/>
      <c r="K124" s="18"/>
      <c r="L124" s="41"/>
      <c r="N124" s="40"/>
      <c r="O124" s="18"/>
      <c r="P124" s="41"/>
      <c r="R124" s="40"/>
      <c r="S124" s="18"/>
      <c r="T124" s="41"/>
    </row>
    <row r="125" spans="2:20" ht="12.75">
      <c r="B125" s="87" t="s">
        <v>104</v>
      </c>
      <c r="C125" s="95">
        <f>IF(C122&lt;0.11,C123,0)</f>
        <v>0</v>
      </c>
      <c r="D125" s="89"/>
      <c r="F125" s="40" t="s">
        <v>104</v>
      </c>
      <c r="G125" s="20">
        <f>IF(G122&lt;0.11,G123,0)</f>
        <v>0</v>
      </c>
      <c r="H125" s="41"/>
      <c r="J125" s="40" t="s">
        <v>104</v>
      </c>
      <c r="K125" s="20">
        <f>IF(K122&lt;0.11,K123,0)</f>
        <v>0</v>
      </c>
      <c r="L125" s="41"/>
      <c r="N125" s="40" t="s">
        <v>104</v>
      </c>
      <c r="O125" s="20">
        <f>IF(O122&lt;0.11,O123,0)</f>
        <v>0</v>
      </c>
      <c r="P125" s="41"/>
      <c r="R125" s="40" t="s">
        <v>104</v>
      </c>
      <c r="S125" s="20">
        <f>IF(S122&lt;0.11,S123,0)</f>
        <v>0</v>
      </c>
      <c r="T125" s="41"/>
    </row>
    <row r="126" spans="2:20" ht="12.75">
      <c r="B126" s="87" t="s">
        <v>104</v>
      </c>
      <c r="C126" s="95">
        <f>IF(C122&gt;0.11,C123,0)</f>
        <v>0</v>
      </c>
      <c r="D126" s="89"/>
      <c r="F126" s="40" t="s">
        <v>104</v>
      </c>
      <c r="G126" s="20">
        <f>IF(G122&gt;0.11,G123,0)</f>
        <v>0</v>
      </c>
      <c r="H126" s="41"/>
      <c r="J126" s="40" t="s">
        <v>104</v>
      </c>
      <c r="K126" s="20">
        <f>IF(K122&gt;0.11,K123,0)</f>
        <v>0</v>
      </c>
      <c r="L126" s="41"/>
      <c r="N126" s="40" t="s">
        <v>104</v>
      </c>
      <c r="O126" s="20">
        <f>IF(O122&gt;0.11,O123,0)</f>
        <v>0</v>
      </c>
      <c r="P126" s="41"/>
      <c r="R126" s="40" t="s">
        <v>104</v>
      </c>
      <c r="S126" s="20">
        <f>IF(S122&gt;0.11,S123,0)</f>
        <v>0</v>
      </c>
      <c r="T126" s="41"/>
    </row>
    <row r="127" spans="2:20" ht="15.75">
      <c r="B127" s="118" t="s">
        <v>28</v>
      </c>
      <c r="C127" s="85">
        <f>SUM(C125:C126)</f>
        <v>0</v>
      </c>
      <c r="D127" s="89"/>
      <c r="F127" s="61" t="s">
        <v>28</v>
      </c>
      <c r="G127" s="73">
        <f>SUM(G125:G126)</f>
        <v>0</v>
      </c>
      <c r="H127" s="41"/>
      <c r="J127" s="61" t="s">
        <v>28</v>
      </c>
      <c r="K127" s="73">
        <f>SUM(K125:K126)</f>
        <v>0</v>
      </c>
      <c r="L127" s="41"/>
      <c r="N127" s="61" t="s">
        <v>28</v>
      </c>
      <c r="O127" s="73">
        <f>SUM(O125:O126)</f>
        <v>0</v>
      </c>
      <c r="P127" s="41"/>
      <c r="R127" s="61" t="s">
        <v>28</v>
      </c>
      <c r="S127" s="73">
        <f>SUM(S125:S126)</f>
        <v>0</v>
      </c>
      <c r="T127" s="41"/>
    </row>
    <row r="128" spans="2:20" ht="13.5" thickBot="1">
      <c r="B128" s="87"/>
      <c r="C128" s="95"/>
      <c r="D128" s="89"/>
      <c r="F128" s="40"/>
      <c r="G128" s="20"/>
      <c r="H128" s="41"/>
      <c r="J128" s="40"/>
      <c r="K128" s="20"/>
      <c r="L128" s="41"/>
      <c r="N128" s="40"/>
      <c r="O128" s="20"/>
      <c r="P128" s="41"/>
      <c r="R128" s="40"/>
      <c r="S128" s="20"/>
      <c r="T128" s="41"/>
    </row>
    <row r="129" spans="2:20" ht="12.75">
      <c r="B129" s="175" t="s">
        <v>22</v>
      </c>
      <c r="C129" s="176"/>
      <c r="D129" s="177"/>
      <c r="F129" s="194" t="s">
        <v>22</v>
      </c>
      <c r="G129" s="195"/>
      <c r="H129" s="196"/>
      <c r="J129" s="207" t="s">
        <v>22</v>
      </c>
      <c r="K129" s="208"/>
      <c r="L129" s="209"/>
      <c r="N129" s="210" t="s">
        <v>22</v>
      </c>
      <c r="O129" s="211"/>
      <c r="P129" s="212"/>
      <c r="R129" s="213" t="s">
        <v>22</v>
      </c>
      <c r="S129" s="214"/>
      <c r="T129" s="215"/>
    </row>
    <row r="130" spans="2:20" ht="12.75">
      <c r="B130" s="87"/>
      <c r="C130" s="88"/>
      <c r="D130" s="89"/>
      <c r="F130" s="40"/>
      <c r="G130" s="18"/>
      <c r="H130" s="41"/>
      <c r="J130" s="40"/>
      <c r="K130" s="18"/>
      <c r="L130" s="41"/>
      <c r="N130" s="40"/>
      <c r="O130" s="18"/>
      <c r="P130" s="41"/>
      <c r="R130" s="40"/>
      <c r="S130" s="18"/>
      <c r="T130" s="41"/>
    </row>
    <row r="131" spans="2:20" ht="12.75">
      <c r="B131" s="116" t="s">
        <v>7</v>
      </c>
      <c r="C131" s="88"/>
      <c r="D131" s="89"/>
      <c r="F131" s="59" t="s">
        <v>7</v>
      </c>
      <c r="G131" s="18"/>
      <c r="H131" s="41"/>
      <c r="J131" s="59" t="s">
        <v>7</v>
      </c>
      <c r="K131" s="18"/>
      <c r="L131" s="41"/>
      <c r="N131" s="59" t="s">
        <v>7</v>
      </c>
      <c r="O131" s="18"/>
      <c r="P131" s="41"/>
      <c r="R131" s="59" t="s">
        <v>7</v>
      </c>
      <c r="S131" s="18"/>
      <c r="T131" s="41"/>
    </row>
    <row r="132" spans="2:20" ht="12.75">
      <c r="B132" s="87"/>
      <c r="C132" s="88"/>
      <c r="D132" s="89"/>
      <c r="F132" s="40"/>
      <c r="G132" s="18"/>
      <c r="H132" s="41"/>
      <c r="J132" s="40"/>
      <c r="K132" s="18"/>
      <c r="L132" s="41"/>
      <c r="N132" s="40"/>
      <c r="O132" s="18"/>
      <c r="P132" s="41"/>
      <c r="R132" s="40"/>
      <c r="S132" s="18"/>
      <c r="T132" s="41"/>
    </row>
    <row r="133" spans="2:20" ht="12.75">
      <c r="B133" s="117" t="s">
        <v>43</v>
      </c>
      <c r="C133" s="136"/>
      <c r="D133" s="89"/>
      <c r="F133" s="60" t="s">
        <v>43</v>
      </c>
      <c r="G133" s="153"/>
      <c r="H133" s="41"/>
      <c r="J133" s="60" t="s">
        <v>43</v>
      </c>
      <c r="K133" s="136"/>
      <c r="L133" s="41"/>
      <c r="N133" s="60" t="s">
        <v>43</v>
      </c>
      <c r="O133" s="136"/>
      <c r="P133" s="41"/>
      <c r="R133" s="60" t="s">
        <v>43</v>
      </c>
      <c r="S133" s="166"/>
      <c r="T133" s="41"/>
    </row>
    <row r="134" spans="2:20" ht="12.75">
      <c r="B134" s="118" t="s">
        <v>105</v>
      </c>
      <c r="C134" s="95">
        <f>IF(OR(C133="",C133=0),0,34.215*POWER(C133,-0.46))</f>
        <v>0</v>
      </c>
      <c r="D134" s="89"/>
      <c r="F134" s="61" t="s">
        <v>105</v>
      </c>
      <c r="G134" s="20">
        <f>IF(OR(G133="",G133=0),0,34.215*POWER(G133,-0.46))</f>
        <v>0</v>
      </c>
      <c r="H134" s="41"/>
      <c r="J134" s="61" t="s">
        <v>105</v>
      </c>
      <c r="K134" s="20">
        <f>IF(OR(K133="",K133=0),0,34.215*POWER(K133,-0.46))</f>
        <v>0</v>
      </c>
      <c r="L134" s="41"/>
      <c r="N134" s="61" t="s">
        <v>105</v>
      </c>
      <c r="O134" s="20">
        <f>IF(OR(O133="",O133=0),0,34.215*POWER(O133,-0.46))</f>
        <v>0</v>
      </c>
      <c r="P134" s="41"/>
      <c r="R134" s="61" t="s">
        <v>105</v>
      </c>
      <c r="S134" s="20">
        <f>IF(OR(S133="",S133=0),0,34.215*POWER(S133,-0.46))</f>
        <v>0</v>
      </c>
      <c r="T134" s="41"/>
    </row>
    <row r="135" spans="2:20" ht="12.75">
      <c r="B135" s="87"/>
      <c r="C135" s="88"/>
      <c r="D135" s="89"/>
      <c r="F135" s="40"/>
      <c r="G135" s="18"/>
      <c r="H135" s="41"/>
      <c r="J135" s="40"/>
      <c r="K135" s="18"/>
      <c r="L135" s="41"/>
      <c r="N135" s="40"/>
      <c r="O135" s="18"/>
      <c r="P135" s="41"/>
      <c r="R135" s="40"/>
      <c r="S135" s="18"/>
      <c r="T135" s="41"/>
    </row>
    <row r="136" spans="2:20" ht="15.75">
      <c r="B136" s="87" t="s">
        <v>50</v>
      </c>
      <c r="C136" s="95">
        <f>IF(C133&lt;0.0971,C134,0)</f>
        <v>0</v>
      </c>
      <c r="D136" s="89"/>
      <c r="F136" s="40" t="s">
        <v>50</v>
      </c>
      <c r="G136" s="20">
        <f>IF(G133&lt;0.0971,G134,0)</f>
        <v>0</v>
      </c>
      <c r="H136" s="41"/>
      <c r="J136" s="40" t="s">
        <v>50</v>
      </c>
      <c r="K136" s="20">
        <f>IF(K133&lt;0.0971,K134,0)</f>
        <v>0</v>
      </c>
      <c r="L136" s="41"/>
      <c r="N136" s="40" t="s">
        <v>50</v>
      </c>
      <c r="O136" s="20">
        <f>IF(O133&lt;0.0971,O134,0)</f>
        <v>0</v>
      </c>
      <c r="P136" s="41"/>
      <c r="R136" s="40" t="s">
        <v>50</v>
      </c>
      <c r="S136" s="20">
        <f>IF(S133&lt;0.0971,S134,0)</f>
        <v>0</v>
      </c>
      <c r="T136" s="41"/>
    </row>
    <row r="137" spans="2:20" ht="15.75">
      <c r="B137" s="87" t="s">
        <v>51</v>
      </c>
      <c r="C137" s="95">
        <f>IF(C133&gt;0.0971,C134,0)</f>
        <v>0</v>
      </c>
      <c r="D137" s="89"/>
      <c r="F137" s="40" t="s">
        <v>51</v>
      </c>
      <c r="G137" s="20">
        <f>IF(G133&gt;0.0971,G134,0)</f>
        <v>0</v>
      </c>
      <c r="H137" s="41"/>
      <c r="J137" s="40" t="s">
        <v>51</v>
      </c>
      <c r="K137" s="20">
        <f>IF(K133&gt;0.0971,K134,0)</f>
        <v>0</v>
      </c>
      <c r="L137" s="41"/>
      <c r="N137" s="40" t="s">
        <v>51</v>
      </c>
      <c r="O137" s="20">
        <f>IF(O133&gt;0.0971,O134,0)</f>
        <v>0</v>
      </c>
      <c r="P137" s="41"/>
      <c r="R137" s="40" t="s">
        <v>51</v>
      </c>
      <c r="S137" s="20">
        <f>IF(S133&gt;0.0971,S134,0)</f>
        <v>0</v>
      </c>
      <c r="T137" s="41"/>
    </row>
    <row r="138" spans="2:20" ht="12.75">
      <c r="B138" s="118" t="s">
        <v>105</v>
      </c>
      <c r="C138" s="85">
        <f>SUM(C136:C137)</f>
        <v>0</v>
      </c>
      <c r="D138" s="89"/>
      <c r="F138" s="61" t="s">
        <v>105</v>
      </c>
      <c r="G138" s="73">
        <f>SUM(G136:G137)</f>
        <v>0</v>
      </c>
      <c r="H138" s="41"/>
      <c r="J138" s="61" t="s">
        <v>105</v>
      </c>
      <c r="K138" s="73">
        <f>SUM(K136:K137)</f>
        <v>0</v>
      </c>
      <c r="L138" s="41"/>
      <c r="N138" s="61" t="s">
        <v>105</v>
      </c>
      <c r="O138" s="73">
        <f>SUM(O136:O137)</f>
        <v>0</v>
      </c>
      <c r="P138" s="41"/>
      <c r="R138" s="61" t="s">
        <v>105</v>
      </c>
      <c r="S138" s="73">
        <f>SUM(S136:S137)</f>
        <v>0</v>
      </c>
      <c r="T138" s="41"/>
    </row>
    <row r="139" spans="2:20" ht="13.5" thickBot="1">
      <c r="B139" s="87"/>
      <c r="C139" s="88"/>
      <c r="D139" s="89"/>
      <c r="F139" s="40"/>
      <c r="G139" s="18"/>
      <c r="H139" s="41"/>
      <c r="J139" s="40"/>
      <c r="K139" s="18"/>
      <c r="L139" s="41"/>
      <c r="N139" s="40"/>
      <c r="O139" s="18"/>
      <c r="P139" s="41"/>
      <c r="R139" s="40"/>
      <c r="S139" s="18"/>
      <c r="T139" s="41"/>
    </row>
    <row r="140" spans="2:20" ht="12.75">
      <c r="B140" s="175" t="s">
        <v>24</v>
      </c>
      <c r="C140" s="176"/>
      <c r="D140" s="177"/>
      <c r="F140" s="194" t="s">
        <v>24</v>
      </c>
      <c r="G140" s="195"/>
      <c r="H140" s="196"/>
      <c r="J140" s="207" t="s">
        <v>24</v>
      </c>
      <c r="K140" s="208"/>
      <c r="L140" s="209"/>
      <c r="N140" s="210" t="s">
        <v>24</v>
      </c>
      <c r="O140" s="211"/>
      <c r="P140" s="212"/>
      <c r="R140" s="213" t="s">
        <v>24</v>
      </c>
      <c r="S140" s="214"/>
      <c r="T140" s="215"/>
    </row>
    <row r="141" spans="2:20" ht="12.75">
      <c r="B141" s="87"/>
      <c r="C141" s="88"/>
      <c r="D141" s="89"/>
      <c r="F141" s="40"/>
      <c r="G141" s="18"/>
      <c r="H141" s="41"/>
      <c r="J141" s="40"/>
      <c r="K141" s="18"/>
      <c r="L141" s="41"/>
      <c r="N141" s="40"/>
      <c r="O141" s="18"/>
      <c r="P141" s="41"/>
      <c r="R141" s="40"/>
      <c r="S141" s="18"/>
      <c r="T141" s="41"/>
    </row>
    <row r="142" spans="2:20" ht="12.75">
      <c r="B142" s="116" t="s">
        <v>55</v>
      </c>
      <c r="C142" s="88"/>
      <c r="D142" s="89"/>
      <c r="F142" s="59" t="s">
        <v>55</v>
      </c>
      <c r="G142" s="18"/>
      <c r="H142" s="41"/>
      <c r="J142" s="59" t="s">
        <v>55</v>
      </c>
      <c r="K142" s="18"/>
      <c r="L142" s="41"/>
      <c r="N142" s="59" t="s">
        <v>55</v>
      </c>
      <c r="O142" s="18"/>
      <c r="P142" s="41"/>
      <c r="R142" s="59" t="s">
        <v>55</v>
      </c>
      <c r="S142" s="18"/>
      <c r="T142" s="41"/>
    </row>
    <row r="143" spans="2:20" ht="12.75">
      <c r="B143" s="87"/>
      <c r="C143" s="88"/>
      <c r="D143" s="89"/>
      <c r="F143" s="40"/>
      <c r="G143" s="18"/>
      <c r="H143" s="41"/>
      <c r="J143" s="40"/>
      <c r="K143" s="18"/>
      <c r="L143" s="41"/>
      <c r="N143" s="40"/>
      <c r="O143" s="18"/>
      <c r="P143" s="41"/>
      <c r="R143" s="40"/>
      <c r="S143" s="18"/>
      <c r="T143" s="41"/>
    </row>
    <row r="144" spans="2:20" ht="12.75">
      <c r="B144" s="117" t="s">
        <v>56</v>
      </c>
      <c r="C144" s="136"/>
      <c r="D144" s="89"/>
      <c r="F144" s="60" t="s">
        <v>56</v>
      </c>
      <c r="G144" s="153"/>
      <c r="H144" s="41"/>
      <c r="J144" s="60" t="s">
        <v>56</v>
      </c>
      <c r="K144" s="136"/>
      <c r="L144" s="41"/>
      <c r="N144" s="60" t="s">
        <v>56</v>
      </c>
      <c r="O144" s="136"/>
      <c r="P144" s="41"/>
      <c r="R144" s="60" t="s">
        <v>56</v>
      </c>
      <c r="S144" s="166"/>
      <c r="T144" s="41"/>
    </row>
    <row r="145" spans="2:20" ht="15.75">
      <c r="B145" s="118" t="s">
        <v>57</v>
      </c>
      <c r="C145" s="95">
        <f>IF(OR(C144="",C144=0),0,123*POWER(C144,-0.295))</f>
        <v>0</v>
      </c>
      <c r="D145" s="89"/>
      <c r="F145" s="61" t="s">
        <v>57</v>
      </c>
      <c r="G145" s="20">
        <f>IF(OR(G144="",G144=0),0,123*POWER(G144,-0.295))</f>
        <v>0</v>
      </c>
      <c r="H145" s="41"/>
      <c r="J145" s="61" t="s">
        <v>57</v>
      </c>
      <c r="K145" s="20">
        <f>IF(OR(K144="",K144=0),0,123*POWER(K144,-0.295))</f>
        <v>0</v>
      </c>
      <c r="L145" s="41"/>
      <c r="N145" s="61" t="s">
        <v>57</v>
      </c>
      <c r="O145" s="20">
        <f>IF(OR(O144="",O144=0),0,123*POWER(O144,-0.295))</f>
        <v>0</v>
      </c>
      <c r="P145" s="41"/>
      <c r="R145" s="61" t="s">
        <v>57</v>
      </c>
      <c r="S145" s="20">
        <f>IF(OR(S144="",S144=0),0,123*POWER(S144,-0.295))</f>
        <v>0</v>
      </c>
      <c r="T145" s="41"/>
    </row>
    <row r="146" spans="2:20" ht="12.75">
      <c r="B146" s="87"/>
      <c r="C146" s="95"/>
      <c r="D146" s="89"/>
      <c r="F146" s="40"/>
      <c r="G146" s="20"/>
      <c r="H146" s="41"/>
      <c r="J146" s="40"/>
      <c r="K146" s="20"/>
      <c r="L146" s="41"/>
      <c r="N146" s="40"/>
      <c r="O146" s="20"/>
      <c r="P146" s="41"/>
      <c r="R146" s="40"/>
      <c r="S146" s="20"/>
      <c r="T146" s="41"/>
    </row>
    <row r="147" spans="2:20" ht="12.75">
      <c r="B147" s="87" t="s">
        <v>100</v>
      </c>
      <c r="C147" s="95">
        <f>IF(C144&lt;2.018,C145,0)</f>
        <v>0</v>
      </c>
      <c r="D147" s="89"/>
      <c r="F147" s="40" t="s">
        <v>100</v>
      </c>
      <c r="G147" s="20">
        <f>IF(G144&lt;2.018,G145,0)</f>
        <v>0</v>
      </c>
      <c r="H147" s="41"/>
      <c r="J147" s="40" t="s">
        <v>100</v>
      </c>
      <c r="K147" s="20">
        <f>IF(K144&lt;2.018,K145,0)</f>
        <v>0</v>
      </c>
      <c r="L147" s="41"/>
      <c r="N147" s="40" t="s">
        <v>100</v>
      </c>
      <c r="O147" s="20">
        <f>IF(O144&lt;2.018,O145,0)</f>
        <v>0</v>
      </c>
      <c r="P147" s="41"/>
      <c r="R147" s="40" t="s">
        <v>100</v>
      </c>
      <c r="S147" s="20">
        <f>IF(S144&lt;2.018,S145,0)</f>
        <v>0</v>
      </c>
      <c r="T147" s="41"/>
    </row>
    <row r="148" spans="2:20" ht="12.75">
      <c r="B148" s="87" t="s">
        <v>60</v>
      </c>
      <c r="C148" s="95">
        <f>IF(C144&gt;2.018,C145,0)</f>
        <v>0</v>
      </c>
      <c r="D148" s="89"/>
      <c r="F148" s="40" t="s">
        <v>60</v>
      </c>
      <c r="G148" s="20">
        <f>IF(G144&gt;2.018,G145,0)</f>
        <v>0</v>
      </c>
      <c r="H148" s="41"/>
      <c r="J148" s="40" t="s">
        <v>60</v>
      </c>
      <c r="K148" s="20">
        <f>IF(K144&gt;2.018,K145,0)</f>
        <v>0</v>
      </c>
      <c r="L148" s="41"/>
      <c r="N148" s="40" t="s">
        <v>60</v>
      </c>
      <c r="O148" s="20">
        <f>IF(O144&gt;2.018,O145,0)</f>
        <v>0</v>
      </c>
      <c r="P148" s="41"/>
      <c r="R148" s="40" t="s">
        <v>60</v>
      </c>
      <c r="S148" s="20">
        <f>IF(S144&gt;2.018,S145,0)</f>
        <v>0</v>
      </c>
      <c r="T148" s="41"/>
    </row>
    <row r="149" spans="2:20" ht="15.75">
      <c r="B149" s="118" t="s">
        <v>57</v>
      </c>
      <c r="C149" s="85">
        <f>SUM(C147:C148)</f>
        <v>0</v>
      </c>
      <c r="D149" s="89"/>
      <c r="F149" s="61" t="s">
        <v>57</v>
      </c>
      <c r="G149" s="73">
        <f>SUM(G147:G148)</f>
        <v>0</v>
      </c>
      <c r="H149" s="41"/>
      <c r="J149" s="61" t="s">
        <v>57</v>
      </c>
      <c r="K149" s="73">
        <f>SUM(K147:K148)</f>
        <v>0</v>
      </c>
      <c r="L149" s="41"/>
      <c r="N149" s="61" t="s">
        <v>57</v>
      </c>
      <c r="O149" s="73">
        <f>SUM(O147:O148)</f>
        <v>0</v>
      </c>
      <c r="P149" s="41"/>
      <c r="R149" s="61" t="s">
        <v>57</v>
      </c>
      <c r="S149" s="73">
        <f>SUM(S147:S148)</f>
        <v>0</v>
      </c>
      <c r="T149" s="41"/>
    </row>
    <row r="150" spans="2:20" ht="13.5" thickBot="1">
      <c r="B150" s="87"/>
      <c r="C150" s="88"/>
      <c r="D150" s="89"/>
      <c r="F150" s="40"/>
      <c r="G150" s="18"/>
      <c r="H150" s="41"/>
      <c r="J150" s="40"/>
      <c r="K150" s="18"/>
      <c r="L150" s="41"/>
      <c r="N150" s="40"/>
      <c r="O150" s="18"/>
      <c r="P150" s="41"/>
      <c r="R150" s="40"/>
      <c r="S150" s="18"/>
      <c r="T150" s="41"/>
    </row>
    <row r="151" spans="2:20" ht="12.75">
      <c r="B151" s="175" t="s">
        <v>26</v>
      </c>
      <c r="C151" s="176"/>
      <c r="D151" s="177"/>
      <c r="F151" s="194" t="s">
        <v>26</v>
      </c>
      <c r="G151" s="195"/>
      <c r="H151" s="196"/>
      <c r="J151" s="207" t="s">
        <v>26</v>
      </c>
      <c r="K151" s="208"/>
      <c r="L151" s="209"/>
      <c r="N151" s="210" t="s">
        <v>26</v>
      </c>
      <c r="O151" s="211"/>
      <c r="P151" s="212"/>
      <c r="R151" s="213" t="s">
        <v>26</v>
      </c>
      <c r="S151" s="214"/>
      <c r="T151" s="215"/>
    </row>
    <row r="152" spans="2:21" ht="20.25">
      <c r="B152" s="116" t="s">
        <v>64</v>
      </c>
      <c r="C152" s="88"/>
      <c r="D152" s="123"/>
      <c r="E152" s="12"/>
      <c r="F152" s="59" t="s">
        <v>64</v>
      </c>
      <c r="G152" s="18"/>
      <c r="H152" s="65"/>
      <c r="I152" s="12"/>
      <c r="J152" s="59" t="s">
        <v>64</v>
      </c>
      <c r="K152" s="18"/>
      <c r="L152" s="65"/>
      <c r="M152" s="12"/>
      <c r="N152" s="59" t="s">
        <v>64</v>
      </c>
      <c r="O152" s="18"/>
      <c r="P152" s="65"/>
      <c r="Q152" s="12"/>
      <c r="R152" s="59" t="s">
        <v>64</v>
      </c>
      <c r="S152" s="18"/>
      <c r="T152" s="65"/>
      <c r="U152" s="12"/>
    </row>
    <row r="153" spans="2:20" ht="12.75">
      <c r="B153" s="87"/>
      <c r="C153" s="88"/>
      <c r="D153" s="89"/>
      <c r="F153" s="40"/>
      <c r="G153" s="18"/>
      <c r="H153" s="41"/>
      <c r="J153" s="40"/>
      <c r="K153" s="18"/>
      <c r="L153" s="41"/>
      <c r="N153" s="40"/>
      <c r="O153" s="18"/>
      <c r="P153" s="41"/>
      <c r="R153" s="40"/>
      <c r="S153" s="18"/>
      <c r="T153" s="41"/>
    </row>
    <row r="154" spans="2:20" ht="12.75">
      <c r="B154" s="117" t="s">
        <v>65</v>
      </c>
      <c r="C154" s="84">
        <v>5</v>
      </c>
      <c r="D154" s="89"/>
      <c r="F154" s="60" t="s">
        <v>65</v>
      </c>
      <c r="G154" s="83">
        <v>8</v>
      </c>
      <c r="H154" s="41"/>
      <c r="J154" s="60" t="s">
        <v>65</v>
      </c>
      <c r="K154" s="84">
        <v>6</v>
      </c>
      <c r="L154" s="41"/>
      <c r="N154" s="60" t="s">
        <v>65</v>
      </c>
      <c r="O154" s="84">
        <v>22</v>
      </c>
      <c r="P154" s="41"/>
      <c r="R154" s="60" t="s">
        <v>65</v>
      </c>
      <c r="S154" s="165">
        <v>1</v>
      </c>
      <c r="T154" s="41"/>
    </row>
    <row r="155" spans="2:20" ht="15.75">
      <c r="B155" s="118" t="s">
        <v>108</v>
      </c>
      <c r="C155" s="95">
        <f>IF(OR(C154="",C154=0),0,108*POWER(C154,-0.178))</f>
        <v>81.09743059721781</v>
      </c>
      <c r="D155" s="89"/>
      <c r="F155" s="61" t="s">
        <v>108</v>
      </c>
      <c r="G155" s="20">
        <f>IF(OR(G154="",G154=0),0,108*POWER(G154,-0.178))</f>
        <v>74.58882019976826</v>
      </c>
      <c r="H155" s="41"/>
      <c r="J155" s="61" t="s">
        <v>108</v>
      </c>
      <c r="K155" s="20">
        <f>IF(OR(K154="",K154=0),0,108*POWER(K154,-0.178))</f>
        <v>78.50780460778934</v>
      </c>
      <c r="L155" s="41"/>
      <c r="N155" s="61" t="s">
        <v>108</v>
      </c>
      <c r="O155" s="20">
        <f>IF(OR(O154="",O154=0),0,108*POWER(O154,-0.178))</f>
        <v>62.29777248046101</v>
      </c>
      <c r="P155" s="41"/>
      <c r="R155" s="61" t="s">
        <v>108</v>
      </c>
      <c r="S155" s="20">
        <f>IF(OR(S154="",S154=0),0,108*POWER(S154,-0.178))</f>
        <v>108</v>
      </c>
      <c r="T155" s="41"/>
    </row>
    <row r="156" spans="2:20" ht="12.75">
      <c r="B156" s="87"/>
      <c r="C156" s="88"/>
      <c r="D156" s="89"/>
      <c r="F156" s="40"/>
      <c r="G156" s="18"/>
      <c r="H156" s="41"/>
      <c r="J156" s="40"/>
      <c r="K156" s="18"/>
      <c r="L156" s="41"/>
      <c r="N156" s="40"/>
      <c r="O156" s="18"/>
      <c r="P156" s="41"/>
      <c r="R156" s="40"/>
      <c r="S156" s="18"/>
      <c r="T156" s="41"/>
    </row>
    <row r="157" spans="2:20" ht="12.75">
      <c r="B157" s="87" t="s">
        <v>66</v>
      </c>
      <c r="C157" s="95">
        <f>IF(C154&lt;1.54,C155,0)</f>
        <v>0</v>
      </c>
      <c r="D157" s="89"/>
      <c r="F157" s="40" t="s">
        <v>66</v>
      </c>
      <c r="G157" s="20">
        <f>IF(G154&lt;1.54,G155,0)</f>
        <v>0</v>
      </c>
      <c r="H157" s="41"/>
      <c r="J157" s="40" t="s">
        <v>66</v>
      </c>
      <c r="K157" s="20">
        <f>IF(K154&lt;1.54,K155,0)</f>
        <v>0</v>
      </c>
      <c r="L157" s="41"/>
      <c r="N157" s="40" t="s">
        <v>66</v>
      </c>
      <c r="O157" s="20">
        <f>IF(O154&lt;1.54,O155,0)</f>
        <v>0</v>
      </c>
      <c r="P157" s="41"/>
      <c r="R157" s="40" t="s">
        <v>66</v>
      </c>
      <c r="S157" s="20">
        <f>IF(S154&lt;1.54,S155,0)</f>
        <v>108</v>
      </c>
      <c r="T157" s="41"/>
    </row>
    <row r="158" spans="2:20" ht="12.75">
      <c r="B158" s="87" t="s">
        <v>68</v>
      </c>
      <c r="C158" s="95">
        <f>IF(C154&gt;1.54,C155,0)</f>
        <v>81.09743059721781</v>
      </c>
      <c r="D158" s="89"/>
      <c r="F158" s="40" t="s">
        <v>68</v>
      </c>
      <c r="G158" s="20">
        <f>IF(G154&gt;1.54,G155,0)</f>
        <v>74.58882019976826</v>
      </c>
      <c r="H158" s="41"/>
      <c r="J158" s="40" t="s">
        <v>68</v>
      </c>
      <c r="K158" s="20">
        <f>IF(K154&gt;1.54,K155,0)</f>
        <v>78.50780460778934</v>
      </c>
      <c r="L158" s="41"/>
      <c r="N158" s="40" t="s">
        <v>68</v>
      </c>
      <c r="O158" s="20">
        <f>IF(O154&gt;1.54,O155,0)</f>
        <v>62.29777248046101</v>
      </c>
      <c r="P158" s="41"/>
      <c r="R158" s="40" t="s">
        <v>68</v>
      </c>
      <c r="S158" s="20">
        <f>IF(S154&gt;1.54,S155,0)</f>
        <v>0</v>
      </c>
      <c r="T158" s="41"/>
    </row>
    <row r="159" spans="2:20" ht="15.75">
      <c r="B159" s="118" t="s">
        <v>108</v>
      </c>
      <c r="C159" s="85">
        <f>SUM(C157:C158)</f>
        <v>81.09743059721781</v>
      </c>
      <c r="D159" s="89"/>
      <c r="F159" s="61" t="s">
        <v>108</v>
      </c>
      <c r="G159" s="73">
        <f>SUM(G157:G158)</f>
        <v>74.58882019976826</v>
      </c>
      <c r="H159" s="41"/>
      <c r="J159" s="61" t="s">
        <v>108</v>
      </c>
      <c r="K159" s="73">
        <f>SUM(K157:K158)</f>
        <v>78.50780460778934</v>
      </c>
      <c r="L159" s="41"/>
      <c r="N159" s="61" t="s">
        <v>108</v>
      </c>
      <c r="O159" s="73">
        <f>SUM(O157:O158)</f>
        <v>62.29777248046101</v>
      </c>
      <c r="P159" s="41"/>
      <c r="R159" s="61" t="s">
        <v>108</v>
      </c>
      <c r="S159" s="73">
        <f>SUM(S157:S158)</f>
        <v>108</v>
      </c>
      <c r="T159" s="41"/>
    </row>
    <row r="160" spans="2:20" ht="13.5" thickBot="1">
      <c r="B160" s="87"/>
      <c r="C160" s="88"/>
      <c r="D160" s="89"/>
      <c r="F160" s="40"/>
      <c r="G160" s="18"/>
      <c r="H160" s="41"/>
      <c r="J160" s="40"/>
      <c r="K160" s="18"/>
      <c r="L160" s="41"/>
      <c r="N160" s="40"/>
      <c r="O160" s="18"/>
      <c r="P160" s="41"/>
      <c r="R160" s="40"/>
      <c r="S160" s="18"/>
      <c r="T160" s="41"/>
    </row>
    <row r="161" spans="2:20" ht="12.75">
      <c r="B161" s="175" t="s">
        <v>29</v>
      </c>
      <c r="C161" s="176"/>
      <c r="D161" s="177"/>
      <c r="F161" s="194" t="s">
        <v>29</v>
      </c>
      <c r="G161" s="195"/>
      <c r="H161" s="196"/>
      <c r="J161" s="207" t="s">
        <v>29</v>
      </c>
      <c r="K161" s="208"/>
      <c r="L161" s="209"/>
      <c r="N161" s="210" t="s">
        <v>29</v>
      </c>
      <c r="O161" s="211"/>
      <c r="P161" s="212"/>
      <c r="R161" s="213" t="s">
        <v>29</v>
      </c>
      <c r="S161" s="214"/>
      <c r="T161" s="215"/>
    </row>
    <row r="162" spans="2:20" ht="12.75">
      <c r="B162" s="116" t="s">
        <v>73</v>
      </c>
      <c r="C162" s="88"/>
      <c r="D162" s="89"/>
      <c r="F162" s="59" t="s">
        <v>73</v>
      </c>
      <c r="G162" s="18"/>
      <c r="H162" s="41"/>
      <c r="J162" s="59" t="s">
        <v>73</v>
      </c>
      <c r="K162" s="18"/>
      <c r="L162" s="41"/>
      <c r="N162" s="59" t="s">
        <v>73</v>
      </c>
      <c r="O162" s="18"/>
      <c r="P162" s="41"/>
      <c r="R162" s="59" t="s">
        <v>73</v>
      </c>
      <c r="S162" s="18"/>
      <c r="T162" s="41"/>
    </row>
    <row r="163" spans="2:21" ht="20.25">
      <c r="B163" s="87"/>
      <c r="C163" s="124"/>
      <c r="D163" s="125"/>
      <c r="E163" s="14"/>
      <c r="F163" s="40"/>
      <c r="G163" s="31"/>
      <c r="H163" s="66"/>
      <c r="I163" s="14"/>
      <c r="J163" s="40"/>
      <c r="K163" s="31"/>
      <c r="L163" s="66"/>
      <c r="M163" s="14"/>
      <c r="N163" s="40"/>
      <c r="O163" s="31"/>
      <c r="P163" s="66"/>
      <c r="Q163" s="14"/>
      <c r="R163" s="40"/>
      <c r="S163" s="31"/>
      <c r="T163" s="66"/>
      <c r="U163" s="14"/>
    </row>
    <row r="164" spans="2:20" ht="20.25">
      <c r="B164" s="116" t="s">
        <v>75</v>
      </c>
      <c r="C164" s="126"/>
      <c r="D164" s="89"/>
      <c r="F164" s="59" t="s">
        <v>75</v>
      </c>
      <c r="G164" s="32"/>
      <c r="H164" s="41"/>
      <c r="J164" s="59" t="s">
        <v>75</v>
      </c>
      <c r="K164" s="32"/>
      <c r="L164" s="41"/>
      <c r="N164" s="59" t="s">
        <v>75</v>
      </c>
      <c r="O164" s="32"/>
      <c r="P164" s="41"/>
      <c r="R164" s="59" t="s">
        <v>75</v>
      </c>
      <c r="S164" s="32"/>
      <c r="T164" s="41"/>
    </row>
    <row r="165" spans="2:20" ht="12.75">
      <c r="B165" s="87"/>
      <c r="C165" s="88"/>
      <c r="D165" s="89"/>
      <c r="F165" s="40"/>
      <c r="G165" s="18"/>
      <c r="H165" s="41"/>
      <c r="J165" s="40"/>
      <c r="K165" s="18"/>
      <c r="L165" s="41"/>
      <c r="N165" s="40"/>
      <c r="O165" s="18"/>
      <c r="P165" s="41"/>
      <c r="R165" s="40"/>
      <c r="S165" s="18"/>
      <c r="T165" s="41"/>
    </row>
    <row r="166" spans="2:20" ht="12.75">
      <c r="B166" s="117" t="s">
        <v>29</v>
      </c>
      <c r="C166" s="136"/>
      <c r="D166" s="89"/>
      <c r="F166" s="60" t="s">
        <v>29</v>
      </c>
      <c r="G166" s="153"/>
      <c r="H166" s="41"/>
      <c r="J166" s="60" t="s">
        <v>29</v>
      </c>
      <c r="K166" s="136"/>
      <c r="L166" s="41"/>
      <c r="N166" s="60" t="s">
        <v>29</v>
      </c>
      <c r="O166" s="136"/>
      <c r="P166" s="41"/>
      <c r="R166" s="60" t="s">
        <v>29</v>
      </c>
      <c r="S166" s="166"/>
      <c r="T166" s="41"/>
    </row>
    <row r="167" spans="2:20" ht="15.75">
      <c r="B167" s="118" t="s">
        <v>78</v>
      </c>
      <c r="C167" s="127">
        <f>IF(C166="",0,(100-(16.678*C166)+(0.1587*POWER(C166,2))))</f>
        <v>0</v>
      </c>
      <c r="D167" s="89"/>
      <c r="F167" s="61" t="s">
        <v>78</v>
      </c>
      <c r="G167" s="33">
        <f>IF(G166="",0,(100-(16.678*G166)+(0.1587*POWER(G166,2))))</f>
        <v>0</v>
      </c>
      <c r="H167" s="41"/>
      <c r="J167" s="61" t="s">
        <v>78</v>
      </c>
      <c r="K167" s="33">
        <f>IF(K166="",0,(100-(16.678*K166)+(0.1587*POWER(K166,2))))</f>
        <v>0</v>
      </c>
      <c r="L167" s="41"/>
      <c r="N167" s="61" t="s">
        <v>78</v>
      </c>
      <c r="O167" s="33">
        <f>IF(O166="",0,(100-(16.678*O166)+(0.1587*POWER(O166,2))))</f>
        <v>0</v>
      </c>
      <c r="P167" s="41"/>
      <c r="R167" s="61" t="s">
        <v>78</v>
      </c>
      <c r="S167" s="33">
        <f>IF(S166="",0,(100-(16.678*S166)+(0.1587*POWER(S166,2))))</f>
        <v>0</v>
      </c>
      <c r="T167" s="41"/>
    </row>
    <row r="168" spans="2:20" ht="12.75">
      <c r="B168" s="87"/>
      <c r="C168" s="88"/>
      <c r="D168" s="89"/>
      <c r="F168" s="40"/>
      <c r="G168" s="18"/>
      <c r="H168" s="41"/>
      <c r="J168" s="40"/>
      <c r="K168" s="18"/>
      <c r="L168" s="41"/>
      <c r="N168" s="40"/>
      <c r="O168" s="18"/>
      <c r="P168" s="41"/>
      <c r="R168" s="40"/>
      <c r="S168" s="18"/>
      <c r="T168" s="41"/>
    </row>
    <row r="169" spans="2:20" ht="12.75">
      <c r="B169" s="87" t="s">
        <v>80</v>
      </c>
      <c r="C169" s="95">
        <f>IF(C166&lt;6.384,C167,0)</f>
        <v>0</v>
      </c>
      <c r="D169" s="89"/>
      <c r="F169" s="40" t="s">
        <v>80</v>
      </c>
      <c r="G169" s="20">
        <f>IF(G166&lt;6.384,G167,0)</f>
        <v>0</v>
      </c>
      <c r="H169" s="41"/>
      <c r="J169" s="40" t="s">
        <v>80</v>
      </c>
      <c r="K169" s="20">
        <f>IF(K166&lt;6.384,K167,0)</f>
        <v>0</v>
      </c>
      <c r="L169" s="41"/>
      <c r="N169" s="40" t="s">
        <v>80</v>
      </c>
      <c r="O169" s="20">
        <f>IF(O166&lt;6.384,O167,0)</f>
        <v>0</v>
      </c>
      <c r="P169" s="41"/>
      <c r="R169" s="40" t="s">
        <v>80</v>
      </c>
      <c r="S169" s="20">
        <f>IF(S166&lt;6.384,S167,0)</f>
        <v>0</v>
      </c>
      <c r="T169" s="41"/>
    </row>
    <row r="170" spans="2:20" ht="12.75">
      <c r="B170" s="87" t="s">
        <v>81</v>
      </c>
      <c r="C170" s="95">
        <f>IF(C166&gt;6.384,C167,0)</f>
        <v>0</v>
      </c>
      <c r="D170" s="89"/>
      <c r="F170" s="40" t="s">
        <v>81</v>
      </c>
      <c r="G170" s="20">
        <f>IF(G166&gt;6.384,G167,0)</f>
        <v>0</v>
      </c>
      <c r="H170" s="41"/>
      <c r="J170" s="40" t="s">
        <v>81</v>
      </c>
      <c r="K170" s="20">
        <f>IF(K166&gt;6.384,K167,0)</f>
        <v>0</v>
      </c>
      <c r="L170" s="41"/>
      <c r="N170" s="40" t="s">
        <v>81</v>
      </c>
      <c r="O170" s="20">
        <f>IF(O166&gt;6.384,O167,0)</f>
        <v>0</v>
      </c>
      <c r="P170" s="41"/>
      <c r="R170" s="40" t="s">
        <v>81</v>
      </c>
      <c r="S170" s="20">
        <f>IF(S166&gt;6.384,S167,0)</f>
        <v>0</v>
      </c>
      <c r="T170" s="41"/>
    </row>
    <row r="171" spans="2:20" ht="15.75">
      <c r="B171" s="118" t="s">
        <v>78</v>
      </c>
      <c r="C171" s="85">
        <f>SUM(C169:C170)</f>
        <v>0</v>
      </c>
      <c r="D171" s="89"/>
      <c r="F171" s="61" t="s">
        <v>78</v>
      </c>
      <c r="G171" s="73">
        <f>SUM(G169:G170)</f>
        <v>0</v>
      </c>
      <c r="H171" s="41"/>
      <c r="J171" s="61" t="s">
        <v>78</v>
      </c>
      <c r="K171" s="73">
        <f>SUM(K169:K170)</f>
        <v>0</v>
      </c>
      <c r="L171" s="41"/>
      <c r="N171" s="61" t="s">
        <v>78</v>
      </c>
      <c r="O171" s="73">
        <f>SUM(O169:O170)</f>
        <v>0</v>
      </c>
      <c r="P171" s="41"/>
      <c r="R171" s="61" t="s">
        <v>78</v>
      </c>
      <c r="S171" s="73">
        <f>SUM(S169:S170)</f>
        <v>0</v>
      </c>
      <c r="T171" s="41"/>
    </row>
    <row r="172" spans="2:20" ht="13.5" thickBot="1">
      <c r="B172" s="87"/>
      <c r="C172" s="88"/>
      <c r="D172" s="89"/>
      <c r="F172" s="40"/>
      <c r="G172" s="18"/>
      <c r="H172" s="41"/>
      <c r="J172" s="40"/>
      <c r="K172" s="18"/>
      <c r="L172" s="41"/>
      <c r="N172" s="40"/>
      <c r="O172" s="18"/>
      <c r="P172" s="41"/>
      <c r="R172" s="40"/>
      <c r="S172" s="18"/>
      <c r="T172" s="41"/>
    </row>
    <row r="173" spans="2:20" ht="12.75">
      <c r="B173" s="175" t="s">
        <v>31</v>
      </c>
      <c r="C173" s="176"/>
      <c r="D173" s="177"/>
      <c r="F173" s="194" t="s">
        <v>31</v>
      </c>
      <c r="G173" s="195"/>
      <c r="H173" s="196"/>
      <c r="J173" s="207" t="s">
        <v>31</v>
      </c>
      <c r="K173" s="208"/>
      <c r="L173" s="209"/>
      <c r="N173" s="210" t="s">
        <v>31</v>
      </c>
      <c r="O173" s="211"/>
      <c r="P173" s="212"/>
      <c r="R173" s="213" t="s">
        <v>31</v>
      </c>
      <c r="S173" s="214"/>
      <c r="T173" s="215"/>
    </row>
    <row r="174" spans="2:20" ht="12.75">
      <c r="B174" s="87"/>
      <c r="C174" s="88"/>
      <c r="D174" s="89"/>
      <c r="F174" s="40"/>
      <c r="G174" s="18"/>
      <c r="H174" s="41"/>
      <c r="J174" s="40"/>
      <c r="K174" s="18"/>
      <c r="L174" s="41"/>
      <c r="N174" s="40"/>
      <c r="O174" s="18"/>
      <c r="P174" s="41"/>
      <c r="R174" s="40"/>
      <c r="S174" s="18"/>
      <c r="T174" s="41"/>
    </row>
    <row r="175" spans="2:20" ht="20.25">
      <c r="B175" s="116" t="s">
        <v>84</v>
      </c>
      <c r="C175" s="124"/>
      <c r="D175" s="89"/>
      <c r="F175" s="59" t="s">
        <v>84</v>
      </c>
      <c r="G175" s="31"/>
      <c r="H175" s="41"/>
      <c r="J175" s="59" t="s">
        <v>84</v>
      </c>
      <c r="K175" s="31"/>
      <c r="L175" s="41"/>
      <c r="N175" s="59" t="s">
        <v>84</v>
      </c>
      <c r="O175" s="31"/>
      <c r="P175" s="41"/>
      <c r="R175" s="59" t="s">
        <v>84</v>
      </c>
      <c r="S175" s="31"/>
      <c r="T175" s="41"/>
    </row>
    <row r="176" spans="2:20" ht="12.75">
      <c r="B176" s="87"/>
      <c r="C176" s="88"/>
      <c r="D176" s="89"/>
      <c r="F176" s="40"/>
      <c r="G176" s="18"/>
      <c r="H176" s="41"/>
      <c r="J176" s="40"/>
      <c r="K176" s="18"/>
      <c r="L176" s="41"/>
      <c r="N176" s="40"/>
      <c r="O176" s="18"/>
      <c r="P176" s="41"/>
      <c r="R176" s="40"/>
      <c r="S176" s="18"/>
      <c r="T176" s="41"/>
    </row>
    <row r="177" spans="2:20" ht="12.75">
      <c r="B177" s="117" t="s">
        <v>86</v>
      </c>
      <c r="C177" s="84">
        <v>29</v>
      </c>
      <c r="D177" s="89"/>
      <c r="F177" s="60" t="s">
        <v>86</v>
      </c>
      <c r="G177" s="83">
        <v>29</v>
      </c>
      <c r="H177" s="41"/>
      <c r="J177" s="60" t="s">
        <v>86</v>
      </c>
      <c r="K177" s="84">
        <v>40</v>
      </c>
      <c r="L177" s="41"/>
      <c r="N177" s="60" t="s">
        <v>86</v>
      </c>
      <c r="O177" s="84">
        <v>29</v>
      </c>
      <c r="P177" s="41"/>
      <c r="R177" s="60" t="s">
        <v>86</v>
      </c>
      <c r="S177" s="165">
        <v>29</v>
      </c>
      <c r="T177" s="41"/>
    </row>
    <row r="178" spans="2:20" ht="14.25">
      <c r="B178" s="96" t="s">
        <v>111</v>
      </c>
      <c r="C178" s="127">
        <f>IF(C177="",0,IF(C177&lt;=0,0,97.5*POWER(5*C177,-0.27)))</f>
        <v>25.435205751554992</v>
      </c>
      <c r="D178" s="89"/>
      <c r="F178" s="46" t="s">
        <v>111</v>
      </c>
      <c r="G178" s="33">
        <f>IF(G177="",0,IF(G177&lt;=0,0,97.5*POWER(5*G177,-0.27)))</f>
        <v>25.435205751554992</v>
      </c>
      <c r="H178" s="41"/>
      <c r="J178" s="46" t="s">
        <v>111</v>
      </c>
      <c r="K178" s="33">
        <f>IF(K177="",0,IF(K177&lt;=0,0,97.5*POWER(5*K177,-0.27)))</f>
        <v>23.31989103880311</v>
      </c>
      <c r="L178" s="41"/>
      <c r="N178" s="46" t="s">
        <v>111</v>
      </c>
      <c r="O178" s="33">
        <f>IF(O177="",0,IF(O177&lt;=0,0,97.5*POWER(5*O177,-0.27)))</f>
        <v>25.435205751554992</v>
      </c>
      <c r="P178" s="41"/>
      <c r="R178" s="46" t="s">
        <v>111</v>
      </c>
      <c r="S178" s="33">
        <f>IF(S177="",0,IF(S177&lt;=0,0,97.5*POWER(5*S177,-0.27)))</f>
        <v>25.435205751554992</v>
      </c>
      <c r="T178" s="41"/>
    </row>
    <row r="179" spans="2:20" ht="12.75">
      <c r="B179" s="87"/>
      <c r="C179" s="88"/>
      <c r="D179" s="89"/>
      <c r="F179" s="40"/>
      <c r="G179" s="18"/>
      <c r="H179" s="41"/>
      <c r="J179" s="40"/>
      <c r="K179" s="18"/>
      <c r="L179" s="41"/>
      <c r="N179" s="40"/>
      <c r="O179" s="18"/>
      <c r="P179" s="41"/>
      <c r="R179" s="40"/>
      <c r="S179" s="18"/>
      <c r="T179" s="41"/>
    </row>
    <row r="180" spans="2:20" ht="12.75">
      <c r="B180" s="87" t="s">
        <v>87</v>
      </c>
      <c r="C180" s="95">
        <f>IF(C177="",0,IF(C178&lt;1.311,100,0))</f>
        <v>0</v>
      </c>
      <c r="D180" s="89"/>
      <c r="F180" s="40" t="s">
        <v>87</v>
      </c>
      <c r="G180" s="20">
        <f>IF(G177="",0,IF(G178&lt;1.311,100,0))</f>
        <v>0</v>
      </c>
      <c r="H180" s="41"/>
      <c r="J180" s="40" t="s">
        <v>87</v>
      </c>
      <c r="K180" s="20">
        <f>IF(K177="",0,IF(K178&lt;1.311,100,0))</f>
        <v>0</v>
      </c>
      <c r="L180" s="41"/>
      <c r="N180" s="40" t="s">
        <v>87</v>
      </c>
      <c r="O180" s="20">
        <f>IF(O177="",0,IF(O178&lt;1.311,100,0))</f>
        <v>0</v>
      </c>
      <c r="P180" s="41"/>
      <c r="R180" s="40" t="s">
        <v>87</v>
      </c>
      <c r="S180" s="20">
        <f>IF(S177="",0,IF(S178&lt;1.311,100,0))</f>
        <v>0</v>
      </c>
      <c r="T180" s="41"/>
    </row>
    <row r="181" spans="2:20" ht="12.75">
      <c r="B181" s="87" t="s">
        <v>88</v>
      </c>
      <c r="C181" s="95">
        <f>IF(C178&gt;1.311,C178,0)</f>
        <v>25.435205751554992</v>
      </c>
      <c r="D181" s="89"/>
      <c r="F181" s="40" t="s">
        <v>88</v>
      </c>
      <c r="G181" s="20">
        <f>IF(G178&gt;1.311,G178,0)</f>
        <v>25.435205751554992</v>
      </c>
      <c r="H181" s="41"/>
      <c r="J181" s="40" t="s">
        <v>88</v>
      </c>
      <c r="K181" s="20">
        <f>IF(K178&gt;1.311,K178,0)</f>
        <v>23.31989103880311</v>
      </c>
      <c r="L181" s="41"/>
      <c r="N181" s="40" t="s">
        <v>88</v>
      </c>
      <c r="O181" s="20">
        <f>IF(O178&gt;1.311,O178,0)</f>
        <v>25.435205751554992</v>
      </c>
      <c r="P181" s="41"/>
      <c r="R181" s="40" t="s">
        <v>88</v>
      </c>
      <c r="S181" s="20">
        <f>IF(S178&gt;1.311,S178,0)</f>
        <v>25.435205751554992</v>
      </c>
      <c r="T181" s="41"/>
    </row>
    <row r="182" spans="2:20" ht="14.25">
      <c r="B182" s="96" t="s">
        <v>111</v>
      </c>
      <c r="C182" s="85">
        <f>SUM(C180:C181)</f>
        <v>25.435205751554992</v>
      </c>
      <c r="D182" s="89"/>
      <c r="F182" s="46" t="s">
        <v>111</v>
      </c>
      <c r="G182" s="73">
        <f>SUM(G180:G181)</f>
        <v>25.435205751554992</v>
      </c>
      <c r="H182" s="41"/>
      <c r="J182" s="46" t="s">
        <v>111</v>
      </c>
      <c r="K182" s="73">
        <f>SUM(K180:K181)</f>
        <v>23.31989103880311</v>
      </c>
      <c r="L182" s="41"/>
      <c r="N182" s="46" t="s">
        <v>111</v>
      </c>
      <c r="O182" s="73">
        <f>SUM(O180:O181)</f>
        <v>25.435205751554992</v>
      </c>
      <c r="P182" s="41"/>
      <c r="R182" s="46" t="s">
        <v>111</v>
      </c>
      <c r="S182" s="73">
        <f>SUM(S180:S181)</f>
        <v>25.435205751554992</v>
      </c>
      <c r="T182" s="41"/>
    </row>
    <row r="183" spans="2:20" ht="13.5" thickBot="1">
      <c r="B183" s="113"/>
      <c r="C183" s="128"/>
      <c r="D183" s="115"/>
      <c r="F183" s="57"/>
      <c r="G183" s="34"/>
      <c r="H183" s="58"/>
      <c r="J183" s="57"/>
      <c r="K183" s="34"/>
      <c r="L183" s="58"/>
      <c r="N183" s="57"/>
      <c r="O183" s="34"/>
      <c r="P183" s="58"/>
      <c r="R183" s="57"/>
      <c r="S183" s="34"/>
      <c r="T183" s="58"/>
    </row>
    <row r="184" spans="2:20" ht="12.75">
      <c r="B184" s="175" t="s">
        <v>32</v>
      </c>
      <c r="C184" s="176"/>
      <c r="D184" s="177"/>
      <c r="F184" s="194" t="s">
        <v>32</v>
      </c>
      <c r="G184" s="195"/>
      <c r="H184" s="196"/>
      <c r="J184" s="207" t="s">
        <v>32</v>
      </c>
      <c r="K184" s="208"/>
      <c r="L184" s="209"/>
      <c r="N184" s="210" t="s">
        <v>32</v>
      </c>
      <c r="O184" s="211"/>
      <c r="P184" s="212"/>
      <c r="R184" s="213" t="s">
        <v>32</v>
      </c>
      <c r="S184" s="214"/>
      <c r="T184" s="215"/>
    </row>
    <row r="185" spans="2:20" ht="12.75">
      <c r="B185" s="110"/>
      <c r="C185" s="111"/>
      <c r="D185" s="104"/>
      <c r="F185" s="55"/>
      <c r="G185" s="28"/>
      <c r="H185" s="51"/>
      <c r="J185" s="55"/>
      <c r="K185" s="28"/>
      <c r="L185" s="51"/>
      <c r="N185" s="55"/>
      <c r="O185" s="28"/>
      <c r="P185" s="51"/>
      <c r="R185" s="55"/>
      <c r="S185" s="28"/>
      <c r="T185" s="51"/>
    </row>
    <row r="186" spans="2:20" ht="12.75">
      <c r="B186" s="116" t="s">
        <v>84</v>
      </c>
      <c r="C186" s="88"/>
      <c r="D186" s="89"/>
      <c r="F186" s="59" t="s">
        <v>84</v>
      </c>
      <c r="G186" s="18"/>
      <c r="H186" s="41"/>
      <c r="J186" s="59" t="s">
        <v>84</v>
      </c>
      <c r="K186" s="18"/>
      <c r="L186" s="41"/>
      <c r="N186" s="59" t="s">
        <v>84</v>
      </c>
      <c r="O186" s="18"/>
      <c r="P186" s="41"/>
      <c r="R186" s="59" t="s">
        <v>84</v>
      </c>
      <c r="S186" s="18"/>
      <c r="T186" s="41"/>
    </row>
    <row r="187" spans="2:20" ht="12.75">
      <c r="B187" s="87"/>
      <c r="C187" s="88"/>
      <c r="D187" s="89"/>
      <c r="F187" s="40"/>
      <c r="G187" s="18"/>
      <c r="H187" s="41"/>
      <c r="J187" s="40"/>
      <c r="K187" s="18"/>
      <c r="L187" s="41"/>
      <c r="N187" s="40"/>
      <c r="O187" s="18"/>
      <c r="P187" s="41"/>
      <c r="R187" s="40"/>
      <c r="S187" s="18"/>
      <c r="T187" s="41"/>
    </row>
    <row r="188" spans="2:20" ht="12.75">
      <c r="B188" s="117" t="s">
        <v>90</v>
      </c>
      <c r="C188" s="84">
        <v>40</v>
      </c>
      <c r="D188" s="89"/>
      <c r="F188" s="60" t="s">
        <v>90</v>
      </c>
      <c r="G188" s="83">
        <v>40</v>
      </c>
      <c r="H188" s="41"/>
      <c r="J188" s="60" t="s">
        <v>90</v>
      </c>
      <c r="K188" s="84">
        <v>930</v>
      </c>
      <c r="L188" s="41"/>
      <c r="N188" s="60" t="s">
        <v>90</v>
      </c>
      <c r="O188" s="84">
        <v>29</v>
      </c>
      <c r="P188" s="41"/>
      <c r="R188" s="60" t="s">
        <v>90</v>
      </c>
      <c r="S188" s="165">
        <v>29</v>
      </c>
      <c r="T188" s="41"/>
    </row>
    <row r="189" spans="2:20" ht="14.25">
      <c r="B189" s="96" t="s">
        <v>115</v>
      </c>
      <c r="C189" s="129">
        <f>IF(C188&lt;=0,0,97.5*POWER(C188,-0.27))</f>
        <v>36.012097561927014</v>
      </c>
      <c r="D189" s="89"/>
      <c r="F189" s="46" t="s">
        <v>115</v>
      </c>
      <c r="G189" s="67">
        <f>IF(G188&lt;=0,0,97.5*POWER(G188,-0.27))</f>
        <v>36.012097561927014</v>
      </c>
      <c r="H189" s="41"/>
      <c r="J189" s="46" t="s">
        <v>115</v>
      </c>
      <c r="K189" s="67">
        <f>IF(K188&lt;=0,0,97.5*POWER(K188,-0.27))</f>
        <v>15.39976946872197</v>
      </c>
      <c r="L189" s="41"/>
      <c r="N189" s="46" t="s">
        <v>115</v>
      </c>
      <c r="O189" s="67">
        <f>IF(O188&lt;=0,0,97.5*POWER(O188,-0.27))</f>
        <v>39.27870458350554</v>
      </c>
      <c r="P189" s="41"/>
      <c r="R189" s="46" t="s">
        <v>115</v>
      </c>
      <c r="S189" s="67">
        <f>IF(S188&lt;=0,0,97.5*POWER(S188,-0.27))</f>
        <v>39.27870458350554</v>
      </c>
      <c r="T189" s="41"/>
    </row>
    <row r="190" spans="2:20" ht="12.75">
      <c r="B190" s="87"/>
      <c r="C190" s="88"/>
      <c r="D190" s="89"/>
      <c r="F190" s="40"/>
      <c r="G190" s="18"/>
      <c r="H190" s="41"/>
      <c r="J190" s="40"/>
      <c r="K190" s="18"/>
      <c r="L190" s="41"/>
      <c r="N190" s="40"/>
      <c r="O190" s="18"/>
      <c r="P190" s="41"/>
      <c r="R190" s="40"/>
      <c r="S190" s="18"/>
      <c r="T190" s="41"/>
    </row>
    <row r="191" spans="2:20" ht="12.75">
      <c r="B191" s="87" t="s">
        <v>91</v>
      </c>
      <c r="C191" s="130">
        <f>IF(C188="",0,IF(C188&lt;=0,100,0))</f>
        <v>0</v>
      </c>
      <c r="D191" s="89"/>
      <c r="F191" s="40" t="s">
        <v>91</v>
      </c>
      <c r="G191" s="19">
        <f>IF(G188="",0,IF(G188&lt;=0,100,0))</f>
        <v>0</v>
      </c>
      <c r="H191" s="41"/>
      <c r="J191" s="40" t="s">
        <v>91</v>
      </c>
      <c r="K191" s="19">
        <f>IF(K188="",0,IF(K188&lt;=0,100,0))</f>
        <v>0</v>
      </c>
      <c r="L191" s="41"/>
      <c r="N191" s="40" t="s">
        <v>91</v>
      </c>
      <c r="O191" s="19">
        <f>IF(O188="",0,IF(O188&lt;=0,100,0))</f>
        <v>0</v>
      </c>
      <c r="P191" s="41"/>
      <c r="R191" s="40" t="s">
        <v>91</v>
      </c>
      <c r="S191" s="20">
        <f>IF(S188="",0,IF(S188&lt;=0,100,0))</f>
        <v>0</v>
      </c>
      <c r="T191" s="41"/>
    </row>
    <row r="192" spans="2:20" ht="12.75">
      <c r="B192" s="87" t="s">
        <v>92</v>
      </c>
      <c r="C192" s="95">
        <f>IF(C188&gt;0,C189,0)</f>
        <v>36.012097561927014</v>
      </c>
      <c r="D192" s="89"/>
      <c r="F192" s="40" t="s">
        <v>92</v>
      </c>
      <c r="G192" s="20">
        <f>IF(G188&gt;0,G189,0)</f>
        <v>36.012097561927014</v>
      </c>
      <c r="H192" s="41"/>
      <c r="J192" s="40" t="s">
        <v>92</v>
      </c>
      <c r="K192" s="20">
        <f>IF(K188&gt;0,K189,0)</f>
        <v>15.39976946872197</v>
      </c>
      <c r="L192" s="41"/>
      <c r="N192" s="40" t="s">
        <v>92</v>
      </c>
      <c r="O192" s="20">
        <f>IF(O188&gt;0,O189,0)</f>
        <v>39.27870458350554</v>
      </c>
      <c r="P192" s="41"/>
      <c r="R192" s="40" t="s">
        <v>92</v>
      </c>
      <c r="S192" s="20">
        <f>IF(S188&gt;0,S189,0)</f>
        <v>39.27870458350554</v>
      </c>
      <c r="T192" s="41"/>
    </row>
    <row r="193" spans="2:20" ht="14.25">
      <c r="B193" s="96" t="s">
        <v>115</v>
      </c>
      <c r="C193" s="85">
        <f>SUM(C191:C192)</f>
        <v>36.012097561927014</v>
      </c>
      <c r="D193" s="89"/>
      <c r="F193" s="46" t="s">
        <v>115</v>
      </c>
      <c r="G193" s="73">
        <f>SUM(G191:G192)</f>
        <v>36.012097561927014</v>
      </c>
      <c r="H193" s="41"/>
      <c r="J193" s="46" t="s">
        <v>115</v>
      </c>
      <c r="K193" s="73">
        <f>SUM(K191:K192)</f>
        <v>15.39976946872197</v>
      </c>
      <c r="L193" s="41"/>
      <c r="N193" s="46" t="s">
        <v>115</v>
      </c>
      <c r="O193" s="73">
        <f>SUM(O191:O192)</f>
        <v>39.27870458350554</v>
      </c>
      <c r="P193" s="41"/>
      <c r="R193" s="46" t="s">
        <v>115</v>
      </c>
      <c r="S193" s="73">
        <f>SUM(S191:S192)</f>
        <v>39.27870458350554</v>
      </c>
      <c r="T193" s="41"/>
    </row>
    <row r="194" spans="2:20" ht="13.5" thickBot="1">
      <c r="B194" s="131"/>
      <c r="C194" s="132"/>
      <c r="D194" s="133"/>
      <c r="F194" s="68"/>
      <c r="G194" s="69"/>
      <c r="H194" s="70"/>
      <c r="J194" s="68"/>
      <c r="K194" s="69"/>
      <c r="L194" s="70"/>
      <c r="N194" s="68"/>
      <c r="O194" s="69"/>
      <c r="P194" s="70"/>
      <c r="R194" s="68"/>
      <c r="S194" s="69"/>
      <c r="T194" s="70"/>
    </row>
  </sheetData>
  <mergeCells count="130">
    <mergeCell ref="B2:E2"/>
    <mergeCell ref="B3:D3"/>
    <mergeCell ref="B6:C6"/>
    <mergeCell ref="B7:C7"/>
    <mergeCell ref="B8:C8"/>
    <mergeCell ref="B9:D9"/>
    <mergeCell ref="B13:C13"/>
    <mergeCell ref="B15:D15"/>
    <mergeCell ref="B21:C21"/>
    <mergeCell ref="B23:D23"/>
    <mergeCell ref="B31:C31"/>
    <mergeCell ref="B33:D33"/>
    <mergeCell ref="B42:D42"/>
    <mergeCell ref="B58:D58"/>
    <mergeCell ref="B66:D66"/>
    <mergeCell ref="B75:D75"/>
    <mergeCell ref="B85:D85"/>
    <mergeCell ref="B96:D96"/>
    <mergeCell ref="B107:D107"/>
    <mergeCell ref="B118:D118"/>
    <mergeCell ref="B129:D129"/>
    <mergeCell ref="B140:D140"/>
    <mergeCell ref="B151:D151"/>
    <mergeCell ref="B161:D161"/>
    <mergeCell ref="B173:D173"/>
    <mergeCell ref="B184:D184"/>
    <mergeCell ref="F2:I2"/>
    <mergeCell ref="F3:H3"/>
    <mergeCell ref="F6:G6"/>
    <mergeCell ref="F7:G7"/>
    <mergeCell ref="F8:G8"/>
    <mergeCell ref="F9:H9"/>
    <mergeCell ref="F13:G13"/>
    <mergeCell ref="F15:H15"/>
    <mergeCell ref="F21:G21"/>
    <mergeCell ref="F23:H23"/>
    <mergeCell ref="F31:G31"/>
    <mergeCell ref="F33:H33"/>
    <mergeCell ref="F42:H42"/>
    <mergeCell ref="F58:H58"/>
    <mergeCell ref="F66:H66"/>
    <mergeCell ref="F75:H75"/>
    <mergeCell ref="F85:H85"/>
    <mergeCell ref="F96:H96"/>
    <mergeCell ref="F107:H107"/>
    <mergeCell ref="F118:H118"/>
    <mergeCell ref="F129:H129"/>
    <mergeCell ref="F140:H140"/>
    <mergeCell ref="F151:H151"/>
    <mergeCell ref="F161:H161"/>
    <mergeCell ref="F173:H173"/>
    <mergeCell ref="F184:H184"/>
    <mergeCell ref="J2:M2"/>
    <mergeCell ref="J3:L3"/>
    <mergeCell ref="J6:K6"/>
    <mergeCell ref="J7:K7"/>
    <mergeCell ref="J8:K8"/>
    <mergeCell ref="J9:L9"/>
    <mergeCell ref="J13:K13"/>
    <mergeCell ref="J15:L15"/>
    <mergeCell ref="J21:K21"/>
    <mergeCell ref="J23:L23"/>
    <mergeCell ref="J31:K31"/>
    <mergeCell ref="J33:L33"/>
    <mergeCell ref="J42:L42"/>
    <mergeCell ref="J58:L58"/>
    <mergeCell ref="J66:L66"/>
    <mergeCell ref="J75:L75"/>
    <mergeCell ref="J85:L85"/>
    <mergeCell ref="J96:L96"/>
    <mergeCell ref="J107:L107"/>
    <mergeCell ref="J118:L118"/>
    <mergeCell ref="J129:L129"/>
    <mergeCell ref="J140:L140"/>
    <mergeCell ref="J151:L151"/>
    <mergeCell ref="J161:L161"/>
    <mergeCell ref="J173:L173"/>
    <mergeCell ref="J184:L184"/>
    <mergeCell ref="N2:Q2"/>
    <mergeCell ref="N3:P3"/>
    <mergeCell ref="N6:O6"/>
    <mergeCell ref="N7:O7"/>
    <mergeCell ref="N8:O8"/>
    <mergeCell ref="N9:P9"/>
    <mergeCell ref="N13:O13"/>
    <mergeCell ref="N15:P15"/>
    <mergeCell ref="N21:O21"/>
    <mergeCell ref="N23:P23"/>
    <mergeCell ref="N31:O31"/>
    <mergeCell ref="N33:P33"/>
    <mergeCell ref="N42:P42"/>
    <mergeCell ref="N58:P58"/>
    <mergeCell ref="N66:P66"/>
    <mergeCell ref="N75:P75"/>
    <mergeCell ref="N85:P85"/>
    <mergeCell ref="N96:P96"/>
    <mergeCell ref="N107:P107"/>
    <mergeCell ref="N118:P118"/>
    <mergeCell ref="N129:P129"/>
    <mergeCell ref="N140:P140"/>
    <mergeCell ref="N151:P151"/>
    <mergeCell ref="N161:P161"/>
    <mergeCell ref="N173:P173"/>
    <mergeCell ref="N184:P184"/>
    <mergeCell ref="R2:U2"/>
    <mergeCell ref="R3:T3"/>
    <mergeCell ref="R6:S6"/>
    <mergeCell ref="R7:S7"/>
    <mergeCell ref="R8:S8"/>
    <mergeCell ref="R9:T9"/>
    <mergeCell ref="R13:S13"/>
    <mergeCell ref="R15:T15"/>
    <mergeCell ref="R21:S21"/>
    <mergeCell ref="R23:T23"/>
    <mergeCell ref="R31:S31"/>
    <mergeCell ref="R33:T33"/>
    <mergeCell ref="R42:T42"/>
    <mergeCell ref="R58:T58"/>
    <mergeCell ref="R66:T66"/>
    <mergeCell ref="R75:T75"/>
    <mergeCell ref="R85:T85"/>
    <mergeCell ref="R96:T96"/>
    <mergeCell ref="R107:T107"/>
    <mergeCell ref="R118:T118"/>
    <mergeCell ref="R173:T173"/>
    <mergeCell ref="R184:T184"/>
    <mergeCell ref="R129:T129"/>
    <mergeCell ref="R140:T140"/>
    <mergeCell ref="R151:T151"/>
    <mergeCell ref="R161:T161"/>
  </mergeCells>
  <conditionalFormatting sqref="C6:C7 G6:G7 K6:K7 O6:O7 S6:S7">
    <cfRule type="cellIs" priority="1" dxfId="3" operator="lessThan" stopIfTrue="1">
      <formula>6.7</formula>
    </cfRule>
  </conditionalFormatting>
  <printOptions/>
  <pageMargins left="0.29" right="0.19" top="0.56" bottom="0.34" header="0" footer="0"/>
  <pageSetup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3"/>
  <sheetViews>
    <sheetView showGridLines="0" showZeros="0" tabSelected="1" zoomScale="50" zoomScaleNormal="50" workbookViewId="0" topLeftCell="A1">
      <selection activeCell="M16" sqref="M16"/>
    </sheetView>
  </sheetViews>
  <sheetFormatPr defaultColWidth="11.421875" defaultRowHeight="12.75"/>
  <cols>
    <col min="5" max="9" width="14.8515625" style="0" bestFit="1" customWidth="1"/>
  </cols>
  <sheetData>
    <row r="2" spans="2:9" ht="21" thickBot="1">
      <c r="B2" s="267" t="s">
        <v>135</v>
      </c>
      <c r="C2" s="267"/>
      <c r="D2" s="267"/>
      <c r="E2" s="267"/>
      <c r="F2" s="267"/>
      <c r="G2" s="267"/>
      <c r="H2" s="267"/>
      <c r="I2" s="267"/>
    </row>
    <row r="3" spans="2:9" ht="13.5" thickBot="1">
      <c r="B3" s="284" t="s">
        <v>2</v>
      </c>
      <c r="C3" s="285"/>
      <c r="D3" s="285"/>
      <c r="E3" s="286" t="s">
        <v>128</v>
      </c>
      <c r="F3" s="286" t="s">
        <v>129</v>
      </c>
      <c r="G3" s="286" t="s">
        <v>130</v>
      </c>
      <c r="H3" s="286" t="s">
        <v>131</v>
      </c>
      <c r="I3" s="287" t="s">
        <v>132</v>
      </c>
    </row>
    <row r="4" spans="2:9" ht="12.75">
      <c r="B4" s="268" t="s">
        <v>0</v>
      </c>
      <c r="C4" s="269"/>
      <c r="D4" s="269"/>
      <c r="E4" s="270">
        <f>+'Estación 1'!O5</f>
        <v>70.25868224350984</v>
      </c>
      <c r="F4" s="270">
        <f>+'Estación 2'!O5</f>
        <v>70.25868224350984</v>
      </c>
      <c r="G4" s="270">
        <f>+'Estación 3'!O5</f>
        <v>70.25868224350984</v>
      </c>
      <c r="H4" s="270">
        <f>+'Estación 4'!O5</f>
        <v>70.25868224350984</v>
      </c>
      <c r="I4" s="271">
        <f>+'Estación 5'!O5</f>
        <v>70.25868224350984</v>
      </c>
    </row>
    <row r="5" spans="2:9" ht="12.75">
      <c r="B5" s="272" t="s">
        <v>8</v>
      </c>
      <c r="C5" s="273"/>
      <c r="D5" s="273"/>
      <c r="E5" s="274">
        <f>+'Estación 1'!O6</f>
        <v>93.4181177209757</v>
      </c>
      <c r="F5" s="274">
        <f>+'Estación 2'!O6</f>
        <v>73.92506607652018</v>
      </c>
      <c r="G5" s="274">
        <f>+'Estación 3'!O6</f>
        <v>100</v>
      </c>
      <c r="H5" s="274">
        <f>+'Estación 4'!O6</f>
        <v>70.05878083757105</v>
      </c>
      <c r="I5" s="275">
        <f>+'Estación 5'!O6</f>
        <v>89.65166941178683</v>
      </c>
    </row>
    <row r="6" spans="2:9" ht="12.75">
      <c r="B6" s="272" t="s">
        <v>9</v>
      </c>
      <c r="C6" s="273"/>
      <c r="D6" s="273"/>
      <c r="E6" s="274">
        <f>+'Estación 1'!O7</f>
        <v>0</v>
      </c>
      <c r="F6" s="274">
        <f>+'Estación 2'!O7</f>
        <v>0</v>
      </c>
      <c r="G6" s="274">
        <f>+'Estación 3'!O7</f>
        <v>0</v>
      </c>
      <c r="H6" s="274">
        <f>+'Estación 4'!O7</f>
        <v>0</v>
      </c>
      <c r="I6" s="275">
        <f>+'Estación 5'!O7</f>
        <v>0</v>
      </c>
    </row>
    <row r="7" spans="2:9" ht="12.75">
      <c r="B7" s="272" t="s">
        <v>11</v>
      </c>
      <c r="C7" s="273"/>
      <c r="D7" s="273"/>
      <c r="E7" s="274">
        <f>+'Estación 1'!O8</f>
        <v>17.660819001742475</v>
      </c>
      <c r="F7" s="274">
        <f>+'Estación 2'!O8</f>
        <v>17.673783007302816</v>
      </c>
      <c r="G7" s="274">
        <f>+'Estación 3'!O8</f>
        <v>17.673783007302816</v>
      </c>
      <c r="H7" s="274">
        <f>+'Estación 4'!O8</f>
        <v>17.660819001742475</v>
      </c>
      <c r="I7" s="275">
        <f>+'Estación 5'!O8</f>
        <v>17.673783007302816</v>
      </c>
    </row>
    <row r="8" spans="2:9" ht="12.75">
      <c r="B8" s="272" t="s">
        <v>12</v>
      </c>
      <c r="C8" s="273"/>
      <c r="D8" s="273"/>
      <c r="E8" s="274">
        <f>+'Estación 1'!O9</f>
        <v>487.1650518857672</v>
      </c>
      <c r="F8" s="274">
        <f>+'Estación 2'!O9</f>
        <v>487.1650518857672</v>
      </c>
      <c r="G8" s="274">
        <f>+'Estación 3'!O9</f>
        <v>467.9348524692238</v>
      </c>
      <c r="H8" s="274">
        <f>+'Estación 4'!O9</f>
        <v>499.9851848301295</v>
      </c>
      <c r="I8" s="275">
        <f>+'Estación 5'!O9</f>
        <v>487.1650518857672</v>
      </c>
    </row>
    <row r="9" spans="2:9" ht="12.75">
      <c r="B9" s="272" t="s">
        <v>14</v>
      </c>
      <c r="C9" s="273"/>
      <c r="D9" s="273"/>
      <c r="E9" s="274">
        <f>+'Estación 1'!O10</f>
        <v>376.3206613562984</v>
      </c>
      <c r="F9" s="274">
        <f>+'Estación 2'!O10</f>
        <v>376.3206613562984</v>
      </c>
      <c r="G9" s="274">
        <f>+'Estación 3'!O10</f>
        <v>376.3206613562984</v>
      </c>
      <c r="H9" s="274">
        <f>+'Estación 4'!O10</f>
        <v>376.3206613562984</v>
      </c>
      <c r="I9" s="275">
        <f>+'Estación 5'!O10</f>
        <v>376.3206613562984</v>
      </c>
    </row>
    <row r="10" spans="2:9" ht="12.75">
      <c r="B10" s="272" t="s">
        <v>15</v>
      </c>
      <c r="C10" s="273"/>
      <c r="D10" s="273"/>
      <c r="E10" s="274">
        <f>+'Estación 1'!O11</f>
        <v>0</v>
      </c>
      <c r="F10" s="274">
        <f>+'Estación 2'!O11</f>
        <v>0</v>
      </c>
      <c r="G10" s="274">
        <f>+'Estación 3'!O11</f>
        <v>0</v>
      </c>
      <c r="H10" s="274">
        <f>+'Estación 4'!O11</f>
        <v>0</v>
      </c>
      <c r="I10" s="275">
        <f>+'Estación 5'!O11</f>
        <v>0</v>
      </c>
    </row>
    <row r="11" spans="2:9" ht="12.75">
      <c r="B11" s="272" t="s">
        <v>16</v>
      </c>
      <c r="C11" s="273"/>
      <c r="D11" s="273"/>
      <c r="E11" s="274">
        <f>+'Estación 1'!O12</f>
        <v>0</v>
      </c>
      <c r="F11" s="274">
        <f>+'Estación 2'!O12</f>
        <v>0</v>
      </c>
      <c r="G11" s="274">
        <f>+'Estación 3'!O12</f>
        <v>0</v>
      </c>
      <c r="H11" s="274">
        <f>+'Estación 4'!O12</f>
        <v>0</v>
      </c>
      <c r="I11" s="275">
        <f>+'Estación 5'!O12</f>
        <v>0</v>
      </c>
    </row>
    <row r="12" spans="2:9" ht="12.75">
      <c r="B12" s="272" t="s">
        <v>17</v>
      </c>
      <c r="C12" s="273"/>
      <c r="D12" s="273"/>
      <c r="E12" s="274">
        <f>+'Estación 1'!O13</f>
        <v>0</v>
      </c>
      <c r="F12" s="274">
        <f>+'Estación 2'!O13</f>
        <v>0</v>
      </c>
      <c r="G12" s="274">
        <f>+'Estación 3'!O13</f>
        <v>0</v>
      </c>
      <c r="H12" s="274">
        <f>+'Estación 4'!O13</f>
        <v>0</v>
      </c>
      <c r="I12" s="275">
        <f>+'Estación 5'!O13</f>
        <v>0</v>
      </c>
    </row>
    <row r="13" spans="2:9" ht="12.75">
      <c r="B13" s="272" t="s">
        <v>19</v>
      </c>
      <c r="C13" s="273"/>
      <c r="D13" s="273"/>
      <c r="E13" s="274">
        <f>+'Estación 1'!O14</f>
        <v>0</v>
      </c>
      <c r="F13" s="274">
        <f>+'Estación 2'!O14</f>
        <v>0</v>
      </c>
      <c r="G13" s="274">
        <f>+'Estación 3'!O14</f>
        <v>0</v>
      </c>
      <c r="H13" s="274">
        <f>+'Estación 4'!O14</f>
        <v>0</v>
      </c>
      <c r="I13" s="275">
        <f>+'Estación 5'!O14</f>
        <v>0</v>
      </c>
    </row>
    <row r="14" spans="2:9" ht="12.75">
      <c r="B14" s="272" t="s">
        <v>1</v>
      </c>
      <c r="C14" s="273"/>
      <c r="D14" s="273"/>
      <c r="E14" s="274">
        <f>+'Estación 1'!O15</f>
        <v>0</v>
      </c>
      <c r="F14" s="274">
        <f>+'Estación 2'!O15</f>
        <v>0</v>
      </c>
      <c r="G14" s="274">
        <f>+'Estación 3'!O15</f>
        <v>0</v>
      </c>
      <c r="H14" s="274">
        <f>+'Estación 4'!O15</f>
        <v>0</v>
      </c>
      <c r="I14" s="275">
        <f>+'Estación 5'!O15</f>
        <v>0</v>
      </c>
    </row>
    <row r="15" spans="2:9" ht="12.75">
      <c r="B15" s="272" t="s">
        <v>20</v>
      </c>
      <c r="C15" s="273"/>
      <c r="D15" s="273"/>
      <c r="E15" s="274">
        <f>+'Estación 1'!O16</f>
        <v>0</v>
      </c>
      <c r="F15" s="274">
        <f>+'Estación 2'!O16</f>
        <v>0</v>
      </c>
      <c r="G15" s="274">
        <f>+'Estación 3'!O16</f>
        <v>0</v>
      </c>
      <c r="H15" s="274">
        <f>+'Estación 4'!O16</f>
        <v>0</v>
      </c>
      <c r="I15" s="275">
        <f>+'Estación 5'!O16</f>
        <v>0</v>
      </c>
    </row>
    <row r="16" spans="2:9" ht="12.75">
      <c r="B16" s="272" t="s">
        <v>22</v>
      </c>
      <c r="C16" s="273"/>
      <c r="D16" s="273"/>
      <c r="E16" s="274">
        <f>+'Estación 1'!O17</f>
        <v>0</v>
      </c>
      <c r="F16" s="274">
        <f>+'Estación 2'!O17</f>
        <v>0</v>
      </c>
      <c r="G16" s="274">
        <f>+'Estación 3'!O17</f>
        <v>0</v>
      </c>
      <c r="H16" s="274">
        <f>+'Estación 4'!O17</f>
        <v>0</v>
      </c>
      <c r="I16" s="275">
        <f>+'Estación 5'!O17</f>
        <v>0</v>
      </c>
    </row>
    <row r="17" spans="2:9" ht="12.75">
      <c r="B17" s="272" t="s">
        <v>24</v>
      </c>
      <c r="C17" s="273"/>
      <c r="D17" s="273"/>
      <c r="E17" s="274">
        <f>+'Estación 1'!O18</f>
        <v>0</v>
      </c>
      <c r="F17" s="274">
        <f>+'Estación 2'!O18</f>
        <v>0</v>
      </c>
      <c r="G17" s="274">
        <f>+'Estación 3'!O18</f>
        <v>0</v>
      </c>
      <c r="H17" s="274">
        <f>+'Estación 4'!O18</f>
        <v>0</v>
      </c>
      <c r="I17" s="275">
        <f>+'Estación 5'!O18</f>
        <v>0</v>
      </c>
    </row>
    <row r="18" spans="2:9" ht="12.75">
      <c r="B18" s="272" t="s">
        <v>26</v>
      </c>
      <c r="C18" s="273"/>
      <c r="D18" s="273"/>
      <c r="E18" s="274">
        <f>+'Estación 1'!O19</f>
        <v>40.548715298608904</v>
      </c>
      <c r="F18" s="274">
        <f>+'Estación 2'!O19</f>
        <v>37.29441009988413</v>
      </c>
      <c r="G18" s="274">
        <f>+'Estación 3'!O19</f>
        <v>39.25390230389467</v>
      </c>
      <c r="H18" s="274">
        <f>+'Estación 4'!O19</f>
        <v>31.148886240230507</v>
      </c>
      <c r="I18" s="275">
        <f>+'Estación 5'!O19</f>
        <v>54</v>
      </c>
    </row>
    <row r="19" spans="2:9" ht="12.75">
      <c r="B19" s="272" t="s">
        <v>29</v>
      </c>
      <c r="C19" s="273"/>
      <c r="D19" s="273"/>
      <c r="E19" s="274">
        <f>+'Estación 1'!O20</f>
        <v>0</v>
      </c>
      <c r="F19" s="274">
        <f>+'Estación 2'!O20</f>
        <v>0</v>
      </c>
      <c r="G19" s="274">
        <f>+'Estación 3'!O20</f>
        <v>0</v>
      </c>
      <c r="H19" s="274">
        <f>+'Estación 4'!O20</f>
        <v>0</v>
      </c>
      <c r="I19" s="275">
        <f>+'Estación 5'!O20</f>
        <v>0</v>
      </c>
    </row>
    <row r="20" spans="2:9" ht="12.75">
      <c r="B20" s="272" t="s">
        <v>31</v>
      </c>
      <c r="C20" s="273"/>
      <c r="D20" s="273"/>
      <c r="E20" s="274">
        <f>+'Estación 1'!O21</f>
        <v>101.74082300621997</v>
      </c>
      <c r="F20" s="274">
        <f>+'Estación 2'!O21</f>
        <v>101.74082300621997</v>
      </c>
      <c r="G20" s="274">
        <f>+'Estación 3'!O21</f>
        <v>93.27956415521244</v>
      </c>
      <c r="H20" s="274">
        <f>+'Estación 4'!O21</f>
        <v>101.74082300621997</v>
      </c>
      <c r="I20" s="275">
        <f>+'Estación 5'!O21</f>
        <v>101.74082300621997</v>
      </c>
    </row>
    <row r="21" spans="2:9" ht="12.75">
      <c r="B21" s="272" t="s">
        <v>32</v>
      </c>
      <c r="C21" s="273"/>
      <c r="D21" s="273"/>
      <c r="E21" s="274">
        <f>+'Estación 1'!O22</f>
        <v>108.03629268578104</v>
      </c>
      <c r="F21" s="274">
        <f>+'Estación 2'!O22</f>
        <v>108.03629268578104</v>
      </c>
      <c r="G21" s="274">
        <f>+'Estación 3'!O22</f>
        <v>46.19930840616591</v>
      </c>
      <c r="H21" s="274">
        <f>+'Estación 4'!O22</f>
        <v>117.8361137505166</v>
      </c>
      <c r="I21" s="275">
        <f>+'Estación 5'!O22</f>
        <v>117.8361137505166</v>
      </c>
    </row>
    <row r="22" spans="2:9" ht="13.5" thickBot="1">
      <c r="B22" s="276" t="s">
        <v>33</v>
      </c>
      <c r="C22" s="277"/>
      <c r="D22" s="277"/>
      <c r="E22" s="278">
        <f>+'Estación 1'!O23</f>
        <v>1295.1491631989034</v>
      </c>
      <c r="F22" s="278">
        <f>+'Estación 2'!O23</f>
        <v>1272.4147703612834</v>
      </c>
      <c r="G22" s="278">
        <f>+'Estación 3'!O23</f>
        <v>1210.920753941608</v>
      </c>
      <c r="H22" s="278">
        <f>+'Estación 4'!O23</f>
        <v>1285.0099512662182</v>
      </c>
      <c r="I22" s="279">
        <f>+'Estación 5'!O23</f>
        <v>1314.6467846614016</v>
      </c>
    </row>
    <row r="23" spans="2:9" ht="16.5" thickBot="1">
      <c r="B23" s="280" t="s">
        <v>133</v>
      </c>
      <c r="C23" s="281"/>
      <c r="D23" s="281"/>
      <c r="E23" s="282">
        <f>+'Estación 1'!J25</f>
        <v>58.870416509041064</v>
      </c>
      <c r="F23" s="282">
        <f>+'Estación 2'!J25</f>
        <v>57.83703501642197</v>
      </c>
      <c r="G23" s="282">
        <f>+'Estación 3'!J25</f>
        <v>55.041852451891266</v>
      </c>
      <c r="H23" s="282">
        <f>+'Estación 4'!J25</f>
        <v>58.409543239373555</v>
      </c>
      <c r="I23" s="283">
        <f>+'Estación 5'!J25</f>
        <v>59.75667203006371</v>
      </c>
    </row>
  </sheetData>
  <mergeCells count="22">
    <mergeCell ref="B2:I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3:D23"/>
    <mergeCell ref="B19:D19"/>
    <mergeCell ref="B20:D20"/>
    <mergeCell ref="B21:D21"/>
    <mergeCell ref="B22:D22"/>
  </mergeCells>
  <conditionalFormatting sqref="E23:I23">
    <cfRule type="cellIs" priority="1" dxfId="0" operator="between" stopIfTrue="1">
      <formula>50</formula>
      <formula>69</formula>
    </cfRule>
    <cfRule type="cellIs" priority="2" dxfId="1" operator="between" stopIfTrue="1">
      <formula>30</formula>
      <formula>49</formula>
    </cfRule>
    <cfRule type="cellIs" priority="3" dxfId="2" operator="between" stopIfTrue="1">
      <formula>0</formula>
      <formula>29</formula>
    </cfRule>
  </conditionalFormatting>
  <printOptions/>
  <pageMargins left="1.02" right="0.7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csandova</cp:lastModifiedBy>
  <cp:lastPrinted>2007-06-26T11:41:54Z</cp:lastPrinted>
  <dcterms:created xsi:type="dcterms:W3CDTF">2007-06-19T16:49:33Z</dcterms:created>
  <dcterms:modified xsi:type="dcterms:W3CDTF">2007-06-26T16:26:29Z</dcterms:modified>
  <cp:category/>
  <cp:version/>
  <cp:contentType/>
  <cp:contentStatus/>
</cp:coreProperties>
</file>