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5480" windowHeight="8415" tabRatio="943" firstSheet="1" activeTab="9"/>
  </bookViews>
  <sheets>
    <sheet name="DEMANDA" sheetId="1" r:id="rId1"/>
    <sheet name="DETALLADO DE MATERIA PRIMA" sheetId="2" r:id="rId2"/>
    <sheet name="COSTOS OPERCIONALES" sheetId="3" r:id="rId3"/>
    <sheet name="COSTOS FIJOS" sheetId="4" r:id="rId4"/>
    <sheet name="GASTOS FINANCIEROS" sheetId="5" r:id="rId5"/>
    <sheet name="INVERSIONES" sheetId="6" r:id="rId6"/>
    <sheet name="BETA" sheetId="7" r:id="rId7"/>
    <sheet name="BALANCE INICIAL" sheetId="8" r:id="rId8"/>
    <sheet name="CB_DATA_" sheetId="9" state="veryHidden" r:id="rId9"/>
    <sheet name="FLUJO DE CAJA" sheetId="10" r:id="rId10"/>
    <sheet name="PRECIO VENTA" sheetId="11" r:id="rId11"/>
  </sheets>
  <definedNames>
    <definedName name="_xlnm._FilterDatabase" localSheetId="1" hidden="1">'DETALLADO DE MATERIA PRIMA'!$A$1:$K$872</definedName>
    <definedName name="CB_Block_00000000000000000000000000000000" localSheetId="9" hidden="1">"'7.0.0.0"</definedName>
    <definedName name="CB_Block_00000000000000000000000000000000" localSheetId="10" hidden="1">"'7.0.0.0"</definedName>
    <definedName name="CB_Block_00000000000000000000000000000001" localSheetId="8" hidden="1">"'633711192781084000"</definedName>
    <definedName name="CB_Block_00000000000000000000000000000001" localSheetId="9" hidden="1">"'633711192601410000"</definedName>
    <definedName name="CB_Block_00000000000000000000000000000001" localSheetId="10" hidden="1">"'633711192493926000"</definedName>
    <definedName name="CB_Block_00000000000000000000000000000003" localSheetId="9" hidden="1">"'11.1.63.0"</definedName>
    <definedName name="CB_Block_00000000000000000000000000000003" localSheetId="10" hidden="1">"'11.1.63.0"</definedName>
    <definedName name="CB_BlockExt_00000000000000000000000000000003" localSheetId="9" hidden="1">"'11.1.1.0.00"</definedName>
    <definedName name="CB_BlockExt_00000000000000000000000000000003" localSheetId="10" hidden="1">"'11.1.1.0.00"</definedName>
    <definedName name="CBWorkbookPriority" localSheetId="8" hidden="1">-1737044702</definedName>
    <definedName name="CBx_72f4d72868914bc6ba07a2c60b06f09a" localSheetId="8" hidden="1">"'PRECIO VENTA'!$A$1"</definedName>
    <definedName name="CBx_7f4c25b166aa4b0399e7897f7f93dd24" localSheetId="8" hidden="1">"'FLUJO DE CAJA'!$A$1"</definedName>
    <definedName name="CBx_9a2a5d39b2804a0aacc866170a3901e4" localSheetId="8" hidden="1">"'CB_DATA_'!$A$1"</definedName>
    <definedName name="CBx_Sheet_Guid" localSheetId="8" hidden="1">"'9a2a5d39-b280-4a0a-acc8-66170a3901e4"</definedName>
    <definedName name="CBx_Sheet_Guid" localSheetId="9" hidden="1">"'7f4c25b1-66aa-4b03-99e7-897f7f93dd24"</definedName>
    <definedName name="CBx_Sheet_Guid" localSheetId="10" hidden="1">"'72f4d728-6891-4bc6-ba07-a2c60b06f09a"</definedName>
    <definedName name="CBx_SheetRef" localSheetId="8" hidden="1">'CB_DATA_'!$A$14</definedName>
    <definedName name="CBx_SheetRef" localSheetId="9" hidden="1">'CB_DATA_'!$B$14</definedName>
    <definedName name="CBx_SheetRef" localSheetId="10" hidden="1">'CB_DATA_'!$C$14</definedName>
    <definedName name="CBx_StorageType" localSheetId="8" hidden="1">2</definedName>
    <definedName name="CBx_StorageType" localSheetId="9" hidden="1">2</definedName>
    <definedName name="CBx_StorageType" localSheetId="10" hidden="1">2</definedName>
  </definedNames>
  <calcPr fullCalcOnLoad="1"/>
</workbook>
</file>

<file path=xl/comments1.xml><?xml version="1.0" encoding="utf-8"?>
<comments xmlns="http://schemas.openxmlformats.org/spreadsheetml/2006/main">
  <authors>
    <author>usuario 1</author>
  </authors>
  <commentList>
    <comment ref="F9" authorId="0">
      <text>
        <r>
          <rPr>
            <b/>
            <sz val="9"/>
            <rFont val="Tahoma"/>
            <family val="2"/>
          </rPr>
          <t>usuario 1:</t>
        </r>
        <r>
          <rPr>
            <sz val="9"/>
            <rFont val="Tahoma"/>
            <family val="2"/>
          </rPr>
          <t xml:space="preserve">
INEC IV CENSO DE POBLACIÓN Y V DE VIVIENDA. TOMO I. ECUADOR 2001</t>
        </r>
      </text>
    </comment>
    <comment ref="F10" authorId="0">
      <text>
        <r>
          <rPr>
            <b/>
            <sz val="9"/>
            <rFont val="Tahoma"/>
            <family val="2"/>
          </rPr>
          <t>usuario 1:</t>
        </r>
        <r>
          <rPr>
            <sz val="9"/>
            <rFont val="Tahoma"/>
            <family val="2"/>
          </rPr>
          <t xml:space="preserve">
Dato tomado de pregunta de encuesta, % de interés para contratar el servicio vs edad (25-45).</t>
        </r>
      </text>
    </comment>
    <comment ref="F11" authorId="0">
      <text>
        <r>
          <rPr>
            <b/>
            <sz val="9"/>
            <rFont val="Tahoma"/>
            <family val="2"/>
          </rPr>
          <t>usuario 1:</t>
        </r>
        <r>
          <rPr>
            <sz val="9"/>
            <rFont val="Tahoma"/>
            <family val="2"/>
          </rPr>
          <t xml:space="preserve">
Dato tomado de pregunta de encuesta #21, % de personas en mantener el servicio de manera continua</t>
        </r>
      </text>
    </comment>
    <comment ref="F5" authorId="0">
      <text>
        <r>
          <rPr>
            <b/>
            <sz val="9"/>
            <rFont val="Tahoma"/>
            <family val="2"/>
          </rPr>
          <t>usuario 1:</t>
        </r>
        <r>
          <rPr>
            <sz val="9"/>
            <rFont val="Tahoma"/>
            <family val="2"/>
          </rPr>
          <t xml:space="preserve">
Dato tomado de base Municipal</t>
        </r>
      </text>
    </comment>
  </commentList>
</comments>
</file>

<file path=xl/comments3.xml><?xml version="1.0" encoding="utf-8"?>
<comments xmlns="http://schemas.openxmlformats.org/spreadsheetml/2006/main">
  <authors>
    <author>usuario 1</author>
  </authors>
  <commentList>
    <comment ref="F23" authorId="0">
      <text>
        <r>
          <rPr>
            <b/>
            <sz val="9"/>
            <rFont val="Tahoma"/>
            <family val="2"/>
          </rPr>
          <t>usuario 1:</t>
        </r>
        <r>
          <rPr>
            <sz val="9"/>
            <rFont val="Tahoma"/>
            <family val="2"/>
          </rPr>
          <t xml:space="preserve">
Valor considerando que en cada pack se enviarán 2 juegos de tenedores (almuerzo y merienda)</t>
        </r>
      </text>
    </comment>
    <comment ref="F22" authorId="0">
      <text>
        <r>
          <rPr>
            <b/>
            <sz val="9"/>
            <rFont val="Tahoma"/>
            <family val="2"/>
          </rPr>
          <t>usuario 1:</t>
        </r>
        <r>
          <rPr>
            <sz val="9"/>
            <rFont val="Tahoma"/>
            <family val="2"/>
          </rPr>
          <t xml:space="preserve">
Valor considerando que en cada pack se enviarán 1 juego de cuchara para el desayuno</t>
        </r>
      </text>
    </comment>
    <comment ref="F21" authorId="0">
      <text>
        <r>
          <rPr>
            <b/>
            <sz val="9"/>
            <rFont val="Tahoma"/>
            <family val="2"/>
          </rPr>
          <t>usuario 1:</t>
        </r>
        <r>
          <rPr>
            <sz val="9"/>
            <rFont val="Tahoma"/>
            <family val="2"/>
          </rPr>
          <t xml:space="preserve">
Valor considerando que en cada pack se enviarán 2 juegos de cchillos (almuerzo y merienda)</t>
        </r>
      </text>
    </comment>
    <comment ref="F20" authorId="0">
      <text>
        <r>
          <rPr>
            <b/>
            <sz val="9"/>
            <rFont val="Tahoma"/>
            <family val="2"/>
          </rPr>
          <t>usuario 1:</t>
        </r>
        <r>
          <rPr>
            <sz val="9"/>
            <rFont val="Tahoma"/>
            <family val="2"/>
          </rPr>
          <t xml:space="preserve">
Valor considerando que en cada pack se enviarán 2 juegos de contenedores (almuerzo y merienda)</t>
        </r>
      </text>
    </comment>
    <comment ref="F19" authorId="0">
      <text>
        <r>
          <rPr>
            <b/>
            <sz val="9"/>
            <rFont val="Tahoma"/>
            <family val="2"/>
          </rPr>
          <t>usuario 1:</t>
        </r>
        <r>
          <rPr>
            <sz val="9"/>
            <rFont val="Tahoma"/>
            <family val="2"/>
          </rPr>
          <t xml:space="preserve">
Costo por caja $40, cada caja contiene 20 paquetes de 200 servilletas</t>
        </r>
      </text>
    </comment>
    <comment ref="G19" authorId="0">
      <text>
        <r>
          <rPr>
            <b/>
            <sz val="9"/>
            <rFont val="Tahoma"/>
            <family val="2"/>
          </rPr>
          <t>usuario 1:</t>
        </r>
        <r>
          <rPr>
            <sz val="9"/>
            <rFont val="Tahoma"/>
            <family val="2"/>
          </rPr>
          <t xml:space="preserve">
En cada paquete (132) se enviará 3 sevilletas</t>
        </r>
      </text>
    </comment>
    <comment ref="H25" authorId="0">
      <text>
        <r>
          <rPr>
            <b/>
            <sz val="9"/>
            <rFont val="Tahoma"/>
            <family val="2"/>
          </rPr>
          <t>usuario 1:</t>
        </r>
        <r>
          <rPr>
            <sz val="9"/>
            <rFont val="Tahoma"/>
            <family val="2"/>
          </rPr>
          <t xml:space="preserve">
Precio referencial del 30.01.09, página de Negocios, Diario El Universo</t>
        </r>
      </text>
    </comment>
  </commentList>
</comments>
</file>

<file path=xl/comments4.xml><?xml version="1.0" encoding="utf-8"?>
<comments xmlns="http://schemas.openxmlformats.org/spreadsheetml/2006/main">
  <authors>
    <author>usuario 1</author>
  </authors>
  <commentList>
    <comment ref="D30" authorId="0">
      <text>
        <r>
          <rPr>
            <b/>
            <sz val="9"/>
            <rFont val="Tahoma"/>
            <family val="2"/>
          </rPr>
          <t>usuario 1:</t>
        </r>
        <r>
          <rPr>
            <sz val="9"/>
            <rFont val="Tahoma"/>
            <family val="2"/>
          </rPr>
          <t xml:space="preserve">
Se calcula para el primer mes los 2 meses de garantía + el mes que corre</t>
        </r>
      </text>
    </comment>
    <comment ref="A29" authorId="0">
      <text>
        <r>
          <rPr>
            <b/>
            <sz val="9"/>
            <rFont val="Tahoma"/>
            <family val="2"/>
          </rPr>
          <t>usuario 1:</t>
        </r>
        <r>
          <rPr>
            <sz val="9"/>
            <rFont val="Tahoma"/>
            <family val="2"/>
          </rPr>
          <t xml:space="preserve">
Se ha considerado el servcio de Tv Cable. Con una capacidad de 1.1 Megas</t>
        </r>
      </text>
    </comment>
    <comment ref="A33" authorId="0">
      <text>
        <r>
          <rPr>
            <b/>
            <sz val="9"/>
            <rFont val="Tahoma"/>
            <family val="2"/>
          </rPr>
          <t>usuario 1:</t>
        </r>
        <r>
          <rPr>
            <sz val="9"/>
            <rFont val="Tahoma"/>
            <family val="2"/>
          </rPr>
          <t xml:space="preserve">
Resmas de hojas, esferógraficas, notitas, clips, resaltadores.</t>
        </r>
      </text>
    </comment>
  </commentList>
</comments>
</file>

<file path=xl/comments5.xml><?xml version="1.0" encoding="utf-8"?>
<comments xmlns="http://schemas.openxmlformats.org/spreadsheetml/2006/main">
  <authors>
    <author>usuario 1</author>
  </authors>
  <commentList>
    <comment ref="B10" authorId="0">
      <text>
        <r>
          <rPr>
            <b/>
            <sz val="9"/>
            <rFont val="Tahoma"/>
            <family val="2"/>
          </rPr>
          <t>usuario 1:</t>
        </r>
        <r>
          <rPr>
            <sz val="9"/>
            <rFont val="Tahoma"/>
            <family val="2"/>
          </rPr>
          <t xml:space="preserve">
Dato obtenido de la pàgina web de la Vicepresidenia del Ecuador</t>
        </r>
      </text>
    </comment>
  </commentList>
</comments>
</file>

<file path=xl/sharedStrings.xml><?xml version="1.0" encoding="utf-8"?>
<sst xmlns="http://schemas.openxmlformats.org/spreadsheetml/2006/main" count="4465" uniqueCount="1470">
  <si>
    <t>Decisioneering:7.0.0.0</t>
  </si>
  <si>
    <t>7f4c25b1-66aa-4b03-99e7-897f7f93dd24</t>
  </si>
  <si>
    <t>COMPUTADORA DE ESCRITORIO</t>
  </si>
  <si>
    <t>WEB SITE</t>
  </si>
  <si>
    <t>DOMINIO Y HOSTING</t>
  </si>
  <si>
    <t>72f4d728-6891-4bc6-ba07-a2c60b06f09a</t>
  </si>
  <si>
    <t xml:space="preserve">FLUJO DE CAJA DEL CENTRO DE NUTRICION INTEGRAL </t>
  </si>
  <si>
    <t>㜸〱敤㕣㕢㙣ㅣ㔷ㄹ摥ㄹ敦慣㜷搶㜶散挶㐹摢昴敡摥㉦㡥戶㜱㥡昴㐲〹㠹㉦捤愵㜵ㅡ㈷㜶㔲慡㔲戶攳摤㌳昶㈴㍢戳敥捣慣ㄳ㤷〲㈹㤴㕥愰〸㕡ㅥ愰愵㐰㔵愱ち㕥㤰摡㠷慡㠵昲㠰㠴〴㐲㉤攲愱㐲攲〱愹ㄴ〴て愰㉡ㄲ㍣ㄴ愹㔲昹扥㌳㌳扢戳扢摥戱扢㙤挱㐵㥥㘴晦㥣㌹昷㜳晥敢昹晦㌳㐹㈹愹㔴敡㍤㍣晣㤷㑦㥡㠹ぢ愶㤷㍣㕦搸昹昱㑡戹㉣㡡扥㔵㜱扣晣愸敢ㅡ㑢㤳㤶攷㜷愱㐲愶㘰愱摣搳ち㥥㜵扦挸ㄶㄶ㠵敢愱㤲㤶㑡㘵戳扡㡡㜲㜶挲摦㐰昴愲戳㔵㙦ㅡ攰挸昸搸愱搹攳攸㜵摡慦戸㘲敢搰戱愰敤慥㤱㤱晣㐸晥㠶敢昳摢戶づ㡤㔷换㝥搵ㄵ扢ㅣ㔱昵㕤愳扣㜵㘸慡㍡㕢戶㡡户㡢愵㤹捡〹攱散ㄲ戳摢慥㥦㌵㜶摣㌴戲㘳攷㑥昳收㥢㙦敡挵挰愹挹昱戱㈹㔷㤸摥㠷搲愳挶改敥㤸㄰㐵㡢敢ㄲ挲戵㥣戹晣昸ㄸ晥挶收㡥户ㅢ昳搳昳㐲昸ㅣ㔸戸挲㈹ち㑦㐷挳ㅥ㝢搴昳慡昶〲㌷㑥户昷㘲㤹㐵挳昳㌵㝢㕣㤴换扡ㅤ昵㥡戵て㘱摦捡挶㔲慦㍤㉤ㅣ捦昲慤㐵换㕦捡搸㌳攸愸搴㘷ㅦ昵挴ㄱ挳㤹ㄳ㜷ㄸ戶搰散㝤㔵慢㤴づ㥥㔴搷㔵㔱ㄷ昱㠹挹挵攷㐷㍤㝢㝣摥㜰攵㡣㍣㙥㑢㐲摤扤㙥戱戱敥㘵敤晢攵搴攵〸散昳㡡昶昵㔰㜲捣㜰㙢㌵㠷摢搷っㄷ摦㌸㠳敢摡搷㡦敤㔱㘳㥢㙢摡户㤱㕢搹㔸㕢改〹㘹㕢敥㈸ㄶ愳㘷〸扡〹戲〴㐴愰㥥㈳攸㈱攸〵㔰搲晦〴㠷挴ㅢ戲㐸㉤ㄸ㙡㘱㔶㉤ㄴ搵㐲㐹㉤〸戵㘰慡㠵㌹戵㌰慦ㄶ㉣戵㜰㕣㉤㥣㐰㥤攸挹㜶㜷慢攱昳敦愹㤹昳ㅦㅤ㜹㝣捦㡢搷晥昹敤㙦扥昹慦ㅤ扤ㅢ㔰改㜰㌸愹〹搷㌸〹㔲慢搳昰昶晣㌶晥㔹㤹㈷挰ㄲ收㑥昳㐶㜳㘴愴戴㜳㥢㜱扤愱㜱㔹〹挸㙦㈰㤴〱搴敤㌵敦戴㥣㔲攵愴挴摤〵㘳㠶㈷敡ㅢ㌷ㅣ㤶㡤㔵慡㑥挹㍢㝦昹挲㘹摦昰挵㜹捤㘵昵㑥㕡㥡㑤㠳慤㠴㈷挷扢愸戹搹㌱愳㕣ㄵ愳愷慣愰昸挲愶㘲㝢捡慤捣戶㉦摤敢㡡晢㙡愵㉤㌳ㅡ㠵㐰㕢㤴㝤户慣㌲㈸ち收㌵㌴㍥㕦昱㠴㈳愷㌷㙣㑦㔹挵ㄳ挲㥤ㄶㄴ㠷愲㈴㤷扡㤹㐵㈱搷てㅦ㜲戰㔰㜰㙢改搲㜸慥㜹敢㈹ㅦ捣㉣㑡㤸敦㠲㜰晤愵ㄹ㘳戶㉣捥㙥愸ㄲ㡣㠹㠲㉤つ搹㝢㉢挵慡㌷㕥㜱㝣户㔲㙥㉣ㄹ㉤㉤ㅡ㤰㌴愵㠳㤵㤲㐸愷㔳㔲㈸㐰搸㜶㜵㈹㑡敡摡昶扣㈰ㄱㄱ㐳㌱ㄹ昹摣㐶戲换ㅦ挱敡戰㡡戲㈰㑤慡㤷慦搰ㄹ攷㉢㘵㑣〲〷挶搶㐴摤挱㐱慦㕥愱摢ㅡ收㍥摡捡慡㍡ㄸ慥晥搶㐵攱昸晢つ愷㔴ㄶ㙥愲收㔳㌸㈳扤ㅦ㐰㍢〳㠱搰㜶昷愸收㤴㔳捡㤲㜶搲㉡昹昳㤹㜹㘱捤捤晢挸㠳㜶捣㘶戹戵㉤㡦㝥ㄶ戲昴㡤〴㠳〰戹㕣㉡戳㠹㤵㌲㌹㍣㈹㡤搲㈹㠱㤷ㅢ〴㌹摢㌵昰㜲慦戹搷㉡晢㈲㄰捡晤㈶㌰ㄲ㘸㌵㠹扥㍥㤲愸㙢ㄴ〳㠵戱挹ㅣ〷㤵ㅡ㤶攳㉦搵昹戶㠵㑢〲㈲㕡㤷〵㙢㑥ㄶ㔰ㄴ㌴捡㠳〴㕥〳搱㌴㐹㠳攴捡㌱㈲㈲ㅢ㈴㘸㜶昴摣㐸㘴慣㥦㈰㈳㔰㍦㑥㠴慣扤慤扤㡣㈰戱户ㄲ㈹ㅢ戵攵挷㜵㘹戶㥣ㅤㅦ㐸戳捤搸㌸晤㙣㠲㜳〸捥㈵搸〲愰晣ㄵㄲ㡥㔲づ改挶㐷㍦ㅦ敦晡〵〴ㄷ〲㐰㍥改㤴㌹愱愸愲つ戵ㅡ㍢㤲昵晡㘰㈷㑢愳㌸㄰㐵戴㡣㙢㜶㘶㥦㉤ㄱㅤ㕡㥤㙢㐳搷愶愵㡥扤戲㍤㙤挶㤷㐳㡡㑣愸ㅡ㕦敢ち㔵攳ㅢ挱慡ㅤ敡慤㡢搱㔴ㅦ㈲戸〴㈰㔰㉣㌴㜶㔷㘷捤搳㥣晣㔸㤸㐴㠱㈱搴愱㜲て㠹㤸收㝦㠲㠰㙢㌹扡慣摢捦㌴〵㠷捤㡦扤晤扣戵㍤㙦㠷㐸㙦搲㤹敢㍡㠷㝥愲昷㘹㐱㕦ち昶㔲晥搸㔶扦㕣㡥㘲晤ち㠲㉢〱㥡昴ぢ㑦摥敦搷㑢㈰㑤㘲㍢㠶戹㡤昴戸㐸ぢ㜷㘶㘹㐱㐸敤搳㙢捥ㄸ敥㥣昰攱扤㌸㌰〱㍢戸攲扡愲㡣〳㙤㐹㘶昰散㜲㑥㘳愶户搷慤搸捣㕦户㡦扤㡦㠵㘲㐸愷搵慥㔴㤳㝤㥣㘰㘷挶晣㑤㌱捡愱晥扤扥扤㤰㠸㌵㙡㈴㉦戶㑢㍥㕢慥㑢㤲づ㈴挹搵搸㔶晤ㅡ〰㐸〹攵昷㙤㈵捡㌰慢㙤㤵搵ㅡ慤㔵㝡昷ㄲ㑥㈶㑤晥挳ㄶ㌹搲ㄳ㌸㙢挷攰㍢昰晡散㘹换慥〹㡢ㅥ㝢㑡戸㐵昸ㄵ慣戲挸〵㉥㔹㡡㥡㜵㔹昱㌱㤱ㄵ㕤㕤㉤㘷改〴摦㥡愴㤳㈶㈹㤱挸敤㠹㠵〹攷昰㍡㔱搱〵㐹愱㤲攰ㄶ慡㐹㈰㔲ㅥ敢慥㡢㤸づ㐴㑣ㅥㅢ愷㕦㐷戰㡤㘰〴㐰晢㉤㈴捤㙡㌷㥥㘱戰敥㐵扡戳ぢ㠵㔴㤶㘸㤰敥挱搷摢ち慢ㅤㅣ㘶㈷挱つ〰㑤收て㥤㡦〹㠴㈸㔱ㅥ㈳㐴㕡㑢扡㜹捣ㄲ㈷㐹〳ㅢ㑣〴㤵挶慢㥥㕦戱ㄹ㔵敡㌳㈷㉡㜷㔴晣〹换㕢㐰ㄴ㙡搰っㄳ㜷捥ぢ〷搴攵挲昶㘹捡慢㉣㉣㠸㤲㙥㑥㔷慡㄰㙤〷㈶搶挲愱ㅣ敢㠳㉤㈹捦攵慡㠲愷戳戳㌱扡㔰攴㠹ㄸ扥㔶㝡㘲㔷攵昹收愱慦扦扥愳㌳㤶㕦ㄶ㍤㘶挰㜴㑣㘷㑤散㈲愲〶愵㙥㜳㘶摥ㄵ㘲愲捦摣攷㕡愵戲攵〸㈲〳㌶㈶〳㜵㤳㘲づㄱ㠲愹ち攳㝦ㄵ愷捦㥣㜱つ挷㕢㌰ㄸ㑣㕣摡搸昰㈶㐳㈲㥡㌹㘶㌹ㅥ㠶㤱㔸㘴扡摦㥣㥥慦㥣㐴愴戶㙡㍢晢㡣〵㙦㑤㘰㠵㐴ㅦ㍣ㄲ㌵㡡慡愸慡㤲㔵戳㥤攲㠷〷昲㔴㙡㍢㝥㘹〲㠹慢㤴㐶㝦㜹㠲昶愶㕤ㅦ挶㘷㘸愷㜳㑥扤㠸ㅣ搵㌲扢ㄲ愵㌰㌹㔵扦㠹㙤㙥〶搸扦敦攸㠱㝡㔴敥〳挴慡㌵晡昷ㄳ㈴扣㈴㡡㕡〸㠴摥戹つ〱愱㌰㡦㜴〳晥〳扥昹搶㑣㝣㌹㔳搶㈱敤㙤愸㈷昷㈲㠶搴㙢㑥ㅡ戳愲㡣㐸戴㙤昸ㅢ㠲ㄷㅡ戱戶㔱昶挲戲昱㡡㙤ㅢ㈴㉣ㄲ攵㜴搱㈰晤㡥㔶晤捡㐱换搱㑤〰㐹㝤㘱㤶㜱ち㔹挶㈹㤹搵㙢ㅥ㘱㔰㔰愶搹㔷㘵捥㜰㉤㝦摥戶㡡㔹扥㌰㜰户㈶㈸ㄲ㉣㑥戹ㅢ㍤㤱挴ㄸ㙡戲攵㡦挲㘰昳昲㐰㜶ㅥ㔲㤴㕢㐷攴㠳㙥㔵㈵㠳㍦㑡㠷㙥㈵㠸ㄷ改㈳搵㙦㐱㙦㥡扣ㄳ〱㠱㈳㥦㌳搱捤㡢㌳㕦㐴㑥攰㤵㈳搶ㄳ㐸〴晥挰㤸㠸愷㜳㍢㘳ㅥ㜵㉣ㅦ搸㈳挶昶㕡晥㠴〷㤴〳㈰㈹て户攷㐹慣挶ㅡつ搷㜴挲挵慤㐵つ㑡攲愲搶昲戸搶戸㝣㤹攲㐰㥦挴搴挸㑡㤵愴㕥㔹㘶㡥㙢㐹搱㈸㔲㙤㐷扡㐶㐹㜲㥡搶昷㥤㌲攴〳愸㈵㐹㌳㈹㝤㤷㈴ㄴ㠴㜸㐹ㅤ搰㔰昴搶㈷㤳㐷㉣㔶㐳ぢ㈰㐷㉤ㄵ攴昵㠵挱挰〳戸㜰㔲ㄲ戹昰つ晣扤㈱㑣ㅥ慡晡つ㈵挶愹挱戰㘴戴㕣㍥攴挰㐶㈸ㅡ㙥㘹㡤戰㌴搶ㄶ攸ㄷ挹㥤㥤敡晥㘰㝢㘳㡣ㄸ戲㈱〳㈲〹㕥㘰戰㈱㤸㉢ㄶ㑢愵㙤搶挷慤慥㘵㘷昹㜶㔰ㄸ㡥挴挰戴㕦㥡㄰㡢搲〸慢摢昱㠳戲㐱敤慣㈸攵愸㙥㡥捥㝡㔰攸㍥攵㜸㤸㤲っ慥㥢㐷攸㤴挲昵〵㠸摤㌰㌵㔵昴ㄱ搴慤㜵挰㜳挱摡挱づ㜶㈴〸㥡搰㌶愳〴捤㈴㄰㙥攳㈲挸㍢ㅤ㘲ㄴ㠲搴㤴捦摢扢㤵愷㥦攲昳攳摤愹㈸ㄱ㌲ㄱ〳㕤〹戶〳㤰ㅢ㡦㐹㤲㡢〶愳㔰㜹㈰搹愴搰敡㡤昲㘸㘰昴搱攰㜳㝤摣摦㘱ㄴ慢㥦㙣㔳挶敤㌶摦㠲㌶㉤㉦㙤㌰て㌸挵㜲戵㈴愴㉡㡥㘴戵搴挸㙢〲㕦昲攲㕦挰㑤〹晢ㄲ㙥捡〱ㅣ愴戸㘴㈲愹㜳慢㕢晦ㄴ㥡㑢㈱㠷㍥〲搹挶搰㘳㠲㔳㑥㠶挲㕡㙥㈸搰㍡摣㔸扦扡㈰慦捤㐱愴戵㘴㔱㤶㑤攲㈶㕥㉤㝥㉣戹㉤㔶㙤戲㌲㔹愱挵ㅥ换摡㙦〵㔹㙢〲㐷㔸㘷㈰昰㌲ㄹㄸ㈳ㅤ㜲〷㍢㐹㥤〹攳扡㘷扥㈸㕦㔳㘷㜶㠷挶㠷挲攸㉥捦㐰㈹散㉡ㄸ㠹收戶㕡户戹ㄵ挶㝤㘹㜷敢㝢〰ㄴ〶㠰㘹搰愲㘶㘰攰㡣㈱扤戲㠱挳㔰㘴㐲㙣㌴ㅥ㐶㘵㠴㜲㄰敥㝡㈰つ摣挴㘳昴㑣〵㑡挸摦㈴慦㠴㐵户ㄲ㠷㙤ㅣ㠰㉡敥搹㑤㤹㔳㠶㡦㡢㉦捥㤶愶散搱㔲㠹收㉥扣㜳㙢〲慢戸戴ㄱ㤸愳㥢㥡慥㘳挹㌵搱扥扢慣愹㈰扣㈶戸㝤㈲扦摦昰㡢昳搳晥㔲㜰㘵慢㔳㤲搰㝥づ㙦挴戲愳搳㘶㑥㍢扣㠲扡挸扤捦㥤㜰㉡㈷ㅤ㌹㉦捤攳㝤㍦㕡戱㝡㜷㌷㈷㤹㑢扤㠷㍦昲㔱㔳摡慢攸㜱㌵搳㘶〷㜵昷〸晢㤱㑦㈰つ㠶㤰㑥愰ㄳ搸敥戵晢〲愴㤳㑤㑤㜴㈲〵挱㍡愱㌸㜳ㅦㅡ愱㈸㍦〳㕡㐹㉣挱㠱ㅣ㝢晥㍣㔸㕦昹㈹㜲㠸㜰扣㠷㘲㐴扢〴愹〴搴㐹㐱ㅥ㕥敥攰㔵㤰晦ㅦ㉣㐵摣扣㉣㍢晤ㄷ㤸㔹㜹愵ㄹ㐵ㄷㄱ㐵㉦户愲㠸㘱搸昷ㄵ昰收散搷㡦㥡ㅦ昹愵摥晦攱㔱昳㌶㘰㤸㡦戴挶㄰㔲㘳㈸扥㘶っ愸㉤挶挰ㄵ㈸㤶挶挰敤㙣挳㘸㝤㘰っ㠴摥㡥㠳挸㔸搹ㄸ㘰っ㉦挱攴㡢㠵㔴㘳づっ㥥戵捥戶改〹摢㡦换戵挲㐳摣ㅥ敡挹ㅢ㠷敦改㥣搶散㈹挳㌵散㉤㌲㝦㥦㉢愰戶摣ㄹ摣搶㤶㑤搸攲扣㘵㑢㘴愳㘵扣ㄲ㤱㌷㝤摤㜳戲扡㍢敡挰㔴昰〴㙥㝡㈵慢㘴㍥㠰㑦㐴攱〹㈱昵戹㑤㍦搹昷愷晢ㅦ摡捤㕢㘹㈱慤㙡っ〳㜷ㄲ㥡愷攵㠰攰㙤散㐲挸㘶㝥㝣㜳㄰ㅦ㈱㔹ぢ㘵㌱㘶戸搲摥昱㜴㍢㑡〶㠴ㄷ㈳捣㠰昸搶㠲㌱㠹晢つ㠱㌱㤹㙦㜲㙣捡㡦㤷愴㌳㌰ㅦ㥢戸昴摥㐵攱㐱愵慤捡敡搰慥搴㕥㠴搲㜹㥦ㄳ㘹戴〷㜹扥攴愳㈸㉦㌴㙢戵㥤搴㙡搲㑣㔴㠶㔱㈳㤲㔲㠸㌳㤰㐲攲㐷ㄶ〶晥愵㤴㥡㐲㐲换〳㈴㐴搰㥡㐳戹㍣昹慦ぢ〱㔱扢摣搷攱㠷㉡搸㐵㘰㌱昲扡㜷㝡㜶愵搵ㄹ愹㈶㠶㘴攵改攳㌰ㄲ昲㤸挲っ挶㘸㘵敥ㄱ㈴愲㐷ㅢ㐱㙡搵㡥㈷づ搲㘷〷〱戶㠰戱㌵㥢㕥戵㥣㝤慢㔳挵つて攸㤹㡣㔴ㄸ捥㐶㘶攳攸㈹㘳㜱㐱搵㕣㤰㐵搸ㅦ㈴㙢㡤㝡挲㈲攸㉣㘷ぢ捥㥦〸昲昱㙢㈰㤶て搷扢摥摣㕣㐲ㅤ攷㜴㘳㠱晣挱晥扡㈸㠱戱㌱㉡㌹〶ㄲ㜶㔵戵戲挱ㄵ昰㘹㌴㤱昶扣愲搷㤳ㅣ㑢㔱ㄸ㡢㡥㌸慢慢㔵晦㌳㑡㉤㌹㙢㠶戵ㄹ慥㙥搰晦挷㤰戱愲晥㔷ㄸ㘳㤳㈸扢㌳㑣昰㐵㘳愴㘴挵攰っ㜷〴㍥㙣㠴㘹攴ㄱ㔸㤷㐹㠶戶㠳搴㌴㍥㑥つ㡡愵〴㠷㠷㉢摤㝣〵愲搶㤶戶㙤㑦㕢〱挸㈸㤰昶㈳㠸愰戶敤㌹改搶㜳㙣收㉥㘴㙦㍡㘸ㄵ摤㡡㔷㌱晤愱㘹〴㜷㠷昸㝤㤹〹㥢㘷㔴㜹扥㔹愸㕤㠶㥤攸扤ㅢ㙤㈶て㐱㘰摦㈱晣て㈷收挸〸挲敡㈲ㄶ晣搲㘸㈰ㄶ㐶愲㙥昰捥㌲て㔷㡤㌲㍥㑥㍤〴㥦愶捦慣㌵愱敡〲捦㜲昳㍤っ㙥ㅣ㙥㘲摤づ扦㡦㈸攷ㄱ〴㤳㑢戸晢ㅥ敥㙡昳ㅥ㌴搶つ搷收戱㘶㘷扥戵㥣昶㐳㘰㜴㜵愳㌴ㄲっ挷攴㌷挷㌹晤ㅥ㐲㐴㜹攸ㅢ㕤扤㈳㤶扤つ㠲捡挳捦戵改昰ㅡ㉥挳㑤戶㡡ㄸ昷㘷搱㔴搹㐳㠰㥦㕥〸ㄳ㝣㔱攸捤扢㠵㠹㘷戱㉣㤲㍦搲愹㡣〱搰㥥愶扦扦ㅣ㑤㉢㍣㔸㤰ち㜳捡昷㔰捥㕤ち㔶㕢㘲ㅥづㅡ昲〰㠱戴㉥〰愲㐷攱〱㐲㡥晦㌴ㅡ搴挶㥦㐳㙥晢昱扦戳散昸㔴晤㜲㝤昱晥〷㈲搵愱ㅦ㐷戱㝥㠲愰㑣㘰〳っ㐴ㅡ愴㥦㐲㤱㤲㈶ㄳ㠴㄰㕥搹㡤㌴㥥摦㠵晦扥戹晢昵搷昸晣㘳户㈲挵㈰㡡ㅡ㔷㐱㌱㈸㔷昱㐴㝣ㄵぢ挸㙤扦㡡㙦㉣户㡡〱㑡㐸捥㐴㜷〱晡扡ㄴ搲㡡㕣㤵㠷〴㌷㤴㍦㐵㈲ㄴ㠹㠶㔹っ㄰戱戲㙤ㄵ〹戴攵捥换戶㡢㐸㐴㙤〷愲敤搱戸㈳〹摦昱㐸㌳㠹昷ㅥ改扣挹〴摥搷㑣愰ㅣ戳㜶攸㜶㕤ㄳ㐲〲㙢攳㠷戱㙤㈵㝢愶挳㤰扥昲㔸㠴愱晤晢愳㡦愴搴㌰挸〴ち〹っ㔳㔲ㄴ㌷㔲㜹㌴慡晣挲㑢㜵ㅦ㈹ち昰㠰㡣㠲捡愴㍣㔹昹㤱愸昲㜶㝣㠰㈵敢愴㜸㘵㠰捦㥢㔱㘵㔲愸慣晣㜰㔴昹敦摢户搴㉡㐷〴ㄹ昴慣㤱㕡ㄲ㑣㕥㜹〸㠸㝤㡣捤戳戵㘶㔲㡤昶㤸㐱㌶㐵愸㡣ㄵ㤷愵㈲敤挵敤てㄷ㥦㐳㑦攲㉡ㄳ敥㝣㐰摡〶晦㉢挲〱㕣㜱㥡㌰㝣〳㕦㍢㉦㈲扡散敡昲㡤㡤㌳收㈱ㄷㄹ摤收〱て㐷慢搲㥡㈲ㄱ㔸〵改㘰㝦㔷昰挲㈷㔸㤰昵晤㠸愲㘲㉡㉦㡤㜴愶㐵㘴㈴㈵慤㍣ㄴ㘱㌶㜵扡㑥㌳晡攷㠱ㅣ挸㑢㐰㈶昴㉦〰〶㤱㤷㑤捣ㄸ愰㈰㤰㕣㝥ㅡ〹晤㐱㠲㉦〱攴ㄴ㜲㍤改㈰昳㘵㠰晥攸晦愴ㄸ㕡㤴㙥ㄳ㔵㜹㈰ㅡ㉣㑥㐶晡㔷搸攰㘱㠰㉥昸㙢㤵㤰〸㜳晡㈳挸㠹て㑡〹㈲〷㝤㡣〵㕦㈵昸ㅡ㐰㑥攳㘴㔷扤㙢㕣㔳㠷㉡散㜱㌴㔵戸ㄵ㔲愰㝤㍤㑣昰㐵㍢つ㜰㑢㝢㤳㤹㈷攲攸ㅢ㝥挴㌶ㅢ㍥搶扦ㄵㅦ摦㉦㜱搱㕤昸㥦㐷㌴㘹摦愷搵㑦㜴搶ㄷ㤹㐰攳㝣昸㜳戱搹ㅦ愰ㅦ慥慢㙥㙡戲挷㑦攲㤷㔵㌳捡㠳昸昷㌴㝥捡㝤ㄸ㠱愳㔰攵㘶攱㙤㈱つ挸㠲㠵戰㠰扡㑢㝦〲㐰㈱㡥㠹㈷晤㐹扥ㄱ戵散㕦晦㔶㤸攰㡢㐲扣㥥㘶愲ㅣ㌶㡦〶㈴慥㘵挱㠹愶〱㠹㝦㔹㜰㍣㍥攰户㤱慢㐸㘴㈱搱愸㥥㠸戴㌴㜳㥦〲攸敢敡攷摣愸敥搴㔳㑡昱摥搲扤昷扥搳㥦ㅥ㍡㉦晤改㍤扤㑦扤昹㥢户㥥㝣攳㌳扢晥昶敥㌳捦扣昱㤷㈷㕦㝢昷搵搹㕤扦㝡敥戹㕦摥昶㠳搷摥摡㘸㍥慢扥昴捥攴戳て㡣㥣㜸攰㍥昳攸戵晢ㅥ戸敢昸攱㤱愹戳㠶扢扡扡扢慦ㅡ晣昵戹㔷て㥣扥敦㘵攵ㄷ㝦㌸挷㔱攴㜲㌹愰〰㠸㥥〱㉥㕢㑥攳扢㐸㘰ㅡ㥣昱㐷㍡つ㉥昷㌴㝥㑡㈹摣愸㌱扣㘴攱摡攰〴㘴㐱戱戱愰攷㍦挷㤰戲ㄷ</t>
  </si>
  <si>
    <t>Total LECHUGA</t>
  </si>
  <si>
    <t>Total LECHUGA ROMANA</t>
  </si>
  <si>
    <t>Total LENTAJAS</t>
  </si>
  <si>
    <t>Total LEVADURA</t>
  </si>
  <si>
    <t>Total LIMON</t>
  </si>
  <si>
    <t>Total MACARRONES</t>
  </si>
  <si>
    <t>Total MAICENA</t>
  </si>
  <si>
    <t>Total MANGO</t>
  </si>
  <si>
    <t>Total MANTEQUILLA</t>
  </si>
  <si>
    <t>Total MANTEQUILLA DE MANI</t>
  </si>
  <si>
    <t>Total MANZANAS</t>
  </si>
  <si>
    <t>Total MARGARITA</t>
  </si>
  <si>
    <t>Total MAYONESA</t>
  </si>
  <si>
    <t>Total MELON</t>
  </si>
  <si>
    <t>Total MENTA</t>
  </si>
  <si>
    <t>Total MERMELADA DE DURAZNO</t>
  </si>
  <si>
    <t>Total MERMELADA RUTILLA LIGHT</t>
  </si>
  <si>
    <t>Total MIEL DE ABEJA</t>
  </si>
  <si>
    <t>Total MORAS</t>
  </si>
  <si>
    <t>Total MOSTAZA DIJON</t>
  </si>
  <si>
    <t>Total NARANJAS</t>
  </si>
  <si>
    <t>Total NUECES</t>
  </si>
  <si>
    <t>Total NUEZ MOSCADA</t>
  </si>
  <si>
    <t>Total OREGANO</t>
  </si>
  <si>
    <t>Total PAN BAGUETTE</t>
  </si>
  <si>
    <t>Total PAN BOLLO</t>
  </si>
  <si>
    <t>Total PAN HOT DOG</t>
  </si>
  <si>
    <t>Total PAN INTEGRAL</t>
  </si>
  <si>
    <t>Total PAN MOLDE</t>
  </si>
  <si>
    <t>Total PANECILLO</t>
  </si>
  <si>
    <t>Total PAPAS</t>
  </si>
  <si>
    <t>Total PAPAYA</t>
  </si>
  <si>
    <t>Total PAPRIKA</t>
  </si>
  <si>
    <t>Total PASAS</t>
  </si>
  <si>
    <t>Total PASTA DE TOMATE</t>
  </si>
  <si>
    <t>Total PASTA FARFALLE</t>
  </si>
  <si>
    <t>Total PAVO ENTERO</t>
  </si>
  <si>
    <t>Total PAVO PECHUGA</t>
  </si>
  <si>
    <t>Total PEPINO</t>
  </si>
  <si>
    <t>Total PERAS</t>
  </si>
  <si>
    <t>Total PERIJIL</t>
  </si>
  <si>
    <t>Total PIMIENTA NEGRA</t>
  </si>
  <si>
    <t>Total PIMIENTO AMARILLO</t>
  </si>
  <si>
    <t>Total PIMIENTO ROJO</t>
  </si>
  <si>
    <t>Total PIMIENTO VERDE</t>
  </si>
  <si>
    <t>CONT. MARGINAL</t>
  </si>
  <si>
    <t>ADM. VENTA FINANCIERA</t>
  </si>
  <si>
    <t>Total PINCHOS DE MADERA</t>
  </si>
  <si>
    <t>Total PIÑA</t>
  </si>
  <si>
    <t>Total PISTACHOS</t>
  </si>
  <si>
    <t>Total POLLO PECHUGA</t>
  </si>
  <si>
    <t>Total POLVO DE HORNEAR</t>
  </si>
  <si>
    <t>Total QUESO CHEDDAR</t>
  </si>
  <si>
    <t>Total QUESO CREMA</t>
  </si>
  <si>
    <t>Total QUESO FRESCO</t>
  </si>
  <si>
    <t>Total QUESO GODUA</t>
  </si>
  <si>
    <t>Total QUESO MOZZARELLA</t>
  </si>
  <si>
    <t>Total QUESO PARMESANO</t>
  </si>
  <si>
    <t>Total QUESO RICOTTA</t>
  </si>
  <si>
    <t>Total RABANOS</t>
  </si>
  <si>
    <t>Total REMOLACHA</t>
  </si>
  <si>
    <t>Total REQUESON</t>
  </si>
  <si>
    <t>Total RES LOMO</t>
  </si>
  <si>
    <t>Total ROMERO</t>
  </si>
  <si>
    <t>Total RON</t>
  </si>
  <si>
    <t>Total SAL</t>
  </si>
  <si>
    <t>Total SAL DE AJO</t>
  </si>
  <si>
    <t>Total SALSA DE SOYA</t>
  </si>
  <si>
    <t>Total SALSA DE TOMATE</t>
  </si>
  <si>
    <t>Total SALSA DE INGLESA</t>
  </si>
  <si>
    <t>Total SALVIA</t>
  </si>
  <si>
    <t>Total SEMOLA</t>
  </si>
  <si>
    <t>Total SOLOMILLO</t>
  </si>
  <si>
    <t>Total AZUCA SPLENDA</t>
  </si>
  <si>
    <t>Total TILAPIA</t>
  </si>
  <si>
    <t>Total TOMATE</t>
  </si>
  <si>
    <t>Total TOMATE CHERRY</t>
  </si>
  <si>
    <t>Total TOMILLO</t>
  </si>
  <si>
    <t>Total TORTILLAS DE MAIZ</t>
  </si>
  <si>
    <t>Total UVAS</t>
  </si>
  <si>
    <t>Total VAINITA</t>
  </si>
  <si>
    <t>Total VINAGRE</t>
  </si>
  <si>
    <t>Total VINAGRE BALSAMICO</t>
  </si>
  <si>
    <t>Total VINO BLANCO</t>
  </si>
  <si>
    <t>Total YOGURT NATURAL</t>
  </si>
  <si>
    <t>Total YOGURT VAINILLA</t>
  </si>
  <si>
    <t>Total ZANAHORIAS</t>
  </si>
  <si>
    <t>Total ZUQUINI</t>
  </si>
  <si>
    <t>INGREDIENTES</t>
  </si>
  <si>
    <t>PRECIO POR PORCION</t>
  </si>
  <si>
    <t>CONTRATISTA 3 (Administrador de sistema)</t>
  </si>
  <si>
    <t>NO. PERSONAS</t>
  </si>
  <si>
    <t>CONTRATISTA 2 (Nutricionista)</t>
  </si>
  <si>
    <t>Betas by Sector</t>
  </si>
  <si>
    <t>Industry Name</t>
  </si>
  <si>
    <t>Number of Firms</t>
  </si>
  <si>
    <t>Average Beta</t>
  </si>
  <si>
    <t>Market D/E Ratio</t>
  </si>
  <si>
    <t>Tax Rate</t>
  </si>
  <si>
    <t>Unlevered Beta</t>
  </si>
  <si>
    <t>Cash/Firm Value</t>
  </si>
  <si>
    <t>Unlevered Beta corrected for cash</t>
  </si>
  <si>
    <t>Advertising</t>
  </si>
  <si>
    <t>Aerospace/Defense</t>
  </si>
  <si>
    <t>Air Transport</t>
  </si>
  <si>
    <t>Apparel</t>
  </si>
  <si>
    <t>Auto &amp; Truck</t>
  </si>
  <si>
    <t>Auto Parts</t>
  </si>
  <si>
    <t>Bank</t>
  </si>
  <si>
    <t>Bank (Canadian)</t>
  </si>
  <si>
    <t>Bank (Midwest)</t>
  </si>
  <si>
    <t>Beverage</t>
  </si>
  <si>
    <t>Biotechnology</t>
  </si>
  <si>
    <t>Building Materials</t>
  </si>
  <si>
    <t>Cable TV</t>
  </si>
  <si>
    <t>Canadian Energy</t>
  </si>
  <si>
    <t>Chemical (Basic)</t>
  </si>
  <si>
    <t>Chemical (Diversified)</t>
  </si>
  <si>
    <t>Chemical (Specialty)</t>
  </si>
  <si>
    <t>Coal</t>
  </si>
  <si>
    <t>Computer Software/Svcs</t>
  </si>
  <si>
    <t>Computers/Peripherals</t>
  </si>
  <si>
    <t>Diversified Co,</t>
  </si>
  <si>
    <t>Drug</t>
  </si>
  <si>
    <t>E-Commerce</t>
  </si>
  <si>
    <t>Educational Services</t>
  </si>
  <si>
    <t>Electric Util, (Central)</t>
  </si>
  <si>
    <t>Electric Utility (East)</t>
  </si>
  <si>
    <t>Electric Utility (West)</t>
  </si>
  <si>
    <t>Electrical Equipment</t>
  </si>
  <si>
    <t>Electronics</t>
  </si>
  <si>
    <t>Entertainment</t>
  </si>
  <si>
    <t>Entertainment Tech</t>
  </si>
  <si>
    <t>Environmental</t>
  </si>
  <si>
    <t>Financial Svcs, (Div,)</t>
  </si>
  <si>
    <t>Food Processing</t>
  </si>
  <si>
    <t>Food Wholesalers</t>
  </si>
  <si>
    <t>Foreign Electronics</t>
  </si>
  <si>
    <t>Furn/Home Furnishings</t>
  </si>
  <si>
    <t>Grocery</t>
  </si>
  <si>
    <t>Healthcare Information</t>
  </si>
  <si>
    <t>Heavy Construction</t>
  </si>
  <si>
    <t>Homebuilding</t>
  </si>
  <si>
    <t>Hotel/Gaming</t>
  </si>
  <si>
    <t>Household Products</t>
  </si>
  <si>
    <t>Human Resources</t>
  </si>
  <si>
    <t>Industrial Services</t>
  </si>
  <si>
    <t>Information Services</t>
  </si>
  <si>
    <t>Insurance (Life)</t>
  </si>
  <si>
    <t>Insurance (Prop/Cas,)</t>
  </si>
  <si>
    <t>Internet</t>
  </si>
  <si>
    <t>Investment Co,</t>
  </si>
  <si>
    <t>Investment Co,(Foreign)</t>
  </si>
  <si>
    <t>Machinery</t>
  </si>
  <si>
    <t>Manuf, Housing/RV</t>
  </si>
  <si>
    <t>Maritime</t>
  </si>
  <si>
    <t>Medical Services</t>
  </si>
  <si>
    <t>Medical Supplies</t>
  </si>
  <si>
    <t>Metal Fabricating</t>
  </si>
  <si>
    <t>Metals &amp; Mining (Div,)</t>
  </si>
  <si>
    <t>Natural Gas (Div,)</t>
  </si>
  <si>
    <t>Natural Gas Utility</t>
  </si>
  <si>
    <t>Newspaper</t>
  </si>
  <si>
    <t>Office Equip/Supplies</t>
  </si>
  <si>
    <t>Oil/Gas Distribution</t>
  </si>
  <si>
    <t>Oilfield Svcs/Equip,</t>
  </si>
  <si>
    <t>Packaging &amp; Container</t>
  </si>
  <si>
    <t>Paper/Forest Products</t>
  </si>
  <si>
    <t>Petroleum (Integrated)</t>
  </si>
  <si>
    <t>Petroleum (Producing)</t>
  </si>
  <si>
    <t>Pharmacy Services</t>
  </si>
  <si>
    <t>Power</t>
  </si>
  <si>
    <t>Precious Metals</t>
  </si>
  <si>
    <t>Precision Instrument</t>
  </si>
  <si>
    <t>Property Management</t>
  </si>
  <si>
    <t>Publishing</t>
  </si>
  <si>
    <t>R,E,I,T,</t>
  </si>
  <si>
    <t>Railroad</t>
  </si>
  <si>
    <t>Recreation</t>
  </si>
  <si>
    <t>Reinsurance</t>
  </si>
  <si>
    <t>Restaurant</t>
  </si>
  <si>
    <t>Retail (Special Lines)</t>
  </si>
  <si>
    <t>Retail Automotive</t>
  </si>
  <si>
    <t>Retail Building Supply</t>
  </si>
  <si>
    <t>Retail Store</t>
  </si>
  <si>
    <t>Securities Brokerage</t>
  </si>
  <si>
    <t>Semiconductor</t>
  </si>
  <si>
    <t>Semiconductor Equip</t>
  </si>
  <si>
    <t>Shoe</t>
  </si>
  <si>
    <t>Steel (General)</t>
  </si>
  <si>
    <t>Steel (Integrated)</t>
  </si>
  <si>
    <t>Telecom, Equipment</t>
  </si>
  <si>
    <t>Telecom, Services</t>
  </si>
  <si>
    <t>Thrift</t>
  </si>
  <si>
    <t>Tobacco</t>
  </si>
  <si>
    <t>Toiletries/Cosmetics</t>
  </si>
  <si>
    <t>Trucking</t>
  </si>
  <si>
    <t>Utility (Foreign)</t>
  </si>
  <si>
    <t>Water Utility</t>
  </si>
  <si>
    <t>Wireless Networking</t>
  </si>
  <si>
    <t>Public/Private Equity</t>
  </si>
  <si>
    <t>Funeral Services</t>
  </si>
  <si>
    <t>Grand Total</t>
  </si>
  <si>
    <t>1.19</t>
  </si>
  <si>
    <t>48.81%</t>
  </si>
  <si>
    <t>16.67%</t>
  </si>
  <si>
    <t>0.84</t>
  </si>
  <si>
    <t>9.28%</t>
  </si>
  <si>
    <t>0.93</t>
  </si>
  <si>
    <t>Beta Desapalancado</t>
  </si>
  <si>
    <t>Beta Apalancado</t>
  </si>
  <si>
    <t>MATERIA PRIMA</t>
  </si>
  <si>
    <t xml:space="preserve">INGREDIENTES </t>
  </si>
  <si>
    <t>ACEITE DE CANOLA</t>
  </si>
  <si>
    <t>MAIZ LATA</t>
  </si>
  <si>
    <t>Total MAIZ LATA</t>
  </si>
  <si>
    <t>Total general</t>
  </si>
  <si>
    <t>AZUCAR SPLENDA</t>
  </si>
  <si>
    <t>BERENJENA</t>
  </si>
  <si>
    <t>Total BERENJENA</t>
  </si>
  <si>
    <t>CULANTRO</t>
  </si>
  <si>
    <t>Total CULANTRO</t>
  </si>
  <si>
    <t>ESPINACA</t>
  </si>
  <si>
    <t>FRUTILLAS</t>
  </si>
  <si>
    <t>Total FRUTILLAS</t>
  </si>
  <si>
    <t>MERMELADA FRUTILLA LIGHT</t>
  </si>
  <si>
    <t>DATOS GENERALES</t>
  </si>
  <si>
    <t>MANO DE OBRA DIRECTA</t>
  </si>
  <si>
    <t>COSTOS INDIRECTOS</t>
  </si>
  <si>
    <t>PRECIO UNITARIO (PORCION/MES)</t>
  </si>
  <si>
    <t>DEPRECIACION TOTAL EN 10 AÑOS</t>
  </si>
  <si>
    <t>DEPRECIACION TOTAL EN 3 AÑOS</t>
  </si>
  <si>
    <t>CONTRATSTA 1 (Personal de limpieza)</t>
  </si>
  <si>
    <t>MANO DE OBRA INDIRECTA</t>
  </si>
  <si>
    <t>TOTAL PRIMER MES</t>
  </si>
  <si>
    <t>CAMARA DIGITAL</t>
  </si>
  <si>
    <t>IMPRESORA MULTIFUNCION</t>
  </si>
  <si>
    <t>AIRE ACONDICIONADO SPLIT 12000 BTU</t>
  </si>
  <si>
    <t>MOTOS</t>
  </si>
  <si>
    <t>PALMERA</t>
  </si>
  <si>
    <t>FOTOGRAFIA/CUADROS</t>
  </si>
  <si>
    <t xml:space="preserve">HORNO TOSTADOR  BLACK &amp; DECKER </t>
  </si>
  <si>
    <t>LICUADORA COMERCIAL MARCA SKYMSEN VASO DE ACERO INOXIDABLE</t>
  </si>
  <si>
    <t>LICUADORA BLACK DECKER</t>
  </si>
  <si>
    <t>BATIDOR HX-200 WINDMERE</t>
  </si>
  <si>
    <t>OLLA DE ALUMINIO DE 5 LITROS</t>
  </si>
  <si>
    <t>OLLA DE ALUMINIO DE 8 LITROS</t>
  </si>
  <si>
    <t>OLLA DE PRESIÓN DE ACERO INOXIDABLE</t>
  </si>
  <si>
    <t>OLLA ARROCERA MARCA BLACK &amp; DECKER  (1.8 DE CAPACIDAD ) HASTA 24 TAZAS DE ARROZ</t>
  </si>
  <si>
    <t>SARTÉN DE ALUMINIO GRANDE</t>
  </si>
  <si>
    <t>SARTÉN FREIDORA</t>
  </si>
  <si>
    <t xml:space="preserve">JUEGO DE SARTENES MEDIANO DE 3 PIEZAS </t>
  </si>
  <si>
    <t>JUEGO DE SARTENES GRANDE DE 3 PIEZAS</t>
  </si>
  <si>
    <t>ESPÁTULA RANURADA GRANDE</t>
  </si>
  <si>
    <t>ESPÁTULA PEQUEÑA</t>
  </si>
  <si>
    <t>COLADOR GRANDE</t>
  </si>
  <si>
    <t>RALLADOR GRANDE</t>
  </si>
  <si>
    <t>TABLA DE PICAR</t>
  </si>
  <si>
    <t>BATIDOR DE METAL</t>
  </si>
  <si>
    <t>CAMPANA EXTRACTORA</t>
  </si>
  <si>
    <t>PALO DE AMASAR</t>
  </si>
  <si>
    <t>CUCHILLO GRANDE</t>
  </si>
  <si>
    <t>CUCHARÓN GRANDE</t>
  </si>
  <si>
    <t>CUCHARÓN MEDIANO</t>
  </si>
  <si>
    <t>TRINCHE GRANDE</t>
  </si>
  <si>
    <t>TRINCHE PEQUEÑO</t>
  </si>
  <si>
    <t>OFICINA ADMINISTRATIVA</t>
  </si>
  <si>
    <t>SILLA EJECUTIVA</t>
  </si>
  <si>
    <t>ARCHIVADOR AÉREO</t>
  </si>
  <si>
    <t>ESCRITORIO</t>
  </si>
  <si>
    <t>TELÉFONO</t>
  </si>
  <si>
    <t>ÁREA OPERATIVA</t>
  </si>
  <si>
    <t>GAVETAS</t>
  </si>
  <si>
    <t>ANAQUELES</t>
  </si>
  <si>
    <t>TACHO DE BASURA INDUSTRIAL</t>
  </si>
  <si>
    <t>ÁREA DE ALMACENAJE</t>
  </si>
  <si>
    <t>SILLA DE SECRETARIA</t>
  </si>
  <si>
    <t>DISPENSADOR DE AGUA</t>
  </si>
  <si>
    <t>TACHOS DE BASURA PEQUEÑOS</t>
  </si>
  <si>
    <t>EQUIPO DE TRANSPORTE</t>
  </si>
  <si>
    <t>EQUIPOS Y MUEBLES OPERATIVOS</t>
  </si>
  <si>
    <t>EQUIPOS Y MUEBLES ADMINISTRATIVOS</t>
  </si>
  <si>
    <t>EQUIPOS Y MUEBLES (vida útil 10 años)</t>
  </si>
  <si>
    <t>EQUIPO DE TRANSPORTE (vida útil 5 años)</t>
  </si>
  <si>
    <t>EQUIPOS DE COMPUTO Y SOFTWARE</t>
  </si>
  <si>
    <t>EQUIPOS DE COMPUTO Y SOFTWARE (vida útil 3 años)</t>
  </si>
  <si>
    <t>CONGELADOR HORIZONTAL (12 PIES)</t>
  </si>
  <si>
    <t>MICROONDAS INOXIDABLE MABE (MEDIDAS EXTERIORES: 55 x 51.4 x 36.2)</t>
  </si>
  <si>
    <t>PLANCHA FREIDORA INDUSTRIAL EN ACERO INOXIDABLE (MEDIDAS: 0.6 x 0.50 x 0.30 )</t>
  </si>
  <si>
    <t>COCINA INDUSTRIAL EN ACERO INOXIDABLE (MEDIDAS EXTERIORES: 152.4 x 84.1 x 94.9)</t>
  </si>
  <si>
    <t>AÑO 6</t>
  </si>
  <si>
    <t>AÑO 7</t>
  </si>
  <si>
    <t>AÑO 8</t>
  </si>
  <si>
    <t>AÑO 9</t>
  </si>
  <si>
    <t>AÑO 10</t>
  </si>
  <si>
    <t>SALDO INICIAL DE CAJA</t>
  </si>
  <si>
    <t>( = ) SALDO FINAL DE CAJA</t>
  </si>
  <si>
    <t xml:space="preserve">         ( + ) Mano de Obra Directa</t>
  </si>
  <si>
    <t xml:space="preserve">         ( + ) Materia Prima</t>
  </si>
  <si>
    <t xml:space="preserve">         ( + ) Costos Indirectos</t>
  </si>
  <si>
    <t xml:space="preserve">         ( + ) Mano de Obra Indirecta</t>
  </si>
  <si>
    <t xml:space="preserve">         ( + ) Gastos de servicios</t>
  </si>
  <si>
    <t xml:space="preserve">         ( + ) Gastos de publicidad</t>
  </si>
  <si>
    <t xml:space="preserve">    EQUIPOS</t>
  </si>
  <si>
    <t xml:space="preserve">    EQUIPOS Y MUEBLES (OPER - ADM)</t>
  </si>
  <si>
    <t xml:space="preserve">    EQUIPO DE TRANSPORTE</t>
  </si>
  <si>
    <t xml:space="preserve">GASTOS DE SERVICIO Y ARRIENDO </t>
  </si>
  <si>
    <t xml:space="preserve">    EQUIPOS DE COMPUTO Y SOFTWARE</t>
  </si>
  <si>
    <t>( - ) AMORTIZACION DE GASTOS DE ARRANQUE</t>
  </si>
  <si>
    <t xml:space="preserve">( - ) INTERESES </t>
  </si>
  <si>
    <t>( - ) IMPUESTO A LA RENTA (25%)</t>
  </si>
  <si>
    <t>IMPUESTO A LA RENTA</t>
  </si>
  <si>
    <t xml:space="preserve">( + ) DEPRECIACION </t>
  </si>
  <si>
    <t>( + ) AMORTIZACION DE GASTOS DE ARRANQUE</t>
  </si>
  <si>
    <t>( - ) INVERSION INICIAL</t>
  </si>
  <si>
    <t>( - ) CAPITAL DE TRABAJO</t>
  </si>
  <si>
    <t>VAN</t>
  </si>
  <si>
    <t>TIR</t>
  </si>
  <si>
    <t>( + ) FLUJO NETO DE EFECTIVO TOTAL</t>
  </si>
  <si>
    <t>RF</t>
  </si>
  <si>
    <t>BETA</t>
  </si>
  <si>
    <t>RM</t>
  </si>
  <si>
    <t>CAPM INICIAL</t>
  </si>
  <si>
    <t>RIESGO PAIS</t>
  </si>
  <si>
    <t>CAPM FINAL (CON RIESGO PAIS)</t>
  </si>
  <si>
    <t>VENTAS</t>
  </si>
  <si>
    <t>PRESUPUESTO COMPRA MATERIA PRIMA</t>
  </si>
  <si>
    <t>$</t>
  </si>
  <si>
    <t>% ESTIMADO DESPERDICIO</t>
  </si>
  <si>
    <t>TOTAL ESTIMADO COMPRA</t>
  </si>
  <si>
    <t>SUELDO</t>
  </si>
  <si>
    <t>TOTAL MANO DE OBRA</t>
  </si>
  <si>
    <t>EJERCICIO ECONOMICO ESTIMADO AL 2008</t>
  </si>
  <si>
    <t>GASTOS ADMINISTRATIVOS</t>
  </si>
  <si>
    <t>SUELDOS</t>
  </si>
  <si>
    <t>ESTADO COSTO Y PRODUCCION Y VENTAS</t>
  </si>
  <si>
    <t>DISPONIBLE</t>
  </si>
  <si>
    <t>MANO DE OBRA</t>
  </si>
  <si>
    <t>COSTO DE VENTAS</t>
  </si>
  <si>
    <t>ESTADO DE PERDIDAS Y GANANCIAS</t>
  </si>
  <si>
    <t>COSTO VENTA</t>
  </si>
  <si>
    <t>UTILIDAD BRUTA</t>
  </si>
  <si>
    <t>GASTOS OPERATIVOS</t>
  </si>
  <si>
    <t>ADMINISTRATIVOS</t>
  </si>
  <si>
    <t>UTILIDAD OPERACIONA</t>
  </si>
  <si>
    <t>GASTOS FINANCIEROS</t>
  </si>
  <si>
    <t>UTILIDAD ANTES IMPUESTOS</t>
  </si>
  <si>
    <t>ANALISIS MARGINAL COSTOS FIJOS</t>
  </si>
  <si>
    <t>COSTOS VARIABLES</t>
  </si>
  <si>
    <t>PRODUCCION</t>
  </si>
  <si>
    <t>CVARIABLE</t>
  </si>
  <si>
    <t># CANT PRODUCIDAS</t>
  </si>
  <si>
    <t>C.U.V</t>
  </si>
  <si>
    <t>CONTRIBUCION MARGINAL</t>
  </si>
  <si>
    <t>CM = PV - C.U.V</t>
  </si>
  <si>
    <t>CM=</t>
  </si>
  <si>
    <t>-</t>
  </si>
  <si>
    <t>=</t>
  </si>
  <si>
    <t xml:space="preserve">P.E= </t>
  </si>
  <si>
    <t>COSTO FIJO</t>
  </si>
  <si>
    <t>COSTOS FIJOS</t>
  </si>
  <si>
    <t>PE=</t>
  </si>
  <si>
    <t>UNIDADES</t>
  </si>
  <si>
    <t>DOLARES</t>
  </si>
  <si>
    <t>P.V</t>
  </si>
  <si>
    <t>UTILIDAD =</t>
  </si>
  <si>
    <t>P.V.</t>
  </si>
  <si>
    <t>C.V.F</t>
  </si>
  <si>
    <t>PE =</t>
  </si>
  <si>
    <t>VENTAS =</t>
  </si>
  <si>
    <t>CFIJO</t>
  </si>
  <si>
    <t>+</t>
  </si>
  <si>
    <t>MARGEN DE SEGURIDAD</t>
  </si>
  <si>
    <t>MS</t>
  </si>
  <si>
    <t>VENTAS PROY</t>
  </si>
  <si>
    <t>DIETAS</t>
  </si>
  <si>
    <t>CENTRO DE NUTRICION INTEGRAL Y VENTA DE ABASTOS EN LÍNEA</t>
  </si>
  <si>
    <t>PROYECTADO  MANO OBRA DIRECTA</t>
  </si>
  <si>
    <t>GASTOS DE DEPRECIACION</t>
  </si>
  <si>
    <t>TOTAL ANUAL DEPRECIACION</t>
  </si>
  <si>
    <t>TOTAL GASTOS DE DEPRECIACION</t>
  </si>
  <si>
    <t>GASTOS SERVICIOS</t>
  </si>
  <si>
    <t>GASTOS PUBLICIDAD</t>
  </si>
  <si>
    <t>GASTOS INTERESES</t>
  </si>
  <si>
    <t>SERVICIOS</t>
  </si>
  <si>
    <t>CENTRO DE NUTRICION INTEGRAL Y VENTA DE ABASTOS EN LINEA</t>
  </si>
  <si>
    <t>CANTIDAD ESPERADA VENTA</t>
  </si>
  <si>
    <t>POBLACION OBJETIVO</t>
  </si>
  <si>
    <t>PORCENTAJE PORTER</t>
  </si>
  <si>
    <t>FRECUENCIA ESPERADA</t>
  </si>
  <si>
    <t>DESCRIPCION</t>
  </si>
  <si>
    <t>CANTIDAD</t>
  </si>
  <si>
    <t>PRECIO</t>
  </si>
  <si>
    <t>CARGO</t>
  </si>
  <si>
    <t>APORTACION IESS</t>
  </si>
  <si>
    <t>DÉCIMO TERCERO</t>
  </si>
  <si>
    <t>DECIMO CUARTO</t>
  </si>
  <si>
    <t>ALMUERZO</t>
  </si>
  <si>
    <t>CHEF</t>
  </si>
  <si>
    <t>ASISTENTE CHEF</t>
  </si>
  <si>
    <t>DETERMINACION DE LA DEMANDA POTENCIAL</t>
  </si>
  <si>
    <t>SUELDO BASICO MENSUAL</t>
  </si>
  <si>
    <t>TOTAL ANUAL</t>
  </si>
  <si>
    <t>TOTAL</t>
  </si>
  <si>
    <t>DESCRIPCION DE GASTO</t>
  </si>
  <si>
    <t>TOTAL MENSUAL</t>
  </si>
  <si>
    <t>DIAS DE TRABAJO PROMEDIO AL MES</t>
  </si>
  <si>
    <t>ENERGIA ELECTRICA</t>
  </si>
  <si>
    <t>APORTE PATRONAL AL SEGURO SOCIAL</t>
  </si>
  <si>
    <t>INTERNET</t>
  </si>
  <si>
    <t>TELEFONO</t>
  </si>
  <si>
    <t>PRECIO MENSUAL</t>
  </si>
  <si>
    <t>ARRIENDO</t>
  </si>
  <si>
    <t>PAPELERIA</t>
  </si>
  <si>
    <t>DEPRECIACION</t>
  </si>
  <si>
    <t>DETALLE</t>
  </si>
  <si>
    <t>VALOR ACTUAL</t>
  </si>
  <si>
    <t>EQUIPOS</t>
  </si>
  <si>
    <t>EQUIPOS (vida útil 5 años)</t>
  </si>
  <si>
    <t>VALOR DE SALVAMENTO</t>
  </si>
  <si>
    <t>CONCEPTO</t>
  </si>
  <si>
    <t>PRECIO UNITARIO</t>
  </si>
  <si>
    <t>PRECIO FINAL</t>
  </si>
  <si>
    <t>AMBIENTACION</t>
  </si>
  <si>
    <t>DEPRECIACION ANUAL</t>
  </si>
  <si>
    <t>DEPRECIACION TOTAL EN 5 AÑOS</t>
  </si>
  <si>
    <t>VALOR EN LIBROS</t>
  </si>
  <si>
    <t>ADMINISTRADOR</t>
  </si>
  <si>
    <t>CHOFER</t>
  </si>
  <si>
    <t>DATOS</t>
  </si>
  <si>
    <t>VALOR</t>
  </si>
  <si>
    <t>PRESTAMO BANCARIO</t>
  </si>
  <si>
    <t>PAGO</t>
  </si>
  <si>
    <t>CAPITAL</t>
  </si>
  <si>
    <t>INTERESES</t>
  </si>
  <si>
    <t>SALDO</t>
  </si>
  <si>
    <t>AÑO</t>
  </si>
  <si>
    <t>BALANCE INICIAL DEL CENTRO DE NUTRICION INTEGRAL</t>
  </si>
  <si>
    <t>ACTIVOS</t>
  </si>
  <si>
    <t>CAJA - BANCOS</t>
  </si>
  <si>
    <t>INVERSIONES</t>
  </si>
  <si>
    <t>GASTOS DE CONSTITUCION</t>
  </si>
  <si>
    <t>CAPITAL DE TRABAJO</t>
  </si>
  <si>
    <t>TASA DE DESCUENTO</t>
  </si>
  <si>
    <t>TASA DE CRECIMIENTO</t>
  </si>
  <si>
    <t>GASTOS DE ARRANQUE</t>
  </si>
  <si>
    <t>GASTOS DEL ABOGADO</t>
  </si>
  <si>
    <t>TOTAL ACTIVOS</t>
  </si>
  <si>
    <t>PASIVO</t>
  </si>
  <si>
    <t>GASTO DE PUBLICIDAD</t>
  </si>
  <si>
    <t>CARTEL EXTERIOR LOCAL</t>
  </si>
  <si>
    <t>PUBLICIDAD</t>
  </si>
  <si>
    <t>PATRIMONIO</t>
  </si>
  <si>
    <t>ACCIONES ORDINARIAS</t>
  </si>
  <si>
    <t>TOTAL PASIVO + PATRIMONIO</t>
  </si>
  <si>
    <t>POLITICA DE DIVIDENDO</t>
  </si>
  <si>
    <t>VN</t>
  </si>
  <si>
    <t>CUPON</t>
  </si>
  <si>
    <t>PLAZO (AÑOS)</t>
  </si>
  <si>
    <t>AÑO 0</t>
  </si>
  <si>
    <t>AÑO 1</t>
  </si>
  <si>
    <t>AÑO 2</t>
  </si>
  <si>
    <t>AÑO 3</t>
  </si>
  <si>
    <t>AÑO 4</t>
  </si>
  <si>
    <t>AÑO 5</t>
  </si>
  <si>
    <t xml:space="preserve">    COSTOS OPERACIONALES</t>
  </si>
  <si>
    <t xml:space="preserve">    COSTOS FIJOS</t>
  </si>
  <si>
    <t xml:space="preserve">( + ) INGRESO </t>
  </si>
  <si>
    <t>( - ) EGRESOS</t>
  </si>
  <si>
    <t>( = ) UTILIDAD ANTES DE IMPUESTOS</t>
  </si>
  <si>
    <t>( - ) DEPRECIACION</t>
  </si>
  <si>
    <t>( = ) UTILIDAD BRUTA</t>
  </si>
  <si>
    <t>( - ) APORTACION DE TRABAJADORES (15%)</t>
  </si>
  <si>
    <t>( = ) UTILIDAD DESPUÉS DE APORTACIONES</t>
  </si>
  <si>
    <t>( = ) UTILIDAD NETA</t>
  </si>
  <si>
    <t>AMORTIZACIÓN</t>
  </si>
  <si>
    <t>( - ) DESEMBOLSO DE CAPITAL</t>
  </si>
  <si>
    <t>( = ) FLUJO NETO DE EFECTIVO</t>
  </si>
  <si>
    <t>( = ) FLUJO NETO DE EFECTIVO TOTAL</t>
  </si>
  <si>
    <t>PORCENTAJE COMPRADORES</t>
  </si>
  <si>
    <t>Parroquias Urbanas</t>
  </si>
  <si>
    <t>Poblacion de la ciudad de Guayaquil</t>
  </si>
  <si>
    <t># HABITANTES</t>
  </si>
  <si>
    <t>Pedro Carbo</t>
  </si>
  <si>
    <t>Rocafuerte</t>
  </si>
  <si>
    <t>Tarqui</t>
  </si>
  <si>
    <t>Población objetivo</t>
  </si>
  <si>
    <t>Porcentaje de compradores potenciales</t>
  </si>
  <si>
    <t>Personas con instrucción superior con un nivel de jerarquía laboral alto (edad entre 25 y 45 años)</t>
  </si>
  <si>
    <t>Aceptación servicio de manera continua</t>
  </si>
  <si>
    <t>APORTACION DE TRABAJADORES</t>
  </si>
  <si>
    <t>PORCENTAJE POBLACION SEGMENTADA</t>
  </si>
  <si>
    <t>% ANUAL DE DEPRECIACION</t>
  </si>
  <si>
    <t>DEMANDA MENSUAL</t>
  </si>
  <si>
    <t>no. Comida</t>
  </si>
  <si>
    <t>nombre de comida</t>
  </si>
  <si>
    <t>tipo</t>
  </si>
  <si>
    <t>Descripcion</t>
  </si>
  <si>
    <t># de Porciones</t>
  </si>
  <si>
    <t>cant requer</t>
  </si>
  <si>
    <t>Unidad de medida</t>
  </si>
  <si>
    <t>Tortillas con hongos y espinaca</t>
  </si>
  <si>
    <t>Cena</t>
  </si>
  <si>
    <t>1 cdta de Aceite de canola</t>
  </si>
  <si>
    <t>litros</t>
  </si>
  <si>
    <t>Chcharrones de pollo</t>
  </si>
  <si>
    <t>Almuerzo</t>
  </si>
  <si>
    <t>Bistec a la criolla</t>
  </si>
  <si>
    <t>1 cda de Aceite de canola</t>
  </si>
  <si>
    <t>Palitos de pescado</t>
  </si>
  <si>
    <t>Camarones con paprika</t>
  </si>
  <si>
    <t>8 cdtas de Aceite de oliva</t>
  </si>
  <si>
    <t>Uvas y queso</t>
  </si>
  <si>
    <t>desayuno</t>
  </si>
  <si>
    <t>4 cdtas de Aceite de oliva</t>
  </si>
  <si>
    <t>Pinchos de pollo y uvas</t>
  </si>
  <si>
    <t>Espinaca al ajo</t>
  </si>
  <si>
    <t>2 cdtas de Aceite de oliva</t>
  </si>
  <si>
    <t>Philly Cheese Steak</t>
  </si>
  <si>
    <t>Pavo con mantequilla de limon y hierbas</t>
  </si>
  <si>
    <t>1cucharada de aceite de oliva</t>
  </si>
  <si>
    <t>Coditos con tomates rostizados</t>
  </si>
  <si>
    <t>4 cditas de aceite de oliva</t>
  </si>
  <si>
    <t>Calabacines con maíz</t>
  </si>
  <si>
    <t>2 cucharadas de aceite de oliva</t>
  </si>
  <si>
    <t>Pavo asado con aceitunas</t>
  </si>
  <si>
    <t>3 cucharaditas de aceite de oliva</t>
  </si>
  <si>
    <t>Sándwich capresa</t>
  </si>
  <si>
    <t>2 cucharaditas de aceite de oliva</t>
  </si>
  <si>
    <t>Camarones con verduras</t>
  </si>
  <si>
    <t>1 cucharada de aceite de oliva</t>
  </si>
  <si>
    <t>Frittata de champiñones</t>
  </si>
  <si>
    <t>1 ½ cucharadita aceite de oliva</t>
  </si>
  <si>
    <t>Berenjenas al horno</t>
  </si>
  <si>
    <t>1/4 tz de Aceite de oliva</t>
  </si>
  <si>
    <t>Ensalada Mediterránea</t>
  </si>
  <si>
    <t>Arroz del mar</t>
  </si>
  <si>
    <t>2 cdas de Aceite de oliva</t>
  </si>
  <si>
    <t>Ensalada de fresas y queso mozzarella</t>
  </si>
  <si>
    <t>Pollo marinado con Ron</t>
  </si>
  <si>
    <t>Tortilla de huevo con pimentones</t>
  </si>
  <si>
    <t>Platillo de camarones, papaya y aguacate</t>
  </si>
  <si>
    <t>Pollo guisado</t>
  </si>
  <si>
    <t>Cerdo guisado con berenjena</t>
  </si>
  <si>
    <t>Carne rellena de vegetales</t>
  </si>
  <si>
    <t>1.5 cdas de Aceite de oliva</t>
  </si>
  <si>
    <t>1 Spray antiadherente</t>
  </si>
  <si>
    <t>kilogramo</t>
  </si>
  <si>
    <t>Wrap de pavo</t>
  </si>
  <si>
    <t>Spray antiadherente</t>
  </si>
  <si>
    <t>Dobladas de queso</t>
  </si>
  <si>
    <t>Macarrones con queso y hierbas</t>
  </si>
  <si>
    <t>Aceite en spray </t>
  </si>
  <si>
    <t>Tostadas Francesas rellenas light</t>
  </si>
  <si>
    <t>Spray antiadherente </t>
  </si>
  <si>
    <t>Camarones con nueces</t>
  </si>
  <si>
    <t>Pechuga de pavo rellena</t>
  </si>
  <si>
    <t>Aceite en aerosol</t>
  </si>
  <si>
    <t>Huevos a la malagueña</t>
  </si>
  <si>
    <t>Muffins de banana y avena</t>
  </si>
  <si>
    <t>Aceite en aerosol </t>
  </si>
  <si>
    <t>Fideos con pollo y especies</t>
  </si>
  <si>
    <t>Omelette de jamon y queso</t>
  </si>
  <si>
    <t>Aceite en aerosol para cocinar</t>
  </si>
  <si>
    <t>Crepas de banana</t>
  </si>
  <si>
    <t>Camarones al wok</t>
  </si>
  <si>
    <t>2 cdtas de Aceite vegetal</t>
  </si>
  <si>
    <t>1 cucharada de aceite vegetal</t>
  </si>
  <si>
    <t>Macarrones con pollo</t>
  </si>
  <si>
    <t>1 cda de Aceite vegetal (con annato)</t>
  </si>
  <si>
    <t>Ensalada Tropical de Atún</t>
  </si>
  <si>
    <t>1/4 tz de Aceitunas (sin hueso, en rodajas)</t>
  </si>
  <si>
    <t>1/4 tz de Aceitunas (picadas)</t>
  </si>
  <si>
    <t>Picadillo</t>
  </si>
  <si>
    <t>6 piezas de Aceitunas (picadas)</t>
  </si>
  <si>
    <t>16 aceitunas negras rodajeadas</t>
  </si>
  <si>
    <t>Huecos rellenos de vegetales</t>
  </si>
  <si>
    <t>8 aceitunas negras</t>
  </si>
  <si>
    <t>1 cdta de Achiote</t>
  </si>
  <si>
    <t>1 bolsa de Achiote (sazón)</t>
  </si>
  <si>
    <t>Pescado con mostaza miel sobre frijol</t>
  </si>
  <si>
    <t>8 cdas de Aderezo mostaza miel (Bajo en grasa)</t>
  </si>
  <si>
    <t>Avenas con frutas</t>
  </si>
  <si>
    <t>2 tazas de agua</t>
  </si>
  <si>
    <t>1 taza de agua</t>
  </si>
  <si>
    <t>De 1 a 2 cucharadas de agua</t>
  </si>
  <si>
    <t>Arroz con leche</t>
  </si>
  <si>
    <t>Panqueques dulces</t>
  </si>
  <si>
    <t>1/2 tz de Agua</t>
  </si>
  <si>
    <t>1 tz de Agua</t>
  </si>
  <si>
    <t>Compota tropical</t>
  </si>
  <si>
    <t>3/4 taza de agua</t>
  </si>
  <si>
    <t>Ensalada completa</t>
  </si>
  <si>
    <t>1 aguacate pequeño</t>
  </si>
  <si>
    <t>Ensalada de ocho vegetales</t>
  </si>
  <si>
    <t>1 aguacate</t>
  </si>
  <si>
    <t>1 unidad de Aguacate (en rodajas)</t>
  </si>
  <si>
    <t>1/2 Chile pimiento verde (picado)</t>
  </si>
  <si>
    <t>1.5 unidades de Chile pimiento rojo (sin semilla)</t>
  </si>
  <si>
    <t>Camarones con sofrito</t>
  </si>
  <si>
    <t>1 pieza de Chile pimiento verde (en tiras)</t>
  </si>
  <si>
    <t>2 dientes de Ajo (picados finamente)</t>
  </si>
  <si>
    <t>1 diente de Ajo</t>
  </si>
  <si>
    <t>2 Diente(s) de ajo (cortados en rodajas delgadas)</t>
  </si>
  <si>
    <t>2 Diente(s) de ajo (triturados)</t>
  </si>
  <si>
    <t>2 Diente(s) de ajo</t>
  </si>
  <si>
    <t>2 dientes de ajo machacados</t>
  </si>
  <si>
    <t>Ejotes con parmesano</t>
  </si>
  <si>
    <t>2 dientes de ajo, finamente picados</t>
  </si>
  <si>
    <t>3 dientes de ajo</t>
  </si>
  <si>
    <t>1 diente de ajo grande, triturado</t>
  </si>
  <si>
    <t>4 dientes de ajo triturados</t>
  </si>
  <si>
    <t>1/2 cdta de Ajo crudo</t>
  </si>
  <si>
    <t>1 diente de ajo</t>
  </si>
  <si>
    <t>2 unidades de Diente(s) de ajo (picados)</t>
  </si>
  <si>
    <t>1 unidad de Diente(s) de ajo (picado)</t>
  </si>
  <si>
    <t>1 pieza de Diente(s) de ajo (picado)</t>
  </si>
  <si>
    <t>1 cdita de ajo picado</t>
  </si>
  <si>
    <t>Camarones con piña</t>
  </si>
  <si>
    <t>1 Diente(s) de ajo</t>
  </si>
  <si>
    <t>1.5 cdtas de Ajo en polvo</t>
  </si>
  <si>
    <t>1 unidad de Ajo (para el adobo)</t>
  </si>
  <si>
    <t>2 Diente(s) de ajo (picados)</t>
  </si>
  <si>
    <t>4 hojas de Albahaca fresca (picada)</t>
  </si>
  <si>
    <t>Unidad</t>
  </si>
  <si>
    <t>1 cucharada de albahaca fresca picada</t>
  </si>
  <si>
    <t>Canelones con queso riccota y camote</t>
  </si>
  <si>
    <t>2 cucharaditas de albahaca</t>
  </si>
  <si>
    <t>1/3 taza de albahaca fresca</t>
  </si>
  <si>
    <t>4 hojas de albahaca, finamente picada</t>
  </si>
  <si>
    <t>2 hojas de Albahaca en polvo</t>
  </si>
  <si>
    <t>Ensalada de atún</t>
  </si>
  <si>
    <t>2 cucharaditas de albahaca</t>
  </si>
  <si>
    <t>½ cucharadita de albahaca seca</t>
  </si>
  <si>
    <t>1 cucharada de albahaca finamente picada</t>
  </si>
  <si>
    <t>Ensalada de frutas</t>
  </si>
  <si>
    <t>4 cucharadas de almendras tostadas rodajeadas</t>
  </si>
  <si>
    <t>½ taza de apio (celery) cortado en rodajas finas</t>
  </si>
  <si>
    <t>Tomates rellenos de queso cottage</t>
  </si>
  <si>
    <t>1 tallo de apio picado</t>
  </si>
  <si>
    <t>1/2 tz de Apio (crudo) (rodajas)</t>
  </si>
  <si>
    <t>1/2 tz de Apio (crudo) (picada)</t>
  </si>
  <si>
    <t>½ taza de apio picado</t>
  </si>
  <si>
    <t>Ensalada vegetariana de macarrones</t>
  </si>
  <si>
    <t>¼ taza de apio picado</t>
  </si>
  <si>
    <t>2 tallos de apio</t>
  </si>
  <si>
    <t>1/2 taza de arroz crudo</t>
  </si>
  <si>
    <t>Rissosto verde</t>
  </si>
  <si>
    <t>1 taza de arroz Arborio</t>
  </si>
  <si>
    <t>1 tz de Arroz blanco de grano mediano crudo</t>
  </si>
  <si>
    <t>1 tz de Arveja china</t>
  </si>
  <si>
    <t>1/2 tz de Arvejas</t>
  </si>
  <si>
    <t>½ taza de guisantes o arvejas cocidas</t>
  </si>
  <si>
    <t>1 lata de Atún enlatado en agua (bajo en sodio, 6.5 oz)</t>
  </si>
  <si>
    <t>1 taza de atún en agua drenado</t>
  </si>
  <si>
    <t>Ensalada de atún con tomate</t>
  </si>
  <si>
    <t>2 latas (6 onzas cada una) de atún en agua, escurrido</t>
  </si>
  <si>
    <t>1 taza de avena</t>
  </si>
  <si>
    <t>2 cucharadas de avena</t>
  </si>
  <si>
    <t>2 cdas de Avena seca</t>
  </si>
  <si>
    <t>Galletas de avena</t>
  </si>
  <si>
    <t>¼ taza de avena</t>
  </si>
  <si>
    <t>Muesli de limon</t>
  </si>
  <si>
    <t>2 tazas de avena en hojuelas</t>
  </si>
  <si>
    <t>2 cucharadas de azúcar</t>
  </si>
  <si>
    <t>Bruschetta de frutas</t>
  </si>
  <si>
    <t>1 cucharada de azúcar mezclada con canela</t>
  </si>
  <si>
    <t>Mordiscos de manzana</t>
  </si>
  <si>
    <t>¼ cucharadita de azúcar</t>
  </si>
  <si>
    <t>1/2 taza de azúcar</t>
  </si>
  <si>
    <t>3 cucharaditas de azúcar</t>
  </si>
  <si>
    <t>1 cucharada de azúcar</t>
  </si>
  <si>
    <t>1 cucharada de azúcar morena</t>
  </si>
  <si>
    <t>1 taza de azúcar morena</t>
  </si>
  <si>
    <t>2 cucharadas de azúcar moreno</t>
  </si>
  <si>
    <t>2 bagels suaves, separados a la mitad, o 4 rodajas de pan de banano, de ½ pulgada de ancho</t>
  </si>
  <si>
    <t>1/3 taza de plátano rodajeado</t>
  </si>
  <si>
    <t>Hot Dog</t>
  </si>
  <si>
    <t>2 bananos cortados a la mitad</t>
  </si>
  <si>
    <t>1 banana bien madura, machacada</t>
  </si>
  <si>
    <t>Brochetas de frutas</t>
  </si>
  <si>
    <t>1 banana (cambur, plátano)</t>
  </si>
  <si>
    <t>Crepas exoticas</t>
  </si>
  <si>
    <t>½ taza de plátanos (banano), cortados en rodajas</t>
  </si>
  <si>
    <t>Canoas de papaya</t>
  </si>
  <si>
    <t>1 plátano chico, pelado y partido</t>
  </si>
  <si>
    <t>3 bananas (plátanos o cambures) pequeñas o dos grandes maduras en rueditas</t>
  </si>
  <si>
    <t>1 banana mediana, picada</t>
  </si>
  <si>
    <t>3 bananas peladas, cortadas en forma diagonal en 8 pedazos</t>
  </si>
  <si>
    <t>2 unidades de Berenjena (cruda) (en rodajas/sin pelar)</t>
  </si>
  <si>
    <t>1 pieza de Berenjena (cruda) (pelada y troceada)</t>
  </si>
  <si>
    <t>½ cucharadita de bicarbonato de soda</t>
  </si>
  <si>
    <t>Papas horneadas con brócoli</t>
  </si>
  <si>
    <t>2 tallos de Brócoli crudo</t>
  </si>
  <si>
    <t>1 taza de floretones de brócoli</t>
  </si>
  <si>
    <t>1/2 tz de Caldo de pollo sin grasa</t>
  </si>
  <si>
    <t>1 taza de caldo de pavo o de pollo bajo en sal</t>
  </si>
  <si>
    <t>2 tazas de caldo de pavo o de pollo desgrasado bajo en sodio</t>
  </si>
  <si>
    <t>4 tazas de consomé de pollo bajo en sodio</t>
  </si>
  <si>
    <t>1.5 tz de Caldo de pollo sin grasa</t>
  </si>
  <si>
    <t>2 cucharadas de caldo de verduras bajo en sodio</t>
  </si>
  <si>
    <t>16 Camarón (de 1 onza cada uno)</t>
  </si>
  <si>
    <t>12 oz de Camarón (pelados)</t>
  </si>
  <si>
    <t>16 Camarón (grandes, pelados y desvenados)</t>
  </si>
  <si>
    <t>12 onzas de camarones pelados y desvenados</t>
  </si>
  <si>
    <t>12 unidades de Camarón (medianos, precocidos)</t>
  </si>
  <si>
    <t>24 oz de Camarón</t>
  </si>
  <si>
    <t>1 lb de Camarón</t>
  </si>
  <si>
    <t>2 tazas de puré de camote</t>
  </si>
  <si>
    <t>1/8 cucharadita de canela en polvo</t>
  </si>
  <si>
    <t>¼ cucharadita de canela</t>
  </si>
  <si>
    <t>Canela al gusto</t>
  </si>
  <si>
    <t>¼ de cucharadita de canela en polvo</t>
  </si>
  <si>
    <t>1 cucharadita de canela en polvo</t>
  </si>
  <si>
    <t>8 canelones</t>
  </si>
  <si>
    <t>12 oz de Carne molida extra magra cruda</t>
  </si>
  <si>
    <t>6 rodajas de Cebolla roja (delgadas)</t>
  </si>
  <si>
    <t>½ cebolla morada cortada en rodajas</t>
  </si>
  <si>
    <t>1 Cebolla (s) crudas (pequeña, cortada en rodajas)</t>
  </si>
  <si>
    <t>1 Cebolla (s) crudas (en rodajas)</t>
  </si>
  <si>
    <t>1 Cebolla (s) crudas (mediana)</t>
  </si>
  <si>
    <t>Quesadilla</t>
  </si>
  <si>
    <t>2 rodajas de cebolla (opcional)</t>
  </si>
  <si>
    <t>¼ taza de cebolla en rodajas</t>
  </si>
  <si>
    <t>1 cebolla pequeña, picada</t>
  </si>
  <si>
    <t>1 taza de cebolla picada</t>
  </si>
  <si>
    <t>1/2 Cebolla (s) crudas (picada)</t>
  </si>
  <si>
    <t>1 cebolla mediana, picada finamente</t>
  </si>
  <si>
    <t>1 unidad de Cebolla (s) crudas (picada)</t>
  </si>
  <si>
    <t>1/2 pieza de Cebolla (s) crudas (en rodajas)</t>
  </si>
  <si>
    <t>1/2 tz de Cebolla (s) crudas (picada)</t>
  </si>
  <si>
    <t>4 cucharaditas de cebolla picada</t>
  </si>
  <si>
    <t>1 cebolla mediana picada</t>
  </si>
  <si>
    <t>1/4 unidad de Cebolla (s) crudas (en cuadros)</t>
  </si>
  <si>
    <t>2 unidades de Cebolla (s) crudas (picadas)</t>
  </si>
  <si>
    <t>1/2 pieza de Cebolla (s) crudas (picada)</t>
  </si>
  <si>
    <t>1/4 tz de Cebolla (s) crudas (para el adobo)</t>
  </si>
  <si>
    <t>½ taza de cebolla</t>
  </si>
  <si>
    <t>1 pieza de Cebolla (s) crudas (en tiras)</t>
  </si>
  <si>
    <t>1/2 unidad de Cebolla (s) crudas (picada)</t>
  </si>
  <si>
    <t>½ taza de cebolla picada</t>
  </si>
  <si>
    <t>1 tz de Cebolla (s) crudas (picada)</t>
  </si>
  <si>
    <t>2 cditas de cebollín picado</t>
  </si>
  <si>
    <t>4 unidades de Cebollín (picados)</t>
  </si>
  <si>
    <t>½ taza de cebollín picado</t>
  </si>
  <si>
    <t>Wrap de jamos y queso crema</t>
  </si>
  <si>
    <t>4 cebolletas (cebollines) finamente picadas</t>
  </si>
  <si>
    <t>Cerdo al eneldo</t>
  </si>
  <si>
    <t>16 onzas (1 libra) de lomo de cerdo</t>
  </si>
  <si>
    <t>16 oz de Lomo de cerdo magro (crudo) (troceado)</t>
  </si>
  <si>
    <t>8 champiñones rodajeados delgados</t>
  </si>
  <si>
    <t>Ensalada de col light</t>
  </si>
  <si>
    <t>2 tz de Col/Repollo cruda (picada)</t>
  </si>
  <si>
    <t>1 taza de coliflor</t>
  </si>
  <si>
    <t>1/2 cdta de Comino en polvo</t>
  </si>
  <si>
    <t>4 cucharadas de crema agria baja en grasa</t>
  </si>
  <si>
    <t>1/4 tz de Cilantro</t>
  </si>
  <si>
    <t>1 manojo pequeño de cilantro (culantro)</t>
  </si>
  <si>
    <t>1/2 tz de Cilantro (picado)</t>
  </si>
  <si>
    <t>1 taza de duraznos partidos en pedazos pequeños</t>
  </si>
  <si>
    <t>1/3 taza de melocotones picados frescos o enlatados (escurridos)</t>
  </si>
  <si>
    <t>1 taza de duraznos cortados en rodajas</t>
  </si>
  <si>
    <t>1 cucharadita de eneldo</t>
  </si>
  <si>
    <t>½ cucharadita de eneldo</t>
  </si>
  <si>
    <t>1/2 tz de Espinaca cruda (picada)</t>
  </si>
  <si>
    <t>5 tz de Espinaca cruda (cortada en tiras)</t>
  </si>
  <si>
    <t>½ taza de espinaca cortada en tiras delgadas</t>
  </si>
  <si>
    <t>Ensalada de Pavo y Espinaca</t>
  </si>
  <si>
    <t>1.5 lbs de Espinaca cruda</t>
  </si>
  <si>
    <t>4 tazas de espinaca fresca</t>
  </si>
  <si>
    <t>1 cucharada de estragón seco</t>
  </si>
  <si>
    <t>1/4 cucharadita de extracto de almendras</t>
  </si>
  <si>
    <t>2 cucharadas de extracto de vainilla o almendras</t>
  </si>
  <si>
    <t>Licuado Tropical</t>
  </si>
  <si>
    <t>¼ cucharadita de extracto de vainilla o de coco</t>
  </si>
  <si>
    <t>¾ cucharadita de vainilla</t>
  </si>
  <si>
    <t>1/2 cucharadita de extracto de vainilla (opcional)</t>
  </si>
  <si>
    <t>1 paquete de 7 onzas de coditos, cocidos</t>
  </si>
  <si>
    <t>1 ½ tazas de coditos sin cocer</t>
  </si>
  <si>
    <t>1/3 taza de frambuesas</t>
  </si>
  <si>
    <t>1 tz de Fríjoles blancos cocidos</t>
  </si>
  <si>
    <t>2 tazas de frijol blanco en lata bajo en sodio</t>
  </si>
  <si>
    <t>1 tz de Fríjoles negros cocidos</t>
  </si>
  <si>
    <t>Ensalada de pollo con frijol negro</t>
  </si>
  <si>
    <t>Muffin tropical</t>
  </si>
  <si>
    <t>4 Fresas (en rodajas)</t>
  </si>
  <si>
    <t>Ensalada tropical de frutas</t>
  </si>
  <si>
    <t>1 taza de fresas lavadas y rebanadas</t>
  </si>
  <si>
    <t>1 taza de fresas cortadas a la mitad</t>
  </si>
  <si>
    <t>Panqueques con fresas</t>
  </si>
  <si>
    <t>3 tazas de fresas frescas o congeladas</t>
  </si>
  <si>
    <t>6 fresas (o cerezas)</t>
  </si>
  <si>
    <t>2/3 taza de fresas cortadas en trocitos</t>
  </si>
  <si>
    <t>1 taza con una combinación de fresas y arándanos</t>
  </si>
  <si>
    <t>20 Galletas Saladas Reducidas en Grasa</t>
  </si>
  <si>
    <t>2 tazas de garbanzos cocidos</t>
  </si>
  <si>
    <t>½ libra de habas frescas con cáscara</t>
  </si>
  <si>
    <t>1 tz de Habas grandes cocidas</t>
  </si>
  <si>
    <t>1/2 tz de Habichuelas tiernas/ejotes cocidos (en trocitos)</t>
  </si>
  <si>
    <t>3 cucharadas de harina de todo uso</t>
  </si>
  <si>
    <t>1 cucharada de harina</t>
  </si>
  <si>
    <t>2 cucharadas de harina</t>
  </si>
  <si>
    <t>3/4 tz de Harina de trigo refinada</t>
  </si>
  <si>
    <t>2 tazas de harina (añada el agua) sin grasa para panqueques</t>
  </si>
  <si>
    <t>1/4 tz de Harina de trigo refinada</t>
  </si>
  <si>
    <t>1 taza de harina de trigo</t>
  </si>
  <si>
    <t>3 cdas de Harina de trigo refinada</t>
  </si>
  <si>
    <t>1/2 tz de Harina de maíz integral</t>
  </si>
  <si>
    <t>1 taza de harina integral</t>
  </si>
  <si>
    <t>5 cubos de hielo</t>
  </si>
  <si>
    <t>4 cdas de Hojuelas de maíz azucaradas</t>
  </si>
  <si>
    <t>desayuno Tropical</t>
  </si>
  <si>
    <t>2 tazas de hojuelas de maíz</t>
  </si>
  <si>
    <t>Tostadas a la francesa</t>
  </si>
  <si>
    <t>Panqueque horneado de durazno</t>
  </si>
  <si>
    <t>1/2 tz de Hongos crudos (cortados en rodajas)</t>
  </si>
  <si>
    <t>2 tazas de hongos frescos</t>
  </si>
  <si>
    <t>1 taza de champiñones frescos</t>
  </si>
  <si>
    <t>2 huevos</t>
  </si>
  <si>
    <t>1 huevo batido</t>
  </si>
  <si>
    <t>1 clara de huevo batido</t>
  </si>
  <si>
    <t>4 Huevo clara</t>
  </si>
  <si>
    <t>1 huevo</t>
  </si>
  <si>
    <t>4 piezas de Huevo (revueltos)</t>
  </si>
  <si>
    <t>3 claras de huevo</t>
  </si>
  <si>
    <t>4 huevos</t>
  </si>
  <si>
    <t>3 huevos</t>
  </si>
  <si>
    <t>2 unidades de Huevo clara (batidas)</t>
  </si>
  <si>
    <t>4 claras de huevo</t>
  </si>
  <si>
    <t>4 huevos sancochados (duros) y pelados</t>
  </si>
  <si>
    <t>4 oz de Jamón de pavo sin grasa</t>
  </si>
  <si>
    <t>4 rodajas de Jamón de pavo sin grasa</t>
  </si>
  <si>
    <t>2 rodajas de Jamón de pavo sin grasa (en tiritas)</t>
  </si>
  <si>
    <t>1 oz de Jamón magro (cortado en cuadros pequeños)</t>
  </si>
  <si>
    <t>Ensalada de pavo</t>
  </si>
  <si>
    <t>8 onzas (240 gramos) de jamón de pavo, sin grasa y bajo en sal</t>
  </si>
  <si>
    <t>4 rodajas de jamón de pavo picado</t>
  </si>
  <si>
    <t>4 rodajas de Jamón de pavo sin grasa (en cubos)</t>
  </si>
  <si>
    <t>1 rodaja de Jamón magro (picada)</t>
  </si>
  <si>
    <t>3 onzas (90 gramos) de jamón rebanado bajo en grasa</t>
  </si>
  <si>
    <t>1 cdta de Jengibre fresco (rallado)</t>
  </si>
  <si>
    <t>1 cucharada de jengibre rallado</t>
  </si>
  <si>
    <t>1 Kiwi (mediano en rodajas delgadas)</t>
  </si>
  <si>
    <t>2 kiwis picados</t>
  </si>
  <si>
    <t>2 kiwis pelados y cortados en rebanadas</t>
  </si>
  <si>
    <t>2/3 taza de kiwi cortada en trocitos</t>
  </si>
  <si>
    <t>1 kiwi, pelado y partido</t>
  </si>
  <si>
    <t>Laurel al gusto</t>
  </si>
  <si>
    <t>1 libre Hoja (s) de laurel</t>
  </si>
  <si>
    <t>3 Hoja (s) de laurel</t>
  </si>
  <si>
    <t>1/2 taza de leche descremada</t>
  </si>
  <si>
    <t>1/4 tz de Leche descremada</t>
  </si>
  <si>
    <t>2 tazas de leche descremada</t>
  </si>
  <si>
    <t>Polenta de desayuno</t>
  </si>
  <si>
    <t>4 tz de Leche descremada</t>
  </si>
  <si>
    <t>2 tazas de leche baja en grasa</t>
  </si>
  <si>
    <t>½ taza de leche descremada o 1%</t>
  </si>
  <si>
    <t>¼ de taza de leche descremada</t>
  </si>
  <si>
    <t>4 cdas de leche descremada</t>
  </si>
  <si>
    <t>½ taza de leche descremada</t>
  </si>
  <si>
    <t>4 cucharadas de leche descremada</t>
  </si>
  <si>
    <t>1 1/4 taza de leche descremada</t>
  </si>
  <si>
    <t>1 taza de leche descremada</t>
  </si>
  <si>
    <t>¼ de taza de leche evaporada</t>
  </si>
  <si>
    <t>2 ½ tazas de leche semi-descremada</t>
  </si>
  <si>
    <t>4 hojas de lechuga</t>
  </si>
  <si>
    <t>1 tz de Lechuga (cruda)</t>
  </si>
  <si>
    <t>1 lechuga</t>
  </si>
  <si>
    <t>1 taza de lechuga picada</t>
  </si>
  <si>
    <t>1.5 tz de Lechuga (cruda)</t>
  </si>
  <si>
    <t>ANUNCIO EN "LA REVISTA" (DIARIO EL UNIVERSO), MEDIDA (11 x 13.20) A COLOR</t>
  </si>
  <si>
    <t>TRIPTICOS (COLOR, EN COUCHE BRILLO DE 115 GR)</t>
  </si>
  <si>
    <t>MESÓN CEMENTO CUBIERTO AZULEJOS (1,20 ALTO,ANCHO 60CM,LARGO 2,5METROS)</t>
  </si>
  <si>
    <t>REFRIGERADORA DUREX (18 PIES)</t>
  </si>
  <si>
    <t>( - ) DIVIDENDOS 30%</t>
  </si>
  <si>
    <t># UNIDADES REQUERIDAS PRODUCCION</t>
  </si>
  <si>
    <t>TOTAL ANUAL POR TRABAJADOR</t>
  </si>
  <si>
    <t>TOTAL TRABAJADOR</t>
  </si>
  <si>
    <t># REQUERIDO PRODUCCION</t>
  </si>
  <si>
    <t>COSTOS INDIRECTOS - PROYECTADO</t>
  </si>
  <si>
    <t>TOTAL COSTOS INDIRECTOS</t>
  </si>
  <si>
    <t>TOTAL COSTOS INVERSION PRODUCCION</t>
  </si>
  <si>
    <t>( - ) INV. FINAL PRODUCTO TERMINADO</t>
  </si>
  <si>
    <t>COSTO DE PRODUCCION</t>
  </si>
  <si>
    <t># UNIDADES</t>
  </si>
  <si>
    <t>COSTO VARIABLE DE PRODUCCION</t>
  </si>
  <si>
    <t xml:space="preserve">PRECIO DE VENTA </t>
  </si>
  <si>
    <t>GASTOS INDIRECTOS</t>
  </si>
  <si>
    <t>TOTAL COSTOS VARIABLES</t>
  </si>
  <si>
    <t>COSTOS VARIABLE</t>
  </si>
  <si>
    <t>COSTO UNITARIO VARIABLE (C.U.V.)</t>
  </si>
  <si>
    <t>CT</t>
  </si>
  <si>
    <t>CF</t>
  </si>
  <si>
    <t>VTAS</t>
  </si>
  <si>
    <t>PTO. EQUILIBRIO</t>
  </si>
  <si>
    <t>GASTOS DE SERVICIOS VARIOS</t>
  </si>
  <si>
    <t>ROUTER (TARJETA DE CREDITO)</t>
  </si>
  <si>
    <t>GASTOS VARIOS/EXTRAS</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</si>
  <si>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</si>
  <si>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</si>
  <si>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</si>
  <si>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</si>
  <si>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</si>
  <si>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</si>
  <si>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</si>
  <si>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</si>
  <si>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</si>
  <si>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</si>
  <si>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</si>
  <si>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</si>
  <si>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9a2a5d39-b280-4a0a-acc8-66170a3901e4</t>
  </si>
  <si>
    <t>CB_Block_0</t>
  </si>
  <si>
    <t>3 tazas de lechuga romana</t>
  </si>
  <si>
    <t>1 lata de 15 onzas de lentejas sin el agua</t>
  </si>
  <si>
    <t>½ cucharadita de levadura</t>
  </si>
  <si>
    <t>Pollo a la griega</t>
  </si>
  <si>
    <t>1 Limón (en jugo)</t>
  </si>
  <si>
    <t>1 Cáscara de limón (ralladura)</t>
  </si>
  <si>
    <t>Jugo de limón (de 1 limón)</t>
  </si>
  <si>
    <t>Jugo de 1 limón</t>
  </si>
  <si>
    <t>3 limones en rodajas finas</t>
  </si>
  <si>
    <t>1 cucharada de jugo de limón</t>
  </si>
  <si>
    <t>Ensalada de queso y frutas</t>
  </si>
  <si>
    <t>1/4 tz de Jugo de limón</t>
  </si>
  <si>
    <t>2 piezas de Limón</t>
  </si>
  <si>
    <t>2 cdas de Jugo de limón</t>
  </si>
  <si>
    <t>2 cdas de jugo de limón</t>
  </si>
  <si>
    <t>4 cucharaditas de jugo de limón</t>
  </si>
  <si>
    <t>1/4 tz de Jugo de lima</t>
  </si>
  <si>
    <t>1 unidad de Limón</t>
  </si>
  <si>
    <t>2 cucharaditas de jugo de limón fresco</t>
  </si>
  <si>
    <t>1 pedazo de cáscara de limón</t>
  </si>
  <si>
    <t>4 tazas de macarrones de codito cocidos</t>
  </si>
  <si>
    <t>3 tz de Macarrones cocidos</t>
  </si>
  <si>
    <t>4 cdtas de Fécula de maíz</t>
  </si>
  <si>
    <t>2 tazas de maíz entero en granos, escurrido</t>
  </si>
  <si>
    <t>1 tz de Mango (en cuadros)</t>
  </si>
  <si>
    <t>2 mangos pelados y cortados en cubos</t>
  </si>
  <si>
    <t>½ taza de mango o piña en trozos</t>
  </si>
  <si>
    <t>2 mangos, pelados y sin semilla, cortados en 8 pedazos</t>
  </si>
  <si>
    <t>6 onzas de mantequilla sin sal suavizada</t>
  </si>
  <si>
    <t>4 cucharadas de mantequilla baja en sodio</t>
  </si>
  <si>
    <t>4 cdtas de Mantequilla</t>
  </si>
  <si>
    <t>3 cucharadas de mantequilla, divididas</t>
  </si>
  <si>
    <t>2 cdas de Mantequilla</t>
  </si>
  <si>
    <t>½ taza de mantequilla suavizada</t>
  </si>
  <si>
    <t>8 cdas de mantequilla de maní baja en grasa</t>
  </si>
  <si>
    <t>8 rodajas de Manzanas (delgadas)</t>
  </si>
  <si>
    <t>20 rodajas de manzana</t>
  </si>
  <si>
    <t>1 manzana</t>
  </si>
  <si>
    <t>1 cucharada de margarina</t>
  </si>
  <si>
    <t>6 cucharaditas de margarina</t>
  </si>
  <si>
    <t>1 cucharada de margarina </t>
  </si>
  <si>
    <t>1/4 tz de Mayonesa sin grasa</t>
  </si>
  <si>
    <t>2 cucharaditas de mayonesa baja en grasa</t>
  </si>
  <si>
    <t>2 cdas de Mayonesa baja en grasa</t>
  </si>
  <si>
    <t>6 cucharadas de mayonesa baja en grasa</t>
  </si>
  <si>
    <t>1 taza de melón picado</t>
  </si>
  <si>
    <t>1/4 de melón</t>
  </si>
  <si>
    <t>2/3 taza de melón cortado en trocitos</t>
  </si>
  <si>
    <t>4 cdtas de Menta fresca (picada)</t>
  </si>
  <si>
    <t>1 cda de menta picada</t>
  </si>
  <si>
    <t>4 ramitas de menta fresca </t>
  </si>
  <si>
    <t>2 cucharadas de menta fresca picada (opcional)</t>
  </si>
  <si>
    <t>4 cdas de mermelada de melocotón sin azúcar</t>
  </si>
  <si>
    <t>4 cdas de mermelada de fresa sin azúcar</t>
  </si>
  <si>
    <t>½ taza de jalea de cualquier sabor con bajo contenido de azúcar</t>
  </si>
  <si>
    <t>4 cdtas de Miel de abeja</t>
  </si>
  <si>
    <t>4 cdas de Miel de abeja</t>
  </si>
  <si>
    <t>4 cucharadas de miel</t>
  </si>
  <si>
    <t>1 cucharadita de miel</t>
  </si>
  <si>
    <t>2 cucharadas de miel  </t>
  </si>
  <si>
    <t>1 cucharada de miel</t>
  </si>
  <si>
    <t>½ taza de moras</t>
  </si>
  <si>
    <t>1 cucharadita de mostaza</t>
  </si>
  <si>
    <t>1 cucharada de mostaza Dijon</t>
  </si>
  <si>
    <t>1 Mostaza Dijon al gusto</t>
  </si>
  <si>
    <t>1 cda de Mostaza Dijon</t>
  </si>
  <si>
    <t>1 pieza de Naranjas</t>
  </si>
  <si>
    <t>1/2 tz de Jugo de naranja</t>
  </si>
  <si>
    <t>1 naranja</t>
  </si>
  <si>
    <t>2 cdas de Naranja cáscara (rallada)</t>
  </si>
  <si>
    <t>1 lata de 1 onza de mandarinas, sin jugo.</t>
  </si>
  <si>
    <t>1 taza de nueces (pecanas, almendras o nueces de nogal), picadas. </t>
  </si>
  <si>
    <t>1/8 cucharadita nuez moscada en polvo</t>
  </si>
  <si>
    <t>¾ a 1 cucharadita de orégano</t>
  </si>
  <si>
    <t>1 cucharada de orégano fresco picado</t>
  </si>
  <si>
    <t>1 cucharadita de orégano seco</t>
  </si>
  <si>
    <t>1 Oregano en polvo al gusto</t>
  </si>
  <si>
    <t>1/3 cdta de Oregano en polvo</t>
  </si>
  <si>
    <t>1 cdta de Oregano en polvo</t>
  </si>
  <si>
    <t>1/2 cdta de Oregano en polvo</t>
  </si>
  <si>
    <t>1 Oregano en polvo al gusto (para el adobo )</t>
  </si>
  <si>
    <t>4 rodajas de Pan baguette (integral)</t>
  </si>
  <si>
    <t>6 rodajas de pan baguette o similar (rodajas de 4 pulgadas de largo)</t>
  </si>
  <si>
    <t>4 panecillos crujientes</t>
  </si>
  <si>
    <t>4 panes de hot dog pequeños</t>
  </si>
  <si>
    <t>4 rodajas de pan integral</t>
  </si>
  <si>
    <t>1 taza de pan cortado en cuadros</t>
  </si>
  <si>
    <t>1 taza de pan molido (rallado)</t>
  </si>
  <si>
    <t>1/4 tz de Pan molido seco</t>
  </si>
  <si>
    <t>4 Muffin/ panquecito sencillo</t>
  </si>
  <si>
    <t>4 Papa (s) cruda (s) (medianas)</t>
  </si>
  <si>
    <t>1/2 tz de Papa (s) cocida (s) (picadas)</t>
  </si>
  <si>
    <t>4 unidades de Papa (s) cruda (s) (en rodajas)</t>
  </si>
  <si>
    <t>1 unidad de Papayas (madura)</t>
  </si>
  <si>
    <t>2 tazas de papaya cortada en cubos</t>
  </si>
  <si>
    <t>1 taza de papaya picada (puede sustituirse por durazno)</t>
  </si>
  <si>
    <t>papayas pequeñas</t>
  </si>
  <si>
    <t>1 pieza de Papayas (en rodajas)</t>
  </si>
  <si>
    <t>2 cdtas de Paprika/ pimienta húngara</t>
  </si>
  <si>
    <t>1/8 cucharadita de paprika</t>
  </si>
  <si>
    <t>1/4 taza de pasas</t>
  </si>
  <si>
    <t>1 cucharada de pasas</t>
  </si>
  <si>
    <t>4 cucharadas de pasas o frutas secas picadas</t>
  </si>
  <si>
    <t>1/2 tz de Salsa de tomate/jitomate enlatada</t>
  </si>
  <si>
    <t>3/4 tz de Pasta de tomate/jitomate sin sal</t>
  </si>
  <si>
    <t>1 tz de Salsa de tomate baja en sodio (natural)</t>
  </si>
  <si>
    <t>1/2 tz de Salsa de tomate/jitomate enlatada (baja en sodio)</t>
  </si>
  <si>
    <t>16 onzas (480 gramos) de pasta corta, cocida</t>
  </si>
  <si>
    <t>4 tz de Pasta fresca (cocida)</t>
  </si>
  <si>
    <t>1 pavo de 14 libras, lavado y secado de adentro y afuera.</t>
  </si>
  <si>
    <t>1 pechuga de pavo de 2 ¼ a 2 ¾ de libra (entre 1 kilo y 1 kilo con 300 gramos) sin hueso ni piel</t>
  </si>
  <si>
    <t>16 onzas (480 gramos) de pavo sin piel y sin hueso</t>
  </si>
  <si>
    <t>12 oz de Pechuga de pavo (cortadas a la mitad de forma horizontal)</t>
  </si>
  <si>
    <t>1 pepino pelado picado</t>
  </si>
  <si>
    <t>1 pepino en ruedas</t>
  </si>
  <si>
    <t>1 pepino</t>
  </si>
  <si>
    <t>2 Peras (medianas)</t>
  </si>
  <si>
    <t>1/2 tz de Perejil (picado)</t>
  </si>
  <si>
    <t>1/4 tz de Perejil (picado)</t>
  </si>
  <si>
    <t>1 cucharada de perejil fresco picado</t>
  </si>
  <si>
    <t>10 ramas de perejil fresco</t>
  </si>
  <si>
    <t>Perejil picado al gusto</t>
  </si>
  <si>
    <t>1 cucharada de perejil picado</t>
  </si>
  <si>
    <t>2 cdas de Perejil</t>
  </si>
  <si>
    <t>1 cda de perejil picado</t>
  </si>
  <si>
    <t>1 cda de Perejil (picado)</t>
  </si>
  <si>
    <t>3 cdas de Perejil (picadas)</t>
  </si>
  <si>
    <t>1 Pimienta negra al gusto (molida)</t>
  </si>
  <si>
    <t>1 Pimienta negra al gusto</t>
  </si>
  <si>
    <t>1/8 cdta de Pimienta negra</t>
  </si>
  <si>
    <t>Pimienta negra al gusto</t>
  </si>
  <si>
    <t>1 pizca de pimienta</t>
  </si>
  <si>
    <t>½ cucharadita de pimienta negra</t>
  </si>
  <si>
    <t>Pimienta al gusto</t>
  </si>
  <si>
    <t>Pimienta negra</t>
  </si>
  <si>
    <t>Pimienta negra al gusto  </t>
  </si>
  <si>
    <t>Pimienta negra molida</t>
  </si>
  <si>
    <t>Pimienta negra molida al gusto</t>
  </si>
  <si>
    <t>1/4 cdta de Pimienta negra</t>
  </si>
  <si>
    <t xml:space="preserve">    Pimienta al gusto</t>
  </si>
  <si>
    <t>1 Pimienta negra al gusto (para el adobo)</t>
  </si>
  <si>
    <t>¼ cucharadita de pimienta negra molida</t>
  </si>
  <si>
    <t>1 pimentón amarillo, sin semilla y finamente picado</t>
  </si>
  <si>
    <t>1 Chile pimiento rojo (cortado en rodajas delgadas)</t>
  </si>
  <si>
    <t>1 pieza de Pimientos rojos dulces crudos (picado)</t>
  </si>
  <si>
    <t>½ taza de pimiento rojo picado</t>
  </si>
  <si>
    <t>2 piezas de Pimientos rojos dulces crudos (en tiras)</t>
  </si>
  <si>
    <t>1 pimentón rojo, sin semilla y finamente picado</t>
  </si>
  <si>
    <t>1/2 tz de Chile pimiento rojo (en tiras)</t>
  </si>
  <si>
    <t>1 unidad de Chile pimiento rojo (cuadritos)</t>
  </si>
  <si>
    <t>¼ de taza de pimentón picado</t>
  </si>
  <si>
    <t>2 unidades de Chile pimiento rojo (picados)</t>
  </si>
  <si>
    <t>1 Chile pimiento verde (en tiritas )</t>
  </si>
  <si>
    <t>1/2 tz de Chile pimiento verde (en tiras)</t>
  </si>
  <si>
    <t>1/4 tz de Pimiento verde dulce crudo (picada)</t>
  </si>
  <si>
    <t>8 piezas de Pinchos de madera</t>
  </si>
  <si>
    <t>5 pinchos de madera</t>
  </si>
  <si>
    <t>4 rodajas de Piña</t>
  </si>
  <si>
    <t>1 tz de Piña (en cuadros)</t>
  </si>
  <si>
    <t>2 tz de Piña (cortada en cuadros)</t>
  </si>
  <si>
    <t>1/2 pieza de Piña (en cubos)</t>
  </si>
  <si>
    <t>3 tazas de piña picada en cuadritos</t>
  </si>
  <si>
    <t>1 rebanada de piña</t>
  </si>
  <si>
    <t>1 piña, pelada y sin el centro, cortada en 8 rodajas</t>
  </si>
  <si>
    <t>2 oz de Pistachos crudos (finamente picados)</t>
  </si>
  <si>
    <t>16 oz de Pechuga de pollo (4 piezas de 4 onzas)</t>
  </si>
  <si>
    <t>12 oz de Pechuga de pollo (4 piezas de 3 onzas)</t>
  </si>
  <si>
    <t>16 oz de Pechuga de pollo (en pedazos)</t>
  </si>
  <si>
    <t>8 oz de Pechuga de pollo (sin piel/ en trozos)</t>
  </si>
  <si>
    <t>1 lb de Pechuga de pollo (sazonada con adobo)</t>
  </si>
  <si>
    <t>16 oz de Carne de pollo</t>
  </si>
  <si>
    <t>8 oz de Pechuga de pollo (sin piel )</t>
  </si>
  <si>
    <t>16 oz de Pechuga de pollo (en tiras)</t>
  </si>
  <si>
    <t>½ cucharadita de polvo para hornear</t>
  </si>
  <si>
    <t>3/4 tz de Queso cheddar bajo en grasa</t>
  </si>
  <si>
    <t>4 rodajas de Queso cheddar bajo en grasa</t>
  </si>
  <si>
    <t>4 cdas de queso cheddar bajo en grasa</t>
  </si>
  <si>
    <t>½ taza de queso crema light</t>
  </si>
  <si>
    <t>4 cucharadas de queso crema bajo en grasa</t>
  </si>
  <si>
    <t>4 oz de Queso feta</t>
  </si>
  <si>
    <t>6 rodajas de queso bajo en grasa</t>
  </si>
  <si>
    <t>1 rodaja de queso bajo en grasa</t>
  </si>
  <si>
    <t>8 oz de Queso blanco (estilo puertoriqueño)</t>
  </si>
  <si>
    <t>¼ taza de queso feta</t>
  </si>
  <si>
    <t>Queso fresco en cuadritos</t>
  </si>
  <si>
    <t>2 cucharaditas de queso</t>
  </si>
  <si>
    <t>4 onzas de queso gouda ahumado rallado</t>
  </si>
  <si>
    <t>8 oz de Queso mozzarella regular (bajo en sodio)</t>
  </si>
  <si>
    <t>4 rodajas de Queso mozzarella bajo en grasa</t>
  </si>
  <si>
    <t>1 taza de queso mozzarella bajo en grasa en cuadritos</t>
  </si>
  <si>
    <t>½ taza de queso Parmesano rallado</t>
  </si>
  <si>
    <t>2 cucharadas de queso parmesano bajo en sodio </t>
  </si>
  <si>
    <t>4 cdas de queso parmesano</t>
  </si>
  <si>
    <t>¼ taza de queso parmesano bajo en grasa</t>
  </si>
  <si>
    <t>4 cdas de Queso parmesano, bajo en grasa</t>
  </si>
  <si>
    <t>2 cdas de Queso parmesano (rallado) (bajo en grasa)</t>
  </si>
  <si>
    <t>1/4 tz de Queso parmesano, bajo en grasa</t>
  </si>
  <si>
    <t>Parmesano rayado</t>
  </si>
  <si>
    <t>¼ de taza de queso ricotta descremado</t>
  </si>
  <si>
    <t>1 taza de queso ricotta</t>
  </si>
  <si>
    <t>1 manojo de rábanos</t>
  </si>
  <si>
    <t>1 betabel (remolacha)</t>
  </si>
  <si>
    <t>4 cdas de Queso cottage (sin grasa)</t>
  </si>
  <si>
    <t>1 taza de queso cottage reducido en grasa</t>
  </si>
  <si>
    <t>¼ de taza de queso cottage bajo en grasa</t>
  </si>
  <si>
    <t>½ taza de queso cottage bajo en grasa</t>
  </si>
  <si>
    <t>1/4 tz de Queso cottage (sin grasa)</t>
  </si>
  <si>
    <t>1 ½ taza de queso cottage bajo en grasa</t>
  </si>
  <si>
    <t>1 lb de Lomo de res porterhouse (magro/ entero)</t>
  </si>
  <si>
    <t>1 cucharada de romero fresco picado</t>
  </si>
  <si>
    <t>6 ramas de romero fresco</t>
  </si>
  <si>
    <t>1 cucharada de romero fresco</t>
  </si>
  <si>
    <t>1/4 tz de Ron (alcohol)</t>
  </si>
  <si>
    <t>4 oz lqdas de Ron (alcohol)</t>
  </si>
  <si>
    <t>2 cdas de Ron (alcohol)</t>
  </si>
  <si>
    <t>1 pizca de Sal</t>
  </si>
  <si>
    <t>Una pizca de sal</t>
  </si>
  <si>
    <t>Sal al gusto</t>
  </si>
  <si>
    <t>1/4 cdta de Sal</t>
  </si>
  <si>
    <t>¾ cucharadita de sal</t>
  </si>
  <si>
    <t>1 Sal al gusto</t>
  </si>
  <si>
    <t>1 pizca de sal</t>
  </si>
  <si>
    <t>Sal y pimienta al gusto</t>
  </si>
  <si>
    <t>1/2 cucharadita de sal</t>
  </si>
  <si>
    <t>1 cucharadita de sal</t>
  </si>
  <si>
    <t>1 cdta de Sal</t>
  </si>
  <si>
    <t>Pizca de sal</t>
  </si>
  <si>
    <t>1/2 cdta de Sal</t>
  </si>
  <si>
    <t>1 pizca de Sal (para el adobo )</t>
  </si>
  <si>
    <t>¼ cucharadita de sal</t>
  </si>
  <si>
    <t>1 cucharadita de sal de ajo</t>
  </si>
  <si>
    <t>2 cdas de Salsa de soya baja en sodio</t>
  </si>
  <si>
    <t>2 cucharaditas de salsa de soya</t>
  </si>
  <si>
    <t>1 tz de Salsa de tomate/jitomate enlatada</t>
  </si>
  <si>
    <t>1 tz de Salsa de tomate baja en sodio</t>
  </si>
  <si>
    <t>1 cda de Salsa de tomate/jitomate enlatada (Ketchup)</t>
  </si>
  <si>
    <t>6 ramas de salvia fresca</t>
  </si>
  <si>
    <t>2 tz de Semolino</t>
  </si>
  <si>
    <t>16 oz de Solomillo (cortado en 4 pedazos)</t>
  </si>
  <si>
    <t>1 lb de Solomillo (en filetes )</t>
  </si>
  <si>
    <t>4 cdas de Edulcorantes artificial</t>
  </si>
  <si>
    <t>3 cdas de Edulcorante artificial en polvo</t>
  </si>
  <si>
    <t>Edulcorante artificial al gusto</t>
  </si>
  <si>
    <t>Edulcorante artificial al gusto (Splenda)</t>
  </si>
  <si>
    <t>12 oz de Tilapia</t>
  </si>
  <si>
    <t>8 oz de Pescado blanco (en tiritas)</t>
  </si>
  <si>
    <t>1 lb de Pescado blanco (en tiras)</t>
  </si>
  <si>
    <t>1/2 tz de Tomate(s) rojo(s) (en rodajas)</t>
  </si>
  <si>
    <t>2 rodajas de tomate</t>
  </si>
  <si>
    <t>8 tomates medianos</t>
  </si>
  <si>
    <t>6 tomates (jitomates) medianos</t>
  </si>
  <si>
    <t>5 Tomate(s) rojo(s) (en cuadros)</t>
  </si>
  <si>
    <t>4 tomates maduros, frescos</t>
  </si>
  <si>
    <t>1 tz de Tomate(s) rojo(s) (en rodajas)</t>
  </si>
  <si>
    <t>1 tz de Tomate(s) rojo(s) (picado)</t>
  </si>
  <si>
    <t>4 tomates (jitomates) rojos</t>
  </si>
  <si>
    <t>2 tomates picados</t>
  </si>
  <si>
    <t>1 pieza de Tomates/jitomates rojos (picado)</t>
  </si>
  <si>
    <t>½ tomate grande sin semillas y picado</t>
  </si>
  <si>
    <t>2 unidades de Tomate(s) rojo(s) (picados)</t>
  </si>
  <si>
    <t>1 pieza de Tomates/jitomates rojos (en cubos)</t>
  </si>
  <si>
    <t>2 tomates medianos, cortados en 4 rodajas cada uno </t>
  </si>
  <si>
    <t>½ taza de tomate picado</t>
  </si>
  <si>
    <t>6 unidades de Tomate(s) rojo(s) (picados)</t>
  </si>
  <si>
    <t>1 tz de Tomate(s) cherry</t>
  </si>
  <si>
    <t>½ cucharadita de tomillo seco</t>
  </si>
  <si>
    <t>½ cucharadita de tomillo</t>
  </si>
  <si>
    <t>1 libre Tomillo (ramita)</t>
  </si>
  <si>
    <t>2 cucharaditas de tomillo</t>
  </si>
  <si>
    <t>1 pizca de Tomillo</t>
  </si>
  <si>
    <t>8 Tortillas de harina</t>
  </si>
  <si>
    <t>4 Tortillas de harina</t>
  </si>
  <si>
    <t>6 tortillas de harina de maíz ya hechas </t>
  </si>
  <si>
    <t>2 tortillas de 8 pulgadas</t>
  </si>
  <si>
    <t>4 tortillas de harina de aproximadamente 20 cm.</t>
  </si>
  <si>
    <t>4 tortillas de harina de 6 pulgadas</t>
  </si>
  <si>
    <t>1 tz de Uvas (rojas)</t>
  </si>
  <si>
    <t>20 Uvas (verdes)</t>
  </si>
  <si>
    <t>2 tazas de ejotes cortados en pequeños trozos</t>
  </si>
  <si>
    <t>1 tz de Habichuelas tiernas/ejotes cocidos (picadas)</t>
  </si>
  <si>
    <t>2 cdas de Vinagre</t>
  </si>
  <si>
    <t>1/2 cdta de Vinagre</t>
  </si>
  <si>
    <t>1/4 tz de Vinagre</t>
  </si>
  <si>
    <t>3/4 cda de Vinagre</t>
  </si>
  <si>
    <t>2 cdas de Vinagre balsámico</t>
  </si>
  <si>
    <t>2 cdas de vinagre balsámico</t>
  </si>
  <si>
    <t>1 taza de vino blanco seco</t>
  </si>
  <si>
    <t>¼ taza de vino blanco</t>
  </si>
  <si>
    <t>1/4 tz de vino blanco</t>
  </si>
  <si>
    <t>½ taza de yogurt sin sabor bajo en grasa</t>
  </si>
  <si>
    <t>1/4 tz de Yogur natural descremado</t>
  </si>
  <si>
    <t>2 cdas de Yogur natural descremado</t>
  </si>
  <si>
    <t>¼ de taza   de yogur descremado</t>
  </si>
  <si>
    <t>½ taza de yogur natural sin grasa</t>
  </si>
  <si>
    <t>1 taza de yogur descremado natural</t>
  </si>
  <si>
    <t>2 tazas de yogur bajo en grasa</t>
  </si>
  <si>
    <t>½ taza de yogur</t>
  </si>
  <si>
    <t>1/4 taza de yogur descremado de vainilla, limón o lima</t>
  </si>
  <si>
    <t>½ taza de crema agria baja en grasa o yogur de vainilla sin grasa (opcional)</t>
  </si>
  <si>
    <t>2 tazas de yogur de vainilla sin grasa</t>
  </si>
  <si>
    <t>1 taza de yogur de vainilla bajo en grasa</t>
  </si>
  <si>
    <t>1 taza de yogur de limón descremado o de vainilla</t>
  </si>
  <si>
    <t>½ taza de zanahoria rallada</t>
  </si>
  <si>
    <t>1 taza de zanahorias en rodajas</t>
  </si>
  <si>
    <t>1 tz de Zanahorias crudas (rallada)</t>
  </si>
  <si>
    <t>3 zanahorias</t>
  </si>
  <si>
    <t>2 unidades de Zanahorias cocidas (picadas)</t>
  </si>
  <si>
    <t>1 libra de calabacines, cortados en cuadritos (3 ½ tazas apoximadamente)</t>
  </si>
  <si>
    <t>3 calabacines (zucchinis)</t>
  </si>
  <si>
    <t>Cant. Requerida por porción</t>
  </si>
  <si>
    <t>Precio por unidad pedido</t>
  </si>
  <si>
    <t>Cantidad total requerida (demanda)</t>
  </si>
  <si>
    <t>Total precio (demanda)</t>
  </si>
  <si>
    <t>CONSUMO DE GASOLINA POR GALON</t>
  </si>
  <si>
    <t xml:space="preserve">CONTENEDORES COMPARTIDOS </t>
  </si>
  <si>
    <t>MILENIUM CUCHILLOS TRANSPARENTES</t>
  </si>
  <si>
    <t>MILENIUM CUCHARAS TRANSPARENTES</t>
  </si>
  <si>
    <t>MILENIUM  TENEDORES TRANSPARENTES</t>
  </si>
  <si>
    <t>FUNDAS PARA ENVASAR PACK CON LOGO</t>
  </si>
  <si>
    <t>SERVILLETAS FAMILIA DE PAPEL CON LOGO (30 x 25 cm)</t>
  </si>
  <si>
    <t>PRECIO UNITARIO ( $ )</t>
  </si>
  <si>
    <t>ACEITE DE OLIVA</t>
  </si>
  <si>
    <t>ACEITE SPRAY</t>
  </si>
  <si>
    <t>ACEITE VEGETAL</t>
  </si>
  <si>
    <t>ACEITUNAS</t>
  </si>
  <si>
    <t>ACEITUNAS NEGRAS</t>
  </si>
  <si>
    <t>ACHIOTE</t>
  </si>
  <si>
    <t>ADEREZO MOSTAZA MIEL</t>
  </si>
  <si>
    <t>AGUA</t>
  </si>
  <si>
    <t>AGUACATE</t>
  </si>
  <si>
    <t>AJI</t>
  </si>
  <si>
    <t>AJO</t>
  </si>
  <si>
    <t>ALBAHACA</t>
  </si>
  <si>
    <t>ALMENDRAS</t>
  </si>
  <si>
    <t>APIO</t>
  </si>
  <si>
    <t>ARROZ</t>
  </si>
  <si>
    <t>ARVERJA</t>
  </si>
  <si>
    <t>ATUN LATA</t>
  </si>
  <si>
    <t>AVENA</t>
  </si>
  <si>
    <t>AZUCAR</t>
  </si>
  <si>
    <t>AZUCAR MORENA</t>
  </si>
  <si>
    <t>BAGEL</t>
  </si>
  <si>
    <t>BANANO</t>
  </si>
  <si>
    <t>BICARBONATO DE SODIO</t>
  </si>
  <si>
    <t>BROCOLI</t>
  </si>
  <si>
    <t>CALDO DE POLLO CONCENTRADO</t>
  </si>
  <si>
    <t>CALDO DE VERDURAS CONCENTRADO</t>
  </si>
  <si>
    <t>CAMARON</t>
  </si>
  <si>
    <t>CAMOTE</t>
  </si>
  <si>
    <t>CANELA</t>
  </si>
  <si>
    <t>CANELONES</t>
  </si>
  <si>
    <t>CARNE MOLIDA</t>
  </si>
  <si>
    <t>CEBOLLA COLORADA</t>
  </si>
  <si>
    <t>CEBOLLA PERLA</t>
  </si>
  <si>
    <t>CEBOLLIN</t>
  </si>
  <si>
    <t xml:space="preserve">CERDO </t>
  </si>
  <si>
    <t>CHAMPIÑONES</t>
  </si>
  <si>
    <t>COL BLANCA</t>
  </si>
  <si>
    <t>COLIFLOR</t>
  </si>
  <si>
    <t>COMINO</t>
  </si>
  <si>
    <t>CREMA AGRIA</t>
  </si>
  <si>
    <t>ENELDO</t>
  </si>
  <si>
    <t>ESTRAGON</t>
  </si>
  <si>
    <t>EXTRACTO DE ALMENDRAS</t>
  </si>
  <si>
    <t>EXTRACTO DE VAINILLA</t>
  </si>
  <si>
    <t>FIDEO CODITOS</t>
  </si>
  <si>
    <t>FRAMBUESAS</t>
  </si>
  <si>
    <t>FREJOL BLANCO</t>
  </si>
  <si>
    <t>FREJOL ROJO</t>
  </si>
  <si>
    <t>GALLETAS SALTINAS</t>
  </si>
  <si>
    <t>GARBANZOS</t>
  </si>
  <si>
    <t>HABAS PELADAS</t>
  </si>
  <si>
    <t>HARINA</t>
  </si>
  <si>
    <t>HARINA INTEGRAL</t>
  </si>
  <si>
    <t>HIELO</t>
  </si>
  <si>
    <t>HOJUELAS DE MAIZ AZUCARADAS</t>
  </si>
  <si>
    <t>HONGOS</t>
  </si>
  <si>
    <t>HUEVOS</t>
  </si>
  <si>
    <t>JAMON DE PAVO</t>
  </si>
  <si>
    <t>JENJIBRE</t>
  </si>
  <si>
    <t>KIWI</t>
  </si>
  <si>
    <t>LAUREL</t>
  </si>
  <si>
    <t>LECHE DESCREMADA</t>
  </si>
  <si>
    <t>LECHE EVAPORADA</t>
  </si>
  <si>
    <t>LECHE SEMI DESCREMADA</t>
  </si>
  <si>
    <t>LECHUGA</t>
  </si>
  <si>
    <t>LECHUGA ROMANA</t>
  </si>
  <si>
    <t>LEVADURA</t>
  </si>
  <si>
    <t>LIMON</t>
  </si>
  <si>
    <t>MACARRONES</t>
  </si>
  <si>
    <t>MAICENA</t>
  </si>
  <si>
    <t>MANGO</t>
  </si>
  <si>
    <t>MANTEQUILLA</t>
  </si>
  <si>
    <t>MANTEQUILLA DE MANI</t>
  </si>
  <si>
    <t>MANZANAS</t>
  </si>
  <si>
    <t>MAYONESA</t>
  </si>
  <si>
    <t>MELON</t>
  </si>
  <si>
    <t>MENTA</t>
  </si>
  <si>
    <t>MERMELADA DE DURAZNO</t>
  </si>
  <si>
    <t>MIEL DE ABEJA</t>
  </si>
  <si>
    <t>MORAS</t>
  </si>
  <si>
    <t>MOSTAZA DIJON</t>
  </si>
  <si>
    <t>NARANJAS</t>
  </si>
  <si>
    <t>NUECES</t>
  </si>
  <si>
    <t>NUEZ MOSCADA</t>
  </si>
  <si>
    <t>OREGANO</t>
  </si>
  <si>
    <t>PAN BAGUETTE</t>
  </si>
  <si>
    <t>PAN BOLLO</t>
  </si>
  <si>
    <t>PAN HOT DOG</t>
  </si>
  <si>
    <t>PAN INTEGRAL</t>
  </si>
  <si>
    <t>PAN MOLDE</t>
  </si>
  <si>
    <t>PANECILLO</t>
  </si>
  <si>
    <t>PAPAS</t>
  </si>
  <si>
    <t>PAPAYA</t>
  </si>
  <si>
    <t>PAPRIKA</t>
  </si>
  <si>
    <t>PASAS</t>
  </si>
  <si>
    <t>PASTA DE TOMATE</t>
  </si>
  <si>
    <t>PASTA FARFALLE</t>
  </si>
  <si>
    <t>PAVO ENTERO</t>
  </si>
  <si>
    <t>PAVO PECHUGA</t>
  </si>
  <si>
    <t>PEPINO</t>
  </si>
  <si>
    <t>PERAS</t>
  </si>
  <si>
    <t>PIMIENTA NEGRA</t>
  </si>
  <si>
    <t>PIMIENTO AMARILLO</t>
  </si>
  <si>
    <t>PIMIENTO ROJO</t>
  </si>
  <si>
    <t>PIMIENTO VERDE</t>
  </si>
  <si>
    <t>PINCHOS DE MADERA</t>
  </si>
  <si>
    <t>PIÑA</t>
  </si>
  <si>
    <t>PISTACHOS</t>
  </si>
  <si>
    <t>POLLO PECHUGA</t>
  </si>
  <si>
    <t>POLVO DE HORNEAR</t>
  </si>
  <si>
    <t>QUESO CHEDDAR</t>
  </si>
  <si>
    <t>QUESO CREMA</t>
  </si>
  <si>
    <t>QUESO FRESCO</t>
  </si>
  <si>
    <t>QUESO MOZZARELLA</t>
  </si>
  <si>
    <t>QUESO PARMESANO</t>
  </si>
  <si>
    <t>QUESO RICOTTA</t>
  </si>
  <si>
    <t>RABANOS</t>
  </si>
  <si>
    <t>REMOLACHA</t>
  </si>
  <si>
    <t>REQUESON</t>
  </si>
  <si>
    <t>RES LOMO</t>
  </si>
  <si>
    <t>ROMERO</t>
  </si>
  <si>
    <t>RON</t>
  </si>
  <si>
    <t>SAL</t>
  </si>
  <si>
    <t>SAL DE AJO</t>
  </si>
  <si>
    <t>SALSA DE SOYA</t>
  </si>
  <si>
    <t>SALSA DE TOMATE</t>
  </si>
  <si>
    <t>SALVIA</t>
  </si>
  <si>
    <t>SEMOLA</t>
  </si>
  <si>
    <t>SOLOMILLO</t>
  </si>
  <si>
    <t>TILAPIA</t>
  </si>
  <si>
    <t>TOMATE</t>
  </si>
  <si>
    <t>TOMATE CHERRY</t>
  </si>
  <si>
    <t>TOMILLO</t>
  </si>
  <si>
    <t>TORTILLAS DE MAIZ</t>
  </si>
  <si>
    <t>UVAS</t>
  </si>
  <si>
    <t>VAINITA</t>
  </si>
  <si>
    <t>VINAGRE</t>
  </si>
  <si>
    <t>VINAGRE BALSAMICO</t>
  </si>
  <si>
    <t>VINO BLANCO</t>
  </si>
  <si>
    <t>ZANAHORIAS</t>
  </si>
  <si>
    <t>ZUQUINI</t>
  </si>
  <si>
    <r>
      <t>Spray</t>
    </r>
    <r>
      <rPr>
        <sz val="11"/>
        <rFont val="Calibri"/>
        <family val="2"/>
      </rPr>
      <t xml:space="preserve"> antiadherente</t>
    </r>
  </si>
  <si>
    <r>
      <t xml:space="preserve">4 cucharaditas de jugo de limón </t>
    </r>
    <r>
      <rPr>
        <i/>
        <sz val="11"/>
        <rFont val="Calibri"/>
        <family val="2"/>
      </rPr>
      <t>(lime)</t>
    </r>
  </si>
  <si>
    <r>
      <t xml:space="preserve">1 cucharada de mostaza </t>
    </r>
    <r>
      <rPr>
        <i/>
        <sz val="11"/>
        <rFont val="Calibri"/>
        <family val="2"/>
      </rPr>
      <t>Dijon</t>
    </r>
  </si>
  <si>
    <r>
      <t xml:space="preserve">¼ taza de queso </t>
    </r>
    <r>
      <rPr>
        <i/>
        <sz val="11"/>
        <rFont val="Calibri"/>
        <family val="2"/>
      </rPr>
      <t>cheddar</t>
    </r>
    <r>
      <rPr>
        <sz val="11"/>
        <rFont val="Calibri"/>
        <family val="2"/>
      </rPr>
      <t xml:space="preserve"> bajo en grasa, rallado</t>
    </r>
  </si>
  <si>
    <r>
      <t xml:space="preserve">8 onzas (240 g) de queso </t>
    </r>
    <r>
      <rPr>
        <i/>
        <sz val="11"/>
        <rFont val="Calibri"/>
        <family val="2"/>
      </rPr>
      <t>mozzarella</t>
    </r>
    <r>
      <rPr>
        <sz val="11"/>
        <rFont val="Calibri"/>
        <family val="2"/>
      </rPr>
      <t>, cortado en rebanadas finas</t>
    </r>
  </si>
  <si>
    <r>
      <t xml:space="preserve">1 taza de queso </t>
    </r>
    <r>
      <rPr>
        <i/>
        <sz val="11"/>
        <rFont val="Calibri"/>
        <family val="2"/>
      </rPr>
      <t>cottage</t>
    </r>
    <r>
      <rPr>
        <sz val="11"/>
        <rFont val="Calibri"/>
        <family val="2"/>
      </rPr>
      <t xml:space="preserve"> bajo en grasa</t>
    </r>
  </si>
  <si>
    <r>
      <t xml:space="preserve">1 cucharadita de salsa </t>
    </r>
    <r>
      <rPr>
        <i/>
        <sz val="11"/>
        <rFont val="Calibri"/>
        <family val="2"/>
      </rPr>
      <t>Worcestershire (salsa inglesa)</t>
    </r>
  </si>
  <si>
    <r>
      <t xml:space="preserve">1 taza de tomates </t>
    </r>
    <r>
      <rPr>
        <i/>
        <sz val="11"/>
        <rFont val="Calibri"/>
        <family val="2"/>
      </rPr>
      <t>cherry</t>
    </r>
  </si>
  <si>
    <t>ACETE DE CANOLA</t>
  </si>
  <si>
    <t>DURAZNO</t>
  </si>
  <si>
    <t>HABICHUELA</t>
  </si>
  <si>
    <t>LENTAJAS</t>
  </si>
  <si>
    <t>MARGARITA</t>
  </si>
  <si>
    <t>MERMELADA RUTILLA LIGHT</t>
  </si>
  <si>
    <t>PERIJIL</t>
  </si>
  <si>
    <t>QUESO GODUA</t>
  </si>
  <si>
    <t>SALSA DE INGLESA</t>
  </si>
  <si>
    <t>AZUCA SPLENDA</t>
  </si>
  <si>
    <t>YOGURT NATURAL</t>
  </si>
  <si>
    <t>YOGURT VAINILLA</t>
  </si>
  <si>
    <t>Total ACETE DE CANOLA</t>
  </si>
  <si>
    <t>Total ACEITE DE OLIVA</t>
  </si>
  <si>
    <t>Total ACEITE SPRAY</t>
  </si>
  <si>
    <t>Total ACEITE VEGETAL</t>
  </si>
  <si>
    <t>Total ACEITUNAS</t>
  </si>
  <si>
    <t>Total ACEITUNAS NEGRAS</t>
  </si>
  <si>
    <t>Total ACHIOTE</t>
  </si>
  <si>
    <t>Total ADEREZO MOSTAZA MIEL</t>
  </si>
  <si>
    <t>Total AGUA</t>
  </si>
  <si>
    <t>Total AGUACATE</t>
  </si>
  <si>
    <t>Total AJI</t>
  </si>
  <si>
    <t>Total AJO</t>
  </si>
  <si>
    <t>Total ALBAHACA</t>
  </si>
  <si>
    <t>Total ALMENDRAS</t>
  </si>
  <si>
    <t>Total APIO</t>
  </si>
  <si>
    <t>Total ARROZ</t>
  </si>
  <si>
    <t>Total ARVERJA</t>
  </si>
  <si>
    <t>Total ATUN LATA</t>
  </si>
  <si>
    <t>Total AVENA</t>
  </si>
  <si>
    <t>Total AZUCAR</t>
  </si>
  <si>
    <t>Total AZUCAR MORENA</t>
  </si>
  <si>
    <t>Total BAGEL</t>
  </si>
  <si>
    <t>Total BANANO</t>
  </si>
  <si>
    <t>Total BICARBONATO DE SODIO</t>
  </si>
  <si>
    <t>Total BROCOLI</t>
  </si>
  <si>
    <t>Total CALDO DE POLLO CONCENTRADO</t>
  </si>
  <si>
    <t>Total CALDO DE VERDURAS CONCENTRADO</t>
  </si>
  <si>
    <t>Total CAMARON</t>
  </si>
  <si>
    <t>Total CAMOTE</t>
  </si>
  <si>
    <t>Total CANELA</t>
  </si>
  <si>
    <t>Total CANELONES</t>
  </si>
  <si>
    <t>Total CARNE MOLIDA</t>
  </si>
  <si>
    <t>Total CEBOLLA COLORADA</t>
  </si>
  <si>
    <t>Total CEBOLLA PERLA</t>
  </si>
  <si>
    <t>Total CEBOLLIN</t>
  </si>
  <si>
    <t xml:space="preserve">Total CERDO </t>
  </si>
  <si>
    <t>Total CHAMPIÑONES</t>
  </si>
  <si>
    <t>Total COL BLANCA</t>
  </si>
  <si>
    <t>Total COLIFLOR</t>
  </si>
  <si>
    <t>Total COMINO</t>
  </si>
  <si>
    <t>Total CREMA AGRIA</t>
  </si>
  <si>
    <t>Total DURAZNO</t>
  </si>
  <si>
    <t>Total ENELDO</t>
  </si>
  <si>
    <t>Total ESPNACA</t>
  </si>
  <si>
    <t>Total ESTRAGON</t>
  </si>
  <si>
    <t>Total EXTRACTO DE ALMENDRAS</t>
  </si>
  <si>
    <t>Total EXTRACTO DE VAINILLA</t>
  </si>
  <si>
    <t>Total FIDEO CODITOS</t>
  </si>
  <si>
    <t>Total FRAMBUESAS</t>
  </si>
  <si>
    <t>Total FREJOL BLANCO</t>
  </si>
  <si>
    <t>Total FREJOL ROJO</t>
  </si>
  <si>
    <t>Total GALLETAS SALTINAS</t>
  </si>
  <si>
    <t>Total GARBANZOS</t>
  </si>
  <si>
    <t>Total HABAS PELADAS</t>
  </si>
  <si>
    <t>Total HABICHUELA</t>
  </si>
  <si>
    <t>Total HARINA</t>
  </si>
  <si>
    <t>Total HARINA INTEGRAL</t>
  </si>
  <si>
    <t>Total HIELO</t>
  </si>
  <si>
    <t>Total HOJUELAS DE MAIZ AZUCARADAS</t>
  </si>
  <si>
    <t>Total HONGOS</t>
  </si>
  <si>
    <t>Total HUEVOS</t>
  </si>
  <si>
    <t>Total JAMON DE PAVO</t>
  </si>
  <si>
    <t>Total JENJIBRE</t>
  </si>
  <si>
    <t>Total KIWI</t>
  </si>
  <si>
    <t>Total LAUREL</t>
  </si>
  <si>
    <t>Total LECHE DESCREMADA</t>
  </si>
  <si>
    <t>Total LECHE EVAPORADA</t>
  </si>
  <si>
    <t>Total LECHE SEMI DESCREMADA</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</si>
</sst>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300A]\ #,##0"/>
    <numFmt numFmtId="173" formatCode="[$$-300A]\ #,##0.00"/>
    <numFmt numFmtId="174" formatCode="_ [$$-300A]\ * #,##0.00_ ;_ [$$-300A]\ * \-#,##0.00_ ;_ [$$-300A]\ * &quot;-&quot;??_ ;_ @_ "/>
    <numFmt numFmtId="175" formatCode="0.000"/>
    <numFmt numFmtId="176" formatCode="[$$-300A]\ #,##0.000"/>
    <numFmt numFmtId="177" formatCode="#,##0_ ;[Red]\-#,##0\ "/>
    <numFmt numFmtId="178" formatCode="_-* #,##0.00\ _€_-;\-* #,##0.00\ _€_-;_-* &quot;-&quot;??\ _€_-;_-@_-"/>
    <numFmt numFmtId="179" formatCode="[$$-300A]\ #,##0.00_ ;\-[$$-300A]\ #,##0.00\ "/>
    <numFmt numFmtId="180" formatCode="0.0%"/>
    <numFmt numFmtId="181" formatCode="0.0"/>
    <numFmt numFmtId="182" formatCode="0.0000000"/>
    <numFmt numFmtId="183" formatCode="0.00000000"/>
    <numFmt numFmtId="184" formatCode="0.000000"/>
    <numFmt numFmtId="185" formatCode="0.00000"/>
    <numFmt numFmtId="186" formatCode="0.0000"/>
  </numFmts>
  <fonts count="43">
    <font>
      <sz val="11"/>
      <color indexed="8"/>
      <name val="Calibri"/>
      <family val="2"/>
    </font>
    <font>
      <sz val="9"/>
      <name val="Tahoma"/>
      <family val="2"/>
    </font>
    <font>
      <b/>
      <sz val="9"/>
      <name val="Tahoma"/>
      <family val="2"/>
    </font>
    <font>
      <sz val="8"/>
      <name val="Arial"/>
      <family val="2"/>
    </font>
    <font>
      <b/>
      <sz val="8"/>
      <name val="Arial"/>
      <family val="2"/>
    </font>
    <font>
      <sz val="11"/>
      <name val="Calibri"/>
      <family val="2"/>
    </font>
    <font>
      <i/>
      <sz val="11"/>
      <name val="Calibri"/>
      <family val="2"/>
    </font>
    <font>
      <b/>
      <sz val="9"/>
      <name val="Geneva"/>
      <family val="0"/>
    </font>
    <font>
      <b/>
      <i/>
      <sz val="8"/>
      <color indexed="8"/>
      <name val="Arial"/>
      <family val="2"/>
    </font>
    <font>
      <b/>
      <sz val="8"/>
      <color indexed="8"/>
      <name val="Arial"/>
      <family val="2"/>
    </font>
    <font>
      <sz val="8"/>
      <color indexed="8"/>
      <name val="Arial"/>
      <family val="2"/>
    </font>
    <font>
      <sz val="10"/>
      <color indexed="8"/>
      <name val="Calibri"/>
      <family val="2"/>
    </font>
    <font>
      <b/>
      <sz val="10"/>
      <name val="Calibri"/>
      <family val="2"/>
    </font>
    <font>
      <b/>
      <sz val="10"/>
      <color indexed="8"/>
      <name val="Calibri"/>
      <family val="2"/>
    </font>
    <font>
      <b/>
      <sz val="11"/>
      <name val="Calibri"/>
      <family val="2"/>
    </font>
    <font>
      <sz val="11"/>
      <color indexed="10"/>
      <name val="Calibri"/>
      <family val="2"/>
    </font>
    <font>
      <b/>
      <sz val="15"/>
      <color indexed="8"/>
      <name val="Calibri"/>
      <family val="2"/>
    </font>
    <font>
      <sz val="8"/>
      <color indexed="20"/>
      <name val="Arial"/>
      <family val="2"/>
    </font>
    <font>
      <b/>
      <u val="single"/>
      <sz val="8"/>
      <color indexed="8"/>
      <name val="Arial"/>
      <family val="2"/>
    </font>
    <font>
      <b/>
      <sz val="8"/>
      <color indexed="60"/>
      <name val="Arial"/>
      <family val="2"/>
    </font>
    <font>
      <sz val="8"/>
      <name val="Calibri"/>
      <family val="2"/>
    </font>
    <font>
      <u val="single"/>
      <sz val="8"/>
      <name val="Arial"/>
      <family val="2"/>
    </font>
    <font>
      <b/>
      <u val="single"/>
      <sz val="8"/>
      <name val="Arial"/>
      <family val="2"/>
    </font>
    <font>
      <sz val="8"/>
      <color indexed="60"/>
      <name val="Arial"/>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Tahoma"/>
      <family val="2"/>
    </font>
    <font>
      <u val="single"/>
      <sz val="11"/>
      <color indexed="12"/>
      <name val="Calibri"/>
      <family val="2"/>
    </font>
    <font>
      <u val="single"/>
      <sz val="11"/>
      <color indexed="36"/>
      <name val="Calibri"/>
      <family val="2"/>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right style="thin"/>
      <top/>
      <bottom/>
    </border>
    <border>
      <left style="medium"/>
      <right/>
      <top style="medium"/>
      <bottom style="medium"/>
    </border>
    <border>
      <left/>
      <right/>
      <top/>
      <bottom style="thin"/>
    </border>
    <border>
      <left/>
      <right/>
      <top/>
      <bottom style="dashDotDot"/>
    </border>
    <border>
      <left/>
      <right/>
      <top style="dashDotDot"/>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style="medium"/>
      <right/>
      <top style="medium"/>
      <bottom/>
    </border>
    <border>
      <left/>
      <right/>
      <top style="medium"/>
      <bottom/>
    </border>
    <border>
      <left/>
      <right style="medium"/>
      <top style="medium"/>
      <bottom/>
    </border>
    <border>
      <left/>
      <right style="medium"/>
      <top/>
      <bottom style="medium"/>
    </border>
    <border>
      <left style="mediumDashDot"/>
      <right/>
      <top/>
      <bottom/>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29" fillId="4" borderId="0" applyNumberFormat="0" applyBorder="0" applyAlignment="0" applyProtection="0"/>
    <xf numFmtId="0" fontId="34" fillId="16" borderId="1" applyNumberFormat="0" applyAlignment="0" applyProtection="0"/>
    <xf numFmtId="0" fontId="36" fillId="17" borderId="2" applyNumberFormat="0" applyAlignment="0" applyProtection="0"/>
    <xf numFmtId="0" fontId="35" fillId="0" borderId="3" applyNumberFormat="0" applyFill="0" applyAlignment="0" applyProtection="0"/>
    <xf numFmtId="0" fontId="28" fillId="0" borderId="0" applyNumberFormat="0" applyFill="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21" borderId="0" applyNumberFormat="0" applyBorder="0" applyAlignment="0" applyProtection="0"/>
    <xf numFmtId="0" fontId="32" fillId="7"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33" fillId="16" borderId="5" applyNumberFormat="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4" fillId="0" borderId="9" applyNumberFormat="0" applyFill="0" applyAlignment="0" applyProtection="0"/>
  </cellStyleXfs>
  <cellXfs count="382">
    <xf numFmtId="0" fontId="0" fillId="0" borderId="0" xfId="0" applyAlignment="1">
      <alignment/>
    </xf>
    <xf numFmtId="0" fontId="3" fillId="0" borderId="0" xfId="0" applyFont="1" applyAlignment="1">
      <alignment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3" fillId="24" borderId="10" xfId="0" applyFont="1" applyFill="1" applyBorder="1" applyAlignment="1">
      <alignment horizontal="center" vertical="center" wrapText="1"/>
    </xf>
    <xf numFmtId="8" fontId="3"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3" fillId="24" borderId="10" xfId="0" applyFont="1" applyFill="1" applyBorder="1" applyAlignment="1">
      <alignment horizontal="left" vertical="center" wrapText="1"/>
    </xf>
    <xf numFmtId="0" fontId="11" fillId="0" borderId="0" xfId="0" applyFont="1" applyAlignment="1">
      <alignment/>
    </xf>
    <xf numFmtId="0" fontId="12" fillId="14" borderId="10" xfId="0" applyFont="1" applyFill="1" applyBorder="1" applyAlignment="1">
      <alignment/>
    </xf>
    <xf numFmtId="9" fontId="11" fillId="0" borderId="10" xfId="54" applyFont="1" applyBorder="1" applyAlignment="1">
      <alignment/>
    </xf>
    <xf numFmtId="173" fontId="11" fillId="0" borderId="10" xfId="0" applyNumberFormat="1" applyFont="1" applyBorder="1" applyAlignment="1">
      <alignment/>
    </xf>
    <xf numFmtId="0" fontId="11" fillId="0" borderId="10" xfId="0" applyFont="1" applyBorder="1" applyAlignment="1">
      <alignment/>
    </xf>
    <xf numFmtId="9" fontId="11" fillId="0" borderId="10" xfId="0" applyNumberFormat="1" applyFont="1" applyBorder="1" applyAlignment="1">
      <alignment/>
    </xf>
    <xf numFmtId="0" fontId="11" fillId="0" borderId="10" xfId="0" applyFont="1" applyBorder="1" applyAlignment="1">
      <alignment horizontal="left"/>
    </xf>
    <xf numFmtId="173" fontId="11" fillId="0" borderId="0" xfId="0" applyNumberFormat="1" applyFont="1" applyAlignment="1">
      <alignment/>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14" fillId="0" borderId="10" xfId="0" applyFont="1" applyBorder="1" applyAlignment="1">
      <alignment horizontal="center" vertical="center" wrapText="1"/>
    </xf>
    <xf numFmtId="1" fontId="14" fillId="0" borderId="10" xfId="0" applyNumberFormat="1" applyFont="1" applyBorder="1" applyAlignment="1">
      <alignment horizontal="center" vertical="center" wrapText="1"/>
    </xf>
    <xf numFmtId="1" fontId="14" fillId="0" borderId="11" xfId="0" applyNumberFormat="1" applyFont="1" applyBorder="1" applyAlignment="1">
      <alignment horizontal="center" vertical="center" wrapText="1"/>
    </xf>
    <xf numFmtId="175" fontId="14" fillId="0" borderId="10" xfId="0" applyNumberFormat="1" applyFont="1" applyBorder="1" applyAlignment="1">
      <alignment horizontal="center" vertical="center" wrapText="1"/>
    </xf>
    <xf numFmtId="173" fontId="14" fillId="0" borderId="10" xfId="0" applyNumberFormat="1" applyFont="1" applyBorder="1" applyAlignment="1">
      <alignment horizontal="center" vertical="center" wrapText="1"/>
    </xf>
    <xf numFmtId="0" fontId="14" fillId="0" borderId="12" xfId="0" applyFont="1" applyBorder="1" applyAlignment="1">
      <alignment horizontal="center" vertical="center" wrapText="1"/>
    </xf>
    <xf numFmtId="0" fontId="14" fillId="0" borderId="0" xfId="0" applyFont="1" applyAlignment="1">
      <alignment horizontal="center" vertical="center" wrapText="1"/>
    </xf>
    <xf numFmtId="1" fontId="5"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1" fontId="5" fillId="0" borderId="11" xfId="0" applyNumberFormat="1" applyFont="1" applyBorder="1" applyAlignment="1">
      <alignment horizontal="center" vertical="center" wrapText="1"/>
    </xf>
    <xf numFmtId="175" fontId="5" fillId="0" borderId="10" xfId="0" applyNumberFormat="1" applyFont="1" applyBorder="1" applyAlignment="1">
      <alignment horizontal="center" vertical="center" wrapText="1"/>
    </xf>
    <xf numFmtId="173" fontId="5" fillId="0" borderId="10" xfId="0" applyNumberFormat="1" applyFont="1" applyBorder="1" applyAlignment="1">
      <alignment vertical="center" wrapText="1"/>
    </xf>
    <xf numFmtId="0" fontId="5" fillId="0" borderId="12" xfId="0" applyFont="1" applyBorder="1" applyAlignment="1">
      <alignment vertical="center" wrapText="1"/>
    </xf>
    <xf numFmtId="0" fontId="5" fillId="0" borderId="0" xfId="0" applyFont="1" applyAlignment="1">
      <alignment vertical="center" wrapText="1"/>
    </xf>
    <xf numFmtId="1"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1" fontId="5" fillId="0" borderId="11" xfId="0" applyNumberFormat="1" applyFont="1" applyFill="1" applyBorder="1" applyAlignment="1">
      <alignment horizontal="center" vertical="center" wrapText="1"/>
    </xf>
    <xf numFmtId="175" fontId="5" fillId="0" borderId="10" xfId="0" applyNumberFormat="1" applyFont="1" applyFill="1" applyBorder="1" applyAlignment="1">
      <alignment horizontal="center" vertical="center" wrapText="1"/>
    </xf>
    <xf numFmtId="0" fontId="6" fillId="0" borderId="10" xfId="0" applyFont="1" applyBorder="1" applyAlignment="1">
      <alignment horizontal="left" vertical="center" wrapText="1"/>
    </xf>
    <xf numFmtId="173" fontId="15" fillId="0" borderId="10" xfId="0" applyNumberFormat="1" applyFont="1" applyBorder="1" applyAlignment="1">
      <alignment vertical="center" wrapText="1"/>
    </xf>
    <xf numFmtId="0" fontId="5" fillId="0" borderId="10" xfId="0" applyFont="1" applyFill="1" applyBorder="1" applyAlignment="1">
      <alignment vertical="center" wrapText="1"/>
    </xf>
    <xf numFmtId="173" fontId="5" fillId="0" borderId="10" xfId="0" applyNumberFormat="1" applyFont="1" applyFill="1" applyBorder="1" applyAlignment="1">
      <alignment vertical="center" wrapText="1"/>
    </xf>
    <xf numFmtId="0" fontId="5" fillId="0" borderId="0" xfId="0" applyFont="1" applyFill="1" applyAlignment="1">
      <alignment vertical="center" wrapText="1"/>
    </xf>
    <xf numFmtId="173" fontId="15" fillId="0" borderId="10" xfId="0" applyNumberFormat="1" applyFont="1" applyFill="1" applyBorder="1" applyAlignment="1">
      <alignment vertical="center" wrapText="1"/>
    </xf>
    <xf numFmtId="0" fontId="14" fillId="0" borderId="10" xfId="0" applyFont="1" applyFill="1" applyBorder="1" applyAlignment="1">
      <alignment horizontal="left" vertical="center" wrapText="1"/>
    </xf>
    <xf numFmtId="173" fontId="15" fillId="0" borderId="10" xfId="0" applyNumberFormat="1" applyFont="1" applyBorder="1" applyAlignment="1">
      <alignment vertical="center" wrapText="1"/>
    </xf>
    <xf numFmtId="173" fontId="5" fillId="0" borderId="10" xfId="0" applyNumberFormat="1" applyFont="1" applyBorder="1" applyAlignment="1" quotePrefix="1">
      <alignment vertical="center" wrapText="1"/>
    </xf>
    <xf numFmtId="1" fontId="5" fillId="0" borderId="0" xfId="0" applyNumberFormat="1"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175" fontId="5" fillId="0" borderId="0" xfId="0" applyNumberFormat="1" applyFont="1" applyAlignment="1">
      <alignment horizontal="center" vertical="center" wrapText="1"/>
    </xf>
    <xf numFmtId="173" fontId="5" fillId="0" borderId="0" xfId="0" applyNumberFormat="1" applyFont="1" applyAlignment="1">
      <alignment vertical="center" wrapText="1"/>
    </xf>
    <xf numFmtId="0" fontId="14" fillId="0" borderId="10" xfId="0" applyNumberFormat="1" applyFont="1" applyBorder="1" applyAlignment="1">
      <alignment horizontal="left" vertical="center" wrapText="1"/>
    </xf>
    <xf numFmtId="0" fontId="14" fillId="0" borderId="10" xfId="0" applyFont="1" applyBorder="1" applyAlignment="1">
      <alignment horizontal="left" vertical="center" wrapText="1"/>
    </xf>
    <xf numFmtId="1" fontId="5" fillId="0" borderId="0" xfId="0" applyNumberFormat="1"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173" fontId="5" fillId="0" borderId="0" xfId="0" applyNumberFormat="1" applyFont="1" applyBorder="1" applyAlignment="1">
      <alignment vertical="center" wrapText="1"/>
    </xf>
    <xf numFmtId="173" fontId="5" fillId="0" borderId="10" xfId="0" applyNumberFormat="1" applyFont="1" applyBorder="1" applyAlignment="1">
      <alignment horizontal="center" vertical="center" wrapText="1"/>
    </xf>
    <xf numFmtId="173" fontId="5" fillId="0" borderId="0" xfId="0" applyNumberFormat="1" applyFont="1" applyAlignment="1">
      <alignment horizontal="center" vertical="center" wrapText="1"/>
    </xf>
    <xf numFmtId="0" fontId="16" fillId="10" borderId="10" xfId="0" applyFont="1" applyFill="1" applyBorder="1" applyAlignment="1">
      <alignment vertical="center" wrapText="1"/>
    </xf>
    <xf numFmtId="0" fontId="12" fillId="24" borderId="10" xfId="0" applyFont="1" applyFill="1" applyBorder="1" applyAlignment="1">
      <alignment/>
    </xf>
    <xf numFmtId="0" fontId="7" fillId="0" borderId="10" xfId="0" applyFont="1" applyBorder="1" applyAlignment="1">
      <alignment/>
    </xf>
    <xf numFmtId="0" fontId="7" fillId="0" borderId="10" xfId="0" applyFont="1" applyBorder="1" applyAlignment="1">
      <alignment horizontal="center"/>
    </xf>
    <xf numFmtId="2" fontId="12" fillId="14" borderId="10" xfId="0" applyNumberFormat="1" applyFont="1" applyFill="1" applyBorder="1" applyAlignment="1">
      <alignment/>
    </xf>
    <xf numFmtId="0" fontId="10" fillId="0" borderId="0" xfId="0" applyFont="1" applyAlignment="1">
      <alignment/>
    </xf>
    <xf numFmtId="0" fontId="10" fillId="0" borderId="10" xfId="0" applyFont="1" applyBorder="1" applyAlignment="1">
      <alignment/>
    </xf>
    <xf numFmtId="176" fontId="10" fillId="0" borderId="10" xfId="0" applyNumberFormat="1" applyFont="1" applyBorder="1" applyAlignment="1">
      <alignment horizontal="center"/>
    </xf>
    <xf numFmtId="176" fontId="9" fillId="0" borderId="10" xfId="0" applyNumberFormat="1" applyFont="1" applyBorder="1" applyAlignment="1">
      <alignment horizontal="center"/>
    </xf>
    <xf numFmtId="176" fontId="10" fillId="0" borderId="0" xfId="0" applyNumberFormat="1" applyFont="1" applyAlignment="1">
      <alignment horizontal="center"/>
    </xf>
    <xf numFmtId="0" fontId="10" fillId="24" borderId="0" xfId="0" applyFont="1" applyFill="1" applyAlignment="1">
      <alignment/>
    </xf>
    <xf numFmtId="0" fontId="9" fillId="24" borderId="10" xfId="0" applyFont="1" applyFill="1" applyBorder="1" applyAlignment="1">
      <alignment horizontal="center" vertical="center" wrapText="1"/>
    </xf>
    <xf numFmtId="0" fontId="10" fillId="24" borderId="10" xfId="0" applyFont="1" applyFill="1" applyBorder="1" applyAlignment="1">
      <alignment vertical="center" wrapText="1"/>
    </xf>
    <xf numFmtId="10" fontId="10" fillId="24" borderId="10" xfId="54" applyNumberFormat="1" applyFont="1" applyFill="1" applyBorder="1" applyAlignment="1">
      <alignment horizontal="center" vertical="center" wrapText="1"/>
    </xf>
    <xf numFmtId="173" fontId="10" fillId="24" borderId="10" xfId="0" applyNumberFormat="1" applyFont="1" applyFill="1" applyBorder="1" applyAlignment="1">
      <alignment horizontal="center" vertical="center" wrapText="1"/>
    </xf>
    <xf numFmtId="0" fontId="10" fillId="24" borderId="10" xfId="0" applyFont="1" applyFill="1" applyBorder="1" applyAlignment="1">
      <alignment horizontal="center" vertical="center" wrapText="1"/>
    </xf>
    <xf numFmtId="9" fontId="10" fillId="24" borderId="10" xfId="54" applyNumberFormat="1" applyFont="1" applyFill="1" applyBorder="1" applyAlignment="1">
      <alignment horizontal="center" vertical="center" wrapText="1"/>
    </xf>
    <xf numFmtId="0" fontId="10" fillId="24" borderId="10" xfId="0" applyFont="1" applyFill="1" applyBorder="1" applyAlignment="1">
      <alignment/>
    </xf>
    <xf numFmtId="0" fontId="10" fillId="24" borderId="10" xfId="0" applyFont="1" applyFill="1" applyBorder="1" applyAlignment="1">
      <alignment horizontal="center"/>
    </xf>
    <xf numFmtId="173" fontId="10" fillId="24" borderId="10" xfId="0" applyNumberFormat="1" applyFont="1" applyFill="1" applyBorder="1" applyAlignment="1">
      <alignment horizontal="center"/>
    </xf>
    <xf numFmtId="0" fontId="9" fillId="24" borderId="10" xfId="0" applyFont="1" applyFill="1" applyBorder="1" applyAlignment="1">
      <alignment horizontal="center"/>
    </xf>
    <xf numFmtId="173" fontId="9" fillId="24" borderId="10" xfId="0" applyNumberFormat="1" applyFont="1" applyFill="1" applyBorder="1" applyAlignment="1">
      <alignment horizontal="center"/>
    </xf>
    <xf numFmtId="0" fontId="9" fillId="0" borderId="10" xfId="0" applyFont="1" applyBorder="1" applyAlignment="1">
      <alignment horizontal="center" vertical="center" wrapText="1"/>
    </xf>
    <xf numFmtId="176" fontId="9" fillId="0" borderId="10" xfId="0" applyNumberFormat="1" applyFont="1" applyBorder="1" applyAlignment="1">
      <alignment horizontal="center" vertical="center" wrapText="1"/>
    </xf>
    <xf numFmtId="0" fontId="10" fillId="0" borderId="0" xfId="0" applyFont="1" applyAlignment="1">
      <alignment vertical="center" wrapText="1"/>
    </xf>
    <xf numFmtId="0" fontId="4" fillId="0" borderId="10" xfId="0" applyFont="1" applyFill="1" applyBorder="1" applyAlignment="1">
      <alignment horizontal="center" vertical="center" wrapText="1"/>
    </xf>
    <xf numFmtId="0" fontId="10" fillId="0" borderId="10" xfId="0" applyFont="1" applyBorder="1" applyAlignment="1">
      <alignment vertical="center" wrapText="1"/>
    </xf>
    <xf numFmtId="176" fontId="10" fillId="0" borderId="10" xfId="0" applyNumberFormat="1" applyFont="1" applyBorder="1" applyAlignment="1">
      <alignment horizontal="center" vertical="center" wrapText="1"/>
    </xf>
    <xf numFmtId="0" fontId="9" fillId="24" borderId="0" xfId="0" applyFont="1" applyFill="1" applyBorder="1" applyAlignment="1">
      <alignment horizontal="center"/>
    </xf>
    <xf numFmtId="0" fontId="9" fillId="24" borderId="0" xfId="0" applyFont="1" applyFill="1" applyBorder="1" applyAlignment="1">
      <alignment horizontal="center" vertical="center" wrapText="1"/>
    </xf>
    <xf numFmtId="10" fontId="10" fillId="24" borderId="0" xfId="54" applyNumberFormat="1" applyFont="1" applyFill="1" applyBorder="1" applyAlignment="1">
      <alignment horizontal="center" vertical="center" wrapText="1"/>
    </xf>
    <xf numFmtId="173" fontId="10" fillId="24" borderId="0" xfId="0" applyNumberFormat="1" applyFont="1" applyFill="1" applyBorder="1" applyAlignment="1">
      <alignment horizontal="center" vertical="center" wrapText="1"/>
    </xf>
    <xf numFmtId="0" fontId="10" fillId="24" borderId="0" xfId="0" applyFont="1" applyFill="1" applyBorder="1" applyAlignment="1">
      <alignment horizontal="center" vertical="center" wrapText="1"/>
    </xf>
    <xf numFmtId="9" fontId="10" fillId="24" borderId="0" xfId="54" applyNumberFormat="1" applyFont="1" applyFill="1" applyBorder="1" applyAlignment="1">
      <alignment horizontal="center" vertical="center" wrapText="1"/>
    </xf>
    <xf numFmtId="0" fontId="4" fillId="24" borderId="10" xfId="0" applyFont="1" applyFill="1" applyBorder="1" applyAlignment="1">
      <alignment horizontal="right" vertical="center" wrapText="1"/>
    </xf>
    <xf numFmtId="8" fontId="4" fillId="24" borderId="10" xfId="0" applyNumberFormat="1" applyFont="1" applyFill="1" applyBorder="1" applyAlignment="1">
      <alignment horizontal="center" vertical="center" wrapText="1"/>
    </xf>
    <xf numFmtId="0" fontId="9" fillId="0" borderId="10" xfId="0" applyFont="1" applyBorder="1" applyAlignment="1">
      <alignment horizontal="right"/>
    </xf>
    <xf numFmtId="167" fontId="10" fillId="0" borderId="10" xfId="0" applyNumberFormat="1" applyFont="1" applyBorder="1" applyAlignment="1">
      <alignment horizontal="center" vertical="center" wrapText="1"/>
    </xf>
    <xf numFmtId="0" fontId="4" fillId="24" borderId="10" xfId="0" applyFont="1" applyFill="1" applyBorder="1" applyAlignment="1">
      <alignment horizontal="center" vertical="center" wrapText="1"/>
    </xf>
    <xf numFmtId="1" fontId="3" fillId="0" borderId="10" xfId="0" applyNumberFormat="1" applyFont="1" applyBorder="1" applyAlignment="1">
      <alignment horizontal="center" vertical="center" wrapText="1"/>
    </xf>
    <xf numFmtId="0" fontId="10" fillId="24" borderId="0" xfId="0" applyFont="1" applyFill="1" applyAlignment="1">
      <alignment horizontal="center" vertical="center" wrapText="1"/>
    </xf>
    <xf numFmtId="0" fontId="10" fillId="24" borderId="0" xfId="0" applyFont="1" applyFill="1" applyAlignment="1">
      <alignment vertical="center" wrapText="1"/>
    </xf>
    <xf numFmtId="174" fontId="10" fillId="24" borderId="10" xfId="0" applyNumberFormat="1" applyFont="1" applyFill="1" applyBorder="1" applyAlignment="1">
      <alignment horizontal="center" vertical="center" wrapText="1"/>
    </xf>
    <xf numFmtId="173" fontId="10" fillId="24" borderId="0" xfId="0" applyNumberFormat="1" applyFont="1" applyFill="1" applyAlignment="1">
      <alignment horizontal="center" vertical="center" wrapText="1"/>
    </xf>
    <xf numFmtId="173" fontId="9" fillId="24" borderId="10" xfId="0" applyNumberFormat="1" applyFont="1" applyFill="1" applyBorder="1" applyAlignment="1">
      <alignment horizontal="center" vertical="center" wrapText="1"/>
    </xf>
    <xf numFmtId="0" fontId="10" fillId="24" borderId="0" xfId="0" applyFont="1" applyFill="1" applyBorder="1" applyAlignment="1">
      <alignment vertical="center" wrapText="1"/>
    </xf>
    <xf numFmtId="0" fontId="3" fillId="24" borderId="10" xfId="0" applyFont="1" applyFill="1" applyBorder="1" applyAlignment="1">
      <alignment vertical="center" wrapText="1"/>
    </xf>
    <xf numFmtId="0" fontId="9" fillId="24" borderId="10" xfId="0" applyFont="1" applyFill="1" applyBorder="1" applyAlignment="1">
      <alignment vertical="center" wrapText="1"/>
    </xf>
    <xf numFmtId="0" fontId="4" fillId="24" borderId="0" xfId="0" applyFont="1" applyFill="1" applyBorder="1" applyAlignment="1">
      <alignment horizontal="center" vertical="center" wrapText="1"/>
    </xf>
    <xf numFmtId="173" fontId="10" fillId="24" borderId="0" xfId="0" applyNumberFormat="1" applyFont="1" applyFill="1" applyAlignment="1">
      <alignment vertical="center" wrapText="1"/>
    </xf>
    <xf numFmtId="167" fontId="10" fillId="24" borderId="10" xfId="0" applyNumberFormat="1" applyFont="1" applyFill="1" applyBorder="1" applyAlignment="1">
      <alignment horizontal="center" vertical="center" wrapText="1"/>
    </xf>
    <xf numFmtId="167" fontId="9" fillId="24" borderId="10" xfId="0" applyNumberFormat="1" applyFont="1" applyFill="1" applyBorder="1" applyAlignment="1">
      <alignment horizontal="center" vertical="center" wrapText="1"/>
    </xf>
    <xf numFmtId="0" fontId="3" fillId="24" borderId="0" xfId="0" applyFont="1" applyFill="1" applyAlignment="1">
      <alignment horizontal="center" vertical="center" wrapText="1"/>
    </xf>
    <xf numFmtId="173" fontId="10" fillId="24" borderId="10" xfId="54" applyNumberFormat="1" applyFont="1" applyFill="1" applyBorder="1" applyAlignment="1">
      <alignment horizontal="center" vertical="center" wrapText="1"/>
    </xf>
    <xf numFmtId="9" fontId="11" fillId="0" borderId="10" xfId="54" applyFont="1" applyBorder="1" applyAlignment="1">
      <alignment horizontal="center"/>
    </xf>
    <xf numFmtId="9" fontId="10" fillId="0" borderId="0" xfId="54" applyFont="1" applyAlignment="1">
      <alignment/>
    </xf>
    <xf numFmtId="0" fontId="10" fillId="0" borderId="10" xfId="0" applyFont="1" applyBorder="1" applyAlignment="1">
      <alignment horizontal="center"/>
    </xf>
    <xf numFmtId="9" fontId="10" fillId="0" borderId="10" xfId="54" applyFont="1" applyBorder="1" applyAlignment="1">
      <alignment horizontal="center"/>
    </xf>
    <xf numFmtId="9" fontId="10" fillId="0" borderId="10" xfId="0" applyNumberFormat="1" applyFont="1" applyBorder="1" applyAlignment="1">
      <alignment horizontal="center"/>
    </xf>
    <xf numFmtId="172" fontId="3" fillId="24" borderId="10" xfId="0" applyNumberFormat="1" applyFont="1" applyFill="1" applyBorder="1" applyAlignment="1">
      <alignment horizontal="center" vertical="center" wrapText="1"/>
    </xf>
    <xf numFmtId="172" fontId="4" fillId="24" borderId="10" xfId="0" applyNumberFormat="1" applyFont="1" applyFill="1" applyBorder="1" applyAlignment="1">
      <alignment horizontal="center" vertical="center" wrapText="1"/>
    </xf>
    <xf numFmtId="172" fontId="10" fillId="24" borderId="0" xfId="0" applyNumberFormat="1" applyFont="1" applyFill="1" applyAlignment="1">
      <alignment/>
    </xf>
    <xf numFmtId="0" fontId="17" fillId="24" borderId="0" xfId="0" applyFont="1" applyFill="1" applyBorder="1" applyAlignment="1">
      <alignment horizontal="center" vertical="center" wrapText="1"/>
    </xf>
    <xf numFmtId="0" fontId="3" fillId="24" borderId="0" xfId="0" applyFont="1" applyFill="1" applyBorder="1" applyAlignment="1">
      <alignment horizontal="center" vertical="center" wrapText="1"/>
    </xf>
    <xf numFmtId="173" fontId="3" fillId="24" borderId="10" xfId="0" applyNumberFormat="1" applyFont="1" applyFill="1" applyBorder="1" applyAlignment="1">
      <alignment horizontal="center" vertical="center" wrapText="1"/>
    </xf>
    <xf numFmtId="0" fontId="4" fillId="24" borderId="10" xfId="0" applyFont="1" applyFill="1" applyBorder="1" applyAlignment="1">
      <alignment vertical="center" wrapText="1"/>
    </xf>
    <xf numFmtId="173" fontId="4" fillId="24" borderId="10" xfId="0" applyNumberFormat="1" applyFont="1" applyFill="1" applyBorder="1" applyAlignment="1">
      <alignment horizontal="center" vertical="center" wrapText="1"/>
    </xf>
    <xf numFmtId="8" fontId="3" fillId="24" borderId="10" xfId="0" applyNumberFormat="1" applyFont="1" applyFill="1" applyBorder="1" applyAlignment="1">
      <alignment horizontal="center" vertical="center" wrapText="1"/>
    </xf>
    <xf numFmtId="0" fontId="10" fillId="24" borderId="0" xfId="0" applyFont="1" applyFill="1" applyAlignment="1">
      <alignment horizontal="center"/>
    </xf>
    <xf numFmtId="0" fontId="18" fillId="24" borderId="10" xfId="0" applyFont="1" applyFill="1" applyBorder="1" applyAlignment="1">
      <alignment vertical="center" wrapText="1"/>
    </xf>
    <xf numFmtId="0" fontId="9" fillId="8" borderId="10" xfId="0" applyFont="1" applyFill="1" applyBorder="1" applyAlignment="1">
      <alignment/>
    </xf>
    <xf numFmtId="0" fontId="9" fillId="8" borderId="10" xfId="0" applyFont="1" applyFill="1" applyBorder="1" applyAlignment="1">
      <alignment horizontal="center"/>
    </xf>
    <xf numFmtId="1" fontId="10" fillId="0" borderId="10" xfId="0" applyNumberFormat="1" applyFont="1" applyBorder="1" applyAlignment="1">
      <alignment horizontal="center"/>
    </xf>
    <xf numFmtId="3" fontId="10" fillId="0" borderId="10" xfId="0" applyNumberFormat="1" applyFont="1" applyBorder="1" applyAlignment="1">
      <alignment horizontal="center"/>
    </xf>
    <xf numFmtId="10" fontId="10" fillId="0" borderId="10" xfId="54" applyNumberFormat="1" applyFont="1" applyBorder="1" applyAlignment="1">
      <alignment horizontal="center"/>
    </xf>
    <xf numFmtId="3" fontId="9" fillId="8" borderId="10" xfId="0" applyNumberFormat="1" applyFont="1" applyFill="1" applyBorder="1" applyAlignment="1">
      <alignment horizontal="center"/>
    </xf>
    <xf numFmtId="0" fontId="3" fillId="0" borderId="0" xfId="0" applyFont="1" applyAlignment="1">
      <alignment/>
    </xf>
    <xf numFmtId="0" fontId="10" fillId="0" borderId="0" xfId="0" applyFont="1" applyFill="1" applyBorder="1" applyAlignment="1">
      <alignment/>
    </xf>
    <xf numFmtId="0" fontId="10" fillId="25" borderId="10" xfId="0" applyFont="1" applyFill="1" applyBorder="1" applyAlignment="1">
      <alignment vertical="center" wrapText="1"/>
    </xf>
    <xf numFmtId="1" fontId="10" fillId="25" borderId="10" xfId="0" applyNumberFormat="1" applyFont="1" applyFill="1" applyBorder="1" applyAlignment="1">
      <alignment horizontal="center" vertical="center" wrapText="1"/>
    </xf>
    <xf numFmtId="1" fontId="10" fillId="0" borderId="0" xfId="0" applyNumberFormat="1" applyFont="1" applyAlignment="1">
      <alignment/>
    </xf>
    <xf numFmtId="0" fontId="9" fillId="0" borderId="0" xfId="0" applyFont="1" applyAlignment="1">
      <alignment horizontal="center"/>
    </xf>
    <xf numFmtId="10" fontId="10" fillId="0" borderId="0" xfId="0" applyNumberFormat="1" applyFont="1" applyAlignment="1">
      <alignment/>
    </xf>
    <xf numFmtId="0" fontId="9" fillId="0" borderId="0" xfId="0" applyFont="1" applyAlignment="1">
      <alignment/>
    </xf>
    <xf numFmtId="3" fontId="4" fillId="24" borderId="10" xfId="0" applyNumberFormat="1" applyFont="1" applyFill="1" applyBorder="1" applyAlignment="1">
      <alignment horizontal="center" vertical="center" wrapText="1"/>
    </xf>
    <xf numFmtId="0" fontId="9" fillId="0" borderId="10" xfId="0" applyFont="1" applyBorder="1" applyAlignment="1">
      <alignment horizontal="center"/>
    </xf>
    <xf numFmtId="173" fontId="10" fillId="0" borderId="10" xfId="0" applyNumberFormat="1" applyFont="1" applyBorder="1" applyAlignment="1">
      <alignment/>
    </xf>
    <xf numFmtId="0" fontId="8" fillId="0" borderId="10" xfId="0" applyFont="1" applyFill="1" applyBorder="1" applyAlignment="1">
      <alignment/>
    </xf>
    <xf numFmtId="167" fontId="10" fillId="0" borderId="10" xfId="0" applyNumberFormat="1" applyFont="1" applyBorder="1" applyAlignment="1">
      <alignment/>
    </xf>
    <xf numFmtId="0" fontId="10" fillId="0" borderId="0" xfId="0" applyFont="1" applyBorder="1" applyAlignment="1">
      <alignment/>
    </xf>
    <xf numFmtId="0" fontId="9" fillId="0" borderId="10" xfId="0" applyFont="1" applyBorder="1" applyAlignment="1">
      <alignment/>
    </xf>
    <xf numFmtId="173" fontId="9" fillId="0" borderId="10" xfId="0" applyNumberFormat="1" applyFont="1" applyBorder="1" applyAlignment="1">
      <alignment/>
    </xf>
    <xf numFmtId="0" fontId="9" fillId="0" borderId="10" xfId="0" applyFont="1" applyBorder="1" applyAlignment="1">
      <alignment/>
    </xf>
    <xf numFmtId="173" fontId="19" fillId="0" borderId="10" xfId="0" applyNumberFormat="1" applyFont="1" applyBorder="1" applyAlignment="1">
      <alignment/>
    </xf>
    <xf numFmtId="0" fontId="13" fillId="0" borderId="10" xfId="0" applyFont="1" applyBorder="1" applyAlignment="1">
      <alignment/>
    </xf>
    <xf numFmtId="173" fontId="13" fillId="0" borderId="10" xfId="0" applyNumberFormat="1" applyFont="1" applyBorder="1" applyAlignment="1">
      <alignment/>
    </xf>
    <xf numFmtId="174" fontId="9" fillId="24" borderId="10" xfId="0" applyNumberFormat="1" applyFont="1" applyFill="1" applyBorder="1" applyAlignment="1">
      <alignment horizontal="center" vertical="center" wrapText="1"/>
    </xf>
    <xf numFmtId="177" fontId="10" fillId="24" borderId="10" xfId="0" applyNumberFormat="1" applyFont="1" applyFill="1" applyBorder="1" applyAlignment="1">
      <alignment horizontal="center" vertical="center" wrapText="1"/>
    </xf>
    <xf numFmtId="167" fontId="10" fillId="0" borderId="0" xfId="0" applyNumberFormat="1" applyFont="1" applyAlignment="1">
      <alignment/>
    </xf>
    <xf numFmtId="0" fontId="3" fillId="0" borderId="10" xfId="0" applyFont="1" applyBorder="1" applyAlignment="1">
      <alignment/>
    </xf>
    <xf numFmtId="173" fontId="10" fillId="24" borderId="10" xfId="0" applyNumberFormat="1" applyFont="1" applyFill="1" applyBorder="1" applyAlignment="1">
      <alignment/>
    </xf>
    <xf numFmtId="0" fontId="9" fillId="11" borderId="10" xfId="0" applyFont="1" applyFill="1" applyBorder="1" applyAlignment="1">
      <alignment/>
    </xf>
    <xf numFmtId="0" fontId="9" fillId="15" borderId="10" xfId="0" applyFont="1" applyFill="1" applyBorder="1" applyAlignment="1">
      <alignment/>
    </xf>
    <xf numFmtId="0" fontId="9" fillId="9" borderId="10" xfId="0" applyFont="1" applyFill="1" applyBorder="1" applyAlignment="1">
      <alignment/>
    </xf>
    <xf numFmtId="0" fontId="10" fillId="0" borderId="10" xfId="0" applyFont="1" applyFill="1" applyBorder="1" applyAlignment="1">
      <alignment/>
    </xf>
    <xf numFmtId="173" fontId="9" fillId="9" borderId="10" xfId="0" applyNumberFormat="1" applyFont="1" applyFill="1" applyBorder="1" applyAlignment="1">
      <alignment/>
    </xf>
    <xf numFmtId="173" fontId="9" fillId="15" borderId="10" xfId="0" applyNumberFormat="1" applyFont="1" applyFill="1" applyBorder="1" applyAlignment="1">
      <alignment/>
    </xf>
    <xf numFmtId="173" fontId="9" fillId="11" borderId="10" xfId="0" applyNumberFormat="1" applyFont="1" applyFill="1" applyBorder="1" applyAlignment="1">
      <alignment/>
    </xf>
    <xf numFmtId="9" fontId="10" fillId="24" borderId="10" xfId="54" applyFont="1" applyFill="1" applyBorder="1" applyAlignment="1">
      <alignment horizontal="center" vertical="center" wrapText="1"/>
    </xf>
    <xf numFmtId="0" fontId="10" fillId="24" borderId="10" xfId="0" applyFont="1" applyFill="1" applyBorder="1" applyAlignment="1">
      <alignment vertical="center" wrapText="1"/>
    </xf>
    <xf numFmtId="2" fontId="10" fillId="24" borderId="10" xfId="0" applyNumberFormat="1" applyFont="1" applyFill="1" applyBorder="1" applyAlignment="1">
      <alignment horizontal="center" vertical="center" wrapText="1"/>
    </xf>
    <xf numFmtId="1" fontId="10" fillId="24" borderId="10" xfId="0" applyNumberFormat="1" applyFont="1" applyFill="1" applyBorder="1" applyAlignment="1">
      <alignment horizontal="center" vertical="center" wrapText="1"/>
    </xf>
    <xf numFmtId="173" fontId="9" fillId="24" borderId="10" xfId="0" applyNumberFormat="1" applyFont="1" applyFill="1" applyBorder="1" applyAlignment="1">
      <alignment horizontal="center" vertical="center" wrapText="1"/>
    </xf>
    <xf numFmtId="0" fontId="11" fillId="24" borderId="0" xfId="0" applyFont="1" applyFill="1" applyAlignment="1">
      <alignment/>
    </xf>
    <xf numFmtId="0" fontId="10" fillId="0" borderId="0" xfId="0" applyFont="1" applyAlignment="1">
      <alignment/>
    </xf>
    <xf numFmtId="0" fontId="9" fillId="8" borderId="0" xfId="0" applyFont="1" applyFill="1" applyAlignment="1">
      <alignment/>
    </xf>
    <xf numFmtId="9" fontId="9" fillId="8" borderId="0" xfId="0" applyNumberFormat="1" applyFont="1" applyFill="1" applyAlignment="1">
      <alignment/>
    </xf>
    <xf numFmtId="0" fontId="10" fillId="0" borderId="0" xfId="0" applyFont="1" applyAlignment="1">
      <alignment/>
    </xf>
    <xf numFmtId="171" fontId="10" fillId="0" borderId="0" xfId="48" applyFont="1" applyAlignment="1">
      <alignment/>
    </xf>
    <xf numFmtId="0" fontId="10" fillId="0" borderId="13" xfId="0" applyFont="1" applyBorder="1" applyAlignment="1">
      <alignment/>
    </xf>
    <xf numFmtId="0" fontId="4" fillId="0" borderId="0" xfId="0" applyFont="1" applyAlignment="1">
      <alignment horizontal="center"/>
    </xf>
    <xf numFmtId="0" fontId="4" fillId="0" borderId="0" xfId="0" applyFont="1" applyAlignment="1">
      <alignment/>
    </xf>
    <xf numFmtId="0" fontId="4" fillId="0" borderId="0" xfId="0" applyFont="1" applyAlignment="1">
      <alignment horizontal="left"/>
    </xf>
    <xf numFmtId="43" fontId="10" fillId="0" borderId="0" xfId="0" applyNumberFormat="1" applyFont="1" applyAlignment="1">
      <alignment/>
    </xf>
    <xf numFmtId="9" fontId="10" fillId="0" borderId="0" xfId="0" applyNumberFormat="1" applyFont="1" applyAlignment="1">
      <alignment/>
    </xf>
    <xf numFmtId="0" fontId="4" fillId="0" borderId="14" xfId="0" applyFont="1" applyBorder="1" applyAlignment="1">
      <alignment/>
    </xf>
    <xf numFmtId="171" fontId="10" fillId="0" borderId="0" xfId="0" applyNumberFormat="1" applyFont="1" applyAlignment="1">
      <alignment/>
    </xf>
    <xf numFmtId="0" fontId="21" fillId="0" borderId="0" xfId="0" applyFont="1" applyAlignment="1">
      <alignment/>
    </xf>
    <xf numFmtId="0" fontId="10" fillId="0" borderId="0" xfId="0" applyFont="1" applyAlignment="1">
      <alignment horizontal="left"/>
    </xf>
    <xf numFmtId="0" fontId="22" fillId="0" borderId="0" xfId="0" applyFont="1" applyAlignment="1">
      <alignment/>
    </xf>
    <xf numFmtId="178" fontId="10" fillId="0" borderId="0" xfId="0" applyNumberFormat="1" applyFont="1" applyAlignment="1">
      <alignment/>
    </xf>
    <xf numFmtId="0" fontId="10" fillId="0" borderId="15" xfId="0" applyFont="1" applyBorder="1" applyAlignment="1">
      <alignment/>
    </xf>
    <xf numFmtId="43" fontId="21" fillId="0" borderId="0" xfId="0" applyNumberFormat="1" applyFont="1" applyAlignment="1">
      <alignment/>
    </xf>
    <xf numFmtId="171" fontId="10" fillId="0" borderId="0" xfId="0" applyNumberFormat="1" applyFont="1" applyAlignment="1">
      <alignment horizontal="left"/>
    </xf>
    <xf numFmtId="0" fontId="10" fillId="0" borderId="0" xfId="0" applyFont="1" applyBorder="1" applyAlignment="1">
      <alignment/>
    </xf>
    <xf numFmtId="0" fontId="10" fillId="0" borderId="0" xfId="0" applyFont="1" applyAlignment="1">
      <alignment horizontal="center"/>
    </xf>
    <xf numFmtId="0" fontId="10" fillId="0" borderId="16" xfId="0" applyFont="1" applyBorder="1" applyAlignment="1">
      <alignment/>
    </xf>
    <xf numFmtId="0" fontId="10" fillId="0" borderId="17" xfId="0" applyFont="1" applyBorder="1" applyAlignment="1">
      <alignment/>
    </xf>
    <xf numFmtId="0" fontId="10" fillId="0" borderId="15" xfId="0" applyFont="1" applyBorder="1" applyAlignment="1">
      <alignment horizontal="center"/>
    </xf>
    <xf numFmtId="0" fontId="9" fillId="0" borderId="0" xfId="0" applyFont="1" applyAlignment="1">
      <alignment horizontal="center"/>
    </xf>
    <xf numFmtId="0" fontId="4" fillId="0" borderId="0" xfId="0" applyFont="1" applyAlignment="1">
      <alignment/>
    </xf>
    <xf numFmtId="0" fontId="9" fillId="5" borderId="0" xfId="0" applyFont="1" applyFill="1" applyAlignment="1">
      <alignment horizontal="center"/>
    </xf>
    <xf numFmtId="0" fontId="9" fillId="0" borderId="0" xfId="0" applyFont="1" applyAlignment="1">
      <alignment/>
    </xf>
    <xf numFmtId="0" fontId="9" fillId="0" borderId="0" xfId="0" applyFont="1" applyAlignment="1">
      <alignment horizontal="center" vertical="center" wrapText="1"/>
    </xf>
    <xf numFmtId="0" fontId="9" fillId="0" borderId="14" xfId="0" applyFont="1" applyBorder="1" applyAlignment="1">
      <alignment/>
    </xf>
    <xf numFmtId="0" fontId="9" fillId="0" borderId="18" xfId="0" applyFont="1" applyBorder="1" applyAlignment="1">
      <alignment/>
    </xf>
    <xf numFmtId="43" fontId="9" fillId="0" borderId="18" xfId="48" applyNumberFormat="1" applyFont="1" applyBorder="1" applyAlignment="1">
      <alignment/>
    </xf>
    <xf numFmtId="43" fontId="4" fillId="0" borderId="19" xfId="48" applyNumberFormat="1" applyFont="1" applyBorder="1" applyAlignment="1">
      <alignment/>
    </xf>
    <xf numFmtId="0" fontId="9" fillId="0" borderId="2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20" xfId="0" applyFont="1" applyBorder="1" applyAlignment="1">
      <alignment horizontal="center"/>
    </xf>
    <xf numFmtId="0" fontId="10" fillId="0" borderId="0" xfId="0" applyFont="1" applyBorder="1" applyAlignment="1">
      <alignment horizontal="center"/>
    </xf>
    <xf numFmtId="179" fontId="10" fillId="0" borderId="0" xfId="48" applyNumberFormat="1" applyFont="1" applyBorder="1" applyAlignment="1">
      <alignment horizontal="center"/>
    </xf>
    <xf numFmtId="171" fontId="10" fillId="0" borderId="0" xfId="48" applyFont="1" applyBorder="1" applyAlignment="1">
      <alignment/>
    </xf>
    <xf numFmtId="43" fontId="10" fillId="0" borderId="0" xfId="48" applyNumberFormat="1" applyFont="1" applyBorder="1" applyAlignment="1">
      <alignment/>
    </xf>
    <xf numFmtId="43" fontId="10" fillId="0" borderId="21" xfId="48" applyNumberFormat="1" applyFont="1" applyBorder="1" applyAlignment="1">
      <alignment/>
    </xf>
    <xf numFmtId="0" fontId="10" fillId="0" borderId="20" xfId="0" applyFont="1" applyBorder="1" applyAlignment="1">
      <alignment/>
    </xf>
    <xf numFmtId="0" fontId="9" fillId="0" borderId="20" xfId="0" applyFont="1" applyBorder="1" applyAlignment="1">
      <alignment horizontal="center"/>
    </xf>
    <xf numFmtId="0" fontId="9" fillId="0" borderId="0" xfId="0" applyFont="1" applyBorder="1" applyAlignment="1">
      <alignment horizontal="center"/>
    </xf>
    <xf numFmtId="0" fontId="9" fillId="0" borderId="21" xfId="0" applyFont="1" applyBorder="1" applyAlignment="1">
      <alignment horizontal="center"/>
    </xf>
    <xf numFmtId="179" fontId="10" fillId="0" borderId="21" xfId="48" applyNumberFormat="1" applyFont="1" applyBorder="1" applyAlignment="1">
      <alignment horizontal="center"/>
    </xf>
    <xf numFmtId="0" fontId="10" fillId="0" borderId="21" xfId="0" applyFont="1" applyBorder="1" applyAlignment="1">
      <alignment horizontal="center"/>
    </xf>
    <xf numFmtId="10" fontId="10" fillId="0" borderId="0" xfId="0" applyNumberFormat="1" applyFont="1" applyBorder="1" applyAlignment="1">
      <alignment/>
    </xf>
    <xf numFmtId="0" fontId="10" fillId="0" borderId="22" xfId="0" applyFont="1" applyBorder="1" applyAlignment="1">
      <alignment/>
    </xf>
    <xf numFmtId="0" fontId="10" fillId="0" borderId="23" xfId="0" applyFont="1" applyBorder="1" applyAlignment="1">
      <alignment/>
    </xf>
    <xf numFmtId="0" fontId="10" fillId="0" borderId="14" xfId="0" applyFont="1" applyBorder="1" applyAlignment="1">
      <alignment/>
    </xf>
    <xf numFmtId="0" fontId="10" fillId="0" borderId="18" xfId="0" applyFont="1" applyBorder="1" applyAlignment="1">
      <alignment/>
    </xf>
    <xf numFmtId="0" fontId="10" fillId="0" borderId="18" xfId="0" applyFont="1" applyBorder="1" applyAlignment="1">
      <alignment horizontal="center"/>
    </xf>
    <xf numFmtId="179" fontId="10" fillId="0" borderId="18" xfId="48" applyNumberFormat="1" applyFont="1" applyBorder="1" applyAlignment="1">
      <alignment horizontal="center"/>
    </xf>
    <xf numFmtId="179" fontId="10" fillId="0" borderId="19" xfId="48" applyNumberFormat="1" applyFont="1" applyBorder="1" applyAlignment="1">
      <alignment horizontal="center"/>
    </xf>
    <xf numFmtId="171" fontId="10" fillId="0" borderId="21" xfId="48" applyFont="1" applyBorder="1" applyAlignment="1">
      <alignment/>
    </xf>
    <xf numFmtId="0" fontId="4" fillId="2" borderId="0" xfId="0" applyFont="1" applyFill="1" applyBorder="1" applyAlignment="1">
      <alignment horizontal="center"/>
    </xf>
    <xf numFmtId="0" fontId="4" fillId="2" borderId="21" xfId="0" applyFont="1" applyFill="1" applyBorder="1" applyAlignment="1">
      <alignment horizontal="center"/>
    </xf>
    <xf numFmtId="179" fontId="9" fillId="0" borderId="19" xfId="48" applyNumberFormat="1" applyFont="1" applyBorder="1" applyAlignment="1">
      <alignment horizontal="center"/>
    </xf>
    <xf numFmtId="0" fontId="9" fillId="2" borderId="24" xfId="0" applyFont="1" applyFill="1" applyBorder="1" applyAlignment="1">
      <alignment/>
    </xf>
    <xf numFmtId="0" fontId="9" fillId="2" borderId="25" xfId="0" applyFont="1" applyFill="1" applyBorder="1" applyAlignment="1">
      <alignment/>
    </xf>
    <xf numFmtId="0" fontId="9" fillId="2" borderId="26" xfId="0" applyFont="1" applyFill="1" applyBorder="1" applyAlignment="1">
      <alignment/>
    </xf>
    <xf numFmtId="0" fontId="10" fillId="0" borderId="21" xfId="0" applyFont="1" applyBorder="1" applyAlignment="1">
      <alignment/>
    </xf>
    <xf numFmtId="0" fontId="9" fillId="0" borderId="20" xfId="0" applyFont="1" applyBorder="1" applyAlignment="1">
      <alignment/>
    </xf>
    <xf numFmtId="0" fontId="10" fillId="0" borderId="27" xfId="0" applyFont="1" applyBorder="1" applyAlignment="1">
      <alignment/>
    </xf>
    <xf numFmtId="0" fontId="10" fillId="2" borderId="21" xfId="0" applyFont="1" applyFill="1" applyBorder="1" applyAlignment="1">
      <alignment/>
    </xf>
    <xf numFmtId="171" fontId="9" fillId="0" borderId="21" xfId="48" applyFont="1" applyBorder="1" applyAlignment="1">
      <alignment/>
    </xf>
    <xf numFmtId="0" fontId="9" fillId="0" borderId="23" xfId="0" applyFont="1" applyBorder="1" applyAlignment="1">
      <alignment/>
    </xf>
    <xf numFmtId="0" fontId="9" fillId="0" borderId="21" xfId="0" applyFont="1" applyBorder="1" applyAlignment="1">
      <alignment/>
    </xf>
    <xf numFmtId="0" fontId="4" fillId="2" borderId="20" xfId="0" applyFont="1" applyFill="1" applyBorder="1" applyAlignment="1">
      <alignment horizontal="left"/>
    </xf>
    <xf numFmtId="179" fontId="10" fillId="0" borderId="21" xfId="48" applyNumberFormat="1" applyFont="1" applyBorder="1" applyAlignment="1">
      <alignment/>
    </xf>
    <xf numFmtId="179" fontId="4" fillId="0" borderId="21" xfId="48" applyNumberFormat="1" applyFont="1" applyBorder="1" applyAlignment="1">
      <alignment/>
    </xf>
    <xf numFmtId="179" fontId="10" fillId="0" borderId="21" xfId="0" applyNumberFormat="1" applyFont="1" applyBorder="1" applyAlignment="1">
      <alignment/>
    </xf>
    <xf numFmtId="179" fontId="9" fillId="0" borderId="19" xfId="0" applyNumberFormat="1" applyFont="1" applyBorder="1" applyAlignment="1">
      <alignment/>
    </xf>
    <xf numFmtId="0" fontId="10" fillId="0" borderId="0" xfId="0" applyFont="1" applyAlignment="1">
      <alignment horizontal="right"/>
    </xf>
    <xf numFmtId="0" fontId="4" fillId="0" borderId="20" xfId="0" applyFont="1" applyBorder="1" applyAlignment="1">
      <alignment/>
    </xf>
    <xf numFmtId="43" fontId="10" fillId="0" borderId="0" xfId="0" applyNumberFormat="1" applyFont="1" applyBorder="1" applyAlignment="1">
      <alignment/>
    </xf>
    <xf numFmtId="43" fontId="9" fillId="0" borderId="18" xfId="0" applyNumberFormat="1" applyFont="1" applyBorder="1" applyAlignment="1">
      <alignment/>
    </xf>
    <xf numFmtId="179" fontId="10" fillId="0" borderId="0" xfId="0" applyNumberFormat="1" applyFont="1" applyBorder="1" applyAlignment="1">
      <alignment/>
    </xf>
    <xf numFmtId="0" fontId="22" fillId="0" borderId="20" xfId="0" applyFont="1" applyBorder="1" applyAlignment="1">
      <alignment/>
    </xf>
    <xf numFmtId="0" fontId="21" fillId="0" borderId="0" xfId="0" applyFont="1" applyBorder="1" applyAlignment="1">
      <alignment/>
    </xf>
    <xf numFmtId="0" fontId="3" fillId="0" borderId="0" xfId="0" applyFont="1" applyBorder="1" applyAlignment="1">
      <alignment/>
    </xf>
    <xf numFmtId="0" fontId="21" fillId="0" borderId="21" xfId="0" applyFont="1" applyBorder="1" applyAlignment="1">
      <alignment/>
    </xf>
    <xf numFmtId="0" fontId="9" fillId="0" borderId="0" xfId="0" applyFont="1" applyBorder="1" applyAlignment="1">
      <alignment/>
    </xf>
    <xf numFmtId="173" fontId="10" fillId="0" borderId="0" xfId="0" applyNumberFormat="1" applyFont="1" applyBorder="1" applyAlignment="1">
      <alignment/>
    </xf>
    <xf numFmtId="173" fontId="9" fillId="0" borderId="0" xfId="48" applyNumberFormat="1" applyFont="1" applyBorder="1" applyAlignment="1">
      <alignment/>
    </xf>
    <xf numFmtId="173" fontId="4" fillId="0" borderId="0" xfId="48" applyNumberFormat="1" applyFont="1" applyBorder="1" applyAlignment="1">
      <alignment/>
    </xf>
    <xf numFmtId="173" fontId="9" fillId="0" borderId="0" xfId="0" applyNumberFormat="1" applyFont="1" applyBorder="1" applyAlignment="1">
      <alignment/>
    </xf>
    <xf numFmtId="43" fontId="9" fillId="0" borderId="0" xfId="0" applyNumberFormat="1" applyFont="1" applyBorder="1" applyAlignment="1">
      <alignment/>
    </xf>
    <xf numFmtId="0" fontId="4" fillId="15" borderId="20" xfId="0" applyFont="1" applyFill="1" applyBorder="1" applyAlignment="1">
      <alignment/>
    </xf>
    <xf numFmtId="0" fontId="9" fillId="15" borderId="0" xfId="0" applyFont="1" applyFill="1" applyBorder="1" applyAlignment="1">
      <alignment/>
    </xf>
    <xf numFmtId="173" fontId="9" fillId="15" borderId="21" xfId="0" applyNumberFormat="1" applyFont="1" applyFill="1" applyBorder="1" applyAlignment="1">
      <alignment/>
    </xf>
    <xf numFmtId="173" fontId="10" fillId="0" borderId="0" xfId="0" applyNumberFormat="1" applyFont="1" applyAlignment="1">
      <alignment/>
    </xf>
    <xf numFmtId="173" fontId="4" fillId="0" borderId="0" xfId="48" applyNumberFormat="1" applyFont="1" applyAlignment="1">
      <alignment/>
    </xf>
    <xf numFmtId="179" fontId="10" fillId="0" borderId="0" xfId="0" applyNumberFormat="1" applyFont="1" applyAlignment="1">
      <alignment/>
    </xf>
    <xf numFmtId="173" fontId="9" fillId="0" borderId="0" xfId="0" applyNumberFormat="1" applyFont="1" applyAlignment="1">
      <alignment/>
    </xf>
    <xf numFmtId="0" fontId="9" fillId="4" borderId="24" xfId="0" applyFont="1" applyFill="1" applyBorder="1" applyAlignment="1">
      <alignment/>
    </xf>
    <xf numFmtId="43" fontId="4" fillId="4" borderId="25" xfId="48" applyNumberFormat="1" applyFont="1" applyFill="1" applyBorder="1" applyAlignment="1">
      <alignment/>
    </xf>
    <xf numFmtId="0" fontId="9" fillId="4" borderId="20" xfId="0" applyFont="1" applyFill="1" applyBorder="1" applyAlignment="1">
      <alignment/>
    </xf>
    <xf numFmtId="0" fontId="9" fillId="4" borderId="25" xfId="0" applyFont="1" applyFill="1" applyBorder="1" applyAlignment="1">
      <alignment/>
    </xf>
    <xf numFmtId="43" fontId="9" fillId="4" borderId="25" xfId="0" applyNumberFormat="1" applyFont="1" applyFill="1" applyBorder="1" applyAlignment="1">
      <alignment/>
    </xf>
    <xf numFmtId="0" fontId="9" fillId="4" borderId="26" xfId="0" applyFont="1" applyFill="1" applyBorder="1" applyAlignment="1">
      <alignment/>
    </xf>
    <xf numFmtId="0" fontId="9" fillId="4" borderId="0" xfId="0" applyFont="1" applyFill="1" applyBorder="1" applyAlignment="1">
      <alignment/>
    </xf>
    <xf numFmtId="178" fontId="9" fillId="4" borderId="0" xfId="0" applyNumberFormat="1" applyFont="1" applyFill="1" applyBorder="1" applyAlignment="1">
      <alignment/>
    </xf>
    <xf numFmtId="0" fontId="9" fillId="4" borderId="21" xfId="0" applyFont="1" applyFill="1" applyBorder="1" applyAlignment="1">
      <alignment/>
    </xf>
    <xf numFmtId="43" fontId="9" fillId="4" borderId="0" xfId="48" applyNumberFormat="1" applyFont="1" applyFill="1" applyBorder="1" applyAlignment="1">
      <alignment/>
    </xf>
    <xf numFmtId="0" fontId="9" fillId="4" borderId="22" xfId="0" applyFont="1" applyFill="1" applyBorder="1" applyAlignment="1">
      <alignment/>
    </xf>
    <xf numFmtId="0" fontId="9" fillId="4" borderId="23" xfId="0" applyFont="1" applyFill="1" applyBorder="1" applyAlignment="1">
      <alignment/>
    </xf>
    <xf numFmtId="43" fontId="9" fillId="4" borderId="23" xfId="0" applyNumberFormat="1" applyFont="1" applyFill="1" applyBorder="1" applyAlignment="1">
      <alignment/>
    </xf>
    <xf numFmtId="0" fontId="9" fillId="4" borderId="27" xfId="0" applyFont="1" applyFill="1" applyBorder="1" applyAlignment="1">
      <alignment/>
    </xf>
    <xf numFmtId="179" fontId="4" fillId="4" borderId="0" xfId="48" applyNumberFormat="1" applyFont="1" applyFill="1" applyBorder="1" applyAlignment="1">
      <alignment/>
    </xf>
    <xf numFmtId="0" fontId="19" fillId="0" borderId="0" xfId="0" applyFont="1" applyAlignment="1">
      <alignment/>
    </xf>
    <xf numFmtId="43" fontId="19" fillId="0" borderId="0" xfId="48" applyNumberFormat="1" applyFont="1" applyAlignment="1">
      <alignment/>
    </xf>
    <xf numFmtId="0" fontId="19" fillId="0" borderId="0" xfId="0" applyFont="1" applyAlignment="1">
      <alignment horizontal="right"/>
    </xf>
    <xf numFmtId="0" fontId="23" fillId="0" borderId="0" xfId="0" applyFont="1" applyAlignment="1">
      <alignment horizontal="right"/>
    </xf>
    <xf numFmtId="0" fontId="23" fillId="0" borderId="13" xfId="0" applyFont="1" applyBorder="1" applyAlignment="1">
      <alignment horizontal="right"/>
    </xf>
    <xf numFmtId="0" fontId="19" fillId="0" borderId="13" xfId="0" applyFont="1" applyBorder="1" applyAlignment="1">
      <alignment horizontal="right"/>
    </xf>
    <xf numFmtId="43" fontId="19" fillId="0" borderId="13" xfId="0" applyNumberFormat="1" applyFont="1" applyBorder="1" applyAlignment="1">
      <alignment horizontal="right"/>
    </xf>
    <xf numFmtId="0" fontId="10" fillId="0" borderId="28" xfId="0" applyFont="1" applyBorder="1" applyAlignment="1">
      <alignment/>
    </xf>
    <xf numFmtId="43" fontId="9" fillId="0" borderId="23" xfId="48" applyNumberFormat="1" applyFont="1" applyBorder="1" applyAlignment="1">
      <alignment/>
    </xf>
    <xf numFmtId="9" fontId="9" fillId="0" borderId="23" xfId="0" applyNumberFormat="1" applyFont="1" applyBorder="1" applyAlignment="1">
      <alignment/>
    </xf>
    <xf numFmtId="0" fontId="9" fillId="0" borderId="27" xfId="0" applyFont="1" applyBorder="1" applyAlignment="1">
      <alignment/>
    </xf>
    <xf numFmtId="0" fontId="4" fillId="0" borderId="20" xfId="0" applyFont="1" applyBorder="1" applyAlignment="1">
      <alignment horizontal="center"/>
    </xf>
    <xf numFmtId="0" fontId="4" fillId="0" borderId="22" xfId="0" applyFont="1" applyBorder="1" applyAlignment="1">
      <alignment horizontal="center"/>
    </xf>
    <xf numFmtId="0" fontId="10" fillId="15" borderId="10" xfId="0" applyFont="1" applyFill="1" applyBorder="1" applyAlignment="1">
      <alignment/>
    </xf>
    <xf numFmtId="3" fontId="10" fillId="15" borderId="10" xfId="0" applyNumberFormat="1" applyFont="1" applyFill="1" applyBorder="1" applyAlignment="1">
      <alignment horizontal="center"/>
    </xf>
    <xf numFmtId="0" fontId="9" fillId="24" borderId="10" xfId="0" applyFont="1" applyFill="1" applyBorder="1" applyAlignment="1">
      <alignment vertical="center" wrapText="1"/>
    </xf>
    <xf numFmtId="0" fontId="9" fillId="24" borderId="10" xfId="0" applyFont="1" applyFill="1" applyBorder="1" applyAlignment="1">
      <alignment horizontal="center" vertical="center" wrapText="1"/>
    </xf>
    <xf numFmtId="0" fontId="9" fillId="24" borderId="10" xfId="0" applyFont="1" applyFill="1" applyBorder="1" applyAlignment="1">
      <alignment/>
    </xf>
    <xf numFmtId="10" fontId="9" fillId="24" borderId="10" xfId="54" applyNumberFormat="1" applyFont="1" applyFill="1" applyBorder="1" applyAlignment="1">
      <alignment horizontal="center"/>
    </xf>
    <xf numFmtId="0" fontId="4" fillId="24" borderId="10" xfId="0" applyFont="1" applyFill="1" applyBorder="1" applyAlignment="1">
      <alignment/>
    </xf>
    <xf numFmtId="9" fontId="9" fillId="24" borderId="10" xfId="54" applyFont="1" applyFill="1" applyBorder="1" applyAlignment="1">
      <alignment horizontal="center"/>
    </xf>
    <xf numFmtId="0" fontId="9" fillId="24" borderId="0" xfId="0" applyFont="1" applyFill="1" applyAlignment="1">
      <alignment horizontal="center"/>
    </xf>
    <xf numFmtId="1" fontId="9" fillId="24" borderId="10" xfId="0" applyNumberFormat="1" applyFont="1" applyFill="1" applyBorder="1" applyAlignment="1">
      <alignment horizontal="center"/>
    </xf>
    <xf numFmtId="173" fontId="9" fillId="24" borderId="0" xfId="0" applyNumberFormat="1" applyFont="1" applyFill="1" applyBorder="1" applyAlignment="1">
      <alignment horizontal="center"/>
    </xf>
    <xf numFmtId="173" fontId="9" fillId="24" borderId="0" xfId="0" applyNumberFormat="1" applyFont="1" applyFill="1" applyBorder="1" applyAlignment="1">
      <alignment horizontal="center" vertical="center" wrapText="1"/>
    </xf>
    <xf numFmtId="0" fontId="24" fillId="0" borderId="0" xfId="0" applyFont="1" applyAlignment="1">
      <alignment/>
    </xf>
    <xf numFmtId="0" fontId="0" fillId="0" borderId="0" xfId="0" applyAlignment="1" quotePrefix="1">
      <alignment/>
    </xf>
    <xf numFmtId="0" fontId="12" fillId="25" borderId="10" xfId="0" applyFont="1" applyFill="1" applyBorder="1" applyAlignment="1">
      <alignment/>
    </xf>
    <xf numFmtId="0" fontId="12" fillId="24" borderId="10" xfId="0" applyFont="1" applyFill="1" applyBorder="1" applyAlignment="1">
      <alignment/>
    </xf>
    <xf numFmtId="0" fontId="0" fillId="24" borderId="0" xfId="0" applyFill="1" applyAlignment="1">
      <alignment/>
    </xf>
    <xf numFmtId="0" fontId="9" fillId="2" borderId="10" xfId="0" applyFont="1" applyFill="1" applyBorder="1" applyAlignment="1">
      <alignment/>
    </xf>
    <xf numFmtId="173" fontId="9" fillId="2" borderId="10" xfId="0" applyNumberFormat="1" applyFont="1" applyFill="1" applyBorder="1" applyAlignment="1">
      <alignment/>
    </xf>
    <xf numFmtId="173" fontId="10" fillId="0" borderId="0" xfId="0" applyNumberFormat="1" applyFont="1" applyFill="1" applyAlignment="1">
      <alignment/>
    </xf>
    <xf numFmtId="173" fontId="10" fillId="0" borderId="0" xfId="0" applyNumberFormat="1" applyFont="1" applyFill="1" applyAlignment="1">
      <alignment/>
    </xf>
    <xf numFmtId="0" fontId="10" fillId="0" borderId="0" xfId="0" applyFont="1" applyFill="1" applyAlignment="1">
      <alignment/>
    </xf>
    <xf numFmtId="167" fontId="9" fillId="8" borderId="0" xfId="0" applyNumberFormat="1" applyFont="1" applyFill="1" applyAlignment="1">
      <alignment/>
    </xf>
    <xf numFmtId="0" fontId="4" fillId="11" borderId="10" xfId="0" applyFont="1" applyFill="1" applyBorder="1" applyAlignment="1">
      <alignment horizontal="center" vertical="center" wrapText="1"/>
    </xf>
    <xf numFmtId="1" fontId="9" fillId="5" borderId="0" xfId="0" applyNumberFormat="1" applyFont="1" applyFill="1" applyAlignment="1">
      <alignment horizontal="center"/>
    </xf>
    <xf numFmtId="0" fontId="9" fillId="11" borderId="29" xfId="0" applyFont="1" applyFill="1" applyBorder="1" applyAlignment="1">
      <alignment horizontal="center"/>
    </xf>
    <xf numFmtId="0" fontId="9" fillId="11" borderId="12" xfId="0" applyFont="1" applyFill="1" applyBorder="1" applyAlignment="1">
      <alignment horizontal="center"/>
    </xf>
    <xf numFmtId="0" fontId="10" fillId="22" borderId="24" xfId="0" applyFont="1" applyFill="1" applyBorder="1" applyAlignment="1">
      <alignment/>
    </xf>
    <xf numFmtId="179" fontId="10" fillId="22" borderId="26" xfId="48" applyNumberFormat="1" applyFont="1" applyFill="1" applyBorder="1" applyAlignment="1">
      <alignment horizontal="center"/>
    </xf>
    <xf numFmtId="0" fontId="10" fillId="22" borderId="20" xfId="0" applyFont="1" applyFill="1" applyBorder="1" applyAlignment="1">
      <alignment/>
    </xf>
    <xf numFmtId="1" fontId="10" fillId="22" borderId="21" xfId="0" applyNumberFormat="1" applyFont="1" applyFill="1" applyBorder="1" applyAlignment="1">
      <alignment horizontal="center"/>
    </xf>
    <xf numFmtId="0" fontId="10" fillId="22" borderId="21" xfId="0" applyFont="1" applyFill="1" applyBorder="1" applyAlignment="1">
      <alignment horizontal="center"/>
    </xf>
    <xf numFmtId="179" fontId="10" fillId="22" borderId="21" xfId="48" applyNumberFormat="1" applyFont="1" applyFill="1" applyBorder="1" applyAlignment="1">
      <alignment horizontal="center"/>
    </xf>
    <xf numFmtId="9" fontId="10" fillId="22" borderId="20" xfId="0" applyNumberFormat="1" applyFont="1" applyFill="1" applyBorder="1" applyAlignment="1">
      <alignment/>
    </xf>
    <xf numFmtId="0" fontId="4" fillId="22" borderId="20" xfId="0" applyFont="1" applyFill="1" applyBorder="1" applyAlignment="1">
      <alignment/>
    </xf>
    <xf numFmtId="179" fontId="9" fillId="22" borderId="21" xfId="48" applyNumberFormat="1" applyFont="1" applyFill="1" applyBorder="1" applyAlignment="1">
      <alignment horizontal="center"/>
    </xf>
    <xf numFmtId="43" fontId="4" fillId="22" borderId="21" xfId="0" applyNumberFormat="1" applyFont="1" applyFill="1" applyBorder="1" applyAlignment="1">
      <alignment horizontal="center"/>
    </xf>
    <xf numFmtId="0" fontId="4" fillId="22" borderId="21" xfId="0" applyFont="1" applyFill="1" applyBorder="1" applyAlignment="1">
      <alignment horizontal="center"/>
    </xf>
    <xf numFmtId="0" fontId="10" fillId="22" borderId="22" xfId="0" applyFont="1" applyFill="1" applyBorder="1" applyAlignment="1">
      <alignment/>
    </xf>
    <xf numFmtId="179" fontId="9" fillId="22" borderId="27" xfId="48" applyNumberFormat="1" applyFont="1" applyFill="1" applyBorder="1" applyAlignment="1">
      <alignment horizontal="center"/>
    </xf>
    <xf numFmtId="0" fontId="4" fillId="0" borderId="10" xfId="0" applyFont="1" applyBorder="1" applyAlignment="1">
      <alignment/>
    </xf>
    <xf numFmtId="10" fontId="10" fillId="0" borderId="10" xfId="0" applyNumberFormat="1" applyFont="1" applyBorder="1" applyAlignment="1">
      <alignment/>
    </xf>
    <xf numFmtId="2" fontId="10" fillId="0" borderId="10" xfId="0" applyNumberFormat="1" applyFont="1" applyBorder="1" applyAlignment="1">
      <alignment/>
    </xf>
    <xf numFmtId="10" fontId="10" fillId="0" borderId="10" xfId="54" applyNumberFormat="1" applyFont="1" applyBorder="1" applyAlignment="1">
      <alignment/>
    </xf>
    <xf numFmtId="0" fontId="9" fillId="15" borderId="11" xfId="0" applyFont="1" applyFill="1" applyBorder="1" applyAlignment="1">
      <alignment horizontal="center"/>
    </xf>
    <xf numFmtId="0" fontId="9" fillId="15" borderId="29" xfId="0" applyFont="1" applyFill="1" applyBorder="1" applyAlignment="1">
      <alignment horizontal="center"/>
    </xf>
    <xf numFmtId="0" fontId="9" fillId="15" borderId="12" xfId="0" applyFont="1" applyFill="1" applyBorder="1" applyAlignment="1">
      <alignment horizontal="center"/>
    </xf>
    <xf numFmtId="0" fontId="9" fillId="24" borderId="10" xfId="0" applyFont="1" applyFill="1" applyBorder="1" applyAlignment="1">
      <alignment horizontal="center"/>
    </xf>
    <xf numFmtId="0" fontId="4" fillId="15" borderId="10" xfId="0" applyFont="1" applyFill="1" applyBorder="1" applyAlignment="1">
      <alignment horizontal="center" vertical="center" wrapText="1"/>
    </xf>
    <xf numFmtId="0" fontId="9" fillId="11" borderId="10" xfId="0" applyFont="1" applyFill="1" applyBorder="1" applyAlignment="1">
      <alignment horizontal="center" vertical="center" wrapText="1"/>
    </xf>
    <xf numFmtId="0" fontId="9" fillId="11" borderId="10" xfId="0" applyFont="1" applyFill="1" applyBorder="1" applyAlignment="1">
      <alignment horizontal="center" vertical="center" wrapText="1"/>
    </xf>
    <xf numFmtId="0" fontId="9" fillId="15" borderId="10" xfId="0" applyFont="1" applyFill="1" applyBorder="1" applyAlignment="1">
      <alignment horizontal="center" vertical="center" wrapText="1"/>
    </xf>
    <xf numFmtId="0" fontId="9" fillId="11" borderId="11" xfId="0" applyFont="1" applyFill="1" applyBorder="1" applyAlignment="1">
      <alignment horizontal="center"/>
    </xf>
    <xf numFmtId="0" fontId="13" fillId="11" borderId="10" xfId="0" applyFont="1" applyFill="1" applyBorder="1" applyAlignment="1">
      <alignment horizontal="center"/>
    </xf>
    <xf numFmtId="0" fontId="4" fillId="11" borderId="10" xfId="0" applyFont="1" applyFill="1" applyBorder="1" applyAlignment="1">
      <alignment horizontal="center" vertical="center" wrapText="1"/>
    </xf>
    <xf numFmtId="0" fontId="9" fillId="11" borderId="10" xfId="0" applyFont="1" applyFill="1" applyBorder="1" applyAlignment="1">
      <alignment horizontal="center"/>
    </xf>
    <xf numFmtId="0" fontId="4" fillId="11" borderId="11" xfId="0" applyFont="1" applyFill="1" applyBorder="1" applyAlignment="1">
      <alignment horizontal="center" vertical="center" wrapText="1"/>
    </xf>
    <xf numFmtId="0" fontId="4" fillId="11" borderId="29" xfId="0" applyFont="1" applyFill="1" applyBorder="1" applyAlignment="1">
      <alignment horizontal="center" vertical="center" wrapText="1"/>
    </xf>
    <xf numFmtId="0" fontId="4" fillId="11" borderId="12" xfId="0" applyFont="1" applyFill="1" applyBorder="1" applyAlignment="1">
      <alignment horizontal="center" vertical="center" wrapText="1"/>
    </xf>
    <xf numFmtId="0" fontId="13" fillId="0" borderId="0" xfId="0" applyFont="1" applyAlignment="1">
      <alignment horizontal="center"/>
    </xf>
    <xf numFmtId="0" fontId="9" fillId="0" borderId="0" xfId="0" applyFont="1" applyAlignment="1">
      <alignment horizontal="center"/>
    </xf>
    <xf numFmtId="0" fontId="10" fillId="0" borderId="0" xfId="0" applyFont="1" applyBorder="1" applyAlignment="1">
      <alignment horizontal="center"/>
    </xf>
    <xf numFmtId="0" fontId="4" fillId="2" borderId="24" xfId="0" applyFont="1" applyFill="1" applyBorder="1" applyAlignment="1">
      <alignment horizontal="center"/>
    </xf>
    <xf numFmtId="0" fontId="4" fillId="2" borderId="25" xfId="0" applyFont="1" applyFill="1" applyBorder="1" applyAlignment="1">
      <alignment horizontal="center"/>
    </xf>
    <xf numFmtId="0" fontId="4" fillId="2" borderId="26" xfId="0" applyFont="1" applyFill="1" applyBorder="1" applyAlignment="1">
      <alignment horizontal="center"/>
    </xf>
    <xf numFmtId="0" fontId="9" fillId="2" borderId="20" xfId="0" applyFont="1" applyFill="1" applyBorder="1" applyAlignment="1">
      <alignment horizontal="center"/>
    </xf>
    <xf numFmtId="0" fontId="9" fillId="2" borderId="0" xfId="0" applyFont="1" applyFill="1" applyBorder="1" applyAlignment="1">
      <alignment horizontal="center"/>
    </xf>
    <xf numFmtId="0" fontId="9" fillId="2" borderId="21" xfId="0" applyFont="1" applyFill="1" applyBorder="1" applyAlignment="1">
      <alignment horizontal="center"/>
    </xf>
    <xf numFmtId="0" fontId="4" fillId="2" borderId="20" xfId="0" applyFont="1" applyFill="1" applyBorder="1" applyAlignment="1">
      <alignment horizontal="center"/>
    </xf>
    <xf numFmtId="0" fontId="4" fillId="2" borderId="0" xfId="0" applyFont="1" applyFill="1" applyBorder="1" applyAlignment="1">
      <alignment horizontal="center"/>
    </xf>
    <xf numFmtId="0" fontId="4" fillId="2" borderId="21" xfId="0" applyFont="1" applyFill="1" applyBorder="1" applyAlignment="1">
      <alignment horizontal="center"/>
    </xf>
    <xf numFmtId="0" fontId="4" fillId="0" borderId="0" xfId="0" applyFont="1" applyAlignment="1">
      <alignment horizontal="center"/>
    </xf>
    <xf numFmtId="0" fontId="4" fillId="0" borderId="20" xfId="0" applyFont="1" applyBorder="1" applyAlignment="1">
      <alignment horizontal="center"/>
    </xf>
    <xf numFmtId="0" fontId="4" fillId="0" borderId="0" xfId="0" applyFont="1" applyBorder="1" applyAlignment="1">
      <alignment horizontal="center"/>
    </xf>
    <xf numFmtId="0" fontId="4" fillId="0" borderId="21" xfId="0" applyFont="1" applyBorder="1" applyAlignment="1">
      <alignment horizontal="center"/>
    </xf>
    <xf numFmtId="0" fontId="12" fillId="7" borderId="10" xfId="0" applyFont="1" applyFill="1" applyBorder="1" applyAlignment="1">
      <alignment horizontal="center"/>
    </xf>
    <xf numFmtId="0" fontId="12" fillId="7" borderId="10" xfId="0" applyFont="1" applyFill="1" applyBorder="1" applyAlignment="1">
      <alignment/>
    </xf>
    <xf numFmtId="0" fontId="13" fillId="22" borderId="10" xfId="0" applyFont="1" applyFill="1" applyBorder="1" applyAlignment="1">
      <alignment/>
    </xf>
    <xf numFmtId="173" fontId="13" fillId="22" borderId="10" xfId="0" applyNumberFormat="1" applyFont="1" applyFill="1" applyBorder="1" applyAlignment="1">
      <alignment/>
    </xf>
    <xf numFmtId="0" fontId="13" fillId="22" borderId="11" xfId="0" applyFont="1" applyFill="1" applyBorder="1" applyAlignment="1">
      <alignment horizontal="center"/>
    </xf>
    <xf numFmtId="0" fontId="13" fillId="22" borderId="12" xfId="0" applyFont="1" applyFill="1" applyBorder="1" applyAlignment="1">
      <alignment horizontal="center"/>
    </xf>
    <xf numFmtId="0" fontId="9" fillId="7" borderId="1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195</xdr:row>
      <xdr:rowOff>57150</xdr:rowOff>
    </xdr:from>
    <xdr:to>
      <xdr:col>8</xdr:col>
      <xdr:colOff>742950</xdr:colOff>
      <xdr:row>203</xdr:row>
      <xdr:rowOff>0</xdr:rowOff>
    </xdr:to>
    <xdr:sp>
      <xdr:nvSpPr>
        <xdr:cNvPr id="1" name="Line 3"/>
        <xdr:cNvSpPr>
          <a:spLocks/>
        </xdr:cNvSpPr>
      </xdr:nvSpPr>
      <xdr:spPr>
        <a:xfrm flipV="1">
          <a:off x="2562225" y="29175075"/>
          <a:ext cx="7629525"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28575</xdr:colOff>
      <xdr:row>190</xdr:row>
      <xdr:rowOff>28575</xdr:rowOff>
    </xdr:from>
    <xdr:to>
      <xdr:col>8</xdr:col>
      <xdr:colOff>619125</xdr:colOff>
      <xdr:row>212</xdr:row>
      <xdr:rowOff>142875</xdr:rowOff>
    </xdr:to>
    <xdr:sp>
      <xdr:nvSpPr>
        <xdr:cNvPr id="2" name="Line 4"/>
        <xdr:cNvSpPr>
          <a:spLocks/>
        </xdr:cNvSpPr>
      </xdr:nvSpPr>
      <xdr:spPr>
        <a:xfrm flipV="1">
          <a:off x="2581275" y="28432125"/>
          <a:ext cx="7486650" cy="3257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198</xdr:row>
      <xdr:rowOff>9525</xdr:rowOff>
    </xdr:from>
    <xdr:to>
      <xdr:col>6</xdr:col>
      <xdr:colOff>9525</xdr:colOff>
      <xdr:row>212</xdr:row>
      <xdr:rowOff>142875</xdr:rowOff>
    </xdr:to>
    <xdr:sp>
      <xdr:nvSpPr>
        <xdr:cNvPr id="3" name="4 Conector recto"/>
        <xdr:cNvSpPr>
          <a:spLocks/>
        </xdr:cNvSpPr>
      </xdr:nvSpPr>
      <xdr:spPr>
        <a:xfrm rot="16200000" flipH="1">
          <a:off x="7791450" y="29556075"/>
          <a:ext cx="9525" cy="21336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xdr:colOff>
      <xdr:row>198</xdr:row>
      <xdr:rowOff>0</xdr:rowOff>
    </xdr:from>
    <xdr:to>
      <xdr:col>6</xdr:col>
      <xdr:colOff>0</xdr:colOff>
      <xdr:row>198</xdr:row>
      <xdr:rowOff>0</xdr:rowOff>
    </xdr:to>
    <xdr:sp>
      <xdr:nvSpPr>
        <xdr:cNvPr id="4" name="6 Conector recto"/>
        <xdr:cNvSpPr>
          <a:spLocks/>
        </xdr:cNvSpPr>
      </xdr:nvSpPr>
      <xdr:spPr>
        <a:xfrm flipV="1">
          <a:off x="2590800" y="29546550"/>
          <a:ext cx="52006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4"/>
  <sheetViews>
    <sheetView zoomScalePageLayoutView="0" workbookViewId="0" topLeftCell="A1">
      <selection activeCell="C11" sqref="C11"/>
    </sheetView>
  </sheetViews>
  <sheetFormatPr defaultColWidth="11.421875" defaultRowHeight="15"/>
  <cols>
    <col min="1" max="1" width="42.140625" style="65" bestFit="1" customWidth="1"/>
    <col min="2" max="2" width="12.421875" style="65" bestFit="1" customWidth="1"/>
    <col min="3" max="3" width="4.421875" style="65" customWidth="1"/>
    <col min="4" max="4" width="0" style="65" hidden="1" customWidth="1"/>
    <col min="5" max="5" width="33.28125" style="65" customWidth="1"/>
    <col min="6" max="6" width="40.7109375" style="65" customWidth="1"/>
    <col min="7" max="7" width="5.57421875" style="65" customWidth="1"/>
    <col min="8" max="8" width="17.140625" style="65" customWidth="1"/>
    <col min="9" max="16384" width="11.421875" style="65" customWidth="1"/>
  </cols>
  <sheetData>
    <row r="1" spans="5:6" ht="11.25">
      <c r="E1" s="130" t="s">
        <v>488</v>
      </c>
      <c r="F1" s="131" t="s">
        <v>490</v>
      </c>
    </row>
    <row r="2" spans="1:6" ht="11.25">
      <c r="A2" s="66" t="s">
        <v>394</v>
      </c>
      <c r="B2" s="132">
        <f>B7*B8</f>
        <v>1576.9398531891904</v>
      </c>
      <c r="E2" s="66" t="s">
        <v>491</v>
      </c>
      <c r="F2" s="133">
        <v>13462</v>
      </c>
    </row>
    <row r="3" spans="1:6" ht="11.25">
      <c r="A3" s="66" t="s">
        <v>395</v>
      </c>
      <c r="B3" s="116">
        <f>G9</f>
        <v>35387</v>
      </c>
      <c r="E3" s="66" t="s">
        <v>492</v>
      </c>
      <c r="F3" s="133">
        <v>8761</v>
      </c>
    </row>
    <row r="4" spans="1:6" ht="11.25">
      <c r="A4" s="66" t="s">
        <v>487</v>
      </c>
      <c r="B4" s="134">
        <f>F10</f>
        <v>0.432</v>
      </c>
      <c r="E4" s="66" t="s">
        <v>493</v>
      </c>
      <c r="F4" s="133">
        <v>398965</v>
      </c>
    </row>
    <row r="5" spans="1:11" ht="11.25">
      <c r="A5" s="66" t="s">
        <v>396</v>
      </c>
      <c r="B5" s="117">
        <v>0.05</v>
      </c>
      <c r="E5" s="130" t="s">
        <v>411</v>
      </c>
      <c r="F5" s="135">
        <f>SUM(F2:F4)</f>
        <v>421188</v>
      </c>
      <c r="I5" s="136"/>
      <c r="K5" s="115"/>
    </row>
    <row r="6" spans="1:12" ht="11.25">
      <c r="A6" s="66" t="s">
        <v>499</v>
      </c>
      <c r="B6" s="134">
        <f>F5/F6</f>
        <v>0.21225179262630778</v>
      </c>
      <c r="E6" s="300" t="s">
        <v>489</v>
      </c>
      <c r="F6" s="301">
        <v>1984379</v>
      </c>
      <c r="L6" s="136"/>
    </row>
    <row r="7" spans="1:5" ht="11.25">
      <c r="A7" s="66" t="s">
        <v>397</v>
      </c>
      <c r="B7" s="116">
        <f>F11*12</f>
        <v>9.72</v>
      </c>
      <c r="E7" s="137"/>
    </row>
    <row r="8" spans="1:5" ht="11.25">
      <c r="A8" s="66" t="s">
        <v>408</v>
      </c>
      <c r="B8" s="132">
        <f>B5*G9*F10*B6</f>
        <v>162.23661041041052</v>
      </c>
      <c r="E8" s="137"/>
    </row>
    <row r="9" spans="1:7" ht="33.75">
      <c r="A9" s="138" t="s">
        <v>501</v>
      </c>
      <c r="B9" s="139">
        <f>ROUND((B2/12),0)</f>
        <v>131</v>
      </c>
      <c r="E9" s="302" t="s">
        <v>494</v>
      </c>
      <c r="F9" s="303" t="s">
        <v>496</v>
      </c>
      <c r="G9" s="303">
        <v>35387</v>
      </c>
    </row>
    <row r="10" spans="2:7" ht="11.25">
      <c r="B10" s="140"/>
      <c r="E10" s="304" t="s">
        <v>495</v>
      </c>
      <c r="F10" s="305">
        <v>0.432</v>
      </c>
      <c r="G10" s="309">
        <f>G9*F10</f>
        <v>15287.184</v>
      </c>
    </row>
    <row r="11" spans="5:7" ht="11.25">
      <c r="E11" s="306" t="s">
        <v>497</v>
      </c>
      <c r="F11" s="307">
        <v>0.81</v>
      </c>
      <c r="G11" s="308"/>
    </row>
    <row r="12" ht="11.25">
      <c r="H12" s="142"/>
    </row>
    <row r="13" ht="11.25">
      <c r="G13" s="115"/>
    </row>
    <row r="14" ht="11.25">
      <c r="H14" s="136"/>
    </row>
    <row r="16" ht="11.25"/>
    <row r="17" ht="11.25"/>
  </sheetData>
  <sheetProtection/>
  <printOptions/>
  <pageMargins left="0.7" right="0.7" top="0.75" bottom="0.75" header="0.3" footer="0.3"/>
  <pageSetup horizontalDpi="600" verticalDpi="600" orientation="portrait" r:id="rId3"/>
  <legacyDrawing r:id="rId2"/>
</worksheet>
</file>

<file path=xl/worksheets/sheet10.xml><?xml version="1.0" encoding="utf-8"?>
<worksheet xmlns="http://schemas.openxmlformats.org/spreadsheetml/2006/main" xmlns:r="http://schemas.openxmlformats.org/officeDocument/2006/relationships">
  <dimension ref="A1:L47"/>
  <sheetViews>
    <sheetView tabSelected="1" zoomScalePageLayoutView="0" workbookViewId="0" topLeftCell="A13">
      <selection activeCell="G54" sqref="G54"/>
    </sheetView>
  </sheetViews>
  <sheetFormatPr defaultColWidth="11.421875" defaultRowHeight="15"/>
  <cols>
    <col min="1" max="1" width="41.28125" style="65" customWidth="1"/>
    <col min="2" max="16384" width="11.421875" style="65" customWidth="1"/>
  </cols>
  <sheetData>
    <row r="1" spans="1:12" ht="11.25">
      <c r="A1" s="360" t="s">
        <v>6</v>
      </c>
      <c r="B1" s="360"/>
      <c r="C1" s="360"/>
      <c r="D1" s="360"/>
      <c r="E1" s="360"/>
      <c r="F1" s="360"/>
      <c r="G1" s="360"/>
      <c r="H1" s="360"/>
      <c r="I1" s="360"/>
      <c r="J1" s="360"/>
      <c r="K1" s="360"/>
      <c r="L1" s="360"/>
    </row>
    <row r="3" spans="1:12" s="141" customFormat="1" ht="11.25">
      <c r="A3" s="145" t="s">
        <v>398</v>
      </c>
      <c r="B3" s="145" t="s">
        <v>467</v>
      </c>
      <c r="C3" s="145" t="s">
        <v>468</v>
      </c>
      <c r="D3" s="145" t="s">
        <v>469</v>
      </c>
      <c r="E3" s="145" t="s">
        <v>470</v>
      </c>
      <c r="F3" s="145" t="s">
        <v>471</v>
      </c>
      <c r="G3" s="145" t="s">
        <v>472</v>
      </c>
      <c r="H3" s="145" t="s">
        <v>298</v>
      </c>
      <c r="I3" s="145" t="s">
        <v>299</v>
      </c>
      <c r="J3" s="145" t="s">
        <v>300</v>
      </c>
      <c r="K3" s="145" t="s">
        <v>301</v>
      </c>
      <c r="L3" s="145" t="s">
        <v>302</v>
      </c>
    </row>
    <row r="4" spans="1:12" s="143" customFormat="1" ht="11.25">
      <c r="A4" s="150" t="s">
        <v>475</v>
      </c>
      <c r="B4" s="151"/>
      <c r="C4" s="153">
        <f>'PRECIO VENTA'!C97</f>
        <v>309218.9016946398</v>
      </c>
      <c r="D4" s="153">
        <f>(C4)*(1+'GASTOS FINANCIEROS'!$B$10)^1</f>
        <v>318495.468745479</v>
      </c>
      <c r="E4" s="153">
        <f>(C4)*(1+'GASTOS FINANCIEROS'!$B$10)^2</f>
        <v>328050.33280784334</v>
      </c>
      <c r="F4" s="153">
        <f>(C4)*(1+'GASTOS FINANCIEROS'!$B$10)^3</f>
        <v>337891.8427920787</v>
      </c>
      <c r="G4" s="153">
        <f>(C4)*(1+'GASTOS FINANCIEROS'!$B$10)^4</f>
        <v>348028.59807584103</v>
      </c>
      <c r="H4" s="153">
        <f>(C4)*(1+'GASTOS FINANCIEROS'!$B$10)^5</f>
        <v>358469.4560181162</v>
      </c>
      <c r="I4" s="153">
        <f>(C4)*(1+'GASTOS FINANCIEROS'!$B$10)^6</f>
        <v>369223.53969865973</v>
      </c>
      <c r="J4" s="153">
        <f>(C4)*(1+'GASTOS FINANCIEROS'!$B$10)^7</f>
        <v>380300.2458896196</v>
      </c>
      <c r="K4" s="153">
        <f>(C4)*(1+'GASTOS FINANCIEROS'!$B$10)^8</f>
        <v>391709.2532663081</v>
      </c>
      <c r="L4" s="153">
        <f>(C4)*(1+'GASTOS FINANCIEROS'!$B$10)^9</f>
        <v>403460.53086429735</v>
      </c>
    </row>
    <row r="5" spans="1:12" s="143" customFormat="1" ht="11.25">
      <c r="A5" s="150"/>
      <c r="B5" s="151"/>
      <c r="C5" s="153"/>
      <c r="D5" s="153"/>
      <c r="E5" s="153"/>
      <c r="F5" s="153"/>
      <c r="G5" s="153"/>
      <c r="H5" s="153"/>
      <c r="I5" s="153"/>
      <c r="J5" s="153"/>
      <c r="K5" s="153"/>
      <c r="L5" s="153"/>
    </row>
    <row r="6" spans="1:12" s="143" customFormat="1" ht="11.25">
      <c r="A6" s="150" t="s">
        <v>476</v>
      </c>
      <c r="B6" s="151"/>
      <c r="C6" s="151">
        <f>C7+C11</f>
        <v>273689.83671309997</v>
      </c>
      <c r="D6" s="151">
        <f aca="true" t="shared" si="0" ref="D6:L6">D7+D11</f>
        <v>279473.20661449304</v>
      </c>
      <c r="E6" s="151">
        <f t="shared" si="0"/>
        <v>285430.07761292777</v>
      </c>
      <c r="F6" s="151">
        <f t="shared" si="0"/>
        <v>291565.65474131564</v>
      </c>
      <c r="G6" s="151">
        <f t="shared" si="0"/>
        <v>297885.29918355506</v>
      </c>
      <c r="H6" s="151">
        <f t="shared" si="0"/>
        <v>304394.5329590617</v>
      </c>
      <c r="I6" s="151">
        <f t="shared" si="0"/>
        <v>311099.0437478336</v>
      </c>
      <c r="J6" s="151">
        <f t="shared" si="0"/>
        <v>318004.6898602686</v>
      </c>
      <c r="K6" s="151">
        <f t="shared" si="0"/>
        <v>325117.50535607664</v>
      </c>
      <c r="L6" s="151">
        <f t="shared" si="0"/>
        <v>332443.70531675895</v>
      </c>
    </row>
    <row r="7" spans="1:12" s="143" customFormat="1" ht="11.25">
      <c r="A7" s="150" t="s">
        <v>473</v>
      </c>
      <c r="B7" s="151"/>
      <c r="C7" s="151">
        <f>SUM(C8:C10)</f>
        <v>192778.9967131</v>
      </c>
      <c r="D7" s="151">
        <f>SUM(D8:D10)*(1+'GASTOS FINANCIEROS'!$B$10)^1</f>
        <v>198562.36661449302</v>
      </c>
      <c r="E7" s="151">
        <f>SUM(E8:E10)*(1+'GASTOS FINANCIEROS'!$B$10)^2</f>
        <v>204519.23761292777</v>
      </c>
      <c r="F7" s="151">
        <f>SUM(F8:F10)*(1+'GASTOS FINANCIEROS'!$B$10)^3</f>
        <v>210654.81474131564</v>
      </c>
      <c r="G7" s="151">
        <f>SUM(G8:G10)*(1+'GASTOS FINANCIEROS'!$B$10)^4</f>
        <v>216974.45918355507</v>
      </c>
      <c r="H7" s="151">
        <f>SUM(H8:H10)*(1+'GASTOS FINANCIEROS'!$B$10)^5</f>
        <v>223483.6929590617</v>
      </c>
      <c r="I7" s="151">
        <f>SUM(I8:I10)*(1+'GASTOS FINANCIEROS'!$B$10)^6</f>
        <v>230188.20374783358</v>
      </c>
      <c r="J7" s="151">
        <f>SUM(J8:J10)*(1+'GASTOS FINANCIEROS'!$B$10)^7</f>
        <v>237093.84986026862</v>
      </c>
      <c r="K7" s="151">
        <f>SUM(K8:K10)*(1+'GASTOS FINANCIEROS'!$B$10)^8</f>
        <v>244206.66535607664</v>
      </c>
      <c r="L7" s="151">
        <f>SUM(L8:L10)*(1+'GASTOS FINANCIEROS'!$B$10)^9</f>
        <v>251532.86531675895</v>
      </c>
    </row>
    <row r="8" spans="1:12" ht="11.25">
      <c r="A8" s="66" t="s">
        <v>305</v>
      </c>
      <c r="B8" s="146"/>
      <c r="C8" s="146">
        <f>'COSTOS OPERCIONALES'!$N$14</f>
        <v>14127</v>
      </c>
      <c r="D8" s="146">
        <f>'COSTOS OPERCIONALES'!$N$14</f>
        <v>14127</v>
      </c>
      <c r="E8" s="146">
        <f>'COSTOS OPERCIONALES'!$N$14</f>
        <v>14127</v>
      </c>
      <c r="F8" s="146">
        <f>'COSTOS OPERCIONALES'!$N$14</f>
        <v>14127</v>
      </c>
      <c r="G8" s="146">
        <f>'COSTOS OPERCIONALES'!$N$14</f>
        <v>14127</v>
      </c>
      <c r="H8" s="146">
        <f>'COSTOS OPERCIONALES'!$N$14</f>
        <v>14127</v>
      </c>
      <c r="I8" s="146">
        <f>'COSTOS OPERCIONALES'!$N$14</f>
        <v>14127</v>
      </c>
      <c r="J8" s="146">
        <f>'COSTOS OPERCIONALES'!$N$14</f>
        <v>14127</v>
      </c>
      <c r="K8" s="146">
        <f>'COSTOS OPERCIONALES'!$N$14</f>
        <v>14127</v>
      </c>
      <c r="L8" s="146">
        <f>'COSTOS OPERCIONALES'!$N$14</f>
        <v>14127</v>
      </c>
    </row>
    <row r="9" spans="1:12" ht="11.25">
      <c r="A9" s="66" t="s">
        <v>306</v>
      </c>
      <c r="B9" s="146"/>
      <c r="C9" s="146">
        <f>'COSTOS OPERCIONALES'!$D$170</f>
        <v>153645.8783131</v>
      </c>
      <c r="D9" s="146">
        <f>'COSTOS OPERCIONALES'!$D$170</f>
        <v>153645.8783131</v>
      </c>
      <c r="E9" s="146">
        <f>'COSTOS OPERCIONALES'!$D$170</f>
        <v>153645.8783131</v>
      </c>
      <c r="F9" s="146">
        <f>'COSTOS OPERCIONALES'!$D$170</f>
        <v>153645.8783131</v>
      </c>
      <c r="G9" s="146">
        <f>'COSTOS OPERCIONALES'!$D$170</f>
        <v>153645.8783131</v>
      </c>
      <c r="H9" s="146">
        <f>'COSTOS OPERCIONALES'!$D$170</f>
        <v>153645.8783131</v>
      </c>
      <c r="I9" s="146">
        <f>'COSTOS OPERCIONALES'!$D$170</f>
        <v>153645.8783131</v>
      </c>
      <c r="J9" s="146">
        <f>'COSTOS OPERCIONALES'!$D$170</f>
        <v>153645.8783131</v>
      </c>
      <c r="K9" s="146">
        <f>'COSTOS OPERCIONALES'!$D$170</f>
        <v>153645.8783131</v>
      </c>
      <c r="L9" s="146">
        <f>'COSTOS OPERCIONALES'!$D$170</f>
        <v>153645.8783131</v>
      </c>
    </row>
    <row r="10" spans="1:12" ht="11.25">
      <c r="A10" s="66" t="s">
        <v>307</v>
      </c>
      <c r="B10" s="146"/>
      <c r="C10" s="146">
        <f>'COSTOS OPERCIONALES'!$J$26</f>
        <v>25006.118400000003</v>
      </c>
      <c r="D10" s="146">
        <f>'COSTOS OPERCIONALES'!$J$26</f>
        <v>25006.118400000003</v>
      </c>
      <c r="E10" s="146">
        <f>'COSTOS OPERCIONALES'!$J$26</f>
        <v>25006.118400000003</v>
      </c>
      <c r="F10" s="146">
        <f>'COSTOS OPERCIONALES'!$J$26</f>
        <v>25006.118400000003</v>
      </c>
      <c r="G10" s="146">
        <f>'COSTOS OPERCIONALES'!$J$26</f>
        <v>25006.118400000003</v>
      </c>
      <c r="H10" s="146">
        <f>'COSTOS OPERCIONALES'!$J$26</f>
        <v>25006.118400000003</v>
      </c>
      <c r="I10" s="146">
        <f>'COSTOS OPERCIONALES'!$J$26</f>
        <v>25006.118400000003</v>
      </c>
      <c r="J10" s="146">
        <f>'COSTOS OPERCIONALES'!$J$26</f>
        <v>25006.118400000003</v>
      </c>
      <c r="K10" s="146">
        <f>'COSTOS OPERCIONALES'!$J$26</f>
        <v>25006.118400000003</v>
      </c>
      <c r="L10" s="146">
        <f>'COSTOS OPERCIONALES'!$J$26</f>
        <v>25006.118400000003</v>
      </c>
    </row>
    <row r="11" spans="1:12" s="143" customFormat="1" ht="11.25">
      <c r="A11" s="150" t="s">
        <v>474</v>
      </c>
      <c r="B11" s="151"/>
      <c r="C11" s="151">
        <f>SUM(C12:C14)</f>
        <v>80910.84</v>
      </c>
      <c r="D11" s="151">
        <f aca="true" t="shared" si="1" ref="D11:L11">SUM(D12:D14)</f>
        <v>80910.84</v>
      </c>
      <c r="E11" s="151">
        <f t="shared" si="1"/>
        <v>80910.84</v>
      </c>
      <c r="F11" s="151">
        <f t="shared" si="1"/>
        <v>80910.84</v>
      </c>
      <c r="G11" s="151">
        <f t="shared" si="1"/>
        <v>80910.84</v>
      </c>
      <c r="H11" s="151">
        <f t="shared" si="1"/>
        <v>80910.84</v>
      </c>
      <c r="I11" s="151">
        <f t="shared" si="1"/>
        <v>80910.84</v>
      </c>
      <c r="J11" s="151">
        <f t="shared" si="1"/>
        <v>80910.84</v>
      </c>
      <c r="K11" s="151">
        <f t="shared" si="1"/>
        <v>80910.84</v>
      </c>
      <c r="L11" s="151">
        <f t="shared" si="1"/>
        <v>80910.84</v>
      </c>
    </row>
    <row r="12" spans="1:12" ht="11.25">
      <c r="A12" s="66" t="s">
        <v>308</v>
      </c>
      <c r="B12" s="146"/>
      <c r="C12" s="146">
        <f>'COSTOS FIJOS'!$I$23</f>
        <v>38663.03999999999</v>
      </c>
      <c r="D12" s="146">
        <f>'COSTOS FIJOS'!$I$23</f>
        <v>38663.03999999999</v>
      </c>
      <c r="E12" s="146">
        <f>'COSTOS FIJOS'!$I$23</f>
        <v>38663.03999999999</v>
      </c>
      <c r="F12" s="146">
        <f>'COSTOS FIJOS'!$I$23</f>
        <v>38663.03999999999</v>
      </c>
      <c r="G12" s="146">
        <f>'COSTOS FIJOS'!$I$23</f>
        <v>38663.03999999999</v>
      </c>
      <c r="H12" s="146">
        <f>'COSTOS FIJOS'!$I$23</f>
        <v>38663.03999999999</v>
      </c>
      <c r="I12" s="146">
        <f>'COSTOS FIJOS'!$I$23</f>
        <v>38663.03999999999</v>
      </c>
      <c r="J12" s="146">
        <f>'COSTOS FIJOS'!$I$23</f>
        <v>38663.03999999999</v>
      </c>
      <c r="K12" s="146">
        <f>'COSTOS FIJOS'!$I$23</f>
        <v>38663.03999999999</v>
      </c>
      <c r="L12" s="146">
        <f>'COSTOS FIJOS'!$I$23</f>
        <v>38663.03999999999</v>
      </c>
    </row>
    <row r="13" spans="1:12" ht="11.25">
      <c r="A13" s="66" t="s">
        <v>309</v>
      </c>
      <c r="B13" s="146"/>
      <c r="C13" s="146">
        <f>'COSTOS FIJOS'!$C$34</f>
        <v>10378.8</v>
      </c>
      <c r="D13" s="146">
        <f>'COSTOS FIJOS'!$C$34</f>
        <v>10378.8</v>
      </c>
      <c r="E13" s="146">
        <f>'COSTOS FIJOS'!$C$34</f>
        <v>10378.8</v>
      </c>
      <c r="F13" s="146">
        <f>'COSTOS FIJOS'!$C$34</f>
        <v>10378.8</v>
      </c>
      <c r="G13" s="146">
        <f>'COSTOS FIJOS'!$C$34</f>
        <v>10378.8</v>
      </c>
      <c r="H13" s="146">
        <f>'COSTOS FIJOS'!$C$34</f>
        <v>10378.8</v>
      </c>
      <c r="I13" s="146">
        <f>'COSTOS FIJOS'!$C$34</f>
        <v>10378.8</v>
      </c>
      <c r="J13" s="146">
        <f>'COSTOS FIJOS'!$C$34</f>
        <v>10378.8</v>
      </c>
      <c r="K13" s="146">
        <f>'COSTOS FIJOS'!$C$34</f>
        <v>10378.8</v>
      </c>
      <c r="L13" s="146">
        <f>'COSTOS FIJOS'!$C$34</f>
        <v>10378.8</v>
      </c>
    </row>
    <row r="14" spans="1:12" ht="11.25">
      <c r="A14" s="66" t="s">
        <v>310</v>
      </c>
      <c r="B14" s="146"/>
      <c r="C14" s="146">
        <f>'COSTOS FIJOS'!$J$30</f>
        <v>31869</v>
      </c>
      <c r="D14" s="146">
        <f>'COSTOS FIJOS'!$J$30</f>
        <v>31869</v>
      </c>
      <c r="E14" s="146">
        <f>'COSTOS FIJOS'!$J$30</f>
        <v>31869</v>
      </c>
      <c r="F14" s="146">
        <f>'COSTOS FIJOS'!$J$30</f>
        <v>31869</v>
      </c>
      <c r="G14" s="146">
        <f>'COSTOS FIJOS'!$J$30</f>
        <v>31869</v>
      </c>
      <c r="H14" s="146">
        <f>'COSTOS FIJOS'!$J$30</f>
        <v>31869</v>
      </c>
      <c r="I14" s="146">
        <f>'COSTOS FIJOS'!$J$30</f>
        <v>31869</v>
      </c>
      <c r="J14" s="146">
        <f>'COSTOS FIJOS'!$J$30</f>
        <v>31869</v>
      </c>
      <c r="K14" s="146">
        <f>'COSTOS FIJOS'!$J$30</f>
        <v>31869</v>
      </c>
      <c r="L14" s="146">
        <f>'COSTOS FIJOS'!$J$30</f>
        <v>31869</v>
      </c>
    </row>
    <row r="15" spans="1:12" ht="11.25">
      <c r="A15" s="152" t="s">
        <v>479</v>
      </c>
      <c r="B15" s="146"/>
      <c r="C15" s="146">
        <f>C4-C6</f>
        <v>35529.06498153985</v>
      </c>
      <c r="D15" s="146">
        <f aca="true" t="shared" si="2" ref="D15:L15">D4-D6</f>
        <v>39022.26213098597</v>
      </c>
      <c r="E15" s="146">
        <f t="shared" si="2"/>
        <v>42620.255194915575</v>
      </c>
      <c r="F15" s="146">
        <f t="shared" si="2"/>
        <v>46326.18805076304</v>
      </c>
      <c r="G15" s="146">
        <f t="shared" si="2"/>
        <v>50143.298892285966</v>
      </c>
      <c r="H15" s="146">
        <f t="shared" si="2"/>
        <v>54074.923059054534</v>
      </c>
      <c r="I15" s="146">
        <f t="shared" si="2"/>
        <v>58124.49595082615</v>
      </c>
      <c r="J15" s="146">
        <f t="shared" si="2"/>
        <v>62295.55602935096</v>
      </c>
      <c r="K15" s="146">
        <f t="shared" si="2"/>
        <v>66591.74791023147</v>
      </c>
      <c r="L15" s="146">
        <f t="shared" si="2"/>
        <v>71016.8255475384</v>
      </c>
    </row>
    <row r="16" spans="1:12" ht="11.25">
      <c r="A16" s="66" t="s">
        <v>478</v>
      </c>
      <c r="B16" s="146"/>
      <c r="C16" s="146">
        <f>'COSTOS FIJOS'!$E$14</f>
        <v>2328.2496</v>
      </c>
      <c r="D16" s="146">
        <f>'COSTOS FIJOS'!$E$14</f>
        <v>2328.2496</v>
      </c>
      <c r="E16" s="146">
        <f>'COSTOS FIJOS'!$E$14</f>
        <v>2328.2496</v>
      </c>
      <c r="F16" s="146">
        <f>'COSTOS FIJOS'!$E$14</f>
        <v>2328.2496</v>
      </c>
      <c r="G16" s="146">
        <f>'COSTOS FIJOS'!$E$14</f>
        <v>2328.2496</v>
      </c>
      <c r="H16" s="146">
        <f>'COSTOS FIJOS'!$E$14</f>
        <v>2328.2496</v>
      </c>
      <c r="I16" s="146">
        <f>'COSTOS FIJOS'!$E$14</f>
        <v>2328.2496</v>
      </c>
      <c r="J16" s="146">
        <f>'COSTOS FIJOS'!$E$14</f>
        <v>2328.2496</v>
      </c>
      <c r="K16" s="146">
        <f>'COSTOS FIJOS'!$E$14</f>
        <v>2328.2496</v>
      </c>
      <c r="L16" s="146">
        <f>'COSTOS FIJOS'!$E$14</f>
        <v>2328.2496</v>
      </c>
    </row>
    <row r="17" spans="1:12" ht="11.25">
      <c r="A17" s="159" t="s">
        <v>316</v>
      </c>
      <c r="B17" s="146"/>
      <c r="C17" s="146">
        <f>'COSTOS FIJOS'!$B$6</f>
        <v>491.06499999999994</v>
      </c>
      <c r="D17" s="146">
        <f>'COSTOS FIJOS'!$B$6</f>
        <v>491.06499999999994</v>
      </c>
      <c r="E17" s="146">
        <f>'COSTOS FIJOS'!$B$6</f>
        <v>491.06499999999994</v>
      </c>
      <c r="F17" s="146">
        <f>'COSTOS FIJOS'!$B$6</f>
        <v>491.06499999999994</v>
      </c>
      <c r="G17" s="146">
        <f>'COSTOS FIJOS'!$B$6</f>
        <v>491.06499999999994</v>
      </c>
      <c r="H17" s="146">
        <f>'COSTOS FIJOS'!$B$6</f>
        <v>491.06499999999994</v>
      </c>
      <c r="I17" s="146">
        <f>'COSTOS FIJOS'!$B$6</f>
        <v>491.06499999999994</v>
      </c>
      <c r="J17" s="146">
        <f>'COSTOS FIJOS'!$B$6</f>
        <v>491.06499999999994</v>
      </c>
      <c r="K17" s="146">
        <f>'COSTOS FIJOS'!$B$6</f>
        <v>491.06499999999994</v>
      </c>
      <c r="L17" s="146">
        <f>'COSTOS FIJOS'!$B$6</f>
        <v>491.06499999999994</v>
      </c>
    </row>
    <row r="18" spans="1:12" ht="11.25">
      <c r="A18" s="66" t="s">
        <v>317</v>
      </c>
      <c r="B18" s="146"/>
      <c r="C18" s="146">
        <f>'GASTOS FINANCIEROS'!D15</f>
        <v>4980.532419366149</v>
      </c>
      <c r="D18" s="146">
        <f>'GASTOS FINANCIEROS'!D16</f>
        <v>4284.36434679818</v>
      </c>
      <c r="E18" s="146">
        <f>'GASTOS FINANCIEROS'!D17</f>
        <v>3462.886021167977</v>
      </c>
      <c r="F18" s="146">
        <f>'GASTOS FINANCIEROS'!D18</f>
        <v>2493.541596924337</v>
      </c>
      <c r="G18" s="146">
        <f>'GASTOS FINANCIEROS'!D19</f>
        <v>1349.7151763168417</v>
      </c>
      <c r="H18" s="146">
        <v>0</v>
      </c>
      <c r="I18" s="146">
        <v>0</v>
      </c>
      <c r="J18" s="146">
        <v>0</v>
      </c>
      <c r="K18" s="146">
        <v>0</v>
      </c>
      <c r="L18" s="146">
        <v>0</v>
      </c>
    </row>
    <row r="19" spans="1:12" ht="11.25">
      <c r="A19" s="152" t="s">
        <v>477</v>
      </c>
      <c r="B19" s="146"/>
      <c r="C19" s="146">
        <f>C15-(SUM(C16:C18))</f>
        <v>27729.2179621737</v>
      </c>
      <c r="D19" s="146">
        <f aca="true" t="shared" si="3" ref="D19:L19">D15-(SUM(D16:D18))</f>
        <v>31918.583184187788</v>
      </c>
      <c r="E19" s="146">
        <f t="shared" si="3"/>
        <v>36338.0545737476</v>
      </c>
      <c r="F19" s="146">
        <f t="shared" si="3"/>
        <v>41013.3318538387</v>
      </c>
      <c r="G19" s="146">
        <f t="shared" si="3"/>
        <v>45974.269115969124</v>
      </c>
      <c r="H19" s="146">
        <f t="shared" si="3"/>
        <v>51255.608459054536</v>
      </c>
      <c r="I19" s="146">
        <f t="shared" si="3"/>
        <v>55305.181350826155</v>
      </c>
      <c r="J19" s="146">
        <f t="shared" si="3"/>
        <v>59476.241429350965</v>
      </c>
      <c r="K19" s="146">
        <f t="shared" si="3"/>
        <v>63772.43331023147</v>
      </c>
      <c r="L19" s="146">
        <f t="shared" si="3"/>
        <v>68197.51094753841</v>
      </c>
    </row>
    <row r="20" spans="1:12" ht="11.25">
      <c r="A20" s="66" t="s">
        <v>480</v>
      </c>
      <c r="B20" s="146"/>
      <c r="C20" s="146">
        <f>C19*'GASTOS FINANCIEROS'!$B$8</f>
        <v>4159.382694326055</v>
      </c>
      <c r="D20" s="146">
        <f>D19*'GASTOS FINANCIEROS'!$B$8</f>
        <v>4787.787477628168</v>
      </c>
      <c r="E20" s="146">
        <f>E19*'GASTOS FINANCIEROS'!$B$8</f>
        <v>5450.708186062139</v>
      </c>
      <c r="F20" s="146">
        <f>F19*'GASTOS FINANCIEROS'!$B$8</f>
        <v>6151.999778075805</v>
      </c>
      <c r="G20" s="146">
        <f>G19*'GASTOS FINANCIEROS'!$B$8</f>
        <v>6896.140367395368</v>
      </c>
      <c r="H20" s="146">
        <f>H19*'GASTOS FINANCIEROS'!$B$8</f>
        <v>7688.34126885818</v>
      </c>
      <c r="I20" s="146">
        <f>I19*'GASTOS FINANCIEROS'!$B$8</f>
        <v>8295.777202623924</v>
      </c>
      <c r="J20" s="146">
        <f>J19*'GASTOS FINANCIEROS'!$B$8</f>
        <v>8921.436214402644</v>
      </c>
      <c r="K20" s="146">
        <f>K19*'GASTOS FINANCIEROS'!$B$8</f>
        <v>9565.86499653472</v>
      </c>
      <c r="L20" s="146">
        <f>L19*'GASTOS FINANCIEROS'!$B$8</f>
        <v>10229.626642130761</v>
      </c>
    </row>
    <row r="21" spans="1:12" ht="11.25">
      <c r="A21" s="152" t="s">
        <v>481</v>
      </c>
      <c r="B21" s="146"/>
      <c r="C21" s="146">
        <f>C19-C20</f>
        <v>23569.835267847648</v>
      </c>
      <c r="D21" s="146">
        <f aca="true" t="shared" si="4" ref="D21:L21">D19-D20</f>
        <v>27130.79570655962</v>
      </c>
      <c r="E21" s="146">
        <f t="shared" si="4"/>
        <v>30887.34638768546</v>
      </c>
      <c r="F21" s="146">
        <f t="shared" si="4"/>
        <v>34861.3320757629</v>
      </c>
      <c r="G21" s="146">
        <f t="shared" si="4"/>
        <v>39078.128748573756</v>
      </c>
      <c r="H21" s="146">
        <f t="shared" si="4"/>
        <v>43567.267190196355</v>
      </c>
      <c r="I21" s="146">
        <f t="shared" si="4"/>
        <v>47009.40414820223</v>
      </c>
      <c r="J21" s="146">
        <f t="shared" si="4"/>
        <v>50554.80521494832</v>
      </c>
      <c r="K21" s="146">
        <f t="shared" si="4"/>
        <v>54206.56831369675</v>
      </c>
      <c r="L21" s="146">
        <f t="shared" si="4"/>
        <v>57967.88430540765</v>
      </c>
    </row>
    <row r="22" spans="1:12" s="70" customFormat="1" ht="11.25">
      <c r="A22" s="77" t="s">
        <v>318</v>
      </c>
      <c r="B22" s="160"/>
      <c r="C22" s="160">
        <f>C21*'GASTOS FINANCIEROS'!$B$7</f>
        <v>5892.458816961912</v>
      </c>
      <c r="D22" s="160">
        <f>D21*'GASTOS FINANCIEROS'!$B$7</f>
        <v>6782.698926639905</v>
      </c>
      <c r="E22" s="160">
        <f>E21*'GASTOS FINANCIEROS'!$B$7</f>
        <v>7721.836596921365</v>
      </c>
      <c r="F22" s="160">
        <f>F21*'GASTOS FINANCIEROS'!$B$7</f>
        <v>8715.333018940724</v>
      </c>
      <c r="G22" s="160">
        <f>G21*'GASTOS FINANCIEROS'!$B$7</f>
        <v>9769.532187143439</v>
      </c>
      <c r="H22" s="160">
        <f>H21*'GASTOS FINANCIEROS'!$B$7</f>
        <v>10891.816797549089</v>
      </c>
      <c r="I22" s="160">
        <f>I21*'GASTOS FINANCIEROS'!$B$7</f>
        <v>11752.351037050557</v>
      </c>
      <c r="J22" s="160">
        <f>J21*'GASTOS FINANCIEROS'!$B$7</f>
        <v>12638.70130373708</v>
      </c>
      <c r="K22" s="160">
        <f>K21*'GASTOS FINANCIEROS'!$B$7</f>
        <v>13551.642078424187</v>
      </c>
      <c r="L22" s="160">
        <f>L21*'GASTOS FINANCIEROS'!$B$7</f>
        <v>14491.971076351912</v>
      </c>
    </row>
    <row r="23" spans="1:12" s="143" customFormat="1" ht="11.25">
      <c r="A23" s="161" t="s">
        <v>482</v>
      </c>
      <c r="B23" s="167"/>
      <c r="C23" s="167">
        <f>C21-C22</f>
        <v>17677.376450885735</v>
      </c>
      <c r="D23" s="167">
        <f aca="true" t="shared" si="5" ref="D23:K23">D21-D22</f>
        <v>20348.096779919717</v>
      </c>
      <c r="E23" s="167">
        <f t="shared" si="5"/>
        <v>23165.509790764096</v>
      </c>
      <c r="F23" s="167">
        <f t="shared" si="5"/>
        <v>26145.999056822173</v>
      </c>
      <c r="G23" s="167">
        <f t="shared" si="5"/>
        <v>29308.596561430317</v>
      </c>
      <c r="H23" s="167">
        <f t="shared" si="5"/>
        <v>32675.450392647268</v>
      </c>
      <c r="I23" s="167">
        <f t="shared" si="5"/>
        <v>35257.053111151676</v>
      </c>
      <c r="J23" s="167">
        <f t="shared" si="5"/>
        <v>37916.10391121124</v>
      </c>
      <c r="K23" s="167">
        <f t="shared" si="5"/>
        <v>40654.926235272564</v>
      </c>
      <c r="L23" s="167">
        <f>L21-L22</f>
        <v>43475.91322905574</v>
      </c>
    </row>
    <row r="24" spans="1:12" ht="11.25">
      <c r="A24" s="66" t="s">
        <v>320</v>
      </c>
      <c r="B24" s="146"/>
      <c r="C24" s="146">
        <f>C16</f>
        <v>2328.2496</v>
      </c>
      <c r="D24" s="146">
        <f aca="true" t="shared" si="6" ref="D24:L24">D16</f>
        <v>2328.2496</v>
      </c>
      <c r="E24" s="146">
        <f t="shared" si="6"/>
        <v>2328.2496</v>
      </c>
      <c r="F24" s="146">
        <f t="shared" si="6"/>
        <v>2328.2496</v>
      </c>
      <c r="G24" s="146">
        <f t="shared" si="6"/>
        <v>2328.2496</v>
      </c>
      <c r="H24" s="146">
        <f t="shared" si="6"/>
        <v>2328.2496</v>
      </c>
      <c r="I24" s="146">
        <f t="shared" si="6"/>
        <v>2328.2496</v>
      </c>
      <c r="J24" s="146">
        <f t="shared" si="6"/>
        <v>2328.2496</v>
      </c>
      <c r="K24" s="146">
        <f t="shared" si="6"/>
        <v>2328.2496</v>
      </c>
      <c r="L24" s="146">
        <f t="shared" si="6"/>
        <v>2328.2496</v>
      </c>
    </row>
    <row r="25" spans="1:12" ht="11.25">
      <c r="A25" s="159" t="s">
        <v>321</v>
      </c>
      <c r="B25" s="146"/>
      <c r="C25" s="146">
        <f>C17</f>
        <v>491.06499999999994</v>
      </c>
      <c r="D25" s="146">
        <f aca="true" t="shared" si="7" ref="D25:L25">D17</f>
        <v>491.06499999999994</v>
      </c>
      <c r="E25" s="146">
        <f t="shared" si="7"/>
        <v>491.06499999999994</v>
      </c>
      <c r="F25" s="146">
        <f t="shared" si="7"/>
        <v>491.06499999999994</v>
      </c>
      <c r="G25" s="146">
        <f t="shared" si="7"/>
        <v>491.06499999999994</v>
      </c>
      <c r="H25" s="146">
        <f t="shared" si="7"/>
        <v>491.06499999999994</v>
      </c>
      <c r="I25" s="146">
        <f t="shared" si="7"/>
        <v>491.06499999999994</v>
      </c>
      <c r="J25" s="146">
        <f t="shared" si="7"/>
        <v>491.06499999999994</v>
      </c>
      <c r="K25" s="146">
        <f t="shared" si="7"/>
        <v>491.06499999999994</v>
      </c>
      <c r="L25" s="146">
        <f t="shared" si="7"/>
        <v>491.06499999999994</v>
      </c>
    </row>
    <row r="26" spans="1:12" s="70" customFormat="1" ht="11.25">
      <c r="A26" s="77" t="s">
        <v>484</v>
      </c>
      <c r="B26" s="77"/>
      <c r="C26" s="160">
        <f>'GASTOS FINANCIEROS'!C15</f>
        <v>3867.600403155384</v>
      </c>
      <c r="D26" s="160">
        <f>'GASTOS FINANCIEROS'!C16</f>
        <v>4563.768475723353</v>
      </c>
      <c r="E26" s="160">
        <f>'GASTOS FINANCIEROS'!C17</f>
        <v>5385.246801353556</v>
      </c>
      <c r="F26" s="160">
        <f>'GASTOS FINANCIEROS'!C18</f>
        <v>6354.591225597196</v>
      </c>
      <c r="G26" s="160">
        <f>'GASTOS FINANCIEROS'!C19</f>
        <v>7498.417646204691</v>
      </c>
      <c r="H26" s="146">
        <v>0</v>
      </c>
      <c r="I26" s="146">
        <v>0</v>
      </c>
      <c r="J26" s="146">
        <v>0</v>
      </c>
      <c r="K26" s="146">
        <v>0</v>
      </c>
      <c r="L26" s="146">
        <v>0</v>
      </c>
    </row>
    <row r="27" spans="1:12" s="143" customFormat="1" ht="11.25">
      <c r="A27" s="162" t="s">
        <v>485</v>
      </c>
      <c r="B27" s="166"/>
      <c r="C27" s="166">
        <f>SUM(C23:C25)-C26</f>
        <v>16629.09064773035</v>
      </c>
      <c r="D27" s="166">
        <f aca="true" t="shared" si="8" ref="D27:L27">SUM(D23:D25)-D26</f>
        <v>18603.642904196364</v>
      </c>
      <c r="E27" s="166">
        <f t="shared" si="8"/>
        <v>20599.57758941054</v>
      </c>
      <c r="F27" s="166">
        <f t="shared" si="8"/>
        <v>22610.722431224975</v>
      </c>
      <c r="G27" s="166">
        <f t="shared" si="8"/>
        <v>24629.493515225622</v>
      </c>
      <c r="H27" s="166">
        <f t="shared" si="8"/>
        <v>35494.76499264727</v>
      </c>
      <c r="I27" s="166">
        <f t="shared" si="8"/>
        <v>38076.36771115168</v>
      </c>
      <c r="J27" s="166">
        <f t="shared" si="8"/>
        <v>40735.41851121125</v>
      </c>
      <c r="K27" s="166">
        <f t="shared" si="8"/>
        <v>43474.24083527257</v>
      </c>
      <c r="L27" s="166">
        <f t="shared" si="8"/>
        <v>46295.227829055744</v>
      </c>
    </row>
    <row r="28" spans="1:12" ht="11.25">
      <c r="A28" s="66" t="s">
        <v>322</v>
      </c>
      <c r="B28" s="146">
        <f>-SUM('BALANCE INICIAL'!B7:B12)</f>
        <v>-20038.89</v>
      </c>
      <c r="C28" s="66"/>
      <c r="D28" s="66"/>
      <c r="E28" s="66"/>
      <c r="F28" s="66"/>
      <c r="G28" s="146"/>
      <c r="H28" s="66"/>
      <c r="I28" s="66"/>
      <c r="J28" s="66"/>
      <c r="K28" s="66"/>
      <c r="L28" s="66"/>
    </row>
    <row r="29" spans="1:12" s="70" customFormat="1" ht="11.25">
      <c r="A29" s="77" t="s">
        <v>323</v>
      </c>
      <c r="B29" s="160">
        <f>-'BALANCE INICIAL'!B4</f>
        <v>-27630.73455203416</v>
      </c>
      <c r="C29" s="160"/>
      <c r="D29" s="160"/>
      <c r="E29" s="160"/>
      <c r="F29" s="160"/>
      <c r="G29" s="160"/>
      <c r="H29" s="77"/>
      <c r="I29" s="77"/>
      <c r="J29" s="77"/>
      <c r="K29" s="77"/>
      <c r="L29" s="77"/>
    </row>
    <row r="30" spans="1:12" ht="11.25">
      <c r="A30" s="66" t="s">
        <v>427</v>
      </c>
      <c r="B30" s="66"/>
      <c r="C30" s="66"/>
      <c r="D30" s="66"/>
      <c r="E30" s="66"/>
      <c r="F30" s="66"/>
      <c r="G30" s="66"/>
      <c r="H30" s="66"/>
      <c r="I30" s="66"/>
      <c r="J30" s="66"/>
      <c r="K30" s="66"/>
      <c r="L30" s="146">
        <f>'COSTOS FIJOS'!I14</f>
        <v>1533.019999999999</v>
      </c>
    </row>
    <row r="31" spans="1:12" s="143" customFormat="1" ht="11.25">
      <c r="A31" s="163" t="s">
        <v>486</v>
      </c>
      <c r="B31" s="165">
        <f>SUM(B27:B30)</f>
        <v>-47669.62455203416</v>
      </c>
      <c r="C31" s="165">
        <f aca="true" t="shared" si="9" ref="C31:L31">SUM(C27:C30)</f>
        <v>16629.09064773035</v>
      </c>
      <c r="D31" s="165">
        <f t="shared" si="9"/>
        <v>18603.642904196364</v>
      </c>
      <c r="E31" s="165">
        <f t="shared" si="9"/>
        <v>20599.57758941054</v>
      </c>
      <c r="F31" s="165">
        <f t="shared" si="9"/>
        <v>22610.722431224975</v>
      </c>
      <c r="G31" s="165">
        <f t="shared" si="9"/>
        <v>24629.493515225622</v>
      </c>
      <c r="H31" s="165">
        <f t="shared" si="9"/>
        <v>35494.76499264727</v>
      </c>
      <c r="I31" s="165">
        <f t="shared" si="9"/>
        <v>38076.36771115168</v>
      </c>
      <c r="J31" s="165">
        <f t="shared" si="9"/>
        <v>40735.41851121125</v>
      </c>
      <c r="K31" s="165">
        <f t="shared" si="9"/>
        <v>43474.24083527257</v>
      </c>
      <c r="L31" s="165">
        <f t="shared" si="9"/>
        <v>47828.24782905574</v>
      </c>
    </row>
    <row r="32" spans="1:12" ht="11.25">
      <c r="A32" s="147"/>
      <c r="B32" s="148"/>
      <c r="C32" s="66"/>
      <c r="D32" s="66"/>
      <c r="E32" s="66"/>
      <c r="F32" s="66"/>
      <c r="G32" s="66"/>
      <c r="H32" s="66"/>
      <c r="I32" s="66"/>
      <c r="J32" s="66"/>
      <c r="K32" s="66"/>
      <c r="L32" s="66"/>
    </row>
    <row r="33" spans="1:12" ht="11.25">
      <c r="A33" s="164" t="s">
        <v>303</v>
      </c>
      <c r="B33" s="146"/>
      <c r="C33" s="146">
        <f>'BALANCE INICIAL'!B4</f>
        <v>27630.73455203416</v>
      </c>
      <c r="D33" s="146">
        <f>C36</f>
        <v>39271.098005445405</v>
      </c>
      <c r="E33" s="146">
        <f aca="true" t="shared" si="10" ref="E33:L33">D36</f>
        <v>52293.64803838286</v>
      </c>
      <c r="F33" s="146">
        <f t="shared" si="10"/>
        <v>66713.35235097025</v>
      </c>
      <c r="G33" s="146">
        <f t="shared" si="10"/>
        <v>82540.85805282774</v>
      </c>
      <c r="H33" s="146">
        <f t="shared" si="10"/>
        <v>99781.50351348567</v>
      </c>
      <c r="I33" s="146">
        <f t="shared" si="10"/>
        <v>124627.83900833876</v>
      </c>
      <c r="J33" s="146">
        <f t="shared" si="10"/>
        <v>151281.29640614495</v>
      </c>
      <c r="K33" s="146">
        <f t="shared" si="10"/>
        <v>179796.08936399283</v>
      </c>
      <c r="L33" s="146">
        <f t="shared" si="10"/>
        <v>210228.05794868362</v>
      </c>
    </row>
    <row r="34" spans="1:12" ht="11.25">
      <c r="A34" s="164" t="s">
        <v>326</v>
      </c>
      <c r="B34" s="146"/>
      <c r="C34" s="146">
        <f>C31</f>
        <v>16629.09064773035</v>
      </c>
      <c r="D34" s="146">
        <f aca="true" t="shared" si="11" ref="D34:L34">D31</f>
        <v>18603.642904196364</v>
      </c>
      <c r="E34" s="146">
        <f t="shared" si="11"/>
        <v>20599.57758941054</v>
      </c>
      <c r="F34" s="146">
        <f t="shared" si="11"/>
        <v>22610.722431224975</v>
      </c>
      <c r="G34" s="146">
        <f t="shared" si="11"/>
        <v>24629.493515225622</v>
      </c>
      <c r="H34" s="146">
        <f t="shared" si="11"/>
        <v>35494.76499264727</v>
      </c>
      <c r="I34" s="146">
        <f t="shared" si="11"/>
        <v>38076.36771115168</v>
      </c>
      <c r="J34" s="146">
        <f t="shared" si="11"/>
        <v>40735.41851121125</v>
      </c>
      <c r="K34" s="146">
        <f t="shared" si="11"/>
        <v>43474.24083527257</v>
      </c>
      <c r="L34" s="146">
        <f t="shared" si="11"/>
        <v>47828.24782905574</v>
      </c>
    </row>
    <row r="35" spans="1:12" ht="11.25">
      <c r="A35" s="164" t="s">
        <v>882</v>
      </c>
      <c r="B35" s="146"/>
      <c r="C35" s="146">
        <f>-C34*'GASTOS FINANCIEROS'!$B$23</f>
        <v>-4988.727194319105</v>
      </c>
      <c r="D35" s="146">
        <f>-D34*'GASTOS FINANCIEROS'!$B$23</f>
        <v>-5581.092871258909</v>
      </c>
      <c r="E35" s="146">
        <f>-E34*'GASTOS FINANCIEROS'!$B$23</f>
        <v>-6179.873276823161</v>
      </c>
      <c r="F35" s="146">
        <f>-F34*'GASTOS FINANCIEROS'!$B$23</f>
        <v>-6783.216729367492</v>
      </c>
      <c r="G35" s="146">
        <f>-G34*'GASTOS FINANCIEROS'!$B$23</f>
        <v>-7388.848054567687</v>
      </c>
      <c r="H35" s="146">
        <f>-H34*'GASTOS FINANCIEROS'!$B$23</f>
        <v>-10648.42949779418</v>
      </c>
      <c r="I35" s="146">
        <f>-I34*'GASTOS FINANCIEROS'!$B$23</f>
        <v>-11422.910313345505</v>
      </c>
      <c r="J35" s="146">
        <f>-J34*'GASTOS FINANCIEROS'!$B$23</f>
        <v>-12220.625553363374</v>
      </c>
      <c r="K35" s="146">
        <f>-K34*'GASTOS FINANCIEROS'!$B$23</f>
        <v>-13042.272250581771</v>
      </c>
      <c r="L35" s="146">
        <f>-L34*'GASTOS FINANCIEROS'!$B$23</f>
        <v>-14348.474348716722</v>
      </c>
    </row>
    <row r="36" spans="1:12" s="143" customFormat="1" ht="11.25">
      <c r="A36" s="317" t="s">
        <v>304</v>
      </c>
      <c r="B36" s="318"/>
      <c r="C36" s="318">
        <f>SUM(C33:C35)</f>
        <v>39271.098005445405</v>
      </c>
      <c r="D36" s="318">
        <f aca="true" t="shared" si="12" ref="D36:L36">SUM(D33:D35)</f>
        <v>52293.64803838286</v>
      </c>
      <c r="E36" s="318">
        <f t="shared" si="12"/>
        <v>66713.35235097025</v>
      </c>
      <c r="F36" s="318">
        <f t="shared" si="12"/>
        <v>82540.85805282774</v>
      </c>
      <c r="G36" s="318">
        <f t="shared" si="12"/>
        <v>99781.50351348567</v>
      </c>
      <c r="H36" s="318">
        <f t="shared" si="12"/>
        <v>124627.83900833876</v>
      </c>
      <c r="I36" s="318">
        <f t="shared" si="12"/>
        <v>151281.29640614495</v>
      </c>
      <c r="J36" s="318">
        <f t="shared" si="12"/>
        <v>179796.08936399283</v>
      </c>
      <c r="K36" s="318">
        <f t="shared" si="12"/>
        <v>210228.05794868362</v>
      </c>
      <c r="L36" s="318">
        <f t="shared" si="12"/>
        <v>243707.83142902263</v>
      </c>
    </row>
    <row r="37" spans="1:9" ht="11.25">
      <c r="A37" s="149"/>
      <c r="B37" s="149"/>
      <c r="C37" s="149"/>
      <c r="D37" s="149"/>
      <c r="E37" s="149"/>
      <c r="F37" s="149"/>
      <c r="G37" s="149"/>
      <c r="H37" s="149"/>
      <c r="I37" s="149"/>
    </row>
    <row r="38" spans="1:3" ht="11.25">
      <c r="A38" s="175" t="s">
        <v>324</v>
      </c>
      <c r="B38" s="322">
        <f>NPV(B47,B31,C31:L31)</f>
        <v>2256.5837921492957</v>
      </c>
      <c r="C38" s="319"/>
    </row>
    <row r="39" spans="1:2" ht="11.25">
      <c r="A39" s="175" t="s">
        <v>325</v>
      </c>
      <c r="B39" s="176">
        <f>IRR(B31:L31)</f>
        <v>0.4482484918340192</v>
      </c>
    </row>
    <row r="42" spans="1:2" ht="11.25">
      <c r="A42" s="340" t="s">
        <v>327</v>
      </c>
      <c r="B42" s="341">
        <v>0.0252</v>
      </c>
    </row>
    <row r="43" spans="1:2" ht="11.25">
      <c r="A43" s="340" t="s">
        <v>328</v>
      </c>
      <c r="B43" s="342">
        <f>BETA!E108</f>
        <v>0.8753088174589672</v>
      </c>
    </row>
    <row r="44" spans="1:2" ht="11.25">
      <c r="A44" s="340" t="s">
        <v>329</v>
      </c>
      <c r="B44" s="341">
        <v>0.081</v>
      </c>
    </row>
    <row r="45" spans="1:2" ht="11.25">
      <c r="A45" s="340" t="s">
        <v>330</v>
      </c>
      <c r="B45" s="341">
        <f>B42+B43*(B44-B42)</f>
        <v>0.07404223201421037</v>
      </c>
    </row>
    <row r="46" spans="1:2" ht="11.25">
      <c r="A46" s="340" t="s">
        <v>331</v>
      </c>
      <c r="B46" s="343">
        <v>0.3491</v>
      </c>
    </row>
    <row r="47" spans="1:2" ht="11.25">
      <c r="A47" s="340" t="s">
        <v>332</v>
      </c>
      <c r="B47" s="343">
        <f>B42+B43*(B44-B42)+B46</f>
        <v>0.4231422320142104</v>
      </c>
    </row>
  </sheetData>
  <sheetProtection/>
  <mergeCells count="1">
    <mergeCell ref="A1:L1"/>
  </mergeCells>
  <printOptions/>
  <pageMargins left="0.7" right="0.7" top="0.75" bottom="0.75" header="0.3" footer="0.3"/>
  <pageSetup orientation="portrait" paperSize="9"/>
  <ignoredErrors>
    <ignoredError sqref="C22:L22" formula="1"/>
  </ignoredErrors>
</worksheet>
</file>

<file path=xl/worksheets/sheet11.xml><?xml version="1.0" encoding="utf-8"?>
<worksheet xmlns="http://schemas.openxmlformats.org/spreadsheetml/2006/main" xmlns:r="http://schemas.openxmlformats.org/officeDocument/2006/relationships">
  <dimension ref="A1:J233"/>
  <sheetViews>
    <sheetView zoomScalePageLayoutView="0" workbookViewId="0" topLeftCell="A64">
      <selection activeCell="F110" sqref="F110"/>
    </sheetView>
  </sheetViews>
  <sheetFormatPr defaultColWidth="11.421875" defaultRowHeight="15"/>
  <cols>
    <col min="1" max="1" width="11.28125" style="177" customWidth="1"/>
    <col min="2" max="2" width="27.00390625" style="177" customWidth="1"/>
    <col min="3" max="3" width="15.28125" style="177" customWidth="1"/>
    <col min="4" max="4" width="11.57421875" style="177" bestFit="1" customWidth="1"/>
    <col min="5" max="5" width="26.57421875" style="177" bestFit="1" customWidth="1"/>
    <col min="6" max="6" width="25.140625" style="177" customWidth="1"/>
    <col min="7" max="7" width="13.421875" style="177" customWidth="1"/>
    <col min="8" max="16384" width="11.421875" style="177" customWidth="1"/>
  </cols>
  <sheetData>
    <row r="1" spans="1:2" ht="12" thickBot="1">
      <c r="A1" s="201" t="s">
        <v>333</v>
      </c>
      <c r="B1" s="324">
        <f>+DEMANDA!B2</f>
        <v>1576.9398531891904</v>
      </c>
    </row>
    <row r="2" spans="1:7" ht="11.25">
      <c r="A2" s="362" t="s">
        <v>334</v>
      </c>
      <c r="B2" s="363"/>
      <c r="C2" s="363"/>
      <c r="D2" s="363"/>
      <c r="E2" s="363"/>
      <c r="F2" s="364"/>
      <c r="G2" s="200"/>
    </row>
    <row r="3" spans="1:6" s="199" customFormat="1" ht="11.25">
      <c r="A3" s="218"/>
      <c r="B3" s="219"/>
      <c r="C3" s="219"/>
      <c r="D3" s="219" t="s">
        <v>383</v>
      </c>
      <c r="E3" s="219" t="s">
        <v>335</v>
      </c>
      <c r="F3" s="220" t="s">
        <v>411</v>
      </c>
    </row>
    <row r="4" spans="1:6" ht="11.25">
      <c r="A4" s="217" t="s">
        <v>883</v>
      </c>
      <c r="B4" s="194"/>
      <c r="C4" s="194"/>
      <c r="D4" s="212">
        <f>+B1</f>
        <v>1576.9398531891904</v>
      </c>
      <c r="E4" s="213">
        <f>+'DETALLADO DE MATERIA PRIMA'!K874</f>
        <v>97.73910834166647</v>
      </c>
      <c r="F4" s="221">
        <f>+D4*E4</f>
        <v>154128.6951591499</v>
      </c>
    </row>
    <row r="5" spans="1:6" ht="12" thickBot="1">
      <c r="A5" s="217" t="s">
        <v>336</v>
      </c>
      <c r="B5" s="194"/>
      <c r="C5" s="194"/>
      <c r="D5" s="212">
        <v>0</v>
      </c>
      <c r="E5" s="212">
        <v>0</v>
      </c>
      <c r="F5" s="222">
        <f>+D5*E5</f>
        <v>0</v>
      </c>
    </row>
    <row r="6" spans="1:6" ht="11.25" hidden="1">
      <c r="A6" s="217"/>
      <c r="B6" s="223">
        <v>-0.02538071</v>
      </c>
      <c r="C6" s="194"/>
      <c r="D6" s="212"/>
      <c r="E6" s="212"/>
      <c r="F6" s="222"/>
    </row>
    <row r="7" spans="1:6" ht="12" thickBot="1">
      <c r="A7" s="226" t="s">
        <v>337</v>
      </c>
      <c r="B7" s="227"/>
      <c r="C7" s="227"/>
      <c r="D7" s="228">
        <f>SUM(D4:D6)</f>
        <v>1576.9398531891904</v>
      </c>
      <c r="E7" s="229">
        <f>SUM(E4:E6)</f>
        <v>97.73910834166647</v>
      </c>
      <c r="F7" s="230">
        <f>SUM(F4:F6)</f>
        <v>154128.6951591499</v>
      </c>
    </row>
    <row r="9" spans="1:7" ht="11.25">
      <c r="A9" s="371"/>
      <c r="B9" s="371"/>
      <c r="C9" s="371"/>
      <c r="D9" s="371"/>
      <c r="E9" s="371"/>
      <c r="F9" s="371"/>
      <c r="G9" s="371"/>
    </row>
    <row r="10" ht="12" thickBot="1"/>
    <row r="11" spans="1:7" ht="11.25">
      <c r="A11" s="362" t="s">
        <v>384</v>
      </c>
      <c r="B11" s="363"/>
      <c r="C11" s="363"/>
      <c r="D11" s="363"/>
      <c r="E11" s="363"/>
      <c r="F11" s="363"/>
      <c r="G11" s="364"/>
    </row>
    <row r="12" spans="1:7" ht="11.25">
      <c r="A12" s="372" t="s">
        <v>385</v>
      </c>
      <c r="B12" s="373"/>
      <c r="C12" s="373"/>
      <c r="D12" s="373"/>
      <c r="E12" s="373"/>
      <c r="F12" s="373"/>
      <c r="G12" s="374"/>
    </row>
    <row r="13" spans="1:7" s="203" customFormat="1" ht="21" customHeight="1">
      <c r="A13" s="208"/>
      <c r="B13" s="209"/>
      <c r="C13" s="209" t="s">
        <v>338</v>
      </c>
      <c r="D13" s="209"/>
      <c r="E13" s="209"/>
      <c r="F13" s="209" t="s">
        <v>884</v>
      </c>
      <c r="G13" s="210" t="s">
        <v>885</v>
      </c>
    </row>
    <row r="14" spans="1:7" ht="11.25">
      <c r="A14" s="211">
        <f>+'COSTOS OPERCIONALES'!G12</f>
        <v>1</v>
      </c>
      <c r="B14" s="212" t="str">
        <f>+'COSTOS OPERCIONALES'!F12</f>
        <v>CHEF</v>
      </c>
      <c r="C14" s="213">
        <f>+'COSTOS OPERCIONALES'!H12</f>
        <v>400</v>
      </c>
      <c r="D14" s="214"/>
      <c r="E14" s="194"/>
      <c r="F14" s="215">
        <f>+'COSTOS OPERCIONALES'!N12</f>
        <v>6298.8</v>
      </c>
      <c r="G14" s="216">
        <f>+F14</f>
        <v>6298.8</v>
      </c>
    </row>
    <row r="15" spans="1:7" ht="11.25">
      <c r="A15" s="211">
        <f>+'COSTOS OPERCIONALES'!G13</f>
        <v>2</v>
      </c>
      <c r="B15" s="212" t="str">
        <f>+'COSTOS OPERCIONALES'!F13</f>
        <v>ASISTENTE CHEF</v>
      </c>
      <c r="C15" s="213">
        <f>+'COSTOS OPERCIONALES'!H13</f>
        <v>250</v>
      </c>
      <c r="D15" s="214"/>
      <c r="E15" s="194"/>
      <c r="F15" s="215">
        <f>+'COSTOS OPERCIONALES'!N13</f>
        <v>7828.200000000001</v>
      </c>
      <c r="G15" s="216">
        <f>+F15</f>
        <v>7828.200000000001</v>
      </c>
    </row>
    <row r="16" spans="1:7" ht="12" thickBot="1">
      <c r="A16" s="217"/>
      <c r="B16" s="194"/>
      <c r="C16" s="194"/>
      <c r="D16" s="194"/>
      <c r="E16" s="194"/>
      <c r="F16" s="215"/>
      <c r="G16" s="216"/>
    </row>
    <row r="17" spans="1:7" s="202" customFormat="1" ht="12" thickBot="1">
      <c r="A17" s="204" t="s">
        <v>339</v>
      </c>
      <c r="B17" s="205"/>
      <c r="C17" s="205"/>
      <c r="D17" s="205"/>
      <c r="E17" s="205"/>
      <c r="F17" s="206"/>
      <c r="G17" s="207">
        <f>SUM(G14:G16)</f>
        <v>14127</v>
      </c>
    </row>
    <row r="18" ht="12" thickBot="1"/>
    <row r="19" spans="1:7" ht="11.25">
      <c r="A19" s="362" t="s">
        <v>384</v>
      </c>
      <c r="B19" s="363"/>
      <c r="C19" s="363"/>
      <c r="D19" s="363"/>
      <c r="E19" s="363"/>
      <c r="F19" s="364"/>
      <c r="G19" s="200"/>
    </row>
    <row r="20" spans="1:7" ht="11.25">
      <c r="A20" s="368" t="s">
        <v>887</v>
      </c>
      <c r="B20" s="369"/>
      <c r="C20" s="369"/>
      <c r="D20" s="369"/>
      <c r="E20" s="369"/>
      <c r="F20" s="370"/>
      <c r="G20" s="200"/>
    </row>
    <row r="21" spans="1:6" s="199" customFormat="1" ht="11.25">
      <c r="A21" s="218"/>
      <c r="B21" s="219"/>
      <c r="C21" s="219"/>
      <c r="D21" s="219" t="s">
        <v>383</v>
      </c>
      <c r="E21" s="219" t="s">
        <v>335</v>
      </c>
      <c r="F21" s="220" t="s">
        <v>411</v>
      </c>
    </row>
    <row r="22" spans="1:6" ht="11.25">
      <c r="A22" s="217" t="s">
        <v>886</v>
      </c>
      <c r="B22" s="194"/>
      <c r="C22" s="194"/>
      <c r="D22" s="212">
        <f>+B1</f>
        <v>1576.9398531891904</v>
      </c>
      <c r="E22" s="213">
        <f>+'COSTOS OPERCIONALES'!J26</f>
        <v>25006.118400000003</v>
      </c>
      <c r="F22" s="221">
        <f>E22</f>
        <v>25006.118400000003</v>
      </c>
    </row>
    <row r="23" spans="1:6" ht="11.25">
      <c r="A23" s="217"/>
      <c r="B23" s="194"/>
      <c r="C23" s="194"/>
      <c r="D23" s="212">
        <v>0</v>
      </c>
      <c r="E23" s="212">
        <v>0</v>
      </c>
      <c r="F23" s="222">
        <f>+D23*E23</f>
        <v>0</v>
      </c>
    </row>
    <row r="24" spans="1:6" ht="12" thickBot="1">
      <c r="A24" s="217"/>
      <c r="B24" s="194"/>
      <c r="C24" s="194"/>
      <c r="D24" s="214"/>
      <c r="E24" s="214"/>
      <c r="F24" s="231"/>
    </row>
    <row r="25" spans="1:6" ht="12" thickBot="1">
      <c r="A25" s="226" t="s">
        <v>888</v>
      </c>
      <c r="B25" s="227"/>
      <c r="C25" s="227"/>
      <c r="D25" s="227"/>
      <c r="E25" s="227"/>
      <c r="F25" s="230">
        <f>SUM(F22:F24)</f>
        <v>25006.118400000003</v>
      </c>
    </row>
    <row r="27" ht="12" thickBot="1"/>
    <row r="28" spans="2:6" ht="11.25">
      <c r="B28" s="235"/>
      <c r="C28" s="236" t="s">
        <v>386</v>
      </c>
      <c r="D28" s="236"/>
      <c r="E28" s="236"/>
      <c r="F28" s="237" t="s">
        <v>387</v>
      </c>
    </row>
    <row r="29" spans="2:6" ht="11.25">
      <c r="B29" s="217" t="str">
        <f>+'COSTOS FIJOS'!A10</f>
        <v>EQUIPOS (vida útil 5 años)</v>
      </c>
      <c r="C29" s="194"/>
      <c r="D29" s="194"/>
      <c r="E29" s="194"/>
      <c r="F29" s="221">
        <f>+'COSTOS FIJOS'!E10</f>
        <v>140.4</v>
      </c>
    </row>
    <row r="30" spans="2:6" ht="11.25">
      <c r="B30" s="217" t="str">
        <f>+'COSTOS FIJOS'!A11</f>
        <v>EQUIPOS Y MUEBLES (vida útil 10 años)</v>
      </c>
      <c r="C30" s="194"/>
      <c r="D30" s="194"/>
      <c r="E30" s="194"/>
      <c r="F30" s="221">
        <f>+'COSTOS FIJOS'!E11</f>
        <v>657.3816</v>
      </c>
    </row>
    <row r="31" spans="2:6" ht="11.25">
      <c r="B31" s="217" t="str">
        <f>+'COSTOS FIJOS'!A12</f>
        <v>EQUIPOS DE COMPUTO Y SOFTWARE (vida útil 3 años)</v>
      </c>
      <c r="C31" s="194"/>
      <c r="D31" s="194"/>
      <c r="E31" s="194"/>
      <c r="F31" s="221">
        <f>+'COSTOS FIJOS'!E12</f>
        <v>666.468</v>
      </c>
    </row>
    <row r="32" spans="2:6" ht="11.25">
      <c r="B32" s="217" t="str">
        <f>+'COSTOS FIJOS'!A13</f>
        <v>EQUIPO DE TRANSPORTE (vida útil 5 años)</v>
      </c>
      <c r="C32" s="194"/>
      <c r="D32" s="194"/>
      <c r="E32" s="194"/>
      <c r="F32" s="221">
        <f>+'COSTOS FIJOS'!E13</f>
        <v>864</v>
      </c>
    </row>
    <row r="33" spans="2:6" ht="12" thickBot="1">
      <c r="B33" s="217"/>
      <c r="C33" s="194"/>
      <c r="D33" s="194"/>
      <c r="E33" s="194"/>
      <c r="F33" s="221"/>
    </row>
    <row r="34" spans="2:6" ht="12" thickBot="1">
      <c r="B34" s="185" t="s">
        <v>388</v>
      </c>
      <c r="C34" s="205"/>
      <c r="D34" s="205"/>
      <c r="E34" s="205"/>
      <c r="F34" s="234">
        <f>SUM(F29:F33)</f>
        <v>2328.2496</v>
      </c>
    </row>
    <row r="35" ht="12" thickBot="1"/>
    <row r="36" spans="1:8" ht="11.25">
      <c r="A36" s="180"/>
      <c r="B36" s="362" t="s">
        <v>384</v>
      </c>
      <c r="C36" s="363"/>
      <c r="D36" s="363"/>
      <c r="E36" s="363"/>
      <c r="F36" s="363"/>
      <c r="G36" s="364"/>
      <c r="H36" s="200"/>
    </row>
    <row r="37" spans="2:7" ht="12.75" customHeight="1">
      <c r="B37" s="365" t="s">
        <v>341</v>
      </c>
      <c r="C37" s="366"/>
      <c r="D37" s="366"/>
      <c r="E37" s="366"/>
      <c r="F37" s="366"/>
      <c r="G37" s="367"/>
    </row>
    <row r="38" spans="2:7" ht="11.25">
      <c r="B38" s="239" t="s">
        <v>342</v>
      </c>
      <c r="C38" s="194"/>
      <c r="D38" s="194"/>
      <c r="E38" s="194"/>
      <c r="F38" s="194"/>
      <c r="G38" s="238"/>
    </row>
    <row r="39" spans="2:7" ht="11.25">
      <c r="B39" s="217" t="str">
        <f>+'COSTOS FIJOS'!A18</f>
        <v>ADMINISTRADOR</v>
      </c>
      <c r="C39" s="194"/>
      <c r="D39" s="194"/>
      <c r="E39" s="194"/>
      <c r="F39" s="194"/>
      <c r="G39" s="221">
        <f>+'COSTOS FIJOS'!I18</f>
        <v>12034</v>
      </c>
    </row>
    <row r="40" spans="2:7" ht="11.25">
      <c r="B40" s="217" t="str">
        <f>+'COSTOS FIJOS'!A19</f>
        <v>CHOFER</v>
      </c>
      <c r="C40" s="194"/>
      <c r="D40" s="194"/>
      <c r="E40" s="194"/>
      <c r="F40" s="194"/>
      <c r="G40" s="221">
        <f>+'COSTOS FIJOS'!I19</f>
        <v>15188.400000000001</v>
      </c>
    </row>
    <row r="41" spans="2:7" ht="11.25">
      <c r="B41" s="217" t="str">
        <f>+'COSTOS FIJOS'!A20</f>
        <v>CONTRATSTA 1 (Personal de limpieza)</v>
      </c>
      <c r="C41" s="194"/>
      <c r="D41" s="194"/>
      <c r="E41" s="194"/>
      <c r="F41" s="194"/>
      <c r="G41" s="221">
        <f>+'COSTOS FIJOS'!I20</f>
        <v>3144.44</v>
      </c>
    </row>
    <row r="42" spans="2:7" ht="11.25">
      <c r="B42" s="217" t="str">
        <f>+'COSTOS FIJOS'!A21</f>
        <v>CONTRATISTA 2 (Nutricionista)</v>
      </c>
      <c r="C42" s="194"/>
      <c r="D42" s="194"/>
      <c r="E42" s="194"/>
      <c r="F42" s="194"/>
      <c r="G42" s="221">
        <f>+'COSTOS FIJOS'!I21</f>
        <v>4865</v>
      </c>
    </row>
    <row r="43" spans="2:7" ht="12" thickBot="1">
      <c r="B43" s="217" t="str">
        <f>+'COSTOS FIJOS'!A22</f>
        <v>CONTRATISTA 3 (Administrador de sistema)</v>
      </c>
      <c r="C43" s="194"/>
      <c r="D43" s="194"/>
      <c r="E43" s="194"/>
      <c r="F43" s="194"/>
      <c r="G43" s="221">
        <f>+'COSTOS FIJOS'!I22</f>
        <v>3431.2000000000003</v>
      </c>
    </row>
    <row r="44" spans="2:7" ht="12" thickBot="1">
      <c r="B44" s="204" t="str">
        <f>+'COSTOS FIJOS'!A23</f>
        <v>TOTAL</v>
      </c>
      <c r="C44" s="205"/>
      <c r="D44" s="205"/>
      <c r="E44" s="205"/>
      <c r="F44" s="205"/>
      <c r="G44" s="234">
        <f>+'COSTOS FIJOS'!I23</f>
        <v>38663.03999999999</v>
      </c>
    </row>
    <row r="45" ht="11.25">
      <c r="G45" s="178"/>
    </row>
    <row r="46" ht="12" thickBot="1">
      <c r="G46" s="178"/>
    </row>
    <row r="47" spans="2:7" ht="12.75" customHeight="1">
      <c r="B47" s="362" t="s">
        <v>384</v>
      </c>
      <c r="C47" s="363"/>
      <c r="D47" s="363"/>
      <c r="E47" s="363"/>
      <c r="F47" s="363"/>
      <c r="G47" s="364"/>
    </row>
    <row r="48" spans="2:7" ht="12" customHeight="1">
      <c r="B48" s="365" t="s">
        <v>389</v>
      </c>
      <c r="C48" s="366"/>
      <c r="D48" s="366"/>
      <c r="E48" s="366"/>
      <c r="F48" s="366"/>
      <c r="G48" s="367"/>
    </row>
    <row r="49" spans="2:7" ht="11.25">
      <c r="B49" s="217"/>
      <c r="C49" s="194"/>
      <c r="D49" s="194"/>
      <c r="E49" s="194"/>
      <c r="F49" s="194"/>
      <c r="G49" s="242" t="s">
        <v>410</v>
      </c>
    </row>
    <row r="50" spans="2:7" ht="11.25">
      <c r="B50" s="217" t="str">
        <f>+'COSTOS FIJOS'!A27</f>
        <v>ENERGIA ELECTRICA</v>
      </c>
      <c r="C50" s="194"/>
      <c r="D50" s="194"/>
      <c r="E50" s="194"/>
      <c r="F50" s="194"/>
      <c r="G50" s="221">
        <f>+'COSTOS FIJOS'!C27</f>
        <v>1440</v>
      </c>
    </row>
    <row r="51" spans="2:7" ht="11.25">
      <c r="B51" s="217" t="str">
        <f>+'COSTOS FIJOS'!A28</f>
        <v>TELEFONO</v>
      </c>
      <c r="C51" s="194"/>
      <c r="D51" s="194"/>
      <c r="E51" s="194"/>
      <c r="F51" s="194"/>
      <c r="G51" s="221">
        <f>+'COSTOS FIJOS'!C28</f>
        <v>720</v>
      </c>
    </row>
    <row r="52" spans="2:7" ht="11.25">
      <c r="B52" s="217" t="str">
        <f>+'COSTOS FIJOS'!A29</f>
        <v>INTERNET</v>
      </c>
      <c r="C52" s="194"/>
      <c r="D52" s="194"/>
      <c r="E52" s="194"/>
      <c r="F52" s="194"/>
      <c r="G52" s="221">
        <f>+'COSTOS FIJOS'!C29</f>
        <v>838.8000000000001</v>
      </c>
    </row>
    <row r="53" spans="2:7" ht="11.25">
      <c r="B53" s="217" t="str">
        <f>+'COSTOS FIJOS'!A30</f>
        <v>ARRIENDO</v>
      </c>
      <c r="C53" s="194"/>
      <c r="D53" s="194"/>
      <c r="E53" s="194"/>
      <c r="F53" s="194"/>
      <c r="G53" s="221">
        <f>+'COSTOS FIJOS'!C30</f>
        <v>4200</v>
      </c>
    </row>
    <row r="54" spans="2:7" ht="12" thickBot="1">
      <c r="B54" s="217" t="str">
        <f>+'COSTOS FIJOS'!A33</f>
        <v>PAPELERIA</v>
      </c>
      <c r="C54" s="194"/>
      <c r="D54" s="194"/>
      <c r="E54" s="194"/>
      <c r="F54" s="194"/>
      <c r="G54" s="221">
        <f>+'COSTOS FIJOS'!C33</f>
        <v>600</v>
      </c>
    </row>
    <row r="55" spans="2:7" ht="12" thickBot="1">
      <c r="B55" s="204" t="str">
        <f>+'COSTOS FIJOS'!A34</f>
        <v>TOTAL</v>
      </c>
      <c r="C55" s="205"/>
      <c r="D55" s="205"/>
      <c r="E55" s="205"/>
      <c r="F55" s="205"/>
      <c r="G55" s="234">
        <f>SUM(G50:G54)</f>
        <v>7798.8</v>
      </c>
    </row>
    <row r="57" ht="12" thickBot="1"/>
    <row r="58" spans="2:7" ht="12.75" customHeight="1">
      <c r="B58" s="362" t="s">
        <v>384</v>
      </c>
      <c r="C58" s="363"/>
      <c r="D58" s="363"/>
      <c r="E58" s="363"/>
      <c r="F58" s="363"/>
      <c r="G58" s="364"/>
    </row>
    <row r="59" spans="2:7" ht="12" customHeight="1">
      <c r="B59" s="365" t="s">
        <v>390</v>
      </c>
      <c r="C59" s="366"/>
      <c r="D59" s="366"/>
      <c r="E59" s="366"/>
      <c r="F59" s="366"/>
      <c r="G59" s="367"/>
    </row>
    <row r="60" spans="2:7" ht="11.25">
      <c r="B60" s="217"/>
      <c r="C60" s="194"/>
      <c r="D60" s="194"/>
      <c r="E60" s="194"/>
      <c r="F60" s="194"/>
      <c r="G60" s="244" t="s">
        <v>410</v>
      </c>
    </row>
    <row r="61" spans="2:7" ht="11.25">
      <c r="B61" s="217" t="str">
        <f>+'COSTOS FIJOS'!F27</f>
        <v>ANUNCIO EN "LA REVISTA" (DIARIO EL UNIVERSO), MEDIDA (11 x 13.20) A COLOR</v>
      </c>
      <c r="C61" s="194"/>
      <c r="D61" s="194"/>
      <c r="E61" s="194"/>
      <c r="F61" s="194"/>
      <c r="G61" s="221">
        <f>+'COSTOS FIJOS'!J27</f>
        <v>30600</v>
      </c>
    </row>
    <row r="62" spans="2:7" ht="11.25">
      <c r="B62" s="217" t="str">
        <f>+'COSTOS FIJOS'!F28</f>
        <v>TRIPTICOS (COLOR, EN COUCHE BRILLO DE 115 GR)</v>
      </c>
      <c r="C62" s="194"/>
      <c r="D62" s="194"/>
      <c r="E62" s="194"/>
      <c r="F62" s="194"/>
      <c r="G62" s="221">
        <f>+'COSTOS FIJOS'!J28</f>
        <v>1269</v>
      </c>
    </row>
    <row r="63" spans="2:7" ht="12" thickBot="1">
      <c r="B63" s="217" t="str">
        <f>+'COSTOS FIJOS'!F29</f>
        <v>CARTEL EXTERIOR LOCAL</v>
      </c>
      <c r="C63" s="194"/>
      <c r="D63" s="194"/>
      <c r="E63" s="194"/>
      <c r="F63" s="194"/>
      <c r="G63" s="221">
        <f>+'COSTOS FIJOS'!J29</f>
        <v>0</v>
      </c>
    </row>
    <row r="64" spans="2:7" ht="12" thickBot="1">
      <c r="B64" s="204" t="str">
        <f>+'COSTOS FIJOS'!F30</f>
        <v>TOTAL</v>
      </c>
      <c r="C64" s="205"/>
      <c r="D64" s="205"/>
      <c r="E64" s="205"/>
      <c r="F64" s="205"/>
      <c r="G64" s="234">
        <f>+'COSTOS FIJOS'!J30</f>
        <v>31869</v>
      </c>
    </row>
    <row r="66" ht="12" thickBot="1"/>
    <row r="67" spans="2:8" ht="11.25">
      <c r="B67" s="362" t="s">
        <v>384</v>
      </c>
      <c r="C67" s="363"/>
      <c r="D67" s="363"/>
      <c r="E67" s="363"/>
      <c r="F67" s="363"/>
      <c r="G67" s="364"/>
      <c r="H67" s="200"/>
    </row>
    <row r="68" spans="2:7" ht="13.5" customHeight="1">
      <c r="B68" s="365" t="s">
        <v>353</v>
      </c>
      <c r="C68" s="366"/>
      <c r="D68" s="366"/>
      <c r="E68" s="366"/>
      <c r="F68" s="366"/>
      <c r="G68" s="367"/>
    </row>
    <row r="69" spans="2:7" ht="11.25">
      <c r="B69" s="217"/>
      <c r="C69" s="194"/>
      <c r="D69" s="194"/>
      <c r="E69" s="194"/>
      <c r="F69" s="194"/>
      <c r="G69" s="238"/>
    </row>
    <row r="70" spans="2:7" ht="11.25">
      <c r="B70" s="217" t="s">
        <v>391</v>
      </c>
      <c r="C70" s="194"/>
      <c r="D70" s="194"/>
      <c r="E70" s="194"/>
      <c r="F70" s="194"/>
      <c r="G70" s="221">
        <f>+'GASTOS FINANCIEROS'!D15</f>
        <v>4980.532419366149</v>
      </c>
    </row>
    <row r="71" spans="2:7" ht="12" thickBot="1">
      <c r="B71" s="217"/>
      <c r="C71" s="194"/>
      <c r="D71" s="194"/>
      <c r="E71" s="194"/>
      <c r="F71" s="194"/>
      <c r="G71" s="231"/>
    </row>
    <row r="72" spans="2:7" ht="12" thickBot="1">
      <c r="B72" s="204" t="s">
        <v>411</v>
      </c>
      <c r="C72" s="205"/>
      <c r="D72" s="205"/>
      <c r="E72" s="205"/>
      <c r="F72" s="205"/>
      <c r="G72" s="234">
        <f>SUM(G70:G71)</f>
        <v>4980.532419366149</v>
      </c>
    </row>
    <row r="74" ht="12" thickBot="1"/>
    <row r="75" spans="1:8" ht="11.25">
      <c r="A75" s="180"/>
      <c r="B75" s="362" t="s">
        <v>384</v>
      </c>
      <c r="C75" s="363"/>
      <c r="D75" s="363"/>
      <c r="E75" s="363"/>
      <c r="F75" s="364"/>
      <c r="G75" s="200"/>
      <c r="H75" s="200"/>
    </row>
    <row r="76" spans="2:6" ht="11.25">
      <c r="B76" s="245" t="s">
        <v>343</v>
      </c>
      <c r="C76" s="232"/>
      <c r="D76" s="232"/>
      <c r="E76" s="232"/>
      <c r="F76" s="233"/>
    </row>
    <row r="77" spans="2:6" ht="11.25">
      <c r="B77" s="245" t="s">
        <v>340</v>
      </c>
      <c r="C77" s="232"/>
      <c r="D77" s="232"/>
      <c r="E77" s="232"/>
      <c r="F77" s="233"/>
    </row>
    <row r="78" spans="2:6" ht="11.25">
      <c r="B78" s="217"/>
      <c r="C78" s="194"/>
      <c r="D78" s="194"/>
      <c r="E78" s="194"/>
      <c r="F78" s="238"/>
    </row>
    <row r="79" spans="2:6" ht="11.25">
      <c r="B79" s="217" t="s">
        <v>219</v>
      </c>
      <c r="C79" s="194"/>
      <c r="D79" s="194"/>
      <c r="E79" s="194"/>
      <c r="F79" s="246">
        <f>+F7</f>
        <v>154128.6951591499</v>
      </c>
    </row>
    <row r="80" spans="2:6" ht="11.25">
      <c r="B80" s="217" t="s">
        <v>345</v>
      </c>
      <c r="C80" s="194"/>
      <c r="D80" s="194"/>
      <c r="E80" s="194"/>
      <c r="F80" s="246">
        <f>+G17</f>
        <v>14127</v>
      </c>
    </row>
    <row r="81" spans="2:6" ht="11.25">
      <c r="B81" s="217" t="s">
        <v>236</v>
      </c>
      <c r="C81" s="194"/>
      <c r="D81" s="194"/>
      <c r="E81" s="194"/>
      <c r="F81" s="246">
        <f>+F25</f>
        <v>25006.118400000003</v>
      </c>
    </row>
    <row r="82" spans="2:6" ht="11.25">
      <c r="B82" s="217" t="s">
        <v>889</v>
      </c>
      <c r="C82" s="194"/>
      <c r="D82" s="194"/>
      <c r="E82" s="194"/>
      <c r="F82" s="247">
        <f>SUM(F79:F81)</f>
        <v>193261.81355914992</v>
      </c>
    </row>
    <row r="83" spans="2:6" ht="11.25">
      <c r="B83" s="217" t="s">
        <v>344</v>
      </c>
      <c r="C83" s="194"/>
      <c r="D83" s="194"/>
      <c r="E83" s="194"/>
      <c r="F83" s="248">
        <f>+F82</f>
        <v>193261.81355914992</v>
      </c>
    </row>
    <row r="84" spans="1:6" ht="11.25">
      <c r="A84" s="250"/>
      <c r="B84" s="217" t="s">
        <v>890</v>
      </c>
      <c r="C84" s="194"/>
      <c r="D84" s="194"/>
      <c r="E84" s="194"/>
      <c r="F84" s="248">
        <v>0</v>
      </c>
    </row>
    <row r="85" spans="2:6" ht="12" thickBot="1">
      <c r="B85" s="217"/>
      <c r="C85" s="194"/>
      <c r="D85" s="194"/>
      <c r="E85" s="194"/>
      <c r="F85" s="248"/>
    </row>
    <row r="86" spans="2:6" ht="12" thickBot="1">
      <c r="B86" s="204" t="s">
        <v>346</v>
      </c>
      <c r="C86" s="205"/>
      <c r="D86" s="205"/>
      <c r="E86" s="205"/>
      <c r="F86" s="249">
        <f>+F83-F84</f>
        <v>193261.81355914992</v>
      </c>
    </row>
    <row r="88" ht="12" thickBot="1"/>
    <row r="89" spans="2:6" ht="11.25">
      <c r="B89" s="327" t="s">
        <v>891</v>
      </c>
      <c r="C89" s="328">
        <f>F86</f>
        <v>193261.81355914992</v>
      </c>
      <c r="F89" s="320"/>
    </row>
    <row r="90" spans="2:6" ht="11.25">
      <c r="B90" s="329" t="s">
        <v>892</v>
      </c>
      <c r="C90" s="330">
        <f>B1</f>
        <v>1576.9398531891904</v>
      </c>
      <c r="F90" s="321"/>
    </row>
    <row r="91" spans="2:3" ht="11.25">
      <c r="B91" s="329"/>
      <c r="C91" s="331"/>
    </row>
    <row r="92" spans="2:6" ht="11.25">
      <c r="B92" s="329" t="s">
        <v>893</v>
      </c>
      <c r="C92" s="332">
        <f>+C89/C90</f>
        <v>122.55496819888138</v>
      </c>
      <c r="F92" s="320"/>
    </row>
    <row r="93" spans="2:6" ht="11.25">
      <c r="B93" s="333">
        <v>0.6</v>
      </c>
      <c r="C93" s="332">
        <f>+C92*B93</f>
        <v>73.53298091932882</v>
      </c>
      <c r="F93" s="268"/>
    </row>
    <row r="94" spans="2:6" ht="11.25">
      <c r="B94" s="334" t="s">
        <v>894</v>
      </c>
      <c r="C94" s="335">
        <f>SUM(C92:C93)</f>
        <v>196.0879491182102</v>
      </c>
      <c r="F94" s="320"/>
    </row>
    <row r="95" spans="2:3" ht="11.25">
      <c r="B95" s="334"/>
      <c r="C95" s="336"/>
    </row>
    <row r="96" spans="2:3" ht="11.25">
      <c r="B96" s="329"/>
      <c r="C96" s="337" t="s">
        <v>333</v>
      </c>
    </row>
    <row r="97" spans="2:6" ht="12" thickBot="1">
      <c r="B97" s="338"/>
      <c r="C97" s="339">
        <f>+C90*C94</f>
        <v>309218.9016946398</v>
      </c>
      <c r="F97" s="268"/>
    </row>
    <row r="98" ht="11.25">
      <c r="G98" s="180"/>
    </row>
    <row r="99" ht="12" thickBot="1"/>
    <row r="100" spans="2:7" ht="11.25">
      <c r="B100" s="362" t="str">
        <f>+B75</f>
        <v>CENTRO DE NUTRICION INTEGRAL Y VENTA DE ABASTOS EN LÍNEA</v>
      </c>
      <c r="C100" s="363"/>
      <c r="D100" s="363"/>
      <c r="E100" s="363"/>
      <c r="F100" s="363"/>
      <c r="G100" s="364"/>
    </row>
    <row r="101" spans="2:7" ht="12" customHeight="1">
      <c r="B101" s="368" t="s">
        <v>347</v>
      </c>
      <c r="C101" s="369"/>
      <c r="D101" s="369"/>
      <c r="E101" s="369"/>
      <c r="F101" s="369"/>
      <c r="G101" s="370"/>
    </row>
    <row r="102" spans="2:7" ht="12" customHeight="1">
      <c r="B102" s="368" t="s">
        <v>340</v>
      </c>
      <c r="C102" s="369"/>
      <c r="D102" s="369"/>
      <c r="E102" s="369"/>
      <c r="F102" s="369"/>
      <c r="G102" s="370"/>
    </row>
    <row r="103" spans="2:7" ht="11.25">
      <c r="B103" s="217"/>
      <c r="C103" s="194"/>
      <c r="D103" s="194"/>
      <c r="E103" s="194"/>
      <c r="F103" s="194"/>
      <c r="G103" s="238"/>
    </row>
    <row r="104" spans="2:7" ht="11.25">
      <c r="B104" s="217" t="s">
        <v>333</v>
      </c>
      <c r="C104" s="194"/>
      <c r="D104" s="194"/>
      <c r="E104" s="194"/>
      <c r="F104" s="252"/>
      <c r="G104" s="248">
        <f>+C97</f>
        <v>309218.9016946398</v>
      </c>
    </row>
    <row r="105" spans="2:7" ht="11.25">
      <c r="B105" s="217"/>
      <c r="C105" s="194"/>
      <c r="D105" s="194"/>
      <c r="E105" s="194"/>
      <c r="F105" s="194"/>
      <c r="G105" s="238"/>
    </row>
    <row r="106" spans="2:7" ht="11.25">
      <c r="B106" s="217" t="s">
        <v>348</v>
      </c>
      <c r="C106" s="194"/>
      <c r="D106" s="194"/>
      <c r="E106" s="254">
        <f>+F86</f>
        <v>193261.81355914992</v>
      </c>
      <c r="F106" s="194"/>
      <c r="G106" s="238"/>
    </row>
    <row r="107" spans="2:7" ht="11.25">
      <c r="B107" s="217" t="s">
        <v>349</v>
      </c>
      <c r="C107" s="194"/>
      <c r="D107" s="194"/>
      <c r="E107" s="254"/>
      <c r="F107" s="254"/>
      <c r="G107" s="248">
        <f>+G104-E106</f>
        <v>115957.0881354899</v>
      </c>
    </row>
    <row r="108" spans="2:7" ht="11.25">
      <c r="B108" s="217"/>
      <c r="C108" s="194"/>
      <c r="D108" s="194"/>
      <c r="E108" s="254"/>
      <c r="F108" s="254"/>
      <c r="G108" s="248"/>
    </row>
    <row r="109" spans="2:7" ht="11.25">
      <c r="B109" s="217" t="s">
        <v>350</v>
      </c>
      <c r="C109" s="194"/>
      <c r="D109" s="194"/>
      <c r="E109" s="254"/>
      <c r="F109" s="254"/>
      <c r="G109" s="248">
        <f>SUM(E110:E112)</f>
        <v>78330.84</v>
      </c>
    </row>
    <row r="110" spans="2:7" ht="11.25">
      <c r="B110" s="217" t="s">
        <v>351</v>
      </c>
      <c r="C110" s="194"/>
      <c r="D110" s="194"/>
      <c r="E110" s="254">
        <f>+G44</f>
        <v>38663.03999999999</v>
      </c>
      <c r="F110" s="254"/>
      <c r="G110" s="248"/>
    </row>
    <row r="111" spans="2:7" ht="11.25">
      <c r="B111" s="217" t="s">
        <v>392</v>
      </c>
      <c r="C111" s="194"/>
      <c r="D111" s="194"/>
      <c r="E111" s="254">
        <f>+G55</f>
        <v>7798.8</v>
      </c>
      <c r="F111" s="254"/>
      <c r="G111" s="248"/>
    </row>
    <row r="112" spans="2:7" ht="11.25">
      <c r="B112" s="217" t="s">
        <v>459</v>
      </c>
      <c r="C112" s="194"/>
      <c r="D112" s="194"/>
      <c r="E112" s="254">
        <f>+G64</f>
        <v>31869</v>
      </c>
      <c r="F112" s="254"/>
      <c r="G112" s="248"/>
    </row>
    <row r="113" spans="2:7" ht="11.25">
      <c r="B113" s="217" t="s">
        <v>352</v>
      </c>
      <c r="C113" s="194"/>
      <c r="D113" s="194"/>
      <c r="E113" s="254"/>
      <c r="F113" s="254"/>
      <c r="G113" s="248">
        <f>+G107-G109</f>
        <v>37626.24813548991</v>
      </c>
    </row>
    <row r="114" spans="2:7" ht="11.25">
      <c r="B114" s="217"/>
      <c r="C114" s="194"/>
      <c r="D114" s="194"/>
      <c r="E114" s="254"/>
      <c r="F114" s="254"/>
      <c r="G114" s="248"/>
    </row>
    <row r="115" spans="2:7" ht="12" thickBot="1">
      <c r="B115" s="217" t="s">
        <v>353</v>
      </c>
      <c r="C115" s="194"/>
      <c r="D115" s="194"/>
      <c r="E115" s="254">
        <f>+G70</f>
        <v>4980.532419366149</v>
      </c>
      <c r="F115" s="254"/>
      <c r="G115" s="248"/>
    </row>
    <row r="116" spans="2:7" ht="12" thickBot="1">
      <c r="B116" s="204" t="s">
        <v>354</v>
      </c>
      <c r="C116" s="205"/>
      <c r="D116" s="205"/>
      <c r="E116" s="253"/>
      <c r="F116" s="205"/>
      <c r="G116" s="249">
        <f>+G113-E115</f>
        <v>32645.715716123756</v>
      </c>
    </row>
    <row r="117" ht="11.25">
      <c r="G117" s="180"/>
    </row>
    <row r="118" ht="12" thickBot="1"/>
    <row r="119" spans="2:7" ht="11.25">
      <c r="B119" s="362" t="s">
        <v>393</v>
      </c>
      <c r="C119" s="363"/>
      <c r="D119" s="363"/>
      <c r="E119" s="363"/>
      <c r="F119" s="363"/>
      <c r="G119" s="364"/>
    </row>
    <row r="120" spans="2:7" ht="11.25">
      <c r="B120" s="245" t="s">
        <v>355</v>
      </c>
      <c r="C120" s="232"/>
      <c r="D120" s="232"/>
      <c r="E120" s="232"/>
      <c r="F120" s="232"/>
      <c r="G120" s="241"/>
    </row>
    <row r="121" spans="2:7" ht="11.25">
      <c r="B121" s="245" t="s">
        <v>340</v>
      </c>
      <c r="C121" s="232"/>
      <c r="D121" s="232"/>
      <c r="E121" s="232"/>
      <c r="F121" s="232"/>
      <c r="G121" s="241"/>
    </row>
    <row r="122" spans="2:7" ht="11.25">
      <c r="B122" s="217"/>
      <c r="C122" s="194"/>
      <c r="D122" s="194"/>
      <c r="E122" s="194"/>
      <c r="F122" s="194"/>
      <c r="G122" s="238"/>
    </row>
    <row r="123" spans="2:7" ht="11.25">
      <c r="B123" s="217"/>
      <c r="C123" s="194"/>
      <c r="D123" s="194"/>
      <c r="E123" s="194"/>
      <c r="F123" s="194"/>
      <c r="G123" s="238"/>
    </row>
    <row r="124" spans="1:7" ht="11.25">
      <c r="A124" s="187"/>
      <c r="B124" s="255" t="s">
        <v>356</v>
      </c>
      <c r="C124" s="256"/>
      <c r="D124" s="256"/>
      <c r="E124" s="256"/>
      <c r="F124" s="256"/>
      <c r="G124" s="238"/>
    </row>
    <row r="125" spans="2:7" ht="11.25">
      <c r="B125" s="217"/>
      <c r="C125" s="194"/>
      <c r="D125" s="194"/>
      <c r="E125" s="194"/>
      <c r="F125" s="194"/>
      <c r="G125" s="238"/>
    </row>
    <row r="126" spans="2:7" ht="11.25">
      <c r="B126" s="217" t="s">
        <v>357</v>
      </c>
      <c r="C126" s="194"/>
      <c r="D126" s="260"/>
      <c r="E126" s="260"/>
      <c r="F126" s="194"/>
      <c r="G126" s="238"/>
    </row>
    <row r="127" spans="2:7" ht="11.25">
      <c r="B127" s="217"/>
      <c r="C127" s="194"/>
      <c r="D127" s="260"/>
      <c r="E127" s="260"/>
      <c r="F127" s="194"/>
      <c r="G127" s="238"/>
    </row>
    <row r="128" spans="2:7" ht="11.25">
      <c r="B128" s="217" t="s">
        <v>219</v>
      </c>
      <c r="C128" s="194"/>
      <c r="D128" s="260">
        <f>+F79</f>
        <v>154128.6951591499</v>
      </c>
      <c r="E128" s="260"/>
      <c r="F128" s="194"/>
      <c r="G128" s="238"/>
    </row>
    <row r="129" spans="2:7" ht="11.25">
      <c r="B129" s="217" t="s">
        <v>895</v>
      </c>
      <c r="C129" s="194"/>
      <c r="D129" s="260">
        <f>+F22</f>
        <v>25006.118400000003</v>
      </c>
      <c r="E129" s="260"/>
      <c r="F129" s="194"/>
      <c r="G129" s="238"/>
    </row>
    <row r="130" spans="2:7" ht="11.25">
      <c r="B130" s="239" t="s">
        <v>411</v>
      </c>
      <c r="C130" s="259"/>
      <c r="D130" s="261">
        <f>SUM(D128:D129)</f>
        <v>179134.81355914992</v>
      </c>
      <c r="E130" s="260"/>
      <c r="F130" s="194"/>
      <c r="G130" s="238"/>
    </row>
    <row r="131" spans="2:7" ht="11.25">
      <c r="B131" s="217"/>
      <c r="C131" s="194"/>
      <c r="D131" s="260"/>
      <c r="E131" s="260"/>
      <c r="F131" s="194"/>
      <c r="G131" s="238"/>
    </row>
    <row r="132" spans="2:7" ht="11.25">
      <c r="B132" s="251" t="s">
        <v>896</v>
      </c>
      <c r="C132" s="194"/>
      <c r="D132" s="260"/>
      <c r="E132" s="262">
        <f>+D130</f>
        <v>179134.81355914992</v>
      </c>
      <c r="F132" s="194"/>
      <c r="G132" s="238"/>
    </row>
    <row r="133" spans="2:7" ht="11.25">
      <c r="B133" s="217"/>
      <c r="C133" s="194"/>
      <c r="D133" s="260"/>
      <c r="E133" s="260"/>
      <c r="F133" s="194"/>
      <c r="G133" s="238"/>
    </row>
    <row r="134" spans="2:7" ht="11.25">
      <c r="B134" s="217" t="s">
        <v>897</v>
      </c>
      <c r="C134" s="194"/>
      <c r="D134" s="260">
        <f>+E132</f>
        <v>179134.81355914992</v>
      </c>
      <c r="E134" s="260"/>
      <c r="F134" s="194"/>
      <c r="G134" s="238"/>
    </row>
    <row r="135" spans="2:7" ht="11.25">
      <c r="B135" s="217" t="s">
        <v>359</v>
      </c>
      <c r="C135" s="194"/>
      <c r="D135" s="194">
        <f>+B1</f>
        <v>1576.9398531891904</v>
      </c>
      <c r="E135" s="194"/>
      <c r="F135" s="194"/>
      <c r="G135" s="238"/>
    </row>
    <row r="136" spans="2:7" ht="11.25">
      <c r="B136" s="217"/>
      <c r="C136" s="194"/>
      <c r="D136" s="194"/>
      <c r="E136" s="194"/>
      <c r="F136" s="194"/>
      <c r="G136" s="238"/>
    </row>
    <row r="137" spans="2:7" ht="11.25">
      <c r="B137" s="217" t="s">
        <v>898</v>
      </c>
      <c r="C137" s="194"/>
      <c r="D137" s="263">
        <f>+D134/D135</f>
        <v>113.59647813888976</v>
      </c>
      <c r="E137" s="194"/>
      <c r="F137" s="194"/>
      <c r="G137" s="238"/>
    </row>
    <row r="138" spans="2:7" ht="11.25">
      <c r="B138" s="217"/>
      <c r="C138" s="194"/>
      <c r="D138" s="194"/>
      <c r="E138" s="194"/>
      <c r="F138" s="194"/>
      <c r="G138" s="238"/>
    </row>
    <row r="139" spans="2:7" ht="11.25">
      <c r="B139" s="265" t="s">
        <v>361</v>
      </c>
      <c r="C139" s="266"/>
      <c r="D139" s="266"/>
      <c r="E139" s="266"/>
      <c r="F139" s="266"/>
      <c r="G139" s="267">
        <f>+C143-E143</f>
        <v>82.49147097932043</v>
      </c>
    </row>
    <row r="140" spans="2:7" ht="11.25">
      <c r="B140" s="217"/>
      <c r="C140" s="194"/>
      <c r="D140" s="194"/>
      <c r="E140" s="194"/>
      <c r="F140" s="194"/>
      <c r="G140" s="238"/>
    </row>
    <row r="141" spans="2:7" ht="11.25">
      <c r="B141" s="239" t="s">
        <v>362</v>
      </c>
      <c r="C141" s="194"/>
      <c r="D141" s="194"/>
      <c r="E141" s="194"/>
      <c r="F141" s="194"/>
      <c r="G141" s="238"/>
    </row>
    <row r="142" spans="2:7" ht="11.25">
      <c r="B142" s="217"/>
      <c r="C142" s="194"/>
      <c r="D142" s="194"/>
      <c r="E142" s="194"/>
      <c r="F142" s="194"/>
      <c r="G142" s="238"/>
    </row>
    <row r="143" spans="2:7" ht="11.25">
      <c r="B143" s="239" t="s">
        <v>363</v>
      </c>
      <c r="C143" s="264">
        <f>+C94</f>
        <v>196.0879491182102</v>
      </c>
      <c r="D143" s="219" t="s">
        <v>364</v>
      </c>
      <c r="E143" s="264">
        <f>+D137</f>
        <v>113.59647813888976</v>
      </c>
      <c r="F143" s="212" t="s">
        <v>365</v>
      </c>
      <c r="G143" s="238"/>
    </row>
    <row r="144" spans="2:7" ht="11.25">
      <c r="B144" s="217"/>
      <c r="C144" s="194"/>
      <c r="D144" s="194"/>
      <c r="E144" s="194"/>
      <c r="F144" s="194"/>
      <c r="G144" s="238"/>
    </row>
    <row r="145" spans="2:7" ht="11.25">
      <c r="B145" s="217"/>
      <c r="C145" s="194"/>
      <c r="D145" s="194"/>
      <c r="E145" s="194"/>
      <c r="F145" s="194"/>
      <c r="G145" s="238"/>
    </row>
    <row r="146" spans="2:7" ht="11.25">
      <c r="B146" s="217" t="s">
        <v>366</v>
      </c>
      <c r="C146" s="191" t="s">
        <v>367</v>
      </c>
      <c r="D146" s="194"/>
      <c r="E146" s="194"/>
      <c r="F146" s="194"/>
      <c r="G146" s="238"/>
    </row>
    <row r="147" spans="1:7" s="187" customFormat="1" ht="11.25">
      <c r="A147" s="177"/>
      <c r="B147" s="217"/>
      <c r="C147" s="257" t="s">
        <v>53</v>
      </c>
      <c r="D147" s="194"/>
      <c r="E147" s="194"/>
      <c r="F147" s="194"/>
      <c r="G147" s="258"/>
    </row>
    <row r="148" spans="2:7" ht="12" thickBot="1">
      <c r="B148" s="224"/>
      <c r="C148" s="225"/>
      <c r="D148" s="225"/>
      <c r="E148" s="225"/>
      <c r="F148" s="225"/>
      <c r="G148" s="240"/>
    </row>
    <row r="152" spans="1:6" ht="11.25">
      <c r="A152" s="187"/>
      <c r="B152" s="189" t="s">
        <v>368</v>
      </c>
      <c r="C152" s="187"/>
      <c r="D152" s="187"/>
      <c r="F152" s="192">
        <f>+E156+E160</f>
        <v>99766.62201936616</v>
      </c>
    </row>
    <row r="154" ht="11.25">
      <c r="B154" s="181" t="s">
        <v>357</v>
      </c>
    </row>
    <row r="156" spans="2:10" ht="11.25">
      <c r="B156" s="177" t="s">
        <v>235</v>
      </c>
      <c r="C156" s="268">
        <f>+G17</f>
        <v>14127</v>
      </c>
      <c r="D156" s="268"/>
      <c r="E156" s="268">
        <f>+C158</f>
        <v>14127</v>
      </c>
      <c r="J156" s="184"/>
    </row>
    <row r="157" spans="3:5" ht="11.25">
      <c r="C157" s="268"/>
      <c r="D157" s="268"/>
      <c r="E157" s="268"/>
    </row>
    <row r="158" spans="2:5" ht="11.25">
      <c r="B158" s="177" t="s">
        <v>411</v>
      </c>
      <c r="C158" s="269">
        <f>SUM(C156:C157)</f>
        <v>14127</v>
      </c>
      <c r="D158" s="268"/>
      <c r="E158" s="268"/>
    </row>
    <row r="159" spans="3:5" ht="11.25">
      <c r="C159" s="268"/>
      <c r="D159" s="268"/>
      <c r="E159" s="268"/>
    </row>
    <row r="160" spans="2:5" ht="11.25">
      <c r="B160" s="182" t="s">
        <v>54</v>
      </c>
      <c r="C160" s="268"/>
      <c r="D160" s="268"/>
      <c r="E160" s="271">
        <f>SUM(E162:E171)</f>
        <v>85639.62201936616</v>
      </c>
    </row>
    <row r="162" spans="2:5" ht="11.25">
      <c r="B162" s="186" t="str">
        <f>+B29</f>
        <v>EQUIPOS (vida útil 5 años)</v>
      </c>
      <c r="E162" s="270">
        <f>+F29</f>
        <v>140.4</v>
      </c>
    </row>
    <row r="163" spans="2:5" ht="11.25">
      <c r="B163" s="186" t="str">
        <f>+B30</f>
        <v>EQUIPOS Y MUEBLES (vida útil 10 años)</v>
      </c>
      <c r="E163" s="270">
        <f>+F30</f>
        <v>657.3816</v>
      </c>
    </row>
    <row r="164" spans="2:5" ht="11.25">
      <c r="B164" s="186" t="str">
        <f>+B31</f>
        <v>EQUIPOS DE COMPUTO Y SOFTWARE (vida útil 3 años)</v>
      </c>
      <c r="E164" s="270">
        <f>+F31</f>
        <v>666.468</v>
      </c>
    </row>
    <row r="165" spans="2:5" ht="11.25">
      <c r="B165" s="186" t="str">
        <f>+B32</f>
        <v>EQUIPO DE TRANSPORTE (vida útil 5 años)</v>
      </c>
      <c r="E165" s="270">
        <f>+F32</f>
        <v>864</v>
      </c>
    </row>
    <row r="166" ht="11.25">
      <c r="E166" s="270"/>
    </row>
    <row r="167" spans="2:5" ht="11.25">
      <c r="B167" s="193" t="str">
        <f>+B37</f>
        <v>GASTOS ADMINISTRATIVOS</v>
      </c>
      <c r="E167" s="270">
        <f>+G44</f>
        <v>38663.03999999999</v>
      </c>
    </row>
    <row r="168" spans="2:5" ht="11.25">
      <c r="B168" s="188" t="str">
        <f>+B48</f>
        <v>GASTOS SERVICIOS</v>
      </c>
      <c r="C168" s="194"/>
      <c r="E168" s="270">
        <f>+G55</f>
        <v>7798.8</v>
      </c>
    </row>
    <row r="169" spans="2:7" ht="11.25">
      <c r="B169" s="188" t="str">
        <f>+B59</f>
        <v>GASTOS PUBLICIDAD</v>
      </c>
      <c r="E169" s="270">
        <f>+G64</f>
        <v>31869</v>
      </c>
      <c r="G169" s="181"/>
    </row>
    <row r="170" spans="5:7" ht="11.25">
      <c r="E170" s="270"/>
      <c r="G170" s="181"/>
    </row>
    <row r="171" spans="2:7" ht="11.25">
      <c r="B171" s="177" t="str">
        <f>+B68</f>
        <v>GASTOS FINANCIEROS</v>
      </c>
      <c r="E171" s="270">
        <f>+E115</f>
        <v>4980.532419366149</v>
      </c>
      <c r="G171" s="181"/>
    </row>
    <row r="172" spans="5:7" ht="12" thickBot="1">
      <c r="E172" s="270"/>
      <c r="G172" s="181"/>
    </row>
    <row r="173" spans="2:7" ht="11.25">
      <c r="B173" s="272" t="s">
        <v>369</v>
      </c>
      <c r="C173" s="275" t="s">
        <v>367</v>
      </c>
      <c r="D173" s="275"/>
      <c r="E173" s="276">
        <f>+F152</f>
        <v>99766.62201936616</v>
      </c>
      <c r="F173" s="273">
        <f>+E173/E174</f>
        <v>1209.4174201885235</v>
      </c>
      <c r="G173" s="277" t="s">
        <v>370</v>
      </c>
    </row>
    <row r="174" spans="2:7" ht="11.25">
      <c r="B174" s="274"/>
      <c r="C174" s="278" t="s">
        <v>361</v>
      </c>
      <c r="D174" s="278"/>
      <c r="E174" s="279">
        <f>+G139</f>
        <v>82.49147097932043</v>
      </c>
      <c r="F174" s="278"/>
      <c r="G174" s="280"/>
    </row>
    <row r="175" spans="2:7" ht="11.25">
      <c r="B175" s="274"/>
      <c r="C175" s="278"/>
      <c r="D175" s="278"/>
      <c r="E175" s="278"/>
      <c r="F175" s="278"/>
      <c r="G175" s="280"/>
    </row>
    <row r="176" spans="2:7" ht="11.25">
      <c r="B176" s="274" t="s">
        <v>369</v>
      </c>
      <c r="C176" s="278" t="s">
        <v>370</v>
      </c>
      <c r="D176" s="278"/>
      <c r="E176" s="281">
        <f>+F173</f>
        <v>1209.4174201885235</v>
      </c>
      <c r="F176" s="286">
        <f>+E176*E177</f>
        <v>237152.18155260422</v>
      </c>
      <c r="G176" s="280" t="s">
        <v>371</v>
      </c>
    </row>
    <row r="177" spans="2:7" ht="12" thickBot="1">
      <c r="B177" s="282"/>
      <c r="C177" s="283" t="s">
        <v>372</v>
      </c>
      <c r="D177" s="283"/>
      <c r="E177" s="284">
        <f>+C94</f>
        <v>196.0879491182102</v>
      </c>
      <c r="F177" s="283"/>
      <c r="G177" s="285"/>
    </row>
    <row r="180" spans="2:5" ht="11.25">
      <c r="B180" s="177" t="s">
        <v>373</v>
      </c>
      <c r="C180" s="177" t="s">
        <v>374</v>
      </c>
      <c r="D180" s="177" t="s">
        <v>375</v>
      </c>
      <c r="E180" s="177" t="s">
        <v>360</v>
      </c>
    </row>
    <row r="183" ht="11.25">
      <c r="C183" s="195"/>
    </row>
    <row r="185" spans="3:5" ht="11.25">
      <c r="C185" s="195"/>
      <c r="D185" s="183"/>
      <c r="E185" s="183"/>
    </row>
    <row r="186" ht="11.25">
      <c r="C186" s="195"/>
    </row>
    <row r="187" spans="2:4" ht="11.25">
      <c r="B187" s="289" t="s">
        <v>371</v>
      </c>
      <c r="C187" s="195"/>
      <c r="D187" s="190"/>
    </row>
    <row r="188" ht="11.25">
      <c r="B188" s="290"/>
    </row>
    <row r="189" ht="11.25">
      <c r="B189" s="290"/>
    </row>
    <row r="190" ht="11.25">
      <c r="B190" s="292"/>
    </row>
    <row r="191" spans="1:7" ht="11.25">
      <c r="A191" s="250" t="s">
        <v>901</v>
      </c>
      <c r="B191" s="293">
        <f>+G104</f>
        <v>309218.9016946398</v>
      </c>
      <c r="C191" s="196"/>
      <c r="D191" s="196"/>
      <c r="E191" s="196"/>
      <c r="F191" s="196"/>
      <c r="G191" s="196"/>
    </row>
    <row r="192" spans="1:8" ht="11.25">
      <c r="A192" s="250"/>
      <c r="B192" s="292"/>
      <c r="G192" s="197"/>
      <c r="H192" s="294"/>
    </row>
    <row r="193" spans="1:8" ht="11.25">
      <c r="A193" s="250"/>
      <c r="B193" s="292"/>
      <c r="G193" s="194"/>
      <c r="H193" s="294"/>
    </row>
    <row r="194" spans="1:8" ht="11.25">
      <c r="A194" s="250"/>
      <c r="B194" s="292"/>
      <c r="G194" s="194"/>
      <c r="H194" s="294"/>
    </row>
    <row r="195" spans="1:8" ht="11.25">
      <c r="A195" s="250"/>
      <c r="B195" s="292"/>
      <c r="C195" s="194"/>
      <c r="D195" s="194"/>
      <c r="E195" s="194"/>
      <c r="F195" s="194"/>
      <c r="G195" s="194"/>
      <c r="H195" s="294"/>
    </row>
    <row r="196" spans="1:8" ht="11.25">
      <c r="A196" s="250"/>
      <c r="B196" s="292"/>
      <c r="C196" s="194"/>
      <c r="D196" s="194"/>
      <c r="E196" s="194"/>
      <c r="F196" s="194"/>
      <c r="G196" s="194"/>
      <c r="H196" s="294"/>
    </row>
    <row r="197" spans="1:8" ht="11.25">
      <c r="A197" s="250"/>
      <c r="B197" s="292"/>
      <c r="C197" s="194"/>
      <c r="F197" s="194"/>
      <c r="G197" s="194"/>
      <c r="H197" s="294"/>
    </row>
    <row r="198" spans="1:8" ht="11.25">
      <c r="A198" s="250" t="s">
        <v>899</v>
      </c>
      <c r="B198" s="293">
        <f>+B204+E132</f>
        <v>278901.4355785161</v>
      </c>
      <c r="C198" s="194"/>
      <c r="D198" s="194"/>
      <c r="E198" s="194"/>
      <c r="F198" s="194"/>
      <c r="G198" s="194"/>
      <c r="H198" s="294"/>
    </row>
    <row r="199" spans="1:8" ht="11.25">
      <c r="A199" s="250"/>
      <c r="B199" s="292"/>
      <c r="C199" s="194"/>
      <c r="D199" s="194"/>
      <c r="E199" s="194"/>
      <c r="F199" s="194"/>
      <c r="G199" s="194"/>
      <c r="H199" s="294"/>
    </row>
    <row r="200" spans="1:8" ht="11.25">
      <c r="A200" s="250"/>
      <c r="B200" s="292"/>
      <c r="C200" s="194"/>
      <c r="F200" s="194"/>
      <c r="G200" s="194"/>
      <c r="H200" s="294"/>
    </row>
    <row r="201" spans="1:8" ht="11.25">
      <c r="A201" s="250"/>
      <c r="B201" s="292"/>
      <c r="C201" s="194"/>
      <c r="F201" s="194"/>
      <c r="G201" s="194"/>
      <c r="H201" s="294"/>
    </row>
    <row r="202" spans="1:8" ht="11.25">
      <c r="A202" s="250"/>
      <c r="B202" s="292"/>
      <c r="C202" s="194"/>
      <c r="F202" s="194"/>
      <c r="G202" s="194"/>
      <c r="H202" s="294"/>
    </row>
    <row r="203" spans="1:8" ht="11.25">
      <c r="A203" s="250"/>
      <c r="B203" s="292"/>
      <c r="C203" s="196"/>
      <c r="D203" s="196"/>
      <c r="E203" s="196"/>
      <c r="F203" s="196"/>
      <c r="G203" s="194"/>
      <c r="H203" s="294"/>
    </row>
    <row r="204" spans="1:8" ht="11.25">
      <c r="A204" s="250" t="s">
        <v>900</v>
      </c>
      <c r="B204" s="293">
        <f>+F152</f>
        <v>99766.62201936616</v>
      </c>
      <c r="C204" s="194"/>
      <c r="F204" s="197"/>
      <c r="G204" s="194"/>
      <c r="H204" s="294"/>
    </row>
    <row r="205" spans="1:8" ht="11.25">
      <c r="A205" s="250"/>
      <c r="B205" s="292"/>
      <c r="C205" s="194"/>
      <c r="F205" s="194"/>
      <c r="G205" s="194"/>
      <c r="H205" s="294"/>
    </row>
    <row r="206" spans="2:8" ht="11.25">
      <c r="B206" s="292"/>
      <c r="C206" s="194"/>
      <c r="F206" s="194"/>
      <c r="G206" s="194"/>
      <c r="H206" s="294"/>
    </row>
    <row r="207" spans="2:8" ht="11.25">
      <c r="B207" s="291"/>
      <c r="C207" s="194"/>
      <c r="F207" s="194"/>
      <c r="G207" s="194"/>
      <c r="H207" s="294"/>
    </row>
    <row r="208" spans="2:8" ht="11.25">
      <c r="B208" s="291"/>
      <c r="C208" s="194"/>
      <c r="F208" s="194"/>
      <c r="G208" s="194"/>
      <c r="H208" s="294"/>
    </row>
    <row r="209" spans="2:8" ht="11.25">
      <c r="B209" s="179"/>
      <c r="C209" s="194"/>
      <c r="F209" s="194"/>
      <c r="G209" s="194"/>
      <c r="H209" s="294"/>
    </row>
    <row r="210" spans="2:8" ht="11.25">
      <c r="B210" s="179"/>
      <c r="C210" s="194"/>
      <c r="F210" s="194"/>
      <c r="G210" s="194"/>
      <c r="H210" s="294"/>
    </row>
    <row r="211" spans="2:8" ht="11.25">
      <c r="B211" s="179"/>
      <c r="C211" s="194"/>
      <c r="F211" s="194"/>
      <c r="G211" s="194"/>
      <c r="H211" s="294"/>
    </row>
    <row r="212" spans="2:8" ht="11.25">
      <c r="B212" s="179"/>
      <c r="C212" s="194"/>
      <c r="F212" s="194"/>
      <c r="G212" s="194"/>
      <c r="H212" s="294"/>
    </row>
    <row r="213" spans="2:8" ht="11.25">
      <c r="B213" s="179"/>
      <c r="C213" s="191"/>
      <c r="D213" s="191"/>
      <c r="E213" s="191"/>
      <c r="F213" s="191"/>
      <c r="G213" s="191"/>
      <c r="H213" s="294"/>
    </row>
    <row r="214" spans="6:9" s="287" customFormat="1" ht="11.25">
      <c r="F214" s="288">
        <f>+F173</f>
        <v>1209.4174201885235</v>
      </c>
      <c r="G214" s="288">
        <f>+D135</f>
        <v>1576.9398531891904</v>
      </c>
      <c r="I214" s="287" t="s">
        <v>370</v>
      </c>
    </row>
    <row r="217" spans="3:7" s="199" customFormat="1" ht="11.25">
      <c r="C217" s="199" t="s">
        <v>376</v>
      </c>
      <c r="D217" s="199" t="s">
        <v>377</v>
      </c>
      <c r="E217" s="199" t="s">
        <v>378</v>
      </c>
      <c r="F217" s="199" t="s">
        <v>379</v>
      </c>
      <c r="G217" s="199" t="s">
        <v>358</v>
      </c>
    </row>
    <row r="219" ht="11.25">
      <c r="D219" s="177">
        <f>9000*22</f>
        <v>198000</v>
      </c>
    </row>
    <row r="222" ht="12" thickBot="1"/>
    <row r="223" spans="1:7" ht="10.5" customHeight="1">
      <c r="A223" s="362" t="s">
        <v>380</v>
      </c>
      <c r="B223" s="363"/>
      <c r="C223" s="363"/>
      <c r="D223" s="363"/>
      <c r="E223" s="363"/>
      <c r="F223" s="363"/>
      <c r="G223" s="364"/>
    </row>
    <row r="224" spans="1:7" ht="11.25">
      <c r="A224" s="251"/>
      <c r="B224" s="194"/>
      <c r="C224" s="194"/>
      <c r="D224" s="194"/>
      <c r="E224" s="194"/>
      <c r="F224" s="194"/>
      <c r="G224" s="238"/>
    </row>
    <row r="225" spans="1:7" ht="11.25">
      <c r="A225" s="251"/>
      <c r="B225" s="194"/>
      <c r="C225" s="194"/>
      <c r="D225" s="194"/>
      <c r="E225" s="194"/>
      <c r="F225" s="194"/>
      <c r="G225" s="238"/>
    </row>
    <row r="226" spans="1:7" ht="11.25">
      <c r="A226" s="298" t="s">
        <v>381</v>
      </c>
      <c r="B226" s="194" t="s">
        <v>365</v>
      </c>
      <c r="C226" s="191" t="s">
        <v>382</v>
      </c>
      <c r="D226" s="198" t="s">
        <v>364</v>
      </c>
      <c r="E226" s="191" t="s">
        <v>902</v>
      </c>
      <c r="F226" s="194"/>
      <c r="G226" s="238"/>
    </row>
    <row r="227" spans="1:7" ht="11.25">
      <c r="A227" s="298"/>
      <c r="B227" s="194"/>
      <c r="C227" s="361" t="s">
        <v>382</v>
      </c>
      <c r="D227" s="361"/>
      <c r="E227" s="361"/>
      <c r="F227" s="194"/>
      <c r="G227" s="238"/>
    </row>
    <row r="228" spans="1:7" ht="11.25">
      <c r="A228" s="298"/>
      <c r="B228" s="194"/>
      <c r="C228" s="194"/>
      <c r="D228" s="194"/>
      <c r="E228" s="194"/>
      <c r="F228" s="194"/>
      <c r="G228" s="238"/>
    </row>
    <row r="229" spans="1:7" ht="11.25">
      <c r="A229" s="298" t="s">
        <v>381</v>
      </c>
      <c r="B229" s="194" t="s">
        <v>365</v>
      </c>
      <c r="C229" s="191">
        <v>9850</v>
      </c>
      <c r="D229" s="191">
        <v>8189</v>
      </c>
      <c r="E229" s="191"/>
      <c r="F229" s="194"/>
      <c r="G229" s="238">
        <f>+C229-D229</f>
        <v>1661</v>
      </c>
    </row>
    <row r="230" spans="1:7" ht="11.25">
      <c r="A230" s="298"/>
      <c r="B230" s="194"/>
      <c r="C230" s="194"/>
      <c r="D230" s="194">
        <v>9850</v>
      </c>
      <c r="E230" s="194"/>
      <c r="F230" s="194"/>
      <c r="G230" s="238">
        <f>+D230</f>
        <v>9850</v>
      </c>
    </row>
    <row r="231" spans="1:7" ht="11.25">
      <c r="A231" s="298"/>
      <c r="B231" s="194"/>
      <c r="C231" s="194"/>
      <c r="D231" s="194"/>
      <c r="E231" s="194"/>
      <c r="F231" s="194"/>
      <c r="G231" s="238"/>
    </row>
    <row r="232" spans="1:7" ht="11.25">
      <c r="A232" s="298"/>
      <c r="B232" s="194"/>
      <c r="C232" s="194"/>
      <c r="D232" s="194"/>
      <c r="E232" s="194"/>
      <c r="F232" s="194"/>
      <c r="G232" s="238"/>
    </row>
    <row r="233" spans="1:7" ht="12" thickBot="1">
      <c r="A233" s="299" t="s">
        <v>381</v>
      </c>
      <c r="B233" s="243" t="s">
        <v>365</v>
      </c>
      <c r="C233" s="295">
        <f>+G229/G230</f>
        <v>0.1686294416243655</v>
      </c>
      <c r="D233" s="295"/>
      <c r="E233" s="296">
        <v>0.17</v>
      </c>
      <c r="F233" s="243"/>
      <c r="G233" s="297"/>
    </row>
  </sheetData>
  <sheetProtection/>
  <mergeCells count="21">
    <mergeCell ref="B59:G59"/>
    <mergeCell ref="B37:G37"/>
    <mergeCell ref="B47:G47"/>
    <mergeCell ref="B48:G48"/>
    <mergeCell ref="B58:G58"/>
    <mergeCell ref="A2:F2"/>
    <mergeCell ref="A20:F20"/>
    <mergeCell ref="A19:F19"/>
    <mergeCell ref="B36:G36"/>
    <mergeCell ref="A9:G9"/>
    <mergeCell ref="A11:G11"/>
    <mergeCell ref="A12:G12"/>
    <mergeCell ref="C227:E227"/>
    <mergeCell ref="B67:G67"/>
    <mergeCell ref="B68:G68"/>
    <mergeCell ref="B75:F75"/>
    <mergeCell ref="B100:G100"/>
    <mergeCell ref="B101:G101"/>
    <mergeCell ref="B102:G102"/>
    <mergeCell ref="B119:G119"/>
    <mergeCell ref="A223:G223"/>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V874"/>
  <sheetViews>
    <sheetView zoomScale="80" zoomScaleNormal="80" zoomScalePageLayoutView="0" workbookViewId="0" topLeftCell="A1">
      <selection activeCell="D9" sqref="D9"/>
    </sheetView>
  </sheetViews>
  <sheetFormatPr defaultColWidth="11.421875" defaultRowHeight="15.75" customHeight="1" outlineLevelRow="2"/>
  <cols>
    <col min="1" max="1" width="9.28125" style="46" customWidth="1"/>
    <col min="2" max="2" width="45.421875" style="47" customWidth="1"/>
    <col min="3" max="3" width="11.421875" style="48" customWidth="1"/>
    <col min="4" max="4" width="47.28125" style="31" customWidth="1"/>
    <col min="5" max="5" width="8.140625" style="46" customWidth="1"/>
    <col min="6" max="6" width="32.140625" style="31" customWidth="1"/>
    <col min="7" max="7" width="8.7109375" style="49" hidden="1" customWidth="1"/>
    <col min="8" max="8" width="12.28125" style="49" hidden="1" customWidth="1"/>
    <col min="9" max="9" width="9.28125" style="31" hidden="1" customWidth="1"/>
    <col min="10" max="10" width="11.57421875" style="50" hidden="1" customWidth="1"/>
    <col min="11" max="11" width="21.421875" style="59" customWidth="1"/>
    <col min="12" max="12" width="12.57421875" style="31" customWidth="1"/>
    <col min="13" max="14" width="11.421875" style="31" customWidth="1"/>
    <col min="15" max="15" width="52.00390625" style="31" customWidth="1"/>
    <col min="16" max="17" width="12.8515625" style="31" customWidth="1"/>
    <col min="18" max="18" width="12.28125" style="31" customWidth="1"/>
    <col min="19" max="19" width="10.421875" style="31" customWidth="1"/>
    <col min="20" max="20" width="14.140625" style="31" customWidth="1"/>
    <col min="21" max="21" width="13.28125" style="31" customWidth="1"/>
    <col min="22" max="16384" width="11.421875" style="31" customWidth="1"/>
  </cols>
  <sheetData>
    <row r="1" spans="1:22" s="24" customFormat="1" ht="18.75" customHeight="1">
      <c r="A1" s="19" t="s">
        <v>502</v>
      </c>
      <c r="B1" s="18" t="s">
        <v>503</v>
      </c>
      <c r="C1" s="18" t="s">
        <v>504</v>
      </c>
      <c r="D1" s="18" t="s">
        <v>505</v>
      </c>
      <c r="E1" s="20" t="s">
        <v>506</v>
      </c>
      <c r="F1" s="18" t="s">
        <v>96</v>
      </c>
      <c r="G1" s="21" t="s">
        <v>507</v>
      </c>
      <c r="H1" s="21" t="s">
        <v>1229</v>
      </c>
      <c r="I1" s="18" t="s">
        <v>508</v>
      </c>
      <c r="J1" s="22" t="s">
        <v>1230</v>
      </c>
      <c r="K1" s="22" t="s">
        <v>97</v>
      </c>
      <c r="L1" s="23" t="s">
        <v>1231</v>
      </c>
      <c r="M1" s="18" t="s">
        <v>1232</v>
      </c>
      <c r="V1" s="31"/>
    </row>
    <row r="2" spans="1:13" ht="15.75" customHeight="1" outlineLevel="2">
      <c r="A2" s="25">
        <v>15</v>
      </c>
      <c r="B2" s="26" t="s">
        <v>539</v>
      </c>
      <c r="C2" s="17" t="s">
        <v>521</v>
      </c>
      <c r="D2" s="26" t="s">
        <v>540</v>
      </c>
      <c r="E2" s="27">
        <v>4</v>
      </c>
      <c r="F2" s="26" t="s">
        <v>1241</v>
      </c>
      <c r="G2" s="28">
        <v>0.0075</v>
      </c>
      <c r="H2" s="28">
        <f aca="true" t="shared" si="0" ref="H2:H23">G2/E2</f>
        <v>0.001875</v>
      </c>
      <c r="I2" s="16" t="s">
        <v>512</v>
      </c>
      <c r="J2" s="29">
        <v>16.6</v>
      </c>
      <c r="K2" s="58">
        <f aca="true" t="shared" si="1" ref="K2:K23">J2*H2</f>
        <v>0.031125</v>
      </c>
      <c r="L2" s="30">
        <f>H2*DEMANDA!$B$9</f>
        <v>0.24562499999999998</v>
      </c>
      <c r="M2" s="29">
        <f aca="true" t="shared" si="2" ref="M2:M23">L2*J2</f>
        <v>4.077375</v>
      </c>
    </row>
    <row r="3" spans="1:13" ht="15.75" customHeight="1" outlineLevel="2">
      <c r="A3" s="25">
        <v>24</v>
      </c>
      <c r="B3" s="26" t="s">
        <v>548</v>
      </c>
      <c r="C3" s="17" t="s">
        <v>521</v>
      </c>
      <c r="D3" s="26" t="s">
        <v>538</v>
      </c>
      <c r="E3" s="27">
        <v>2</v>
      </c>
      <c r="F3" s="26" t="s">
        <v>1241</v>
      </c>
      <c r="G3" s="28">
        <v>0.015</v>
      </c>
      <c r="H3" s="28">
        <f t="shared" si="0"/>
        <v>0.0075</v>
      </c>
      <c r="I3" s="16" t="s">
        <v>512</v>
      </c>
      <c r="J3" s="29">
        <v>16.6</v>
      </c>
      <c r="K3" s="58">
        <f t="shared" si="1"/>
        <v>0.1245</v>
      </c>
      <c r="L3" s="30">
        <f>H3*DEMANDA!$B$9</f>
        <v>0.9824999999999999</v>
      </c>
      <c r="M3" s="29">
        <f t="shared" si="2"/>
        <v>16.3095</v>
      </c>
    </row>
    <row r="4" spans="1:13" ht="15.75" customHeight="1" outlineLevel="2">
      <c r="A4" s="25">
        <v>2</v>
      </c>
      <c r="B4" s="26" t="s">
        <v>520</v>
      </c>
      <c r="C4" s="17" t="s">
        <v>521</v>
      </c>
      <c r="D4" s="26" t="s">
        <v>522</v>
      </c>
      <c r="E4" s="27">
        <v>4</v>
      </c>
      <c r="F4" s="26" t="s">
        <v>1241</v>
      </c>
      <c r="G4" s="28">
        <v>0.01</v>
      </c>
      <c r="H4" s="28">
        <f t="shared" si="0"/>
        <v>0.0025</v>
      </c>
      <c r="I4" s="16" t="s">
        <v>512</v>
      </c>
      <c r="J4" s="29">
        <v>16.6</v>
      </c>
      <c r="K4" s="58">
        <f t="shared" si="1"/>
        <v>0.0415</v>
      </c>
      <c r="L4" s="30">
        <f>H4*DEMANDA!$B$9</f>
        <v>0.3275</v>
      </c>
      <c r="M4" s="29">
        <f t="shared" si="2"/>
        <v>5.4365000000000006</v>
      </c>
    </row>
    <row r="5" spans="1:13" ht="15.75" customHeight="1" outlineLevel="2">
      <c r="A5" s="25">
        <v>1</v>
      </c>
      <c r="B5" s="26" t="s">
        <v>518</v>
      </c>
      <c r="C5" s="17" t="s">
        <v>514</v>
      </c>
      <c r="D5" s="26" t="s">
        <v>519</v>
      </c>
      <c r="E5" s="27">
        <v>4</v>
      </c>
      <c r="F5" s="26" t="s">
        <v>1241</v>
      </c>
      <c r="G5" s="28">
        <v>0.02</v>
      </c>
      <c r="H5" s="28">
        <f t="shared" si="0"/>
        <v>0.005</v>
      </c>
      <c r="I5" s="16" t="s">
        <v>512</v>
      </c>
      <c r="J5" s="29">
        <v>16.6</v>
      </c>
      <c r="K5" s="58">
        <f t="shared" si="1"/>
        <v>0.083</v>
      </c>
      <c r="L5" s="30">
        <f>H5*DEMANDA!$B$9</f>
        <v>0.655</v>
      </c>
      <c r="M5" s="29">
        <f t="shared" si="2"/>
        <v>10.873000000000001</v>
      </c>
    </row>
    <row r="6" spans="1:13" ht="15.75" customHeight="1" outlineLevel="2">
      <c r="A6" s="25">
        <v>3</v>
      </c>
      <c r="B6" s="26" t="s">
        <v>524</v>
      </c>
      <c r="C6" s="17" t="s">
        <v>510</v>
      </c>
      <c r="D6" s="26" t="s">
        <v>525</v>
      </c>
      <c r="E6" s="27">
        <v>4</v>
      </c>
      <c r="F6" s="26" t="s">
        <v>1241</v>
      </c>
      <c r="G6" s="28">
        <v>0.01</v>
      </c>
      <c r="H6" s="28">
        <f t="shared" si="0"/>
        <v>0.0025</v>
      </c>
      <c r="I6" s="16" t="s">
        <v>512</v>
      </c>
      <c r="J6" s="29">
        <v>16.6</v>
      </c>
      <c r="K6" s="58">
        <f t="shared" si="1"/>
        <v>0.0415</v>
      </c>
      <c r="L6" s="30">
        <f>H6*DEMANDA!$B$9</f>
        <v>0.3275</v>
      </c>
      <c r="M6" s="29">
        <f t="shared" si="2"/>
        <v>5.4365000000000006</v>
      </c>
    </row>
    <row r="7" spans="1:13" ht="15.75" customHeight="1" outlineLevel="2">
      <c r="A7" s="25">
        <v>3</v>
      </c>
      <c r="B7" s="26" t="s">
        <v>523</v>
      </c>
      <c r="C7" s="17" t="s">
        <v>514</v>
      </c>
      <c r="D7" s="26" t="s">
        <v>519</v>
      </c>
      <c r="E7" s="27">
        <v>4</v>
      </c>
      <c r="F7" s="26" t="s">
        <v>1241</v>
      </c>
      <c r="G7" s="28">
        <v>0.02</v>
      </c>
      <c r="H7" s="28">
        <f t="shared" si="0"/>
        <v>0.005</v>
      </c>
      <c r="I7" s="16" t="s">
        <v>512</v>
      </c>
      <c r="J7" s="29">
        <v>16.6</v>
      </c>
      <c r="K7" s="58">
        <f t="shared" si="1"/>
        <v>0.083</v>
      </c>
      <c r="L7" s="30">
        <f>H7*DEMANDA!$B$9</f>
        <v>0.655</v>
      </c>
      <c r="M7" s="29">
        <f t="shared" si="2"/>
        <v>10.873000000000001</v>
      </c>
    </row>
    <row r="8" spans="1:13" ht="15.75" customHeight="1" outlineLevel="2">
      <c r="A8" s="25">
        <v>5</v>
      </c>
      <c r="B8" s="26" t="s">
        <v>526</v>
      </c>
      <c r="C8" s="17" t="s">
        <v>514</v>
      </c>
      <c r="D8" s="26" t="s">
        <v>522</v>
      </c>
      <c r="E8" s="27">
        <v>4</v>
      </c>
      <c r="F8" s="26" t="s">
        <v>1241</v>
      </c>
      <c r="G8" s="28">
        <v>0.01</v>
      </c>
      <c r="H8" s="28">
        <f t="shared" si="0"/>
        <v>0.0025</v>
      </c>
      <c r="I8" s="16" t="s">
        <v>512</v>
      </c>
      <c r="J8" s="29">
        <v>16.6</v>
      </c>
      <c r="K8" s="58">
        <f t="shared" si="1"/>
        <v>0.0415</v>
      </c>
      <c r="L8" s="30">
        <f>H8*DEMANDA!$B$9</f>
        <v>0.3275</v>
      </c>
      <c r="M8" s="29">
        <f t="shared" si="2"/>
        <v>5.4365000000000006</v>
      </c>
    </row>
    <row r="9" spans="1:13" ht="15.75" customHeight="1" outlineLevel="2">
      <c r="A9" s="32">
        <v>6</v>
      </c>
      <c r="B9" s="33" t="s">
        <v>527</v>
      </c>
      <c r="C9" s="34" t="s">
        <v>514</v>
      </c>
      <c r="D9" s="33" t="s">
        <v>528</v>
      </c>
      <c r="E9" s="35">
        <v>12</v>
      </c>
      <c r="F9" s="26" t="s">
        <v>1241</v>
      </c>
      <c r="G9" s="36">
        <v>0.015</v>
      </c>
      <c r="H9" s="28">
        <f t="shared" si="0"/>
        <v>0.00125</v>
      </c>
      <c r="I9" s="16" t="s">
        <v>512</v>
      </c>
      <c r="J9" s="29">
        <v>16.6</v>
      </c>
      <c r="K9" s="58">
        <f t="shared" si="1"/>
        <v>0.02075</v>
      </c>
      <c r="L9" s="30">
        <f>H9*DEMANDA!$B$9</f>
        <v>0.16375</v>
      </c>
      <c r="M9" s="29">
        <f t="shared" si="2"/>
        <v>2.7182500000000003</v>
      </c>
    </row>
    <row r="10" spans="1:13" ht="15.75" customHeight="1" outlineLevel="2">
      <c r="A10" s="25">
        <v>7</v>
      </c>
      <c r="B10" s="26" t="s">
        <v>529</v>
      </c>
      <c r="C10" s="17" t="s">
        <v>510</v>
      </c>
      <c r="D10" s="26" t="s">
        <v>530</v>
      </c>
      <c r="E10" s="27">
        <v>4</v>
      </c>
      <c r="F10" s="26" t="s">
        <v>1241</v>
      </c>
      <c r="G10" s="28">
        <v>0.01</v>
      </c>
      <c r="H10" s="28">
        <f t="shared" si="0"/>
        <v>0.0025</v>
      </c>
      <c r="I10" s="16" t="s">
        <v>512</v>
      </c>
      <c r="J10" s="29">
        <v>16.6</v>
      </c>
      <c r="K10" s="58">
        <f t="shared" si="1"/>
        <v>0.0415</v>
      </c>
      <c r="L10" s="30">
        <f>H10*DEMANDA!$B$9</f>
        <v>0.3275</v>
      </c>
      <c r="M10" s="29">
        <f t="shared" si="2"/>
        <v>5.4365000000000006</v>
      </c>
    </row>
    <row r="11" spans="1:13" ht="15.75" customHeight="1" outlineLevel="2">
      <c r="A11" s="25">
        <v>9</v>
      </c>
      <c r="B11" s="26" t="s">
        <v>531</v>
      </c>
      <c r="C11" s="17" t="s">
        <v>510</v>
      </c>
      <c r="D11" s="26" t="s">
        <v>532</v>
      </c>
      <c r="E11" s="27">
        <v>4</v>
      </c>
      <c r="F11" s="26" t="s">
        <v>1241</v>
      </c>
      <c r="G11" s="28">
        <v>0.03</v>
      </c>
      <c r="H11" s="28">
        <f t="shared" si="0"/>
        <v>0.0075</v>
      </c>
      <c r="I11" s="16" t="s">
        <v>512</v>
      </c>
      <c r="J11" s="29">
        <v>16.6</v>
      </c>
      <c r="K11" s="58">
        <f t="shared" si="1"/>
        <v>0.1245</v>
      </c>
      <c r="L11" s="30">
        <f>H11*DEMANDA!$B$9</f>
        <v>0.9824999999999999</v>
      </c>
      <c r="M11" s="29">
        <f t="shared" si="2"/>
        <v>16.3095</v>
      </c>
    </row>
    <row r="12" spans="1:13" ht="15.75" customHeight="1" outlineLevel="2">
      <c r="A12" s="25">
        <v>10</v>
      </c>
      <c r="B12" s="26" t="s">
        <v>533</v>
      </c>
      <c r="C12" s="17" t="s">
        <v>514</v>
      </c>
      <c r="D12" s="26" t="s">
        <v>534</v>
      </c>
      <c r="E12" s="27">
        <v>4</v>
      </c>
      <c r="F12" s="26" t="s">
        <v>1241</v>
      </c>
      <c r="G12" s="28">
        <v>0.015</v>
      </c>
      <c r="H12" s="28">
        <f t="shared" si="0"/>
        <v>0.00375</v>
      </c>
      <c r="I12" s="16" t="s">
        <v>512</v>
      </c>
      <c r="J12" s="29">
        <v>16.6</v>
      </c>
      <c r="K12" s="58">
        <f t="shared" si="1"/>
        <v>0.06225</v>
      </c>
      <c r="L12" s="30">
        <f>H12*DEMANDA!$B$9</f>
        <v>0.49124999999999996</v>
      </c>
      <c r="M12" s="29">
        <f t="shared" si="2"/>
        <v>8.15475</v>
      </c>
    </row>
    <row r="13" spans="1:13" ht="15.75" customHeight="1" outlineLevel="2">
      <c r="A13" s="25">
        <v>11</v>
      </c>
      <c r="B13" s="26" t="s">
        <v>535</v>
      </c>
      <c r="C13" s="17" t="s">
        <v>510</v>
      </c>
      <c r="D13" s="26" t="s">
        <v>536</v>
      </c>
      <c r="E13" s="27">
        <v>4</v>
      </c>
      <c r="F13" s="26" t="s">
        <v>1241</v>
      </c>
      <c r="G13" s="28">
        <v>0.01</v>
      </c>
      <c r="H13" s="28">
        <f t="shared" si="0"/>
        <v>0.0025</v>
      </c>
      <c r="I13" s="16" t="s">
        <v>512</v>
      </c>
      <c r="J13" s="29">
        <v>16.6</v>
      </c>
      <c r="K13" s="58">
        <f t="shared" si="1"/>
        <v>0.0415</v>
      </c>
      <c r="L13" s="30">
        <f>H13*DEMANDA!$B$9</f>
        <v>0.3275</v>
      </c>
      <c r="M13" s="29">
        <f t="shared" si="2"/>
        <v>5.4365000000000006</v>
      </c>
    </row>
    <row r="14" spans="1:13" ht="15.75" customHeight="1" outlineLevel="2">
      <c r="A14" s="25">
        <v>12</v>
      </c>
      <c r="B14" s="26" t="s">
        <v>537</v>
      </c>
      <c r="C14" s="17" t="s">
        <v>514</v>
      </c>
      <c r="D14" s="26" t="s">
        <v>538</v>
      </c>
      <c r="E14" s="27">
        <v>4</v>
      </c>
      <c r="F14" s="26" t="s">
        <v>1241</v>
      </c>
      <c r="G14" s="28">
        <v>0.015</v>
      </c>
      <c r="H14" s="28">
        <f t="shared" si="0"/>
        <v>0.00375</v>
      </c>
      <c r="I14" s="16" t="s">
        <v>512</v>
      </c>
      <c r="J14" s="29">
        <v>16.6</v>
      </c>
      <c r="K14" s="58">
        <f t="shared" si="1"/>
        <v>0.06225</v>
      </c>
      <c r="L14" s="30">
        <f>H14*DEMANDA!$B$9</f>
        <v>0.49124999999999996</v>
      </c>
      <c r="M14" s="29">
        <f t="shared" si="2"/>
        <v>8.15475</v>
      </c>
    </row>
    <row r="15" spans="1:13" ht="15.75" customHeight="1" outlineLevel="2">
      <c r="A15" s="25">
        <v>16</v>
      </c>
      <c r="B15" s="26" t="s">
        <v>541</v>
      </c>
      <c r="C15" s="17" t="s">
        <v>514</v>
      </c>
      <c r="D15" s="26" t="s">
        <v>542</v>
      </c>
      <c r="E15" s="27">
        <v>4</v>
      </c>
      <c r="F15" s="26" t="s">
        <v>1241</v>
      </c>
      <c r="G15" s="28">
        <v>0.06</v>
      </c>
      <c r="H15" s="28">
        <f t="shared" si="0"/>
        <v>0.015</v>
      </c>
      <c r="I15" s="16" t="s">
        <v>512</v>
      </c>
      <c r="J15" s="29">
        <v>16.6</v>
      </c>
      <c r="K15" s="58">
        <f t="shared" si="1"/>
        <v>0.249</v>
      </c>
      <c r="L15" s="30">
        <f>H15*DEMANDA!$B$9</f>
        <v>1.9649999999999999</v>
      </c>
      <c r="M15" s="29">
        <f t="shared" si="2"/>
        <v>32.619</v>
      </c>
    </row>
    <row r="16" spans="1:13" ht="15.75" customHeight="1" outlineLevel="2">
      <c r="A16" s="25">
        <v>17</v>
      </c>
      <c r="B16" s="26" t="s">
        <v>543</v>
      </c>
      <c r="C16" s="17" t="s">
        <v>510</v>
      </c>
      <c r="D16" s="26" t="s">
        <v>530</v>
      </c>
      <c r="E16" s="27">
        <v>4</v>
      </c>
      <c r="F16" s="26" t="s">
        <v>1241</v>
      </c>
      <c r="G16" s="28">
        <v>0.01</v>
      </c>
      <c r="H16" s="28">
        <f t="shared" si="0"/>
        <v>0.0025</v>
      </c>
      <c r="I16" s="16" t="s">
        <v>512</v>
      </c>
      <c r="J16" s="29">
        <v>16.6</v>
      </c>
      <c r="K16" s="58">
        <f t="shared" si="1"/>
        <v>0.0415</v>
      </c>
      <c r="L16" s="30">
        <f>H16*DEMANDA!$B$9</f>
        <v>0.3275</v>
      </c>
      <c r="M16" s="29">
        <f t="shared" si="2"/>
        <v>5.4365000000000006</v>
      </c>
    </row>
    <row r="17" spans="1:13" ht="17.25" customHeight="1" outlineLevel="2">
      <c r="A17" s="25">
        <v>19</v>
      </c>
      <c r="B17" s="26" t="s">
        <v>544</v>
      </c>
      <c r="C17" s="17" t="s">
        <v>514</v>
      </c>
      <c r="D17" s="26" t="s">
        <v>545</v>
      </c>
      <c r="E17" s="27">
        <v>4</v>
      </c>
      <c r="F17" s="26" t="s">
        <v>1241</v>
      </c>
      <c r="G17" s="28">
        <v>0.03</v>
      </c>
      <c r="H17" s="28">
        <f t="shared" si="0"/>
        <v>0.0075</v>
      </c>
      <c r="I17" s="16" t="s">
        <v>512</v>
      </c>
      <c r="J17" s="29">
        <v>16.6</v>
      </c>
      <c r="K17" s="58">
        <f t="shared" si="1"/>
        <v>0.1245</v>
      </c>
      <c r="L17" s="30">
        <f>H17*DEMANDA!$B$9</f>
        <v>0.9824999999999999</v>
      </c>
      <c r="M17" s="29">
        <f t="shared" si="2"/>
        <v>16.3095</v>
      </c>
    </row>
    <row r="18" spans="1:13" ht="15.75" customHeight="1" outlineLevel="2">
      <c r="A18" s="25">
        <v>21</v>
      </c>
      <c r="B18" s="26" t="s">
        <v>546</v>
      </c>
      <c r="C18" s="17" t="s">
        <v>510</v>
      </c>
      <c r="D18" s="16" t="s">
        <v>530</v>
      </c>
      <c r="E18" s="27">
        <v>4</v>
      </c>
      <c r="F18" s="26" t="s">
        <v>1241</v>
      </c>
      <c r="G18" s="28">
        <v>0.01</v>
      </c>
      <c r="H18" s="28">
        <f t="shared" si="0"/>
        <v>0.0025</v>
      </c>
      <c r="I18" s="16" t="s">
        <v>512</v>
      </c>
      <c r="J18" s="29">
        <v>16.6</v>
      </c>
      <c r="K18" s="58">
        <f t="shared" si="1"/>
        <v>0.0415</v>
      </c>
      <c r="L18" s="30">
        <f>H18*DEMANDA!$B$9</f>
        <v>0.3275</v>
      </c>
      <c r="M18" s="29">
        <f t="shared" si="2"/>
        <v>5.4365000000000006</v>
      </c>
    </row>
    <row r="19" spans="1:13" ht="15.75" customHeight="1" outlineLevel="2">
      <c r="A19" s="25">
        <v>24</v>
      </c>
      <c r="B19" s="26" t="s">
        <v>547</v>
      </c>
      <c r="C19" s="17" t="s">
        <v>514</v>
      </c>
      <c r="D19" s="26" t="s">
        <v>522</v>
      </c>
      <c r="E19" s="27">
        <v>4</v>
      </c>
      <c r="F19" s="26" t="s">
        <v>1241</v>
      </c>
      <c r="G19" s="28">
        <v>0.02</v>
      </c>
      <c r="H19" s="28">
        <f t="shared" si="0"/>
        <v>0.005</v>
      </c>
      <c r="I19" s="16" t="s">
        <v>512</v>
      </c>
      <c r="J19" s="29">
        <v>16.6</v>
      </c>
      <c r="K19" s="58">
        <f t="shared" si="1"/>
        <v>0.083</v>
      </c>
      <c r="L19" s="30">
        <f>H19*DEMANDA!$B$9</f>
        <v>0.655</v>
      </c>
      <c r="M19" s="29">
        <f t="shared" si="2"/>
        <v>10.873000000000001</v>
      </c>
    </row>
    <row r="20" spans="1:13" ht="15.75" customHeight="1" outlineLevel="2">
      <c r="A20" s="25">
        <v>27</v>
      </c>
      <c r="B20" s="26" t="s">
        <v>549</v>
      </c>
      <c r="C20" s="17" t="s">
        <v>514</v>
      </c>
      <c r="D20" s="26" t="s">
        <v>545</v>
      </c>
      <c r="E20" s="27">
        <v>4</v>
      </c>
      <c r="F20" s="26" t="s">
        <v>1241</v>
      </c>
      <c r="G20" s="28">
        <v>0.03</v>
      </c>
      <c r="H20" s="28">
        <f t="shared" si="0"/>
        <v>0.0075</v>
      </c>
      <c r="I20" s="16" t="s">
        <v>512</v>
      </c>
      <c r="J20" s="29">
        <v>16.6</v>
      </c>
      <c r="K20" s="58">
        <f t="shared" si="1"/>
        <v>0.1245</v>
      </c>
      <c r="L20" s="30">
        <f>H20*DEMANDA!$B$9</f>
        <v>0.9824999999999999</v>
      </c>
      <c r="M20" s="29">
        <f t="shared" si="2"/>
        <v>16.3095</v>
      </c>
    </row>
    <row r="21" spans="1:13" ht="15.75" customHeight="1" outlineLevel="2">
      <c r="A21" s="25">
        <v>28</v>
      </c>
      <c r="B21" s="26" t="s">
        <v>550</v>
      </c>
      <c r="C21" s="17" t="s">
        <v>514</v>
      </c>
      <c r="D21" s="26" t="s">
        <v>522</v>
      </c>
      <c r="E21" s="27">
        <v>4</v>
      </c>
      <c r="F21" s="26" t="s">
        <v>1241</v>
      </c>
      <c r="G21" s="28">
        <v>0.02</v>
      </c>
      <c r="H21" s="28">
        <f t="shared" si="0"/>
        <v>0.005</v>
      </c>
      <c r="I21" s="16" t="s">
        <v>512</v>
      </c>
      <c r="J21" s="29">
        <v>16.6</v>
      </c>
      <c r="K21" s="58">
        <f t="shared" si="1"/>
        <v>0.083</v>
      </c>
      <c r="L21" s="30">
        <f>H21*DEMANDA!$B$9</f>
        <v>0.655</v>
      </c>
      <c r="M21" s="29">
        <f t="shared" si="2"/>
        <v>10.873000000000001</v>
      </c>
    </row>
    <row r="22" spans="1:13" ht="15.75" customHeight="1" outlineLevel="2">
      <c r="A22" s="25">
        <v>29</v>
      </c>
      <c r="B22" s="26" t="s">
        <v>551</v>
      </c>
      <c r="C22" s="17" t="s">
        <v>514</v>
      </c>
      <c r="D22" s="26" t="s">
        <v>545</v>
      </c>
      <c r="E22" s="27">
        <v>4</v>
      </c>
      <c r="F22" s="26" t="s">
        <v>1241</v>
      </c>
      <c r="G22" s="28">
        <v>0.03</v>
      </c>
      <c r="H22" s="28">
        <f t="shared" si="0"/>
        <v>0.0075</v>
      </c>
      <c r="I22" s="16" t="s">
        <v>512</v>
      </c>
      <c r="J22" s="29">
        <v>16.6</v>
      </c>
      <c r="K22" s="58">
        <f t="shared" si="1"/>
        <v>0.1245</v>
      </c>
      <c r="L22" s="30">
        <f>H22*DEMANDA!$B$9</f>
        <v>0.9824999999999999</v>
      </c>
      <c r="M22" s="29">
        <f t="shared" si="2"/>
        <v>16.3095</v>
      </c>
    </row>
    <row r="23" spans="1:13" ht="15.75" customHeight="1" outlineLevel="2">
      <c r="A23" s="25">
        <v>30</v>
      </c>
      <c r="B23" s="26" t="s">
        <v>552</v>
      </c>
      <c r="C23" s="17" t="s">
        <v>514</v>
      </c>
      <c r="D23" s="26" t="s">
        <v>553</v>
      </c>
      <c r="E23" s="27">
        <v>4</v>
      </c>
      <c r="F23" s="26" t="s">
        <v>1241</v>
      </c>
      <c r="G23" s="28">
        <v>0.0225</v>
      </c>
      <c r="H23" s="28">
        <f t="shared" si="0"/>
        <v>0.005625</v>
      </c>
      <c r="I23" s="16" t="s">
        <v>512</v>
      </c>
      <c r="J23" s="29">
        <v>16.6</v>
      </c>
      <c r="K23" s="58">
        <f t="shared" si="1"/>
        <v>0.093375</v>
      </c>
      <c r="L23" s="30">
        <f>H23*DEMANDA!$B$9</f>
        <v>0.736875</v>
      </c>
      <c r="M23" s="29">
        <f t="shared" si="2"/>
        <v>12.232125</v>
      </c>
    </row>
    <row r="24" spans="1:13" ht="15.75" customHeight="1" outlineLevel="1">
      <c r="A24" s="25"/>
      <c r="B24" s="26"/>
      <c r="C24" s="17"/>
      <c r="D24" s="26"/>
      <c r="E24" s="27"/>
      <c r="F24" s="51" t="s">
        <v>1403</v>
      </c>
      <c r="G24" s="28"/>
      <c r="H24" s="28"/>
      <c r="I24" s="16"/>
      <c r="J24" s="29"/>
      <c r="K24" s="58">
        <f>SUBTOTAL(9,K2:K23)</f>
        <v>1.7637500000000004</v>
      </c>
      <c r="L24" s="30"/>
      <c r="M24" s="29"/>
    </row>
    <row r="25" spans="1:13" ht="15.75" customHeight="1" outlineLevel="2">
      <c r="A25" s="25">
        <v>28</v>
      </c>
      <c r="B25" s="26" t="s">
        <v>572</v>
      </c>
      <c r="C25" s="17" t="s">
        <v>521</v>
      </c>
      <c r="D25" s="26" t="s">
        <v>557</v>
      </c>
      <c r="E25" s="27">
        <v>6</v>
      </c>
      <c r="F25" s="26" t="s">
        <v>1242</v>
      </c>
      <c r="G25" s="28">
        <v>0.00027</v>
      </c>
      <c r="H25" s="28">
        <f aca="true" t="shared" si="3" ref="H25:H39">G25/E25</f>
        <v>4.5E-05</v>
      </c>
      <c r="I25" s="16" t="s">
        <v>555</v>
      </c>
      <c r="J25" s="29">
        <v>30.36</v>
      </c>
      <c r="K25" s="58">
        <f aca="true" t="shared" si="4" ref="K25:K39">J25*H25</f>
        <v>0.0013662000000000001</v>
      </c>
      <c r="L25" s="30">
        <f>H25*DEMANDA!$B$9</f>
        <v>0.005895</v>
      </c>
      <c r="M25" s="29">
        <f aca="true" t="shared" si="5" ref="M25:M39">L25*J25</f>
        <v>0.1789722</v>
      </c>
    </row>
    <row r="26" spans="1:13" ht="15.75" customHeight="1" outlineLevel="2">
      <c r="A26" s="25">
        <v>11</v>
      </c>
      <c r="B26" s="26" t="s">
        <v>566</v>
      </c>
      <c r="C26" s="17" t="s">
        <v>521</v>
      </c>
      <c r="D26" s="26" t="s">
        <v>554</v>
      </c>
      <c r="E26" s="27">
        <v>4</v>
      </c>
      <c r="F26" s="26" t="s">
        <v>1242</v>
      </c>
      <c r="G26" s="28">
        <v>0.00027</v>
      </c>
      <c r="H26" s="28">
        <f t="shared" si="3"/>
        <v>6.75E-05</v>
      </c>
      <c r="I26" s="16" t="s">
        <v>555</v>
      </c>
      <c r="J26" s="29">
        <v>30.36</v>
      </c>
      <c r="K26" s="58">
        <f t="shared" si="4"/>
        <v>0.0020493</v>
      </c>
      <c r="L26" s="30">
        <f>H26*DEMANDA!$B$9</f>
        <v>0.0088425</v>
      </c>
      <c r="M26" s="29">
        <f t="shared" si="5"/>
        <v>0.2684583</v>
      </c>
    </row>
    <row r="27" spans="1:13" ht="15.75" customHeight="1" outlineLevel="2">
      <c r="A27" s="25">
        <v>14</v>
      </c>
      <c r="B27" s="26" t="s">
        <v>567</v>
      </c>
      <c r="C27" s="17" t="s">
        <v>521</v>
      </c>
      <c r="D27" s="26" t="s">
        <v>568</v>
      </c>
      <c r="E27" s="27">
        <v>2</v>
      </c>
      <c r="F27" s="26" t="s">
        <v>1242</v>
      </c>
      <c r="G27" s="28">
        <v>0.00027</v>
      </c>
      <c r="H27" s="28">
        <f t="shared" si="3"/>
        <v>0.000135</v>
      </c>
      <c r="I27" s="16" t="s">
        <v>555</v>
      </c>
      <c r="J27" s="29">
        <v>30.36</v>
      </c>
      <c r="K27" s="58">
        <f t="shared" si="4"/>
        <v>0.0040986</v>
      </c>
      <c r="L27" s="30">
        <f>H27*DEMANDA!$B$9</f>
        <v>0.017685</v>
      </c>
      <c r="M27" s="29">
        <f t="shared" si="5"/>
        <v>0.5369166</v>
      </c>
    </row>
    <row r="28" spans="1:13" ht="15.75" customHeight="1" outlineLevel="2">
      <c r="A28" s="25">
        <v>18</v>
      </c>
      <c r="B28" s="26" t="s">
        <v>570</v>
      </c>
      <c r="C28" s="17" t="s">
        <v>521</v>
      </c>
      <c r="D28" s="26" t="s">
        <v>557</v>
      </c>
      <c r="E28" s="27">
        <v>4</v>
      </c>
      <c r="F28" s="26" t="s">
        <v>1242</v>
      </c>
      <c r="G28" s="28">
        <v>0.00027</v>
      </c>
      <c r="H28" s="28">
        <f t="shared" si="3"/>
        <v>6.75E-05</v>
      </c>
      <c r="I28" s="16" t="s">
        <v>555</v>
      </c>
      <c r="J28" s="29">
        <v>30.36</v>
      </c>
      <c r="K28" s="58">
        <f t="shared" si="4"/>
        <v>0.0020493</v>
      </c>
      <c r="L28" s="30">
        <f>H28*DEMANDA!$B$9</f>
        <v>0.0088425</v>
      </c>
      <c r="M28" s="29">
        <f t="shared" si="5"/>
        <v>0.2684583</v>
      </c>
    </row>
    <row r="29" spans="1:13" ht="15.75" customHeight="1" outlineLevel="2">
      <c r="A29" s="25">
        <v>1</v>
      </c>
      <c r="B29" s="26" t="s">
        <v>509</v>
      </c>
      <c r="C29" s="17" t="s">
        <v>510</v>
      </c>
      <c r="D29" s="26" t="s">
        <v>554</v>
      </c>
      <c r="E29" s="27">
        <v>4</v>
      </c>
      <c r="F29" s="26" t="s">
        <v>1242</v>
      </c>
      <c r="G29" s="28">
        <v>0.00027</v>
      </c>
      <c r="H29" s="28">
        <f t="shared" si="3"/>
        <v>6.75E-05</v>
      </c>
      <c r="I29" s="16" t="s">
        <v>555</v>
      </c>
      <c r="J29" s="29">
        <v>30.36</v>
      </c>
      <c r="K29" s="58">
        <f t="shared" si="4"/>
        <v>0.0020493</v>
      </c>
      <c r="L29" s="30">
        <f>H29*DEMANDA!$B$9</f>
        <v>0.0088425</v>
      </c>
      <c r="M29" s="29">
        <f t="shared" si="5"/>
        <v>0.2684583</v>
      </c>
    </row>
    <row r="30" spans="1:13" ht="15.75" customHeight="1" outlineLevel="2">
      <c r="A30" s="25">
        <v>24</v>
      </c>
      <c r="B30" s="26" t="s">
        <v>548</v>
      </c>
      <c r="C30" s="17" t="s">
        <v>521</v>
      </c>
      <c r="D30" s="26" t="s">
        <v>571</v>
      </c>
      <c r="E30" s="27">
        <v>2</v>
      </c>
      <c r="F30" s="26" t="s">
        <v>1242</v>
      </c>
      <c r="G30" s="28">
        <v>0.00027</v>
      </c>
      <c r="H30" s="28">
        <f t="shared" si="3"/>
        <v>0.000135</v>
      </c>
      <c r="I30" s="16" t="s">
        <v>555</v>
      </c>
      <c r="J30" s="29">
        <v>30.36</v>
      </c>
      <c r="K30" s="58">
        <f t="shared" si="4"/>
        <v>0.0040986</v>
      </c>
      <c r="L30" s="30">
        <f>H30*DEMANDA!$B$9</f>
        <v>0.017685</v>
      </c>
      <c r="M30" s="29">
        <f t="shared" si="5"/>
        <v>0.5369166</v>
      </c>
    </row>
    <row r="31" spans="1:13" ht="15.75" customHeight="1" outlineLevel="2">
      <c r="A31" s="25">
        <v>6</v>
      </c>
      <c r="B31" s="26" t="s">
        <v>561</v>
      </c>
      <c r="C31" s="17" t="s">
        <v>521</v>
      </c>
      <c r="D31" s="26" t="s">
        <v>562</v>
      </c>
      <c r="E31" s="27">
        <v>6</v>
      </c>
      <c r="F31" s="26" t="s">
        <v>1242</v>
      </c>
      <c r="G31" s="28">
        <v>0.00027</v>
      </c>
      <c r="H31" s="28">
        <f t="shared" si="3"/>
        <v>4.5E-05</v>
      </c>
      <c r="I31" s="16" t="s">
        <v>555</v>
      </c>
      <c r="J31" s="29">
        <v>30.36</v>
      </c>
      <c r="K31" s="58">
        <f t="shared" si="4"/>
        <v>0.0013662000000000001</v>
      </c>
      <c r="L31" s="30">
        <f>H31*DEMANDA!$B$9</f>
        <v>0.005895</v>
      </c>
      <c r="M31" s="29">
        <f t="shared" si="5"/>
        <v>0.1789722</v>
      </c>
    </row>
    <row r="32" spans="1:13" ht="15.75" customHeight="1" outlineLevel="2">
      <c r="A32" s="25">
        <v>3</v>
      </c>
      <c r="B32" s="26" t="s">
        <v>556</v>
      </c>
      <c r="C32" s="17" t="s">
        <v>521</v>
      </c>
      <c r="D32" s="26" t="s">
        <v>557</v>
      </c>
      <c r="E32" s="27">
        <v>4</v>
      </c>
      <c r="F32" s="26" t="s">
        <v>1242</v>
      </c>
      <c r="G32" s="28">
        <v>0.00027</v>
      </c>
      <c r="H32" s="28">
        <f t="shared" si="3"/>
        <v>6.75E-05</v>
      </c>
      <c r="I32" s="16" t="s">
        <v>555</v>
      </c>
      <c r="J32" s="29">
        <v>30.36</v>
      </c>
      <c r="K32" s="58">
        <f t="shared" si="4"/>
        <v>0.0020493</v>
      </c>
      <c r="L32" s="30">
        <f>H32*DEMANDA!$B$9</f>
        <v>0.0088425</v>
      </c>
      <c r="M32" s="29">
        <f t="shared" si="5"/>
        <v>0.2684583</v>
      </c>
    </row>
    <row r="33" spans="1:13" ht="15.75" customHeight="1" outlineLevel="2">
      <c r="A33" s="25">
        <v>4</v>
      </c>
      <c r="B33" s="26" t="s">
        <v>558</v>
      </c>
      <c r="C33" s="17" t="s">
        <v>510</v>
      </c>
      <c r="D33" s="37" t="s">
        <v>1382</v>
      </c>
      <c r="E33" s="27">
        <v>2</v>
      </c>
      <c r="F33" s="26" t="s">
        <v>1242</v>
      </c>
      <c r="G33" s="28">
        <v>0.00027</v>
      </c>
      <c r="H33" s="28">
        <f t="shared" si="3"/>
        <v>0.000135</v>
      </c>
      <c r="I33" s="16" t="s">
        <v>555</v>
      </c>
      <c r="J33" s="29">
        <v>30.36</v>
      </c>
      <c r="K33" s="58">
        <f t="shared" si="4"/>
        <v>0.0040986</v>
      </c>
      <c r="L33" s="30">
        <f>H33*DEMANDA!$B$9</f>
        <v>0.017685</v>
      </c>
      <c r="M33" s="29">
        <f t="shared" si="5"/>
        <v>0.5369166</v>
      </c>
    </row>
    <row r="34" spans="1:13" ht="15.75" customHeight="1" outlineLevel="2">
      <c r="A34" s="25">
        <v>5</v>
      </c>
      <c r="B34" s="26" t="s">
        <v>559</v>
      </c>
      <c r="C34" s="17" t="s">
        <v>510</v>
      </c>
      <c r="D34" s="26" t="s">
        <v>560</v>
      </c>
      <c r="E34" s="27">
        <v>4</v>
      </c>
      <c r="F34" s="26" t="s">
        <v>1242</v>
      </c>
      <c r="G34" s="28">
        <v>0.00027</v>
      </c>
      <c r="H34" s="28">
        <f t="shared" si="3"/>
        <v>6.75E-05</v>
      </c>
      <c r="I34" s="16" t="s">
        <v>555</v>
      </c>
      <c r="J34" s="29">
        <v>30.36</v>
      </c>
      <c r="K34" s="58">
        <f t="shared" si="4"/>
        <v>0.0020493</v>
      </c>
      <c r="L34" s="30">
        <f>H34*DEMANDA!$B$9</f>
        <v>0.0088425</v>
      </c>
      <c r="M34" s="29">
        <f t="shared" si="5"/>
        <v>0.2684583</v>
      </c>
    </row>
    <row r="35" spans="1:13" ht="15.75" customHeight="1" outlineLevel="2">
      <c r="A35" s="25">
        <v>7</v>
      </c>
      <c r="B35" s="26" t="s">
        <v>563</v>
      </c>
      <c r="C35" s="17" t="s">
        <v>514</v>
      </c>
      <c r="D35" s="26" t="s">
        <v>554</v>
      </c>
      <c r="E35" s="27">
        <v>4</v>
      </c>
      <c r="F35" s="26" t="s">
        <v>1242</v>
      </c>
      <c r="G35" s="28">
        <v>0.00027</v>
      </c>
      <c r="H35" s="28">
        <f t="shared" si="3"/>
        <v>6.75E-05</v>
      </c>
      <c r="I35" s="16" t="s">
        <v>555</v>
      </c>
      <c r="J35" s="29">
        <v>30.36</v>
      </c>
      <c r="K35" s="58">
        <f t="shared" si="4"/>
        <v>0.0020493</v>
      </c>
      <c r="L35" s="30">
        <f>H35*DEMANDA!$B$9</f>
        <v>0.0088425</v>
      </c>
      <c r="M35" s="29">
        <f t="shared" si="5"/>
        <v>0.2684583</v>
      </c>
    </row>
    <row r="36" spans="1:13" ht="15.75" customHeight="1" outlineLevel="2">
      <c r="A36" s="25">
        <v>9</v>
      </c>
      <c r="B36" s="26" t="s">
        <v>564</v>
      </c>
      <c r="C36" s="17" t="s">
        <v>514</v>
      </c>
      <c r="D36" s="26" t="s">
        <v>565</v>
      </c>
      <c r="E36" s="27">
        <v>8</v>
      </c>
      <c r="F36" s="26" t="s">
        <v>1242</v>
      </c>
      <c r="G36" s="28">
        <v>0.00027</v>
      </c>
      <c r="H36" s="28">
        <f t="shared" si="3"/>
        <v>3.375E-05</v>
      </c>
      <c r="I36" s="16" t="s">
        <v>555</v>
      </c>
      <c r="J36" s="29">
        <v>30.36</v>
      </c>
      <c r="K36" s="58">
        <f t="shared" si="4"/>
        <v>0.00102465</v>
      </c>
      <c r="L36" s="30">
        <f>H36*DEMANDA!$B$9</f>
        <v>0.00442125</v>
      </c>
      <c r="M36" s="29">
        <f t="shared" si="5"/>
        <v>0.13422915</v>
      </c>
    </row>
    <row r="37" spans="1:13" ht="15.75" customHeight="1" outlineLevel="2">
      <c r="A37" s="25">
        <v>17</v>
      </c>
      <c r="B37" s="26" t="s">
        <v>569</v>
      </c>
      <c r="C37" s="17" t="s">
        <v>514</v>
      </c>
      <c r="D37" s="26" t="s">
        <v>554</v>
      </c>
      <c r="E37" s="27">
        <v>4</v>
      </c>
      <c r="F37" s="26" t="s">
        <v>1242</v>
      </c>
      <c r="G37" s="28">
        <v>0.00027</v>
      </c>
      <c r="H37" s="28">
        <f t="shared" si="3"/>
        <v>6.75E-05</v>
      </c>
      <c r="I37" s="16" t="s">
        <v>555</v>
      </c>
      <c r="J37" s="29">
        <v>30.36</v>
      </c>
      <c r="K37" s="58">
        <f t="shared" si="4"/>
        <v>0.0020493</v>
      </c>
      <c r="L37" s="30">
        <f>H37*DEMANDA!$B$9</f>
        <v>0.0088425</v>
      </c>
      <c r="M37" s="29">
        <f t="shared" si="5"/>
        <v>0.2684583</v>
      </c>
    </row>
    <row r="38" spans="1:13" ht="15.75" customHeight="1" outlineLevel="2">
      <c r="A38" s="25">
        <v>19</v>
      </c>
      <c r="B38" s="26" t="s">
        <v>544</v>
      </c>
      <c r="C38" s="17" t="s">
        <v>514</v>
      </c>
      <c r="D38" s="26" t="s">
        <v>554</v>
      </c>
      <c r="E38" s="27">
        <v>4</v>
      </c>
      <c r="F38" s="26" t="s">
        <v>1242</v>
      </c>
      <c r="G38" s="28">
        <v>0.00027</v>
      </c>
      <c r="H38" s="28">
        <f t="shared" si="3"/>
        <v>6.75E-05</v>
      </c>
      <c r="I38" s="16" t="s">
        <v>555</v>
      </c>
      <c r="J38" s="29">
        <v>30.36</v>
      </c>
      <c r="K38" s="58">
        <f t="shared" si="4"/>
        <v>0.0020493</v>
      </c>
      <c r="L38" s="30">
        <f>H38*DEMANDA!$B$9</f>
        <v>0.0088425</v>
      </c>
      <c r="M38" s="29">
        <f t="shared" si="5"/>
        <v>0.2684583</v>
      </c>
    </row>
    <row r="39" spans="1:13" ht="15.75" customHeight="1" outlineLevel="2">
      <c r="A39" s="25">
        <v>23</v>
      </c>
      <c r="B39" s="26" t="s">
        <v>517</v>
      </c>
      <c r="C39" s="17" t="s">
        <v>514</v>
      </c>
      <c r="D39" s="26" t="s">
        <v>554</v>
      </c>
      <c r="E39" s="27">
        <v>4</v>
      </c>
      <c r="F39" s="26" t="s">
        <v>1242</v>
      </c>
      <c r="G39" s="28">
        <v>0.00027</v>
      </c>
      <c r="H39" s="28">
        <f t="shared" si="3"/>
        <v>6.75E-05</v>
      </c>
      <c r="I39" s="16" t="s">
        <v>555</v>
      </c>
      <c r="J39" s="29">
        <v>30.36</v>
      </c>
      <c r="K39" s="58">
        <f t="shared" si="4"/>
        <v>0.0020493</v>
      </c>
      <c r="L39" s="30">
        <f>H39*DEMANDA!$B$9</f>
        <v>0.0088425</v>
      </c>
      <c r="M39" s="29">
        <f t="shared" si="5"/>
        <v>0.2684583</v>
      </c>
    </row>
    <row r="40" spans="1:13" ht="15.75" customHeight="1" outlineLevel="1">
      <c r="A40" s="25"/>
      <c r="B40" s="26"/>
      <c r="C40" s="17"/>
      <c r="D40" s="26"/>
      <c r="E40" s="27"/>
      <c r="F40" s="52" t="s">
        <v>1404</v>
      </c>
      <c r="G40" s="28"/>
      <c r="H40" s="28"/>
      <c r="I40" s="16"/>
      <c r="J40" s="29"/>
      <c r="K40" s="58">
        <f>SUBTOTAL(9,K25:K39)</f>
        <v>0.03449655</v>
      </c>
      <c r="L40" s="30"/>
      <c r="M40" s="29"/>
    </row>
    <row r="41" spans="1:13" ht="15.75" customHeight="1" outlineLevel="2">
      <c r="A41" s="25">
        <v>14</v>
      </c>
      <c r="B41" s="26" t="s">
        <v>567</v>
      </c>
      <c r="C41" s="17" t="s">
        <v>521</v>
      </c>
      <c r="D41" s="26" t="s">
        <v>575</v>
      </c>
      <c r="E41" s="27">
        <v>2</v>
      </c>
      <c r="F41" s="26" t="s">
        <v>1243</v>
      </c>
      <c r="G41" s="28">
        <v>0.015</v>
      </c>
      <c r="H41" s="28">
        <f>G41/E41</f>
        <v>0.0075</v>
      </c>
      <c r="I41" s="16" t="s">
        <v>512</v>
      </c>
      <c r="J41" s="29">
        <v>2.37</v>
      </c>
      <c r="K41" s="58">
        <f>J41*H41</f>
        <v>0.017775</v>
      </c>
      <c r="L41" s="30">
        <f>H41*DEMANDA!$B$9</f>
        <v>0.9824999999999999</v>
      </c>
      <c r="M41" s="29">
        <f>L41*J41</f>
        <v>2.328525</v>
      </c>
    </row>
    <row r="42" spans="1:13" ht="15.75" customHeight="1" outlineLevel="2">
      <c r="A42" s="25">
        <v>4</v>
      </c>
      <c r="B42" s="26" t="s">
        <v>573</v>
      </c>
      <c r="C42" s="17" t="s">
        <v>514</v>
      </c>
      <c r="D42" s="26" t="s">
        <v>574</v>
      </c>
      <c r="E42" s="27">
        <v>4</v>
      </c>
      <c r="F42" s="26" t="s">
        <v>1243</v>
      </c>
      <c r="G42" s="28">
        <v>0.01</v>
      </c>
      <c r="H42" s="28">
        <f>G42/E42</f>
        <v>0.0025</v>
      </c>
      <c r="I42" s="16" t="s">
        <v>512</v>
      </c>
      <c r="J42" s="29">
        <v>2.37</v>
      </c>
      <c r="K42" s="58">
        <f>J42*H42</f>
        <v>0.005925000000000001</v>
      </c>
      <c r="L42" s="30">
        <f>H42*DEMANDA!$B$9</f>
        <v>0.3275</v>
      </c>
      <c r="M42" s="29">
        <f>L42*J42</f>
        <v>0.7761750000000001</v>
      </c>
    </row>
    <row r="43" spans="1:13" ht="15.75" customHeight="1" outlineLevel="2">
      <c r="A43" s="25">
        <v>20</v>
      </c>
      <c r="B43" s="26" t="s">
        <v>576</v>
      </c>
      <c r="C43" s="17" t="s">
        <v>514</v>
      </c>
      <c r="D43" s="26" t="s">
        <v>577</v>
      </c>
      <c r="E43" s="27">
        <v>4</v>
      </c>
      <c r="F43" s="26" t="s">
        <v>1243</v>
      </c>
      <c r="G43" s="28">
        <v>0.015</v>
      </c>
      <c r="H43" s="28">
        <f>G43/E43</f>
        <v>0.00375</v>
      </c>
      <c r="I43" s="16" t="s">
        <v>512</v>
      </c>
      <c r="J43" s="29">
        <v>2.37</v>
      </c>
      <c r="K43" s="58">
        <f>J43*H43</f>
        <v>0.0088875</v>
      </c>
      <c r="L43" s="30">
        <f>H43*DEMANDA!$B$9</f>
        <v>0.49124999999999996</v>
      </c>
      <c r="M43" s="29">
        <f>L43*J43</f>
        <v>1.1642625</v>
      </c>
    </row>
    <row r="44" spans="1:13" ht="15.75" customHeight="1" outlineLevel="1">
      <c r="A44" s="25"/>
      <c r="B44" s="26"/>
      <c r="C44" s="17"/>
      <c r="D44" s="26"/>
      <c r="E44" s="27"/>
      <c r="F44" s="52" t="s">
        <v>1405</v>
      </c>
      <c r="G44" s="28"/>
      <c r="H44" s="28"/>
      <c r="I44" s="16"/>
      <c r="J44" s="29"/>
      <c r="K44" s="58">
        <f>SUBTOTAL(9,K41:K43)</f>
        <v>0.0325875</v>
      </c>
      <c r="L44" s="30"/>
      <c r="M44" s="29"/>
    </row>
    <row r="45" spans="1:13" ht="15.75" customHeight="1" outlineLevel="2">
      <c r="A45" s="25">
        <v>14</v>
      </c>
      <c r="B45" s="26" t="s">
        <v>578</v>
      </c>
      <c r="C45" s="17" t="s">
        <v>510</v>
      </c>
      <c r="D45" s="26" t="s">
        <v>579</v>
      </c>
      <c r="E45" s="27">
        <v>4</v>
      </c>
      <c r="F45" s="26" t="s">
        <v>1244</v>
      </c>
      <c r="G45" s="28">
        <v>0.05</v>
      </c>
      <c r="H45" s="28">
        <f>G45/E45</f>
        <v>0.0125</v>
      </c>
      <c r="I45" s="16" t="s">
        <v>555</v>
      </c>
      <c r="J45" s="29">
        <v>4.29</v>
      </c>
      <c r="K45" s="58">
        <f>J45*H45</f>
        <v>0.053625000000000006</v>
      </c>
      <c r="L45" s="30">
        <f>H45*DEMANDA!$B$9</f>
        <v>1.6375000000000002</v>
      </c>
      <c r="M45" s="29">
        <f>L45*J45</f>
        <v>7.024875000000001</v>
      </c>
    </row>
    <row r="46" spans="1:13" ht="15.75" customHeight="1" outlineLevel="2">
      <c r="A46" s="25">
        <v>20</v>
      </c>
      <c r="B46" s="26" t="s">
        <v>576</v>
      </c>
      <c r="C46" s="17" t="s">
        <v>514</v>
      </c>
      <c r="D46" s="26" t="s">
        <v>580</v>
      </c>
      <c r="E46" s="27">
        <v>4</v>
      </c>
      <c r="F46" s="26" t="s">
        <v>1244</v>
      </c>
      <c r="G46" s="28">
        <v>0.05</v>
      </c>
      <c r="H46" s="28">
        <f>G46/E46</f>
        <v>0.0125</v>
      </c>
      <c r="I46" s="16" t="s">
        <v>555</v>
      </c>
      <c r="J46" s="29">
        <v>4.29</v>
      </c>
      <c r="K46" s="58">
        <f>J46*H46</f>
        <v>0.053625000000000006</v>
      </c>
      <c r="L46" s="30">
        <f>H46*DEMANDA!$B$9</f>
        <v>1.6375000000000002</v>
      </c>
      <c r="M46" s="29">
        <f>L46*J46</f>
        <v>7.024875000000001</v>
      </c>
    </row>
    <row r="47" spans="1:13" ht="15.75" customHeight="1" outlineLevel="2">
      <c r="A47" s="25">
        <v>22</v>
      </c>
      <c r="B47" s="26" t="s">
        <v>581</v>
      </c>
      <c r="C47" s="17" t="s">
        <v>514</v>
      </c>
      <c r="D47" s="26" t="s">
        <v>582</v>
      </c>
      <c r="E47" s="27">
        <v>4</v>
      </c>
      <c r="F47" s="26" t="s">
        <v>1244</v>
      </c>
      <c r="G47" s="28">
        <v>0.0435</v>
      </c>
      <c r="H47" s="28">
        <f>G47/E47</f>
        <v>0.010875</v>
      </c>
      <c r="I47" s="16" t="s">
        <v>555</v>
      </c>
      <c r="J47" s="29">
        <v>4.29</v>
      </c>
      <c r="K47" s="58">
        <f>J47*H47</f>
        <v>0.046653749999999994</v>
      </c>
      <c r="L47" s="30">
        <f>H47*DEMANDA!$B$9</f>
        <v>1.4246249999999998</v>
      </c>
      <c r="M47" s="29">
        <f>L47*J47</f>
        <v>6.111641249999999</v>
      </c>
    </row>
    <row r="48" spans="1:13" ht="15.75" customHeight="1" outlineLevel="1">
      <c r="A48" s="25"/>
      <c r="B48" s="26"/>
      <c r="C48" s="17"/>
      <c r="D48" s="26"/>
      <c r="E48" s="27"/>
      <c r="F48" s="52" t="s">
        <v>1406</v>
      </c>
      <c r="G48" s="28"/>
      <c r="H48" s="28"/>
      <c r="I48" s="16"/>
      <c r="J48" s="29"/>
      <c r="K48" s="58">
        <f>SUBTOTAL(9,K45:K47)</f>
        <v>0.15390375</v>
      </c>
      <c r="L48" s="30"/>
      <c r="M48" s="29"/>
    </row>
    <row r="49" spans="1:13" ht="15.75" customHeight="1" outlineLevel="2">
      <c r="A49" s="25">
        <v>27</v>
      </c>
      <c r="B49" s="26" t="s">
        <v>584</v>
      </c>
      <c r="C49" s="17" t="s">
        <v>521</v>
      </c>
      <c r="D49" s="26" t="s">
        <v>585</v>
      </c>
      <c r="E49" s="27">
        <v>4</v>
      </c>
      <c r="F49" s="26" t="s">
        <v>1245</v>
      </c>
      <c r="G49" s="28">
        <v>0.058</v>
      </c>
      <c r="H49" s="28">
        <f>G49/E49</f>
        <v>0.0145</v>
      </c>
      <c r="I49" s="16" t="s">
        <v>555</v>
      </c>
      <c r="J49" s="29">
        <v>6.04</v>
      </c>
      <c r="K49" s="58">
        <f>J49*H49</f>
        <v>0.08758</v>
      </c>
      <c r="L49" s="30">
        <f>H49*DEMANDA!$B$9</f>
        <v>1.8995000000000002</v>
      </c>
      <c r="M49" s="29">
        <f>L49*J49</f>
        <v>11.472980000000002</v>
      </c>
    </row>
    <row r="50" spans="1:13" ht="15.75" customHeight="1" outlineLevel="2">
      <c r="A50" s="25">
        <v>10</v>
      </c>
      <c r="B50" s="26" t="s">
        <v>533</v>
      </c>
      <c r="C50" s="17" t="s">
        <v>514</v>
      </c>
      <c r="D50" s="26" t="s">
        <v>583</v>
      </c>
      <c r="E50" s="27">
        <v>4</v>
      </c>
      <c r="F50" s="26" t="s">
        <v>1245</v>
      </c>
      <c r="G50" s="28">
        <v>0.116</v>
      </c>
      <c r="H50" s="28">
        <f>G50/E50</f>
        <v>0.029</v>
      </c>
      <c r="I50" s="16" t="s">
        <v>555</v>
      </c>
      <c r="J50" s="29">
        <v>6.04</v>
      </c>
      <c r="K50" s="58">
        <f>J50*H50</f>
        <v>0.17516</v>
      </c>
      <c r="L50" s="30">
        <f>H50*DEMANDA!$B$9</f>
        <v>3.7990000000000004</v>
      </c>
      <c r="M50" s="29">
        <f>L50*J50</f>
        <v>22.945960000000003</v>
      </c>
    </row>
    <row r="51" spans="1:13" ht="15.75" customHeight="1" outlineLevel="1">
      <c r="A51" s="25"/>
      <c r="B51" s="26"/>
      <c r="C51" s="17"/>
      <c r="D51" s="26"/>
      <c r="E51" s="27"/>
      <c r="F51" s="52" t="s">
        <v>1407</v>
      </c>
      <c r="G51" s="28"/>
      <c r="H51" s="28"/>
      <c r="I51" s="16"/>
      <c r="J51" s="29"/>
      <c r="K51" s="58">
        <f>SUBTOTAL(9,K49:K50)</f>
        <v>0.26274000000000003</v>
      </c>
      <c r="L51" s="30"/>
      <c r="M51" s="29"/>
    </row>
    <row r="52" spans="1:13" ht="15.75" customHeight="1" outlineLevel="2">
      <c r="A52" s="25">
        <v>1</v>
      </c>
      <c r="B52" s="26" t="s">
        <v>509</v>
      </c>
      <c r="C52" s="17" t="s">
        <v>510</v>
      </c>
      <c r="D52" s="26" t="s">
        <v>511</v>
      </c>
      <c r="E52" s="27">
        <v>4</v>
      </c>
      <c r="F52" s="26" t="s">
        <v>1390</v>
      </c>
      <c r="G52" s="28">
        <v>0.015</v>
      </c>
      <c r="H52" s="28">
        <f>G52/E52</f>
        <v>0.00375</v>
      </c>
      <c r="I52" s="16" t="s">
        <v>512</v>
      </c>
      <c r="J52" s="29">
        <v>4.91</v>
      </c>
      <c r="K52" s="58">
        <f>J52*H52</f>
        <v>0.0184125</v>
      </c>
      <c r="L52" s="30">
        <f>H52*DEMANDA!$B$9</f>
        <v>0.49124999999999996</v>
      </c>
      <c r="M52" s="29">
        <f>L52*J52</f>
        <v>2.4120375</v>
      </c>
    </row>
    <row r="53" spans="1:13" ht="15.75" customHeight="1" outlineLevel="2">
      <c r="A53" s="25">
        <v>15</v>
      </c>
      <c r="B53" s="26" t="s">
        <v>513</v>
      </c>
      <c r="C53" s="17" t="s">
        <v>514</v>
      </c>
      <c r="D53" s="26" t="s">
        <v>511</v>
      </c>
      <c r="E53" s="27">
        <v>4</v>
      </c>
      <c r="F53" s="26" t="s">
        <v>1390</v>
      </c>
      <c r="G53" s="28">
        <v>0.015</v>
      </c>
      <c r="H53" s="28">
        <f>G53/E53</f>
        <v>0.00375</v>
      </c>
      <c r="I53" s="16" t="s">
        <v>512</v>
      </c>
      <c r="J53" s="29">
        <v>4.91</v>
      </c>
      <c r="K53" s="58">
        <f>J53*H53</f>
        <v>0.0184125</v>
      </c>
      <c r="L53" s="30">
        <f>H53*DEMANDA!$B$9</f>
        <v>0.49124999999999996</v>
      </c>
      <c r="M53" s="29">
        <f>L53*J53</f>
        <v>2.4120375</v>
      </c>
    </row>
    <row r="54" spans="1:13" ht="15.75" customHeight="1" outlineLevel="2">
      <c r="A54" s="25">
        <v>21</v>
      </c>
      <c r="B54" s="26" t="s">
        <v>515</v>
      </c>
      <c r="C54" s="17" t="s">
        <v>514</v>
      </c>
      <c r="D54" s="26" t="s">
        <v>516</v>
      </c>
      <c r="E54" s="27">
        <v>4</v>
      </c>
      <c r="F54" s="26" t="s">
        <v>1390</v>
      </c>
      <c r="G54" s="28">
        <v>0.015</v>
      </c>
      <c r="H54" s="28">
        <f>G54/E54</f>
        <v>0.00375</v>
      </c>
      <c r="I54" s="16" t="s">
        <v>512</v>
      </c>
      <c r="J54" s="29">
        <v>4.91</v>
      </c>
      <c r="K54" s="58">
        <f>J54*H54</f>
        <v>0.0184125</v>
      </c>
      <c r="L54" s="30">
        <f>H54*DEMANDA!$B$9</f>
        <v>0.49124999999999996</v>
      </c>
      <c r="M54" s="29">
        <f>L54*J54</f>
        <v>2.4120375</v>
      </c>
    </row>
    <row r="55" spans="1:13" ht="15.75" customHeight="1" outlineLevel="2">
      <c r="A55" s="25">
        <v>23</v>
      </c>
      <c r="B55" s="26" t="s">
        <v>517</v>
      </c>
      <c r="C55" s="17" t="s">
        <v>514</v>
      </c>
      <c r="D55" s="26" t="s">
        <v>516</v>
      </c>
      <c r="E55" s="27">
        <v>4</v>
      </c>
      <c r="F55" s="26" t="s">
        <v>1390</v>
      </c>
      <c r="G55" s="28">
        <v>0.015</v>
      </c>
      <c r="H55" s="28">
        <f>G55/E55</f>
        <v>0.00375</v>
      </c>
      <c r="I55" s="16" t="s">
        <v>512</v>
      </c>
      <c r="J55" s="29">
        <v>4.91</v>
      </c>
      <c r="K55" s="58">
        <f>J55*H55</f>
        <v>0.0184125</v>
      </c>
      <c r="L55" s="30">
        <f>H55*DEMANDA!$B$9</f>
        <v>0.49124999999999996</v>
      </c>
      <c r="M55" s="29">
        <f>L55*J55</f>
        <v>2.4120375</v>
      </c>
    </row>
    <row r="56" spans="1:13" ht="15.75" customHeight="1" outlineLevel="1">
      <c r="A56" s="25"/>
      <c r="B56" s="26"/>
      <c r="C56" s="17"/>
      <c r="D56" s="26"/>
      <c r="E56" s="27"/>
      <c r="F56" s="52" t="s">
        <v>1402</v>
      </c>
      <c r="G56" s="28"/>
      <c r="H56" s="28"/>
      <c r="I56" s="16"/>
      <c r="J56" s="29"/>
      <c r="K56" s="58">
        <f>SUBTOTAL(9,K52:K55)</f>
        <v>0.07365</v>
      </c>
      <c r="L56" s="30"/>
      <c r="M56" s="29"/>
    </row>
    <row r="57" spans="1:13" ht="15.75" customHeight="1" outlineLevel="2">
      <c r="A57" s="25">
        <v>19</v>
      </c>
      <c r="B57" s="26" t="s">
        <v>544</v>
      </c>
      <c r="C57" s="17" t="s">
        <v>514</v>
      </c>
      <c r="D57" s="26" t="s">
        <v>586</v>
      </c>
      <c r="E57" s="27">
        <v>4</v>
      </c>
      <c r="F57" s="26" t="s">
        <v>1246</v>
      </c>
      <c r="G57" s="28">
        <v>0.0018</v>
      </c>
      <c r="H57" s="28">
        <f>G57/E57</f>
        <v>0.00045</v>
      </c>
      <c r="I57" s="16" t="s">
        <v>555</v>
      </c>
      <c r="J57" s="29">
        <v>5.26</v>
      </c>
      <c r="K57" s="58">
        <f>J57*H57</f>
        <v>0.0023669999999999997</v>
      </c>
      <c r="L57" s="30">
        <f>H57*DEMANDA!$B$9</f>
        <v>0.058949999999999995</v>
      </c>
      <c r="M57" s="29">
        <f>L57*J57</f>
        <v>0.31007699999999994</v>
      </c>
    </row>
    <row r="58" spans="1:13" ht="15.75" customHeight="1" outlineLevel="2">
      <c r="A58" s="25">
        <v>22</v>
      </c>
      <c r="B58" s="26" t="s">
        <v>581</v>
      </c>
      <c r="C58" s="17" t="s">
        <v>514</v>
      </c>
      <c r="D58" s="26" t="s">
        <v>587</v>
      </c>
      <c r="E58" s="27">
        <v>4</v>
      </c>
      <c r="F58" s="26" t="s">
        <v>1246</v>
      </c>
      <c r="G58" s="28">
        <v>0.0018</v>
      </c>
      <c r="H58" s="28">
        <f>G58/E58</f>
        <v>0.00045</v>
      </c>
      <c r="I58" s="16" t="s">
        <v>555</v>
      </c>
      <c r="J58" s="29">
        <v>5.26</v>
      </c>
      <c r="K58" s="58">
        <f>J58*H58</f>
        <v>0.0023669999999999997</v>
      </c>
      <c r="L58" s="30">
        <f>H58*DEMANDA!$B$9</f>
        <v>0.058949999999999995</v>
      </c>
      <c r="M58" s="29">
        <f>L58*J58</f>
        <v>0.31007699999999994</v>
      </c>
    </row>
    <row r="59" spans="1:13" ht="15.75" customHeight="1" outlineLevel="1">
      <c r="A59" s="25"/>
      <c r="B59" s="26"/>
      <c r="C59" s="17"/>
      <c r="D59" s="26"/>
      <c r="E59" s="27"/>
      <c r="F59" s="52" t="s">
        <v>1408</v>
      </c>
      <c r="G59" s="28"/>
      <c r="H59" s="28"/>
      <c r="I59" s="16"/>
      <c r="J59" s="29"/>
      <c r="K59" s="58">
        <f>SUBTOTAL(9,K57:K58)</f>
        <v>0.0047339999999999995</v>
      </c>
      <c r="L59" s="30"/>
      <c r="M59" s="29"/>
    </row>
    <row r="60" spans="1:13" ht="15.75" customHeight="1" outlineLevel="2">
      <c r="A60" s="25">
        <v>11</v>
      </c>
      <c r="B60" s="26" t="s">
        <v>588</v>
      </c>
      <c r="C60" s="17" t="s">
        <v>514</v>
      </c>
      <c r="D60" s="26" t="s">
        <v>589</v>
      </c>
      <c r="E60" s="27">
        <v>4</v>
      </c>
      <c r="F60" s="26" t="s">
        <v>1247</v>
      </c>
      <c r="G60" s="28">
        <v>0.01</v>
      </c>
      <c r="H60" s="28">
        <f>G60/E60</f>
        <v>0.0025</v>
      </c>
      <c r="I60" s="16" t="s">
        <v>512</v>
      </c>
      <c r="J60" s="38">
        <v>3.67</v>
      </c>
      <c r="K60" s="58">
        <f>J60*H60</f>
        <v>0.009175</v>
      </c>
      <c r="L60" s="30">
        <f>H60*DEMANDA!$B$9</f>
        <v>0.3275</v>
      </c>
      <c r="M60" s="29">
        <f>L60*J60</f>
        <v>1.2019250000000001</v>
      </c>
    </row>
    <row r="61" spans="1:13" ht="15.75" customHeight="1" outlineLevel="2">
      <c r="A61" s="25">
        <v>26</v>
      </c>
      <c r="B61" s="26" t="s">
        <v>590</v>
      </c>
      <c r="C61" s="17" t="s">
        <v>510</v>
      </c>
      <c r="D61" s="26" t="s">
        <v>591</v>
      </c>
      <c r="E61" s="27">
        <v>4</v>
      </c>
      <c r="F61" s="26" t="s">
        <v>1247</v>
      </c>
      <c r="G61" s="28">
        <v>0.5</v>
      </c>
      <c r="H61" s="28">
        <f>G61/E61</f>
        <v>0.125</v>
      </c>
      <c r="I61" s="16" t="s">
        <v>512</v>
      </c>
      <c r="J61" s="29">
        <v>0.1</v>
      </c>
      <c r="K61" s="58">
        <f>J61*H61</f>
        <v>0.0125</v>
      </c>
      <c r="L61" s="30">
        <f>H61*DEMANDA!$B$9</f>
        <v>16.375</v>
      </c>
      <c r="M61" s="29">
        <f>L61*J61</f>
        <v>1.6375000000000002</v>
      </c>
    </row>
    <row r="62" spans="1:13" ht="15.75" customHeight="1" outlineLevel="1">
      <c r="A62" s="25"/>
      <c r="B62" s="26"/>
      <c r="C62" s="17"/>
      <c r="D62" s="26"/>
      <c r="E62" s="27"/>
      <c r="F62" s="52" t="s">
        <v>1409</v>
      </c>
      <c r="G62" s="28"/>
      <c r="H62" s="28"/>
      <c r="I62" s="16"/>
      <c r="J62" s="29"/>
      <c r="K62" s="58">
        <f>SUBTOTAL(9,K60:K61)</f>
        <v>0.021675</v>
      </c>
      <c r="L62" s="30"/>
      <c r="M62" s="29"/>
    </row>
    <row r="63" spans="1:13" ht="15.75" customHeight="1" outlineLevel="2">
      <c r="A63" s="25">
        <v>1</v>
      </c>
      <c r="B63" s="26" t="s">
        <v>590</v>
      </c>
      <c r="C63" s="17" t="s">
        <v>521</v>
      </c>
      <c r="D63" s="26" t="s">
        <v>591</v>
      </c>
      <c r="E63" s="27">
        <v>4</v>
      </c>
      <c r="F63" s="26" t="s">
        <v>1248</v>
      </c>
      <c r="G63" s="28">
        <v>0.5</v>
      </c>
      <c r="H63" s="28">
        <f aca="true" t="shared" si="6" ref="H63:H70">G63/E63</f>
        <v>0.125</v>
      </c>
      <c r="I63" s="16" t="s">
        <v>512</v>
      </c>
      <c r="J63" s="29">
        <v>0.1</v>
      </c>
      <c r="K63" s="58">
        <f aca="true" t="shared" si="7" ref="K63:K70">J63*H63</f>
        <v>0.0125</v>
      </c>
      <c r="L63" s="30">
        <f>H63*DEMANDA!$B$9</f>
        <v>16.375</v>
      </c>
      <c r="M63" s="29">
        <f aca="true" t="shared" si="8" ref="M63:M70">L63*J63</f>
        <v>1.6375000000000002</v>
      </c>
    </row>
    <row r="64" spans="1:13" ht="15.75" customHeight="1" outlineLevel="2">
      <c r="A64" s="25">
        <v>12</v>
      </c>
      <c r="B64" s="26" t="s">
        <v>595</v>
      </c>
      <c r="C64" s="17" t="s">
        <v>521</v>
      </c>
      <c r="D64" s="26" t="s">
        <v>596</v>
      </c>
      <c r="E64" s="27">
        <v>4</v>
      </c>
      <c r="F64" s="26" t="s">
        <v>1248</v>
      </c>
      <c r="G64" s="28">
        <v>0.125</v>
      </c>
      <c r="H64" s="28">
        <f t="shared" si="6"/>
        <v>0.03125</v>
      </c>
      <c r="I64" s="16" t="s">
        <v>512</v>
      </c>
      <c r="J64" s="29">
        <v>0.1</v>
      </c>
      <c r="K64" s="58">
        <f t="shared" si="7"/>
        <v>0.003125</v>
      </c>
      <c r="L64" s="30">
        <f>H64*DEMANDA!$B$9</f>
        <v>4.09375</v>
      </c>
      <c r="M64" s="29">
        <f t="shared" si="8"/>
        <v>0.40937500000000004</v>
      </c>
    </row>
    <row r="65" spans="1:13" ht="15.75" customHeight="1" outlineLevel="2">
      <c r="A65" s="32">
        <v>6</v>
      </c>
      <c r="B65" s="33" t="s">
        <v>527</v>
      </c>
      <c r="C65" s="34" t="s">
        <v>514</v>
      </c>
      <c r="D65" s="33" t="s">
        <v>592</v>
      </c>
      <c r="E65" s="35">
        <v>12</v>
      </c>
      <c r="F65" s="26" t="s">
        <v>1248</v>
      </c>
      <c r="G65" s="36">
        <v>0.25</v>
      </c>
      <c r="H65" s="28">
        <f t="shared" si="6"/>
        <v>0.020833333333333332</v>
      </c>
      <c r="I65" s="16" t="s">
        <v>512</v>
      </c>
      <c r="J65" s="29">
        <v>0.1</v>
      </c>
      <c r="K65" s="58">
        <f t="shared" si="7"/>
        <v>0.0020833333333333333</v>
      </c>
      <c r="L65" s="30">
        <f>H65*DEMANDA!$B$9</f>
        <v>2.7291666666666665</v>
      </c>
      <c r="M65" s="29">
        <f t="shared" si="8"/>
        <v>0.27291666666666664</v>
      </c>
    </row>
    <row r="66" spans="1:13" ht="15.75" customHeight="1" outlineLevel="2">
      <c r="A66" s="25">
        <v>9</v>
      </c>
      <c r="B66" s="26" t="s">
        <v>564</v>
      </c>
      <c r="C66" s="17" t="s">
        <v>514</v>
      </c>
      <c r="D66" s="26" t="s">
        <v>593</v>
      </c>
      <c r="E66" s="27">
        <v>8</v>
      </c>
      <c r="F66" s="26" t="s">
        <v>1248</v>
      </c>
      <c r="G66" s="28">
        <v>0.015</v>
      </c>
      <c r="H66" s="28">
        <f t="shared" si="6"/>
        <v>0.001875</v>
      </c>
      <c r="I66" s="16" t="s">
        <v>512</v>
      </c>
      <c r="J66" s="29">
        <v>0.1</v>
      </c>
      <c r="K66" s="58">
        <f t="shared" si="7"/>
        <v>0.0001875</v>
      </c>
      <c r="L66" s="30">
        <f>H66*DEMANDA!$B$9</f>
        <v>0.24562499999999998</v>
      </c>
      <c r="M66" s="29">
        <f t="shared" si="8"/>
        <v>0.0245625</v>
      </c>
    </row>
    <row r="67" spans="1:13" ht="15.75" customHeight="1" outlineLevel="2">
      <c r="A67" s="25">
        <v>12</v>
      </c>
      <c r="B67" s="26" t="s">
        <v>594</v>
      </c>
      <c r="C67" s="17" t="s">
        <v>510</v>
      </c>
      <c r="D67" s="26" t="s">
        <v>592</v>
      </c>
      <c r="E67" s="27">
        <v>8</v>
      </c>
      <c r="F67" s="26" t="s">
        <v>1248</v>
      </c>
      <c r="G67" s="28">
        <v>0.25</v>
      </c>
      <c r="H67" s="28">
        <f t="shared" si="6"/>
        <v>0.03125</v>
      </c>
      <c r="I67" s="16" t="s">
        <v>512</v>
      </c>
      <c r="J67" s="29">
        <v>0.1</v>
      </c>
      <c r="K67" s="58">
        <f t="shared" si="7"/>
        <v>0.003125</v>
      </c>
      <c r="L67" s="30">
        <f>H67*DEMANDA!$B$9</f>
        <v>4.09375</v>
      </c>
      <c r="M67" s="29">
        <f t="shared" si="8"/>
        <v>0.40937500000000004</v>
      </c>
    </row>
    <row r="68" spans="1:13" ht="15.75" customHeight="1" outlineLevel="2">
      <c r="A68" s="25">
        <v>19</v>
      </c>
      <c r="B68" s="26" t="s">
        <v>544</v>
      </c>
      <c r="C68" s="17" t="s">
        <v>514</v>
      </c>
      <c r="D68" s="26" t="s">
        <v>597</v>
      </c>
      <c r="E68" s="27">
        <v>4</v>
      </c>
      <c r="F68" s="26" t="s">
        <v>1248</v>
      </c>
      <c r="G68" s="28">
        <v>0.25</v>
      </c>
      <c r="H68" s="28">
        <f t="shared" si="6"/>
        <v>0.0625</v>
      </c>
      <c r="I68" s="16" t="s">
        <v>512</v>
      </c>
      <c r="J68" s="29">
        <v>0.1</v>
      </c>
      <c r="K68" s="58">
        <f t="shared" si="7"/>
        <v>0.00625</v>
      </c>
      <c r="L68" s="30">
        <f>H68*DEMANDA!$B$9</f>
        <v>8.1875</v>
      </c>
      <c r="M68" s="29">
        <f t="shared" si="8"/>
        <v>0.8187500000000001</v>
      </c>
    </row>
    <row r="69" spans="1:13" ht="15.75" customHeight="1" outlineLevel="2">
      <c r="A69" s="25">
        <v>29</v>
      </c>
      <c r="B69" s="26" t="s">
        <v>551</v>
      </c>
      <c r="C69" s="17" t="s">
        <v>514</v>
      </c>
      <c r="D69" s="26" t="s">
        <v>597</v>
      </c>
      <c r="E69" s="27">
        <v>4</v>
      </c>
      <c r="F69" s="26" t="s">
        <v>1248</v>
      </c>
      <c r="G69" s="28">
        <v>0.25</v>
      </c>
      <c r="H69" s="28">
        <f t="shared" si="6"/>
        <v>0.0625</v>
      </c>
      <c r="I69" s="16" t="s">
        <v>512</v>
      </c>
      <c r="J69" s="29">
        <v>0.1</v>
      </c>
      <c r="K69" s="58">
        <f t="shared" si="7"/>
        <v>0.00625</v>
      </c>
      <c r="L69" s="30">
        <f>H69*DEMANDA!$B$9</f>
        <v>8.1875</v>
      </c>
      <c r="M69" s="29">
        <f t="shared" si="8"/>
        <v>0.8187500000000001</v>
      </c>
    </row>
    <row r="70" spans="1:13" ht="15.75" customHeight="1" outlineLevel="2">
      <c r="A70" s="25">
        <v>30</v>
      </c>
      <c r="B70" s="26" t="s">
        <v>598</v>
      </c>
      <c r="C70" s="17" t="s">
        <v>510</v>
      </c>
      <c r="D70" s="26" t="s">
        <v>599</v>
      </c>
      <c r="E70" s="27">
        <v>8</v>
      </c>
      <c r="F70" s="26" t="s">
        <v>1248</v>
      </c>
      <c r="G70" s="28">
        <v>0.1875</v>
      </c>
      <c r="H70" s="28">
        <f t="shared" si="6"/>
        <v>0.0234375</v>
      </c>
      <c r="I70" s="16" t="s">
        <v>512</v>
      </c>
      <c r="J70" s="29">
        <v>0.1</v>
      </c>
      <c r="K70" s="58">
        <f t="shared" si="7"/>
        <v>0.0023437500000000003</v>
      </c>
      <c r="L70" s="30">
        <f>H70*DEMANDA!$B$9</f>
        <v>3.0703125</v>
      </c>
      <c r="M70" s="29">
        <f t="shared" si="8"/>
        <v>0.30703125000000003</v>
      </c>
    </row>
    <row r="71" spans="1:13" ht="15.75" customHeight="1" outlineLevel="1">
      <c r="A71" s="25"/>
      <c r="B71" s="26"/>
      <c r="C71" s="17"/>
      <c r="D71" s="26"/>
      <c r="E71" s="27"/>
      <c r="F71" s="52" t="s">
        <v>1410</v>
      </c>
      <c r="G71" s="28"/>
      <c r="H71" s="28"/>
      <c r="I71" s="16"/>
      <c r="J71" s="29"/>
      <c r="K71" s="58">
        <f>SUBTOTAL(9,K63:K70)</f>
        <v>0.03586458333333333</v>
      </c>
      <c r="L71" s="30"/>
      <c r="M71" s="29"/>
    </row>
    <row r="72" spans="1:13" ht="15.75" customHeight="1" outlineLevel="2">
      <c r="A72" s="25">
        <v>20</v>
      </c>
      <c r="B72" s="26" t="s">
        <v>600</v>
      </c>
      <c r="C72" s="17" t="s">
        <v>510</v>
      </c>
      <c r="D72" s="26" t="s">
        <v>601</v>
      </c>
      <c r="E72" s="27">
        <v>6</v>
      </c>
      <c r="F72" s="26" t="s">
        <v>1249</v>
      </c>
      <c r="G72" s="28">
        <v>0.3</v>
      </c>
      <c r="H72" s="28">
        <f>G72/E72</f>
        <v>0.049999999999999996</v>
      </c>
      <c r="I72" s="16" t="s">
        <v>555</v>
      </c>
      <c r="J72" s="29">
        <v>0.69</v>
      </c>
      <c r="K72" s="58">
        <f>J72*H72</f>
        <v>0.034499999999999996</v>
      </c>
      <c r="L72" s="30">
        <f>H72*DEMANDA!$B$9</f>
        <v>6.55</v>
      </c>
      <c r="M72" s="29">
        <f>L72*J72</f>
        <v>4.5195</v>
      </c>
    </row>
    <row r="73" spans="1:13" ht="15.75" customHeight="1" outlineLevel="2">
      <c r="A73" s="25">
        <v>23</v>
      </c>
      <c r="B73" s="26" t="s">
        <v>602</v>
      </c>
      <c r="C73" s="17" t="s">
        <v>510</v>
      </c>
      <c r="D73" s="26" t="s">
        <v>603</v>
      </c>
      <c r="E73" s="27">
        <v>6</v>
      </c>
      <c r="F73" s="26" t="s">
        <v>1249</v>
      </c>
      <c r="G73" s="28">
        <v>0.3</v>
      </c>
      <c r="H73" s="28">
        <f>G73/E73</f>
        <v>0.049999999999999996</v>
      </c>
      <c r="I73" s="16" t="s">
        <v>555</v>
      </c>
      <c r="J73" s="29">
        <v>0.69</v>
      </c>
      <c r="K73" s="58">
        <f>J73*H73</f>
        <v>0.034499999999999996</v>
      </c>
      <c r="L73" s="30">
        <f>H73*DEMANDA!$B$9</f>
        <v>6.55</v>
      </c>
      <c r="M73" s="29">
        <f>L73*J73</f>
        <v>4.5195</v>
      </c>
    </row>
    <row r="74" spans="1:13" ht="15.75" customHeight="1" outlineLevel="2">
      <c r="A74" s="25">
        <v>27</v>
      </c>
      <c r="B74" s="26" t="s">
        <v>549</v>
      </c>
      <c r="C74" s="17" t="s">
        <v>514</v>
      </c>
      <c r="D74" s="26" t="s">
        <v>604</v>
      </c>
      <c r="E74" s="27">
        <v>4</v>
      </c>
      <c r="F74" s="26" t="s">
        <v>1249</v>
      </c>
      <c r="G74" s="28">
        <v>0.3</v>
      </c>
      <c r="H74" s="28">
        <f>G74/E74</f>
        <v>0.075</v>
      </c>
      <c r="I74" s="16" t="s">
        <v>555</v>
      </c>
      <c r="J74" s="29">
        <v>0.69</v>
      </c>
      <c r="K74" s="58">
        <f>J74*H74</f>
        <v>0.05175</v>
      </c>
      <c r="L74" s="30">
        <f>H74*DEMANDA!$B$9</f>
        <v>9.825</v>
      </c>
      <c r="M74" s="29">
        <f>L74*J74</f>
        <v>6.779249999999999</v>
      </c>
    </row>
    <row r="75" spans="1:13" ht="15.75" customHeight="1" outlineLevel="1">
      <c r="A75" s="25"/>
      <c r="B75" s="26"/>
      <c r="C75" s="17"/>
      <c r="D75" s="26"/>
      <c r="E75" s="27"/>
      <c r="F75" s="52" t="s">
        <v>1411</v>
      </c>
      <c r="G75" s="28"/>
      <c r="H75" s="28"/>
      <c r="I75" s="16"/>
      <c r="J75" s="29"/>
      <c r="K75" s="58">
        <f>SUBTOTAL(9,K72:K74)</f>
        <v>0.12075</v>
      </c>
      <c r="L75" s="30"/>
      <c r="M75" s="29"/>
    </row>
    <row r="76" spans="1:13" ht="15.75" customHeight="1" outlineLevel="2">
      <c r="A76" s="25">
        <v>11</v>
      </c>
      <c r="B76" s="26" t="s">
        <v>588</v>
      </c>
      <c r="C76" s="17" t="s">
        <v>514</v>
      </c>
      <c r="D76" s="26" t="s">
        <v>605</v>
      </c>
      <c r="E76" s="27">
        <v>4</v>
      </c>
      <c r="F76" s="26" t="s">
        <v>1250</v>
      </c>
      <c r="G76" s="28">
        <v>0.005</v>
      </c>
      <c r="H76" s="28">
        <f>G76/E76</f>
        <v>0.00125</v>
      </c>
      <c r="I76" s="16" t="s">
        <v>555</v>
      </c>
      <c r="J76" s="29">
        <v>1.04</v>
      </c>
      <c r="K76" s="58">
        <f>J76*H76</f>
        <v>0.0013000000000000002</v>
      </c>
      <c r="L76" s="30">
        <f>H76*DEMANDA!$B$9</f>
        <v>0.16375</v>
      </c>
      <c r="M76" s="29">
        <f>L76*J76</f>
        <v>0.1703</v>
      </c>
    </row>
    <row r="77" spans="1:13" ht="15.75" customHeight="1" outlineLevel="2">
      <c r="A77" s="25">
        <v>20</v>
      </c>
      <c r="B77" s="26" t="s">
        <v>576</v>
      </c>
      <c r="C77" s="17" t="s">
        <v>514</v>
      </c>
      <c r="D77" s="26" t="s">
        <v>606</v>
      </c>
      <c r="E77" s="27">
        <v>4</v>
      </c>
      <c r="F77" s="26" t="s">
        <v>1250</v>
      </c>
      <c r="G77" s="28">
        <v>0.015</v>
      </c>
      <c r="H77" s="28">
        <f>G77/E77</f>
        <v>0.00375</v>
      </c>
      <c r="I77" s="16" t="s">
        <v>555</v>
      </c>
      <c r="J77" s="29">
        <v>1.04</v>
      </c>
      <c r="K77" s="58">
        <f>J77*H77</f>
        <v>0.0039</v>
      </c>
      <c r="L77" s="30">
        <f>H77*DEMANDA!$B$9</f>
        <v>0.49124999999999996</v>
      </c>
      <c r="M77" s="29">
        <f>L77*J77</f>
        <v>0.5109</v>
      </c>
    </row>
    <row r="78" spans="1:13" ht="15.75" customHeight="1" outlineLevel="2">
      <c r="A78" s="25">
        <v>25</v>
      </c>
      <c r="B78" s="26" t="s">
        <v>607</v>
      </c>
      <c r="C78" s="17" t="s">
        <v>514</v>
      </c>
      <c r="D78" s="26" t="s">
        <v>608</v>
      </c>
      <c r="E78" s="27">
        <v>4</v>
      </c>
      <c r="F78" s="26" t="s">
        <v>1250</v>
      </c>
      <c r="G78" s="28">
        <v>0.01</v>
      </c>
      <c r="H78" s="28">
        <f>G78/E78</f>
        <v>0.0025</v>
      </c>
      <c r="I78" s="16" t="s">
        <v>555</v>
      </c>
      <c r="J78" s="29">
        <v>1.04</v>
      </c>
      <c r="K78" s="58">
        <f>J78*H78</f>
        <v>0.0026000000000000003</v>
      </c>
      <c r="L78" s="30">
        <f>H78*DEMANDA!$B$9</f>
        <v>0.3275</v>
      </c>
      <c r="M78" s="29">
        <f>L78*J78</f>
        <v>0.3406</v>
      </c>
    </row>
    <row r="79" spans="1:13" ht="15.75" customHeight="1" outlineLevel="1">
      <c r="A79" s="25"/>
      <c r="B79" s="26"/>
      <c r="C79" s="17"/>
      <c r="D79" s="26"/>
      <c r="E79" s="27"/>
      <c r="F79" s="52" t="s">
        <v>1412</v>
      </c>
      <c r="G79" s="28"/>
      <c r="H79" s="28"/>
      <c r="I79" s="16"/>
      <c r="J79" s="29"/>
      <c r="K79" s="58">
        <f>SUBTOTAL(9,K76:K78)</f>
        <v>0.0078</v>
      </c>
      <c r="L79" s="30"/>
      <c r="M79" s="29"/>
    </row>
    <row r="80" spans="1:13" ht="15.75" customHeight="1" outlineLevel="2">
      <c r="A80" s="25">
        <v>1</v>
      </c>
      <c r="B80" s="26" t="s">
        <v>518</v>
      </c>
      <c r="C80" s="17" t="s">
        <v>514</v>
      </c>
      <c r="D80" s="26" t="s">
        <v>609</v>
      </c>
      <c r="E80" s="27">
        <v>4</v>
      </c>
      <c r="F80" s="26" t="s">
        <v>1251</v>
      </c>
      <c r="G80" s="28">
        <v>0.01</v>
      </c>
      <c r="H80" s="28">
        <f aca="true" t="shared" si="9" ref="H80:H104">G80/E80</f>
        <v>0.0025</v>
      </c>
      <c r="I80" s="16" t="s">
        <v>555</v>
      </c>
      <c r="J80" s="29">
        <v>8.2</v>
      </c>
      <c r="K80" s="58">
        <f aca="true" t="shared" si="10" ref="K80:K104">J80*H80</f>
        <v>0.020499999999999997</v>
      </c>
      <c r="L80" s="30">
        <f>H80*DEMANDA!$B$9</f>
        <v>0.3275</v>
      </c>
      <c r="M80" s="29">
        <f aca="true" t="shared" si="11" ref="M80:M104">L80*J80</f>
        <v>2.6854999999999998</v>
      </c>
    </row>
    <row r="81" spans="1:13" ht="15.75" customHeight="1" outlineLevel="2">
      <c r="A81" s="25">
        <v>3</v>
      </c>
      <c r="B81" s="26" t="s">
        <v>524</v>
      </c>
      <c r="C81" s="17" t="s">
        <v>510</v>
      </c>
      <c r="D81" s="26" t="s">
        <v>611</v>
      </c>
      <c r="E81" s="27">
        <v>4</v>
      </c>
      <c r="F81" s="26" t="s">
        <v>1251</v>
      </c>
      <c r="G81" s="28">
        <v>0.01</v>
      </c>
      <c r="H81" s="28">
        <f t="shared" si="9"/>
        <v>0.0025</v>
      </c>
      <c r="I81" s="16" t="s">
        <v>555</v>
      </c>
      <c r="J81" s="29">
        <v>8.2</v>
      </c>
      <c r="K81" s="58">
        <f t="shared" si="10"/>
        <v>0.020499999999999997</v>
      </c>
      <c r="L81" s="30">
        <f>H81*DEMANDA!$B$9</f>
        <v>0.3275</v>
      </c>
      <c r="M81" s="29">
        <f t="shared" si="11"/>
        <v>2.6854999999999998</v>
      </c>
    </row>
    <row r="82" spans="1:13" ht="15.75" customHeight="1" outlineLevel="2">
      <c r="A82" s="25">
        <v>3</v>
      </c>
      <c r="B82" s="26" t="s">
        <v>523</v>
      </c>
      <c r="C82" s="17" t="s">
        <v>514</v>
      </c>
      <c r="D82" s="26" t="s">
        <v>610</v>
      </c>
      <c r="E82" s="27">
        <v>4</v>
      </c>
      <c r="F82" s="26" t="s">
        <v>1251</v>
      </c>
      <c r="G82" s="28">
        <v>0.005</v>
      </c>
      <c r="H82" s="28">
        <f t="shared" si="9"/>
        <v>0.00125</v>
      </c>
      <c r="I82" s="16" t="s">
        <v>555</v>
      </c>
      <c r="J82" s="29">
        <v>8.2</v>
      </c>
      <c r="K82" s="58">
        <f t="shared" si="10"/>
        <v>0.010249999999999999</v>
      </c>
      <c r="L82" s="30">
        <f>H82*DEMANDA!$B$9</f>
        <v>0.16375</v>
      </c>
      <c r="M82" s="29">
        <f t="shared" si="11"/>
        <v>1.3427499999999999</v>
      </c>
    </row>
    <row r="83" spans="1:13" ht="15.75" customHeight="1" outlineLevel="2">
      <c r="A83" s="25">
        <v>4</v>
      </c>
      <c r="B83" s="26" t="s">
        <v>573</v>
      </c>
      <c r="C83" s="17" t="s">
        <v>514</v>
      </c>
      <c r="D83" s="26" t="s">
        <v>612</v>
      </c>
      <c r="E83" s="27">
        <v>4</v>
      </c>
      <c r="F83" s="26" t="s">
        <v>1251</v>
      </c>
      <c r="G83" s="28">
        <v>0.01</v>
      </c>
      <c r="H83" s="28">
        <f t="shared" si="9"/>
        <v>0.0025</v>
      </c>
      <c r="I83" s="16" t="s">
        <v>555</v>
      </c>
      <c r="J83" s="29">
        <v>8.2</v>
      </c>
      <c r="K83" s="58">
        <f t="shared" si="10"/>
        <v>0.020499999999999997</v>
      </c>
      <c r="L83" s="30">
        <f>H83*DEMANDA!$B$9</f>
        <v>0.3275</v>
      </c>
      <c r="M83" s="29">
        <f t="shared" si="11"/>
        <v>2.6854999999999998</v>
      </c>
    </row>
    <row r="84" spans="1:13" ht="15.75" customHeight="1" outlineLevel="2">
      <c r="A84" s="25">
        <v>5</v>
      </c>
      <c r="B84" s="26" t="s">
        <v>526</v>
      </c>
      <c r="C84" s="17" t="s">
        <v>514</v>
      </c>
      <c r="D84" s="26" t="s">
        <v>613</v>
      </c>
      <c r="E84" s="27">
        <v>4</v>
      </c>
      <c r="F84" s="26" t="s">
        <v>1251</v>
      </c>
      <c r="G84" s="28">
        <v>0.01</v>
      </c>
      <c r="H84" s="28">
        <f t="shared" si="9"/>
        <v>0.0025</v>
      </c>
      <c r="I84" s="16" t="s">
        <v>555</v>
      </c>
      <c r="J84" s="29">
        <v>8.2</v>
      </c>
      <c r="K84" s="58">
        <f t="shared" si="10"/>
        <v>0.020499999999999997</v>
      </c>
      <c r="L84" s="30">
        <f>H84*DEMANDA!$B$9</f>
        <v>0.3275</v>
      </c>
      <c r="M84" s="29">
        <f t="shared" si="11"/>
        <v>2.6854999999999998</v>
      </c>
    </row>
    <row r="85" spans="1:13" ht="15.75" customHeight="1" outlineLevel="2">
      <c r="A85" s="25">
        <v>6</v>
      </c>
      <c r="B85" s="26" t="s">
        <v>615</v>
      </c>
      <c r="C85" s="17" t="s">
        <v>510</v>
      </c>
      <c r="D85" s="26" t="s">
        <v>616</v>
      </c>
      <c r="E85" s="27">
        <v>2</v>
      </c>
      <c r="F85" s="26" t="s">
        <v>1251</v>
      </c>
      <c r="G85" s="28">
        <v>0.01</v>
      </c>
      <c r="H85" s="28">
        <f t="shared" si="9"/>
        <v>0.005</v>
      </c>
      <c r="I85" s="16" t="s">
        <v>555</v>
      </c>
      <c r="J85" s="29">
        <v>8.2</v>
      </c>
      <c r="K85" s="58">
        <f t="shared" si="10"/>
        <v>0.040999999999999995</v>
      </c>
      <c r="L85" s="30">
        <f>H85*DEMANDA!$B$9</f>
        <v>0.655</v>
      </c>
      <c r="M85" s="29">
        <f t="shared" si="11"/>
        <v>5.3709999999999996</v>
      </c>
    </row>
    <row r="86" spans="1:13" ht="15.75" customHeight="1" outlineLevel="2">
      <c r="A86" s="32">
        <v>6</v>
      </c>
      <c r="B86" s="33" t="s">
        <v>527</v>
      </c>
      <c r="C86" s="34" t="s">
        <v>514</v>
      </c>
      <c r="D86" s="33" t="s">
        <v>614</v>
      </c>
      <c r="E86" s="35">
        <v>12</v>
      </c>
      <c r="F86" s="26" t="s">
        <v>1251</v>
      </c>
      <c r="G86" s="28">
        <v>0.01</v>
      </c>
      <c r="H86" s="28">
        <f t="shared" si="9"/>
        <v>0.0008333333333333334</v>
      </c>
      <c r="I86" s="16" t="s">
        <v>555</v>
      </c>
      <c r="J86" s="29">
        <v>8.2</v>
      </c>
      <c r="K86" s="58">
        <f t="shared" si="10"/>
        <v>0.006833333333333333</v>
      </c>
      <c r="L86" s="30">
        <f>H86*DEMANDA!$B$9</f>
        <v>0.10916666666666668</v>
      </c>
      <c r="M86" s="29">
        <f t="shared" si="11"/>
        <v>0.8951666666666667</v>
      </c>
    </row>
    <row r="87" spans="1:13" ht="15.75" customHeight="1" outlineLevel="2">
      <c r="A87" s="25">
        <v>7</v>
      </c>
      <c r="B87" s="26" t="s">
        <v>529</v>
      </c>
      <c r="C87" s="17" t="s">
        <v>510</v>
      </c>
      <c r="D87" s="26" t="s">
        <v>617</v>
      </c>
      <c r="E87" s="27">
        <v>4</v>
      </c>
      <c r="F87" s="26" t="s">
        <v>1251</v>
      </c>
      <c r="G87" s="28">
        <v>0.015</v>
      </c>
      <c r="H87" s="28">
        <f t="shared" si="9"/>
        <v>0.00375</v>
      </c>
      <c r="I87" s="16" t="s">
        <v>555</v>
      </c>
      <c r="J87" s="29">
        <v>8.2</v>
      </c>
      <c r="K87" s="58">
        <f t="shared" si="10"/>
        <v>0.030749999999999996</v>
      </c>
      <c r="L87" s="30">
        <f>H87*DEMANDA!$B$9</f>
        <v>0.49124999999999996</v>
      </c>
      <c r="M87" s="29">
        <f t="shared" si="11"/>
        <v>4.028249999999999</v>
      </c>
    </row>
    <row r="88" spans="1:13" ht="15.75" customHeight="1" outlineLevel="2">
      <c r="A88" s="25">
        <v>9</v>
      </c>
      <c r="B88" s="26" t="s">
        <v>531</v>
      </c>
      <c r="C88" s="17" t="s">
        <v>510</v>
      </c>
      <c r="D88" s="26" t="s">
        <v>618</v>
      </c>
      <c r="E88" s="27">
        <v>4</v>
      </c>
      <c r="F88" s="26" t="s">
        <v>1251</v>
      </c>
      <c r="G88" s="28">
        <v>0.005</v>
      </c>
      <c r="H88" s="28">
        <f t="shared" si="9"/>
        <v>0.00125</v>
      </c>
      <c r="I88" s="16" t="s">
        <v>555</v>
      </c>
      <c r="J88" s="29">
        <v>8.2</v>
      </c>
      <c r="K88" s="58">
        <f t="shared" si="10"/>
        <v>0.010249999999999999</v>
      </c>
      <c r="L88" s="30">
        <f>H88*DEMANDA!$B$9</f>
        <v>0.16375</v>
      </c>
      <c r="M88" s="29">
        <f t="shared" si="11"/>
        <v>1.3427499999999999</v>
      </c>
    </row>
    <row r="89" spans="1:13" ht="15.75" customHeight="1" outlineLevel="2">
      <c r="A89" s="25">
        <v>10</v>
      </c>
      <c r="B89" s="26" t="s">
        <v>533</v>
      </c>
      <c r="C89" s="17" t="s">
        <v>514</v>
      </c>
      <c r="D89" s="26" t="s">
        <v>619</v>
      </c>
      <c r="E89" s="27">
        <v>4</v>
      </c>
      <c r="F89" s="26" t="s">
        <v>1251</v>
      </c>
      <c r="G89" s="28">
        <v>0.2</v>
      </c>
      <c r="H89" s="28">
        <f t="shared" si="9"/>
        <v>0.05</v>
      </c>
      <c r="I89" s="16" t="s">
        <v>555</v>
      </c>
      <c r="J89" s="29">
        <v>8.2</v>
      </c>
      <c r="K89" s="58">
        <f t="shared" si="10"/>
        <v>0.41</v>
      </c>
      <c r="L89" s="30">
        <f>H89*DEMANDA!$B$9</f>
        <v>6.550000000000001</v>
      </c>
      <c r="M89" s="29">
        <f t="shared" si="11"/>
        <v>53.71</v>
      </c>
    </row>
    <row r="90" spans="1:13" ht="15.75" customHeight="1" outlineLevel="2">
      <c r="A90" s="25">
        <v>11</v>
      </c>
      <c r="B90" s="26" t="s">
        <v>588</v>
      </c>
      <c r="C90" s="17" t="s">
        <v>514</v>
      </c>
      <c r="D90" s="26" t="s">
        <v>620</v>
      </c>
      <c r="E90" s="27">
        <v>4</v>
      </c>
      <c r="F90" s="26" t="s">
        <v>1251</v>
      </c>
      <c r="G90" s="28">
        <v>0.0025</v>
      </c>
      <c r="H90" s="28">
        <f t="shared" si="9"/>
        <v>0.000625</v>
      </c>
      <c r="I90" s="16" t="s">
        <v>555</v>
      </c>
      <c r="J90" s="29">
        <v>8.2</v>
      </c>
      <c r="K90" s="58">
        <f t="shared" si="10"/>
        <v>0.005124999999999999</v>
      </c>
      <c r="L90" s="30">
        <f>H90*DEMANDA!$B$9</f>
        <v>0.081875</v>
      </c>
      <c r="M90" s="29">
        <f t="shared" si="11"/>
        <v>0.6713749999999999</v>
      </c>
    </row>
    <row r="91" spans="1:13" ht="15.75" customHeight="1" outlineLevel="2">
      <c r="A91" s="25">
        <v>12</v>
      </c>
      <c r="B91" s="26" t="s">
        <v>537</v>
      </c>
      <c r="C91" s="17" t="s">
        <v>514</v>
      </c>
      <c r="D91" s="26" t="s">
        <v>621</v>
      </c>
      <c r="E91" s="27">
        <v>4</v>
      </c>
      <c r="F91" s="26" t="s">
        <v>1251</v>
      </c>
      <c r="G91" s="28">
        <v>0.005</v>
      </c>
      <c r="H91" s="28">
        <f t="shared" si="9"/>
        <v>0.00125</v>
      </c>
      <c r="I91" s="16" t="s">
        <v>555</v>
      </c>
      <c r="J91" s="29">
        <v>8.2</v>
      </c>
      <c r="K91" s="58">
        <f t="shared" si="10"/>
        <v>0.010249999999999999</v>
      </c>
      <c r="L91" s="30">
        <f>H91*DEMANDA!$B$9</f>
        <v>0.16375</v>
      </c>
      <c r="M91" s="29">
        <f t="shared" si="11"/>
        <v>1.3427499999999999</v>
      </c>
    </row>
    <row r="92" spans="1:13" ht="15.75" customHeight="1" outlineLevel="2">
      <c r="A92" s="25">
        <v>15</v>
      </c>
      <c r="B92" s="26" t="s">
        <v>513</v>
      </c>
      <c r="C92" s="17" t="s">
        <v>514</v>
      </c>
      <c r="D92" s="26" t="s">
        <v>622</v>
      </c>
      <c r="E92" s="27">
        <v>4</v>
      </c>
      <c r="F92" s="26" t="s">
        <v>1251</v>
      </c>
      <c r="G92" s="28">
        <v>0.01</v>
      </c>
      <c r="H92" s="28">
        <f t="shared" si="9"/>
        <v>0.0025</v>
      </c>
      <c r="I92" s="16" t="s">
        <v>555</v>
      </c>
      <c r="J92" s="29">
        <v>8.2</v>
      </c>
      <c r="K92" s="58">
        <f t="shared" si="10"/>
        <v>0.020499999999999997</v>
      </c>
      <c r="L92" s="30">
        <f>H92*DEMANDA!$B$9</f>
        <v>0.3275</v>
      </c>
      <c r="M92" s="29">
        <f t="shared" si="11"/>
        <v>2.6854999999999998</v>
      </c>
    </row>
    <row r="93" spans="1:13" ht="15.75" customHeight="1" outlineLevel="2">
      <c r="A93" s="25">
        <v>16</v>
      </c>
      <c r="B93" s="26" t="s">
        <v>541</v>
      </c>
      <c r="C93" s="17" t="s">
        <v>514</v>
      </c>
      <c r="D93" s="26" t="s">
        <v>623</v>
      </c>
      <c r="E93" s="27">
        <v>4</v>
      </c>
      <c r="F93" s="26" t="s">
        <v>1251</v>
      </c>
      <c r="G93" s="28">
        <v>0.005</v>
      </c>
      <c r="H93" s="28">
        <f t="shared" si="9"/>
        <v>0.00125</v>
      </c>
      <c r="I93" s="16" t="s">
        <v>555</v>
      </c>
      <c r="J93" s="29">
        <v>8.2</v>
      </c>
      <c r="K93" s="58">
        <f t="shared" si="10"/>
        <v>0.010249999999999999</v>
      </c>
      <c r="L93" s="30">
        <f>H93*DEMANDA!$B$9</f>
        <v>0.16375</v>
      </c>
      <c r="M93" s="29">
        <f t="shared" si="11"/>
        <v>1.3427499999999999</v>
      </c>
    </row>
    <row r="94" spans="1:13" ht="15.75" customHeight="1" outlineLevel="2">
      <c r="A94" s="25">
        <v>17</v>
      </c>
      <c r="B94" s="26" t="s">
        <v>543</v>
      </c>
      <c r="C94" s="17" t="s">
        <v>510</v>
      </c>
      <c r="D94" s="26" t="s">
        <v>625</v>
      </c>
      <c r="E94" s="27">
        <v>4</v>
      </c>
      <c r="F94" s="26" t="s">
        <v>1251</v>
      </c>
      <c r="G94" s="28">
        <v>0.005</v>
      </c>
      <c r="H94" s="28">
        <f t="shared" si="9"/>
        <v>0.00125</v>
      </c>
      <c r="I94" s="16" t="s">
        <v>555</v>
      </c>
      <c r="J94" s="29">
        <v>8.2</v>
      </c>
      <c r="K94" s="58">
        <f t="shared" si="10"/>
        <v>0.010249999999999999</v>
      </c>
      <c r="L94" s="30">
        <f>H94*DEMANDA!$B$9</f>
        <v>0.16375</v>
      </c>
      <c r="M94" s="29">
        <f t="shared" si="11"/>
        <v>1.3427499999999999</v>
      </c>
    </row>
    <row r="95" spans="1:13" ht="15.75" customHeight="1" outlineLevel="2">
      <c r="A95" s="25">
        <v>17</v>
      </c>
      <c r="B95" s="26" t="s">
        <v>569</v>
      </c>
      <c r="C95" s="17" t="s">
        <v>514</v>
      </c>
      <c r="D95" s="26" t="s">
        <v>624</v>
      </c>
      <c r="E95" s="27">
        <v>4</v>
      </c>
      <c r="F95" s="26" t="s">
        <v>1251</v>
      </c>
      <c r="G95" s="28">
        <v>0.005</v>
      </c>
      <c r="H95" s="28">
        <f t="shared" si="9"/>
        <v>0.00125</v>
      </c>
      <c r="I95" s="16" t="s">
        <v>555</v>
      </c>
      <c r="J95" s="29">
        <v>8.2</v>
      </c>
      <c r="K95" s="58">
        <f t="shared" si="10"/>
        <v>0.010249999999999999</v>
      </c>
      <c r="L95" s="30">
        <f>H95*DEMANDA!$B$9</f>
        <v>0.16375</v>
      </c>
      <c r="M95" s="29">
        <f t="shared" si="11"/>
        <v>1.3427499999999999</v>
      </c>
    </row>
    <row r="96" spans="1:13" ht="15.75" customHeight="1" outlineLevel="2">
      <c r="A96" s="25">
        <v>18</v>
      </c>
      <c r="B96" s="26" t="s">
        <v>626</v>
      </c>
      <c r="C96" s="17" t="s">
        <v>514</v>
      </c>
      <c r="D96" s="26" t="s">
        <v>623</v>
      </c>
      <c r="E96" s="27">
        <v>4</v>
      </c>
      <c r="F96" s="26" t="s">
        <v>1251</v>
      </c>
      <c r="G96" s="28">
        <v>0.005</v>
      </c>
      <c r="H96" s="28">
        <f t="shared" si="9"/>
        <v>0.00125</v>
      </c>
      <c r="I96" s="16" t="s">
        <v>555</v>
      </c>
      <c r="J96" s="29">
        <v>8.2</v>
      </c>
      <c r="K96" s="58">
        <f t="shared" si="10"/>
        <v>0.010249999999999999</v>
      </c>
      <c r="L96" s="30">
        <f>H96*DEMANDA!$B$9</f>
        <v>0.16375</v>
      </c>
      <c r="M96" s="29">
        <f t="shared" si="11"/>
        <v>1.3427499999999999</v>
      </c>
    </row>
    <row r="97" spans="1:13" ht="15.75" customHeight="1" outlineLevel="2">
      <c r="A97" s="25">
        <v>19</v>
      </c>
      <c r="B97" s="26" t="s">
        <v>544</v>
      </c>
      <c r="C97" s="17" t="s">
        <v>514</v>
      </c>
      <c r="D97" s="26" t="s">
        <v>624</v>
      </c>
      <c r="E97" s="27">
        <v>4</v>
      </c>
      <c r="F97" s="26" t="s">
        <v>1251</v>
      </c>
      <c r="G97" s="28">
        <v>0.005</v>
      </c>
      <c r="H97" s="28">
        <f t="shared" si="9"/>
        <v>0.00125</v>
      </c>
      <c r="I97" s="16" t="s">
        <v>555</v>
      </c>
      <c r="J97" s="29">
        <v>8.2</v>
      </c>
      <c r="K97" s="58">
        <f t="shared" si="10"/>
        <v>0.010249999999999999</v>
      </c>
      <c r="L97" s="30">
        <f>H97*DEMANDA!$B$9</f>
        <v>0.16375</v>
      </c>
      <c r="M97" s="29">
        <f t="shared" si="11"/>
        <v>1.3427499999999999</v>
      </c>
    </row>
    <row r="98" spans="1:13" ht="15.75" customHeight="1" outlineLevel="2">
      <c r="A98" s="25">
        <v>20</v>
      </c>
      <c r="B98" s="26" t="s">
        <v>576</v>
      </c>
      <c r="C98" s="17" t="s">
        <v>514</v>
      </c>
      <c r="D98" s="26" t="s">
        <v>627</v>
      </c>
      <c r="E98" s="27">
        <v>4</v>
      </c>
      <c r="F98" s="26" t="s">
        <v>1251</v>
      </c>
      <c r="G98" s="28">
        <v>0.005</v>
      </c>
      <c r="H98" s="28">
        <f t="shared" si="9"/>
        <v>0.00125</v>
      </c>
      <c r="I98" s="16" t="s">
        <v>555</v>
      </c>
      <c r="J98" s="29">
        <v>8.2</v>
      </c>
      <c r="K98" s="58">
        <f t="shared" si="10"/>
        <v>0.010249999999999999</v>
      </c>
      <c r="L98" s="30">
        <f>H98*DEMANDA!$B$9</f>
        <v>0.16375</v>
      </c>
      <c r="M98" s="29">
        <f t="shared" si="11"/>
        <v>1.3427499999999999</v>
      </c>
    </row>
    <row r="99" spans="1:13" ht="15.75" customHeight="1" outlineLevel="2">
      <c r="A99" s="25">
        <v>21</v>
      </c>
      <c r="B99" s="26" t="s">
        <v>515</v>
      </c>
      <c r="C99" s="17" t="s">
        <v>514</v>
      </c>
      <c r="D99" s="26" t="s">
        <v>622</v>
      </c>
      <c r="E99" s="27">
        <v>4</v>
      </c>
      <c r="F99" s="26" t="s">
        <v>1251</v>
      </c>
      <c r="G99" s="28">
        <v>0.01</v>
      </c>
      <c r="H99" s="28">
        <f t="shared" si="9"/>
        <v>0.0025</v>
      </c>
      <c r="I99" s="16" t="s">
        <v>555</v>
      </c>
      <c r="J99" s="29">
        <v>8.2</v>
      </c>
      <c r="K99" s="58">
        <f t="shared" si="10"/>
        <v>0.020499999999999997</v>
      </c>
      <c r="L99" s="30">
        <f>H99*DEMANDA!$B$9</f>
        <v>0.3275</v>
      </c>
      <c r="M99" s="29">
        <f t="shared" si="11"/>
        <v>2.6854999999999998</v>
      </c>
    </row>
    <row r="100" spans="1:13" ht="15.75" customHeight="1" outlineLevel="2">
      <c r="A100" s="25">
        <v>22</v>
      </c>
      <c r="B100" s="26" t="s">
        <v>581</v>
      </c>
      <c r="C100" s="17" t="s">
        <v>514</v>
      </c>
      <c r="D100" s="26" t="s">
        <v>628</v>
      </c>
      <c r="E100" s="27">
        <v>4</v>
      </c>
      <c r="F100" s="26" t="s">
        <v>1251</v>
      </c>
      <c r="G100" s="28">
        <v>0.0075</v>
      </c>
      <c r="H100" s="28">
        <f t="shared" si="9"/>
        <v>0.001875</v>
      </c>
      <c r="I100" s="16" t="s">
        <v>555</v>
      </c>
      <c r="J100" s="29">
        <v>8.2</v>
      </c>
      <c r="K100" s="58">
        <f t="shared" si="10"/>
        <v>0.015374999999999998</v>
      </c>
      <c r="L100" s="30">
        <f>H100*DEMANDA!$B$9</f>
        <v>0.24562499999999998</v>
      </c>
      <c r="M100" s="29">
        <f t="shared" si="11"/>
        <v>2.0141249999999995</v>
      </c>
    </row>
    <row r="101" spans="1:13" ht="15.75" customHeight="1" outlineLevel="2">
      <c r="A101" s="25">
        <v>23</v>
      </c>
      <c r="B101" s="26" t="s">
        <v>602</v>
      </c>
      <c r="C101" s="17" t="s">
        <v>510</v>
      </c>
      <c r="D101" s="26" t="s">
        <v>621</v>
      </c>
      <c r="E101" s="27">
        <v>6</v>
      </c>
      <c r="F101" s="26" t="s">
        <v>1251</v>
      </c>
      <c r="G101" s="28">
        <v>0.005</v>
      </c>
      <c r="H101" s="28">
        <f t="shared" si="9"/>
        <v>0.0008333333333333334</v>
      </c>
      <c r="I101" s="16" t="s">
        <v>555</v>
      </c>
      <c r="J101" s="29">
        <v>8.2</v>
      </c>
      <c r="K101" s="58">
        <f t="shared" si="10"/>
        <v>0.006833333333333333</v>
      </c>
      <c r="L101" s="30">
        <f>H101*DEMANDA!$B$9</f>
        <v>0.10916666666666668</v>
      </c>
      <c r="M101" s="29">
        <f t="shared" si="11"/>
        <v>0.8951666666666667</v>
      </c>
    </row>
    <row r="102" spans="1:13" ht="15.75" customHeight="1" outlineLevel="2">
      <c r="A102" s="25">
        <v>23</v>
      </c>
      <c r="B102" s="26" t="s">
        <v>517</v>
      </c>
      <c r="C102" s="17" t="s">
        <v>514</v>
      </c>
      <c r="D102" s="26" t="s">
        <v>629</v>
      </c>
      <c r="E102" s="27">
        <v>4</v>
      </c>
      <c r="F102" s="26" t="s">
        <v>1251</v>
      </c>
      <c r="G102" s="28">
        <v>0.005</v>
      </c>
      <c r="H102" s="28">
        <f t="shared" si="9"/>
        <v>0.00125</v>
      </c>
      <c r="I102" s="16" t="s">
        <v>555</v>
      </c>
      <c r="J102" s="29">
        <v>8.2</v>
      </c>
      <c r="K102" s="58">
        <f t="shared" si="10"/>
        <v>0.010249999999999999</v>
      </c>
      <c r="L102" s="30">
        <f>H102*DEMANDA!$B$9</f>
        <v>0.16375</v>
      </c>
      <c r="M102" s="29">
        <f t="shared" si="11"/>
        <v>1.3427499999999999</v>
      </c>
    </row>
    <row r="103" spans="1:13" ht="15.75" customHeight="1" outlineLevel="2">
      <c r="A103" s="25">
        <v>25</v>
      </c>
      <c r="B103" s="26" t="s">
        <v>607</v>
      </c>
      <c r="C103" s="17" t="s">
        <v>514</v>
      </c>
      <c r="D103" s="26" t="s">
        <v>630</v>
      </c>
      <c r="E103" s="27">
        <v>4</v>
      </c>
      <c r="F103" s="26" t="s">
        <v>1251</v>
      </c>
      <c r="G103" s="28">
        <v>0.01</v>
      </c>
      <c r="H103" s="28">
        <f t="shared" si="9"/>
        <v>0.0025</v>
      </c>
      <c r="I103" s="16" t="s">
        <v>555</v>
      </c>
      <c r="J103" s="29">
        <v>8.2</v>
      </c>
      <c r="K103" s="58">
        <f t="shared" si="10"/>
        <v>0.020499999999999997</v>
      </c>
      <c r="L103" s="30">
        <f>H103*DEMANDA!$B$9</f>
        <v>0.3275</v>
      </c>
      <c r="M103" s="29">
        <f t="shared" si="11"/>
        <v>2.6854999999999998</v>
      </c>
    </row>
    <row r="104" spans="1:13" ht="15.75" customHeight="1" outlineLevel="2">
      <c r="A104" s="25">
        <v>30</v>
      </c>
      <c r="B104" s="26" t="s">
        <v>552</v>
      </c>
      <c r="C104" s="17" t="s">
        <v>514</v>
      </c>
      <c r="D104" s="26" t="s">
        <v>622</v>
      </c>
      <c r="E104" s="27">
        <v>4</v>
      </c>
      <c r="F104" s="26" t="s">
        <v>1251</v>
      </c>
      <c r="G104" s="28">
        <v>0.01</v>
      </c>
      <c r="H104" s="28">
        <f t="shared" si="9"/>
        <v>0.0025</v>
      </c>
      <c r="I104" s="16" t="s">
        <v>555</v>
      </c>
      <c r="J104" s="29">
        <v>8.2</v>
      </c>
      <c r="K104" s="58">
        <f t="shared" si="10"/>
        <v>0.020499999999999997</v>
      </c>
      <c r="L104" s="30">
        <f>H104*DEMANDA!$B$9</f>
        <v>0.3275</v>
      </c>
      <c r="M104" s="29">
        <f t="shared" si="11"/>
        <v>2.6854999999999998</v>
      </c>
    </row>
    <row r="105" spans="1:13" ht="15.75" customHeight="1" outlineLevel="1">
      <c r="A105" s="25"/>
      <c r="B105" s="26"/>
      <c r="C105" s="17"/>
      <c r="D105" s="26"/>
      <c r="E105" s="27"/>
      <c r="F105" s="52" t="s">
        <v>1413</v>
      </c>
      <c r="G105" s="28"/>
      <c r="H105" s="28"/>
      <c r="I105" s="16"/>
      <c r="J105" s="29"/>
      <c r="K105" s="58">
        <f>SUBTOTAL(9,K80:K104)</f>
        <v>0.7824166666666664</v>
      </c>
      <c r="L105" s="30"/>
      <c r="M105" s="29"/>
    </row>
    <row r="106" spans="1:13" ht="15.75" customHeight="1" outlineLevel="2">
      <c r="A106" s="25">
        <v>15</v>
      </c>
      <c r="B106" s="26" t="s">
        <v>539</v>
      </c>
      <c r="C106" s="17" t="s">
        <v>521</v>
      </c>
      <c r="D106" s="26" t="s">
        <v>637</v>
      </c>
      <c r="E106" s="27">
        <v>4</v>
      </c>
      <c r="F106" s="26" t="s">
        <v>1252</v>
      </c>
      <c r="G106" s="28">
        <v>0.0075</v>
      </c>
      <c r="H106" s="28">
        <f aca="true" t="shared" si="12" ref="H106:H114">G106/E106</f>
        <v>0.001875</v>
      </c>
      <c r="I106" s="16" t="s">
        <v>632</v>
      </c>
      <c r="J106" s="29">
        <v>0.3</v>
      </c>
      <c r="K106" s="58">
        <f aca="true" t="shared" si="13" ref="K106:K114">J106*H106</f>
        <v>0.0005625</v>
      </c>
      <c r="L106" s="30">
        <f>H106*DEMANDA!$B$9</f>
        <v>0.24562499999999998</v>
      </c>
      <c r="M106" s="29">
        <f aca="true" t="shared" si="14" ref="M106:M114">L106*J106</f>
        <v>0.07368749999999999</v>
      </c>
    </row>
    <row r="107" spans="1:13" ht="15.75" customHeight="1" outlineLevel="2">
      <c r="A107" s="25">
        <v>27</v>
      </c>
      <c r="B107" s="26" t="s">
        <v>584</v>
      </c>
      <c r="C107" s="17" t="s">
        <v>521</v>
      </c>
      <c r="D107" s="26" t="s">
        <v>642</v>
      </c>
      <c r="E107" s="27">
        <v>4</v>
      </c>
      <c r="F107" s="26" t="s">
        <v>1252</v>
      </c>
      <c r="G107" s="28">
        <v>0.00375</v>
      </c>
      <c r="H107" s="28">
        <f t="shared" si="12"/>
        <v>0.0009375</v>
      </c>
      <c r="I107" s="16" t="s">
        <v>632</v>
      </c>
      <c r="J107" s="29">
        <v>0.3</v>
      </c>
      <c r="K107" s="58">
        <f t="shared" si="13"/>
        <v>0.00028125</v>
      </c>
      <c r="L107" s="30">
        <f>H107*DEMANDA!$B$9</f>
        <v>0.12281249999999999</v>
      </c>
      <c r="M107" s="29">
        <f t="shared" si="14"/>
        <v>0.036843749999999995</v>
      </c>
    </row>
    <row r="108" spans="1:13" ht="15.75" customHeight="1" outlineLevel="2">
      <c r="A108" s="25">
        <v>24</v>
      </c>
      <c r="B108" s="26" t="s">
        <v>548</v>
      </c>
      <c r="C108" s="17" t="s">
        <v>521</v>
      </c>
      <c r="D108" s="26" t="s">
        <v>641</v>
      </c>
      <c r="E108" s="27">
        <v>2</v>
      </c>
      <c r="F108" s="26" t="s">
        <v>1252</v>
      </c>
      <c r="G108" s="28">
        <v>0.00047</v>
      </c>
      <c r="H108" s="28">
        <f t="shared" si="12"/>
        <v>0.000235</v>
      </c>
      <c r="I108" s="16" t="s">
        <v>632</v>
      </c>
      <c r="J108" s="29">
        <v>0.3</v>
      </c>
      <c r="K108" s="58">
        <f t="shared" si="13"/>
        <v>7.049999999999999E-05</v>
      </c>
      <c r="L108" s="30">
        <f>H108*DEMANDA!$B$9</f>
        <v>0.030785</v>
      </c>
      <c r="M108" s="29">
        <f t="shared" si="14"/>
        <v>0.009235499999999999</v>
      </c>
    </row>
    <row r="109" spans="1:13" ht="15.75" customHeight="1" outlineLevel="2">
      <c r="A109" s="25">
        <v>2</v>
      </c>
      <c r="B109" s="26" t="s">
        <v>520</v>
      </c>
      <c r="C109" s="17" t="s">
        <v>521</v>
      </c>
      <c r="D109" s="26" t="s">
        <v>631</v>
      </c>
      <c r="E109" s="27">
        <v>4</v>
      </c>
      <c r="F109" s="26" t="s">
        <v>1252</v>
      </c>
      <c r="G109" s="28">
        <v>0.0075</v>
      </c>
      <c r="H109" s="28">
        <f t="shared" si="12"/>
        <v>0.001875</v>
      </c>
      <c r="I109" s="16" t="s">
        <v>632</v>
      </c>
      <c r="J109" s="29">
        <v>0.3</v>
      </c>
      <c r="K109" s="58">
        <f t="shared" si="13"/>
        <v>0.0005625</v>
      </c>
      <c r="L109" s="30">
        <f>H109*DEMANDA!$B$9</f>
        <v>0.24562499999999998</v>
      </c>
      <c r="M109" s="29">
        <f t="shared" si="14"/>
        <v>0.07368749999999999</v>
      </c>
    </row>
    <row r="110" spans="1:13" ht="15.75" customHeight="1" outlineLevel="2">
      <c r="A110" s="32">
        <v>6</v>
      </c>
      <c r="B110" s="33" t="s">
        <v>527</v>
      </c>
      <c r="C110" s="34" t="s">
        <v>514</v>
      </c>
      <c r="D110" s="33" t="s">
        <v>633</v>
      </c>
      <c r="E110" s="35">
        <v>12</v>
      </c>
      <c r="F110" s="26" t="s">
        <v>1252</v>
      </c>
      <c r="G110" s="36">
        <v>0.0075</v>
      </c>
      <c r="H110" s="28">
        <f t="shared" si="12"/>
        <v>0.000625</v>
      </c>
      <c r="I110" s="16" t="s">
        <v>632</v>
      </c>
      <c r="J110" s="29">
        <v>0.3</v>
      </c>
      <c r="K110" s="58">
        <f t="shared" si="13"/>
        <v>0.0001875</v>
      </c>
      <c r="L110" s="30">
        <f>H110*DEMANDA!$B$9</f>
        <v>0.081875</v>
      </c>
      <c r="M110" s="29">
        <f t="shared" si="14"/>
        <v>0.0245625</v>
      </c>
    </row>
    <row r="111" spans="1:13" ht="15.75" customHeight="1" outlineLevel="2">
      <c r="A111" s="32">
        <v>8</v>
      </c>
      <c r="B111" s="33" t="s">
        <v>634</v>
      </c>
      <c r="C111" s="34" t="s">
        <v>514</v>
      </c>
      <c r="D111" s="33" t="s">
        <v>635</v>
      </c>
      <c r="E111" s="35">
        <v>4</v>
      </c>
      <c r="F111" s="26" t="s">
        <v>1252</v>
      </c>
      <c r="G111" s="36">
        <v>0.0075</v>
      </c>
      <c r="H111" s="28">
        <f t="shared" si="12"/>
        <v>0.001875</v>
      </c>
      <c r="I111" s="16" t="s">
        <v>632</v>
      </c>
      <c r="J111" s="29">
        <v>0.3</v>
      </c>
      <c r="K111" s="58">
        <f t="shared" si="13"/>
        <v>0.0005625</v>
      </c>
      <c r="L111" s="30">
        <f>H111*DEMANDA!$B$9</f>
        <v>0.24562499999999998</v>
      </c>
      <c r="M111" s="29">
        <f t="shared" si="14"/>
        <v>0.07368749999999999</v>
      </c>
    </row>
    <row r="112" spans="1:13" ht="15.75" customHeight="1" outlineLevel="2">
      <c r="A112" s="25">
        <v>11</v>
      </c>
      <c r="B112" s="26" t="s">
        <v>535</v>
      </c>
      <c r="C112" s="17" t="s">
        <v>510</v>
      </c>
      <c r="D112" s="26" t="s">
        <v>636</v>
      </c>
      <c r="E112" s="27">
        <v>4</v>
      </c>
      <c r="F112" s="26" t="s">
        <v>1252</v>
      </c>
      <c r="G112" s="28">
        <v>0.0075</v>
      </c>
      <c r="H112" s="28">
        <f t="shared" si="12"/>
        <v>0.001875</v>
      </c>
      <c r="I112" s="16" t="s">
        <v>632</v>
      </c>
      <c r="J112" s="29">
        <v>0.3</v>
      </c>
      <c r="K112" s="58">
        <f t="shared" si="13"/>
        <v>0.0005625</v>
      </c>
      <c r="L112" s="30">
        <f>H112*DEMANDA!$B$9</f>
        <v>0.24562499999999998</v>
      </c>
      <c r="M112" s="29">
        <f t="shared" si="14"/>
        <v>0.07368749999999999</v>
      </c>
    </row>
    <row r="113" spans="1:13" ht="15.75" customHeight="1" outlineLevel="2">
      <c r="A113" s="25">
        <v>17</v>
      </c>
      <c r="B113" s="26" t="s">
        <v>569</v>
      </c>
      <c r="C113" s="17" t="s">
        <v>514</v>
      </c>
      <c r="D113" s="26" t="s">
        <v>638</v>
      </c>
      <c r="E113" s="27">
        <v>4</v>
      </c>
      <c r="F113" s="26" t="s">
        <v>1252</v>
      </c>
      <c r="G113" s="28">
        <v>0.00375</v>
      </c>
      <c r="H113" s="28">
        <f t="shared" si="12"/>
        <v>0.0009375</v>
      </c>
      <c r="I113" s="16" t="s">
        <v>632</v>
      </c>
      <c r="J113" s="29">
        <v>0.3</v>
      </c>
      <c r="K113" s="58">
        <f t="shared" si="13"/>
        <v>0.00028125</v>
      </c>
      <c r="L113" s="30">
        <f>H113*DEMANDA!$B$9</f>
        <v>0.12281249999999999</v>
      </c>
      <c r="M113" s="29">
        <f t="shared" si="14"/>
        <v>0.036843749999999995</v>
      </c>
    </row>
    <row r="114" spans="1:13" ht="15.75" customHeight="1" outlineLevel="2">
      <c r="A114" s="25">
        <v>18</v>
      </c>
      <c r="B114" s="26" t="s">
        <v>639</v>
      </c>
      <c r="C114" s="17" t="s">
        <v>510</v>
      </c>
      <c r="D114" s="26" t="s">
        <v>640</v>
      </c>
      <c r="E114" s="27">
        <v>4</v>
      </c>
      <c r="F114" s="26" t="s">
        <v>1252</v>
      </c>
      <c r="G114" s="28">
        <v>0.001875</v>
      </c>
      <c r="H114" s="28">
        <f t="shared" si="12"/>
        <v>0.00046875</v>
      </c>
      <c r="I114" s="16" t="s">
        <v>632</v>
      </c>
      <c r="J114" s="29">
        <v>0.3</v>
      </c>
      <c r="K114" s="58">
        <f t="shared" si="13"/>
        <v>0.000140625</v>
      </c>
      <c r="L114" s="30">
        <f>H114*DEMANDA!$B$9</f>
        <v>0.061406249999999996</v>
      </c>
      <c r="M114" s="29">
        <f t="shared" si="14"/>
        <v>0.018421874999999997</v>
      </c>
    </row>
    <row r="115" spans="1:13" ht="15.75" customHeight="1" outlineLevel="1">
      <c r="A115" s="25"/>
      <c r="B115" s="26"/>
      <c r="C115" s="17"/>
      <c r="D115" s="26"/>
      <c r="E115" s="27"/>
      <c r="F115" s="52" t="s">
        <v>1414</v>
      </c>
      <c r="G115" s="28"/>
      <c r="H115" s="28"/>
      <c r="I115" s="16"/>
      <c r="J115" s="29"/>
      <c r="K115" s="58">
        <f>SUBTOTAL(9,K106:K114)</f>
        <v>0.0032111249999999996</v>
      </c>
      <c r="L115" s="30"/>
      <c r="M115" s="29"/>
    </row>
    <row r="116" spans="1:13" ht="15.75" customHeight="1" outlineLevel="2">
      <c r="A116" s="32">
        <v>30</v>
      </c>
      <c r="B116" s="33" t="s">
        <v>643</v>
      </c>
      <c r="C116" s="34" t="s">
        <v>521</v>
      </c>
      <c r="D116" s="33" t="s">
        <v>644</v>
      </c>
      <c r="E116" s="35">
        <v>4</v>
      </c>
      <c r="F116" s="33" t="s">
        <v>1253</v>
      </c>
      <c r="G116" s="36">
        <v>0.11</v>
      </c>
      <c r="H116" s="28">
        <f>G116/E116</f>
        <v>0.0275</v>
      </c>
      <c r="I116" s="16" t="s">
        <v>555</v>
      </c>
      <c r="J116" s="29">
        <v>28</v>
      </c>
      <c r="K116" s="58">
        <f>J116*H116</f>
        <v>0.77</v>
      </c>
      <c r="L116" s="30">
        <f>H116*DEMANDA!$B$9</f>
        <v>3.6025</v>
      </c>
      <c r="M116" s="29">
        <f>L116*J116</f>
        <v>100.87</v>
      </c>
    </row>
    <row r="117" spans="1:13" ht="15.75" customHeight="1" outlineLevel="2">
      <c r="A117" s="32">
        <v>25</v>
      </c>
      <c r="B117" s="33" t="s">
        <v>643</v>
      </c>
      <c r="C117" s="34" t="s">
        <v>510</v>
      </c>
      <c r="D117" s="33" t="s">
        <v>644</v>
      </c>
      <c r="E117" s="35">
        <v>4</v>
      </c>
      <c r="F117" s="33" t="s">
        <v>1253</v>
      </c>
      <c r="G117" s="36">
        <v>0.11</v>
      </c>
      <c r="H117" s="28">
        <f>G117/E117</f>
        <v>0.0275</v>
      </c>
      <c r="I117" s="16" t="s">
        <v>555</v>
      </c>
      <c r="J117" s="29">
        <v>28</v>
      </c>
      <c r="K117" s="58">
        <f>J117*H117</f>
        <v>0.77</v>
      </c>
      <c r="L117" s="30">
        <f>H117*DEMANDA!$B$9</f>
        <v>3.6025</v>
      </c>
      <c r="M117" s="29">
        <f>L117*J117</f>
        <v>100.87</v>
      </c>
    </row>
    <row r="118" spans="1:13" ht="15.75" customHeight="1" outlineLevel="1">
      <c r="A118" s="32"/>
      <c r="B118" s="33"/>
      <c r="C118" s="34"/>
      <c r="D118" s="33"/>
      <c r="E118" s="35"/>
      <c r="F118" s="43" t="s">
        <v>1415</v>
      </c>
      <c r="G118" s="36"/>
      <c r="H118" s="28"/>
      <c r="I118" s="16"/>
      <c r="J118" s="29"/>
      <c r="K118" s="58">
        <f>SUBTOTAL(9,K116:K117)</f>
        <v>1.54</v>
      </c>
      <c r="L118" s="30"/>
      <c r="M118" s="29"/>
    </row>
    <row r="119" spans="1:13" ht="15.75" customHeight="1" outlineLevel="2">
      <c r="A119" s="25">
        <v>9</v>
      </c>
      <c r="B119" s="26" t="s">
        <v>564</v>
      </c>
      <c r="C119" s="17" t="s">
        <v>514</v>
      </c>
      <c r="D119" s="26" t="s">
        <v>645</v>
      </c>
      <c r="E119" s="27">
        <v>8</v>
      </c>
      <c r="F119" s="26" t="s">
        <v>1254</v>
      </c>
      <c r="G119" s="28">
        <v>0.1</v>
      </c>
      <c r="H119" s="28">
        <f aca="true" t="shared" si="15" ref="H119:H125">G119/E119</f>
        <v>0.0125</v>
      </c>
      <c r="I119" s="16" t="s">
        <v>555</v>
      </c>
      <c r="J119" s="29">
        <v>0.81</v>
      </c>
      <c r="K119" s="58">
        <f aca="true" t="shared" si="16" ref="K119:K125">J119*H119</f>
        <v>0.010125000000000002</v>
      </c>
      <c r="L119" s="30">
        <f>H119*DEMANDA!$B$9</f>
        <v>1.6375000000000002</v>
      </c>
      <c r="M119" s="29">
        <f aca="true" t="shared" si="17" ref="M119:M125">L119*J119</f>
        <v>1.3263750000000003</v>
      </c>
    </row>
    <row r="120" spans="1:13" ht="15.75" customHeight="1" outlineLevel="2">
      <c r="A120" s="25">
        <v>10</v>
      </c>
      <c r="B120" s="26" t="s">
        <v>646</v>
      </c>
      <c r="C120" s="17" t="s">
        <v>510</v>
      </c>
      <c r="D120" s="26" t="s">
        <v>647</v>
      </c>
      <c r="E120" s="27">
        <v>6</v>
      </c>
      <c r="F120" s="26" t="s">
        <v>1254</v>
      </c>
      <c r="G120" s="28">
        <v>0.1</v>
      </c>
      <c r="H120" s="28">
        <f t="shared" si="15"/>
        <v>0.016666666666666666</v>
      </c>
      <c r="I120" s="16" t="s">
        <v>555</v>
      </c>
      <c r="J120" s="29">
        <v>0.81</v>
      </c>
      <c r="K120" s="58">
        <f t="shared" si="16"/>
        <v>0.0135</v>
      </c>
      <c r="L120" s="30">
        <f>H120*DEMANDA!$B$9</f>
        <v>2.183333333333333</v>
      </c>
      <c r="M120" s="29">
        <f t="shared" si="17"/>
        <v>1.7685</v>
      </c>
    </row>
    <row r="121" spans="1:13" ht="15.75" customHeight="1" outlineLevel="2">
      <c r="A121" s="25">
        <v>14</v>
      </c>
      <c r="B121" s="26" t="s">
        <v>578</v>
      </c>
      <c r="C121" s="17" t="s">
        <v>510</v>
      </c>
      <c r="D121" s="26" t="s">
        <v>648</v>
      </c>
      <c r="E121" s="27">
        <v>4</v>
      </c>
      <c r="F121" s="26" t="s">
        <v>1254</v>
      </c>
      <c r="G121" s="28">
        <v>0.1</v>
      </c>
      <c r="H121" s="28">
        <f t="shared" si="15"/>
        <v>0.025</v>
      </c>
      <c r="I121" s="16" t="s">
        <v>555</v>
      </c>
      <c r="J121" s="29">
        <v>0.81</v>
      </c>
      <c r="K121" s="58">
        <f t="shared" si="16"/>
        <v>0.020250000000000004</v>
      </c>
      <c r="L121" s="30">
        <f>H121*DEMANDA!$B$9</f>
        <v>3.2750000000000004</v>
      </c>
      <c r="M121" s="29">
        <f t="shared" si="17"/>
        <v>2.6527500000000006</v>
      </c>
    </row>
    <row r="122" spans="1:13" ht="15.75" customHeight="1" outlineLevel="2">
      <c r="A122" s="25">
        <v>18</v>
      </c>
      <c r="B122" s="26" t="s">
        <v>626</v>
      </c>
      <c r="C122" s="17" t="s">
        <v>514</v>
      </c>
      <c r="D122" s="26" t="s">
        <v>649</v>
      </c>
      <c r="E122" s="27">
        <v>4</v>
      </c>
      <c r="F122" s="26" t="s">
        <v>1254</v>
      </c>
      <c r="G122" s="28">
        <v>0.1</v>
      </c>
      <c r="H122" s="28">
        <f t="shared" si="15"/>
        <v>0.025</v>
      </c>
      <c r="I122" s="16" t="s">
        <v>555</v>
      </c>
      <c r="J122" s="29">
        <v>0.81</v>
      </c>
      <c r="K122" s="58">
        <f t="shared" si="16"/>
        <v>0.020250000000000004</v>
      </c>
      <c r="L122" s="30">
        <f>H122*DEMANDA!$B$9</f>
        <v>3.2750000000000004</v>
      </c>
      <c r="M122" s="29">
        <f t="shared" si="17"/>
        <v>2.6527500000000006</v>
      </c>
    </row>
    <row r="123" spans="1:13" ht="15.75" customHeight="1" outlineLevel="2">
      <c r="A123" s="25">
        <v>18</v>
      </c>
      <c r="B123" s="26" t="s">
        <v>639</v>
      </c>
      <c r="C123" s="17" t="s">
        <v>510</v>
      </c>
      <c r="D123" s="26" t="s">
        <v>650</v>
      </c>
      <c r="E123" s="27">
        <v>4</v>
      </c>
      <c r="F123" s="26" t="s">
        <v>1254</v>
      </c>
      <c r="G123" s="28">
        <v>0.1</v>
      </c>
      <c r="H123" s="28">
        <f t="shared" si="15"/>
        <v>0.025</v>
      </c>
      <c r="I123" s="16" t="s">
        <v>555</v>
      </c>
      <c r="J123" s="29">
        <v>0.81</v>
      </c>
      <c r="K123" s="58">
        <f t="shared" si="16"/>
        <v>0.020250000000000004</v>
      </c>
      <c r="L123" s="30">
        <f>H123*DEMANDA!$B$9</f>
        <v>3.2750000000000004</v>
      </c>
      <c r="M123" s="29">
        <f t="shared" si="17"/>
        <v>2.6527500000000006</v>
      </c>
    </row>
    <row r="124" spans="1:13" ht="15.75" customHeight="1" outlineLevel="2">
      <c r="A124" s="25">
        <v>19</v>
      </c>
      <c r="B124" s="26" t="s">
        <v>651</v>
      </c>
      <c r="C124" s="17" t="s">
        <v>510</v>
      </c>
      <c r="D124" s="26" t="s">
        <v>652</v>
      </c>
      <c r="E124" s="27">
        <v>4</v>
      </c>
      <c r="F124" s="26" t="s">
        <v>1254</v>
      </c>
      <c r="G124" s="28">
        <v>0.05</v>
      </c>
      <c r="H124" s="28">
        <f t="shared" si="15"/>
        <v>0.0125</v>
      </c>
      <c r="I124" s="16" t="s">
        <v>555</v>
      </c>
      <c r="J124" s="29">
        <v>0.81</v>
      </c>
      <c r="K124" s="58">
        <f t="shared" si="16"/>
        <v>0.010125000000000002</v>
      </c>
      <c r="L124" s="30">
        <f>H124*DEMANDA!$B$9</f>
        <v>1.6375000000000002</v>
      </c>
      <c r="M124" s="29">
        <f t="shared" si="17"/>
        <v>1.3263750000000003</v>
      </c>
    </row>
    <row r="125" spans="1:13" ht="15.75" customHeight="1" outlineLevel="2">
      <c r="A125" s="25">
        <v>23</v>
      </c>
      <c r="B125" s="26" t="s">
        <v>602</v>
      </c>
      <c r="C125" s="17" t="s">
        <v>510</v>
      </c>
      <c r="D125" s="26" t="s">
        <v>653</v>
      </c>
      <c r="E125" s="27">
        <v>6</v>
      </c>
      <c r="F125" s="26" t="s">
        <v>1254</v>
      </c>
      <c r="G125" s="28">
        <v>0.2</v>
      </c>
      <c r="H125" s="28">
        <f t="shared" si="15"/>
        <v>0.03333333333333333</v>
      </c>
      <c r="I125" s="16" t="s">
        <v>555</v>
      </c>
      <c r="J125" s="29">
        <v>0.81</v>
      </c>
      <c r="K125" s="58">
        <f t="shared" si="16"/>
        <v>0.027</v>
      </c>
      <c r="L125" s="30">
        <f>H125*DEMANDA!$B$9</f>
        <v>4.366666666666666</v>
      </c>
      <c r="M125" s="29">
        <f t="shared" si="17"/>
        <v>3.537</v>
      </c>
    </row>
    <row r="126" spans="1:13" ht="15.75" customHeight="1" outlineLevel="1">
      <c r="A126" s="25"/>
      <c r="B126" s="26"/>
      <c r="C126" s="17"/>
      <c r="D126" s="26"/>
      <c r="E126" s="27"/>
      <c r="F126" s="52" t="s">
        <v>1416</v>
      </c>
      <c r="G126" s="28"/>
      <c r="H126" s="28"/>
      <c r="I126" s="16"/>
      <c r="J126" s="29"/>
      <c r="K126" s="58">
        <f>SUBTOTAL(9,K119:K125)</f>
        <v>0.12150000000000002</v>
      </c>
      <c r="L126" s="30"/>
      <c r="M126" s="29"/>
    </row>
    <row r="127" spans="1:13" ht="15.75" customHeight="1" outlineLevel="2">
      <c r="A127" s="25">
        <v>12</v>
      </c>
      <c r="B127" s="26" t="s">
        <v>594</v>
      </c>
      <c r="C127" s="17" t="s">
        <v>510</v>
      </c>
      <c r="D127" s="26" t="s">
        <v>654</v>
      </c>
      <c r="E127" s="27">
        <v>8</v>
      </c>
      <c r="F127" s="26" t="s">
        <v>1255</v>
      </c>
      <c r="G127" s="28">
        <v>0.042</v>
      </c>
      <c r="H127" s="28">
        <f>G127/E127</f>
        <v>0.00525</v>
      </c>
      <c r="I127" s="16" t="s">
        <v>555</v>
      </c>
      <c r="J127" s="29">
        <v>1.07</v>
      </c>
      <c r="K127" s="58">
        <f>J127*H127</f>
        <v>0.005617500000000001</v>
      </c>
      <c r="L127" s="30">
        <f>H127*DEMANDA!$B$9</f>
        <v>0.6877500000000001</v>
      </c>
      <c r="M127" s="29">
        <f>L127*J127</f>
        <v>0.7358925000000002</v>
      </c>
    </row>
    <row r="128" spans="1:13" ht="15.75" customHeight="1" outlineLevel="2">
      <c r="A128" s="25">
        <v>13</v>
      </c>
      <c r="B128" s="26" t="s">
        <v>655</v>
      </c>
      <c r="C128" s="17" t="s">
        <v>514</v>
      </c>
      <c r="D128" s="26" t="s">
        <v>656</v>
      </c>
      <c r="E128" s="27">
        <v>4</v>
      </c>
      <c r="F128" s="26" t="s">
        <v>1255</v>
      </c>
      <c r="G128" s="28">
        <v>0.084</v>
      </c>
      <c r="H128" s="28">
        <f>G128/E128</f>
        <v>0.021</v>
      </c>
      <c r="I128" s="16" t="s">
        <v>555</v>
      </c>
      <c r="J128" s="29">
        <v>1.07</v>
      </c>
      <c r="K128" s="58">
        <f>J128*H128</f>
        <v>0.022470000000000004</v>
      </c>
      <c r="L128" s="30">
        <f>H128*DEMANDA!$B$9</f>
        <v>2.7510000000000003</v>
      </c>
      <c r="M128" s="29">
        <f>L128*J128</f>
        <v>2.9435700000000007</v>
      </c>
    </row>
    <row r="129" spans="1:13" ht="15.75" customHeight="1" outlineLevel="2">
      <c r="A129" s="25">
        <v>19</v>
      </c>
      <c r="B129" s="26" t="s">
        <v>544</v>
      </c>
      <c r="C129" s="17" t="s">
        <v>514</v>
      </c>
      <c r="D129" s="26" t="s">
        <v>657</v>
      </c>
      <c r="E129" s="27">
        <v>4</v>
      </c>
      <c r="F129" s="26" t="s">
        <v>1255</v>
      </c>
      <c r="G129" s="28">
        <v>0.084</v>
      </c>
      <c r="H129" s="28">
        <f>G129/E129</f>
        <v>0.021</v>
      </c>
      <c r="I129" s="16" t="s">
        <v>555</v>
      </c>
      <c r="J129" s="29">
        <v>1.07</v>
      </c>
      <c r="K129" s="58">
        <f>J129*H129</f>
        <v>0.022470000000000004</v>
      </c>
      <c r="L129" s="30">
        <f>H129*DEMANDA!$B$9</f>
        <v>2.7510000000000003</v>
      </c>
      <c r="M129" s="29">
        <f>L129*J129</f>
        <v>2.9435700000000007</v>
      </c>
    </row>
    <row r="130" spans="1:13" ht="15.75" customHeight="1" outlineLevel="1">
      <c r="A130" s="25"/>
      <c r="B130" s="26"/>
      <c r="C130" s="17"/>
      <c r="D130" s="26"/>
      <c r="E130" s="27"/>
      <c r="F130" s="52" t="s">
        <v>1417</v>
      </c>
      <c r="G130" s="28"/>
      <c r="H130" s="28"/>
      <c r="I130" s="16"/>
      <c r="J130" s="29"/>
      <c r="K130" s="58">
        <f>SUBTOTAL(9,K127:K129)</f>
        <v>0.050557500000000005</v>
      </c>
      <c r="L130" s="30"/>
      <c r="M130" s="29"/>
    </row>
    <row r="131" spans="1:13" ht="15.75" customHeight="1" outlineLevel="2">
      <c r="A131" s="25">
        <v>11</v>
      </c>
      <c r="B131" s="26" t="s">
        <v>566</v>
      </c>
      <c r="C131" s="17" t="s">
        <v>521</v>
      </c>
      <c r="D131" s="26" t="s">
        <v>659</v>
      </c>
      <c r="E131" s="27">
        <v>4</v>
      </c>
      <c r="F131" s="26" t="s">
        <v>1256</v>
      </c>
      <c r="G131" s="28">
        <v>0.1</v>
      </c>
      <c r="H131" s="28">
        <f>G131/E131</f>
        <v>0.025</v>
      </c>
      <c r="I131" s="16" t="s">
        <v>555</v>
      </c>
      <c r="J131" s="29">
        <v>3.54</v>
      </c>
      <c r="K131" s="58">
        <f>J131*H131</f>
        <v>0.08850000000000001</v>
      </c>
      <c r="L131" s="30">
        <f>H131*DEMANDA!$B$9</f>
        <v>3.2750000000000004</v>
      </c>
      <c r="M131" s="29">
        <f>L131*J131</f>
        <v>11.5935</v>
      </c>
    </row>
    <row r="132" spans="1:13" ht="15.75" customHeight="1" outlineLevel="2">
      <c r="A132" s="25">
        <v>4</v>
      </c>
      <c r="B132" s="26" t="s">
        <v>573</v>
      </c>
      <c r="C132" s="17" t="s">
        <v>514</v>
      </c>
      <c r="D132" s="26" t="s">
        <v>658</v>
      </c>
      <c r="E132" s="27">
        <v>4</v>
      </c>
      <c r="F132" s="26" t="s">
        <v>1256</v>
      </c>
      <c r="G132" s="28">
        <v>0.2</v>
      </c>
      <c r="H132" s="28">
        <f>G132/E132</f>
        <v>0.05</v>
      </c>
      <c r="I132" s="16" t="s">
        <v>555</v>
      </c>
      <c r="J132" s="29">
        <v>3.54</v>
      </c>
      <c r="K132" s="58">
        <f>J132*H132</f>
        <v>0.17700000000000002</v>
      </c>
      <c r="L132" s="30">
        <f>H132*DEMANDA!$B$9</f>
        <v>6.550000000000001</v>
      </c>
      <c r="M132" s="29">
        <f>L132*J132</f>
        <v>23.187</v>
      </c>
    </row>
    <row r="133" spans="1:13" ht="15.75" customHeight="1" outlineLevel="2">
      <c r="A133" s="25">
        <v>18</v>
      </c>
      <c r="B133" s="26" t="s">
        <v>626</v>
      </c>
      <c r="C133" s="17" t="s">
        <v>514</v>
      </c>
      <c r="D133" s="26" t="s">
        <v>659</v>
      </c>
      <c r="E133" s="27">
        <v>4</v>
      </c>
      <c r="F133" s="26" t="s">
        <v>1256</v>
      </c>
      <c r="G133" s="28">
        <v>0.1</v>
      </c>
      <c r="H133" s="28">
        <f>G133/E133</f>
        <v>0.025</v>
      </c>
      <c r="I133" s="16" t="s">
        <v>555</v>
      </c>
      <c r="J133" s="29">
        <v>3.54</v>
      </c>
      <c r="K133" s="58">
        <f>J133*H133</f>
        <v>0.08850000000000001</v>
      </c>
      <c r="L133" s="30">
        <f>H133*DEMANDA!$B$9</f>
        <v>3.2750000000000004</v>
      </c>
      <c r="M133" s="29">
        <f>L133*J133</f>
        <v>11.5935</v>
      </c>
    </row>
    <row r="134" spans="1:13" ht="15.75" customHeight="1" outlineLevel="2">
      <c r="A134" s="25">
        <v>19</v>
      </c>
      <c r="B134" s="26" t="s">
        <v>651</v>
      </c>
      <c r="C134" s="17" t="s">
        <v>510</v>
      </c>
      <c r="D134" s="26" t="s">
        <v>660</v>
      </c>
      <c r="E134" s="27">
        <v>4</v>
      </c>
      <c r="F134" s="26" t="s">
        <v>1256</v>
      </c>
      <c r="G134" s="28">
        <v>0.1</v>
      </c>
      <c r="H134" s="28">
        <f>G134/E134</f>
        <v>0.025</v>
      </c>
      <c r="I134" s="16" t="s">
        <v>555</v>
      </c>
      <c r="J134" s="29">
        <v>3.54</v>
      </c>
      <c r="K134" s="58">
        <f>J134*H134</f>
        <v>0.08850000000000001</v>
      </c>
      <c r="L134" s="30">
        <f>H134*DEMANDA!$B$9</f>
        <v>3.2750000000000004</v>
      </c>
      <c r="M134" s="29">
        <f>L134*J134</f>
        <v>11.5935</v>
      </c>
    </row>
    <row r="135" spans="1:13" ht="15.75" customHeight="1" outlineLevel="1">
      <c r="A135" s="25"/>
      <c r="B135" s="26"/>
      <c r="C135" s="17"/>
      <c r="D135" s="26"/>
      <c r="E135" s="27"/>
      <c r="F135" s="52" t="s">
        <v>1418</v>
      </c>
      <c r="G135" s="28"/>
      <c r="H135" s="28"/>
      <c r="I135" s="16"/>
      <c r="J135" s="29"/>
      <c r="K135" s="58">
        <f>SUBTOTAL(9,K131:K134)</f>
        <v>0.44250000000000006</v>
      </c>
      <c r="L135" s="30"/>
      <c r="M135" s="29"/>
    </row>
    <row r="136" spans="1:13" ht="15.75" customHeight="1" outlineLevel="2">
      <c r="A136" s="25">
        <v>14</v>
      </c>
      <c r="B136" s="26" t="s">
        <v>578</v>
      </c>
      <c r="C136" s="17" t="s">
        <v>510</v>
      </c>
      <c r="D136" s="26" t="s">
        <v>661</v>
      </c>
      <c r="E136" s="27">
        <v>4</v>
      </c>
      <c r="F136" s="26" t="s">
        <v>1257</v>
      </c>
      <c r="G136" s="28">
        <v>1</v>
      </c>
      <c r="H136" s="28">
        <f>G136/E136</f>
        <v>0.25</v>
      </c>
      <c r="I136" s="16" t="s">
        <v>632</v>
      </c>
      <c r="J136" s="29">
        <v>1.05</v>
      </c>
      <c r="K136" s="58">
        <f>J136*H136</f>
        <v>0.2625</v>
      </c>
      <c r="L136" s="30">
        <f>H136*DEMANDA!$B$9</f>
        <v>32.75</v>
      </c>
      <c r="M136" s="29">
        <f>L136*J136</f>
        <v>34.3875</v>
      </c>
    </row>
    <row r="137" spans="1:13" ht="15.75" customHeight="1" outlineLevel="2">
      <c r="A137" s="25">
        <v>18</v>
      </c>
      <c r="B137" s="26" t="s">
        <v>639</v>
      </c>
      <c r="C137" s="17" t="s">
        <v>510</v>
      </c>
      <c r="D137" s="26" t="s">
        <v>662</v>
      </c>
      <c r="E137" s="27">
        <v>4</v>
      </c>
      <c r="F137" s="26" t="s">
        <v>1257</v>
      </c>
      <c r="G137" s="28">
        <v>1</v>
      </c>
      <c r="H137" s="28">
        <f>G137/E137</f>
        <v>0.25</v>
      </c>
      <c r="I137" s="16" t="s">
        <v>632</v>
      </c>
      <c r="J137" s="29">
        <v>1.05</v>
      </c>
      <c r="K137" s="58">
        <f>J137*H137</f>
        <v>0.2625</v>
      </c>
      <c r="L137" s="30">
        <f>H137*DEMANDA!$B$9</f>
        <v>32.75</v>
      </c>
      <c r="M137" s="29">
        <f>L137*J137</f>
        <v>34.3875</v>
      </c>
    </row>
    <row r="138" spans="1:13" ht="15.75" customHeight="1" outlineLevel="2">
      <c r="A138" s="25">
        <v>22</v>
      </c>
      <c r="B138" s="26" t="s">
        <v>663</v>
      </c>
      <c r="C138" s="17" t="s">
        <v>510</v>
      </c>
      <c r="D138" s="26" t="s">
        <v>664</v>
      </c>
      <c r="E138" s="27">
        <v>4</v>
      </c>
      <c r="F138" s="26" t="s">
        <v>1257</v>
      </c>
      <c r="G138" s="28">
        <v>1</v>
      </c>
      <c r="H138" s="28">
        <f>G138/E138</f>
        <v>0.25</v>
      </c>
      <c r="I138" s="16" t="s">
        <v>632</v>
      </c>
      <c r="J138" s="29">
        <v>1.05</v>
      </c>
      <c r="K138" s="58">
        <f>J138*H138</f>
        <v>0.2625</v>
      </c>
      <c r="L138" s="30">
        <f>H138*DEMANDA!$B$9</f>
        <v>32.75</v>
      </c>
      <c r="M138" s="29">
        <f>L138*J138</f>
        <v>34.3875</v>
      </c>
    </row>
    <row r="139" spans="1:13" ht="15.75" customHeight="1" outlineLevel="1">
      <c r="A139" s="25"/>
      <c r="B139" s="26"/>
      <c r="C139" s="17"/>
      <c r="D139" s="26"/>
      <c r="E139" s="27"/>
      <c r="F139" s="52" t="s">
        <v>1419</v>
      </c>
      <c r="G139" s="28"/>
      <c r="H139" s="28"/>
      <c r="I139" s="16"/>
      <c r="J139" s="29"/>
      <c r="K139" s="58">
        <f>SUBTOTAL(9,K136:K138)</f>
        <v>0.7875000000000001</v>
      </c>
      <c r="L139" s="30"/>
      <c r="M139" s="29"/>
    </row>
    <row r="140" spans="1:13" ht="15.75" customHeight="1" outlineLevel="2">
      <c r="A140" s="25">
        <v>1</v>
      </c>
      <c r="B140" s="26" t="s">
        <v>590</v>
      </c>
      <c r="C140" s="17" t="s">
        <v>521</v>
      </c>
      <c r="D140" s="26" t="s">
        <v>665</v>
      </c>
      <c r="E140" s="27">
        <v>4</v>
      </c>
      <c r="F140" s="26" t="s">
        <v>1258</v>
      </c>
      <c r="G140" s="28">
        <v>0.125</v>
      </c>
      <c r="H140" s="28">
        <f aca="true" t="shared" si="18" ref="H140:H147">G140/E140</f>
        <v>0.03125</v>
      </c>
      <c r="I140" s="16" t="s">
        <v>555</v>
      </c>
      <c r="J140" s="29">
        <v>1.94</v>
      </c>
      <c r="K140" s="58">
        <f aca="true" t="shared" si="19" ref="K140:K147">J140*H140</f>
        <v>0.060625</v>
      </c>
      <c r="L140" s="30">
        <f>H140*DEMANDA!$B$9</f>
        <v>4.09375</v>
      </c>
      <c r="M140" s="29">
        <f aca="true" t="shared" si="20" ref="M140:M147">L140*J140</f>
        <v>7.941875</v>
      </c>
    </row>
    <row r="141" spans="1:13" ht="15.75" customHeight="1" outlineLevel="2">
      <c r="A141" s="25">
        <v>29</v>
      </c>
      <c r="B141" s="26" t="s">
        <v>670</v>
      </c>
      <c r="C141" s="17" t="s">
        <v>521</v>
      </c>
      <c r="D141" s="26" t="s">
        <v>671</v>
      </c>
      <c r="E141" s="27">
        <v>4</v>
      </c>
      <c r="F141" s="26" t="s">
        <v>1258</v>
      </c>
      <c r="G141" s="28">
        <v>0.25</v>
      </c>
      <c r="H141" s="28">
        <f t="shared" si="18"/>
        <v>0.0625</v>
      </c>
      <c r="I141" s="16" t="s">
        <v>555</v>
      </c>
      <c r="J141" s="29">
        <v>1.94</v>
      </c>
      <c r="K141" s="58">
        <f t="shared" si="19"/>
        <v>0.12125</v>
      </c>
      <c r="L141" s="30">
        <f>H141*DEMANDA!$B$9</f>
        <v>8.1875</v>
      </c>
      <c r="M141" s="29">
        <f t="shared" si="20"/>
        <v>15.88375</v>
      </c>
    </row>
    <row r="142" spans="1:13" ht="15.75" customHeight="1" outlineLevel="2">
      <c r="A142" s="25">
        <v>14</v>
      </c>
      <c r="B142" s="26" t="s">
        <v>567</v>
      </c>
      <c r="C142" s="17" t="s">
        <v>521</v>
      </c>
      <c r="D142" s="26" t="s">
        <v>666</v>
      </c>
      <c r="E142" s="27">
        <v>2</v>
      </c>
      <c r="F142" s="26" t="s">
        <v>1258</v>
      </c>
      <c r="G142" s="28">
        <v>0.03</v>
      </c>
      <c r="H142" s="28">
        <f t="shared" si="18"/>
        <v>0.015</v>
      </c>
      <c r="I142" s="16" t="s">
        <v>555</v>
      </c>
      <c r="J142" s="29">
        <v>1.94</v>
      </c>
      <c r="K142" s="58">
        <f t="shared" si="19"/>
        <v>0.029099999999999997</v>
      </c>
      <c r="L142" s="30">
        <f>H142*DEMANDA!$B$9</f>
        <v>1.9649999999999999</v>
      </c>
      <c r="M142" s="29">
        <f t="shared" si="20"/>
        <v>3.8120999999999996</v>
      </c>
    </row>
    <row r="143" spans="1:13" ht="15.75" customHeight="1" outlineLevel="2">
      <c r="A143" s="25">
        <v>23</v>
      </c>
      <c r="B143" s="26" t="s">
        <v>517</v>
      </c>
      <c r="C143" s="17" t="s">
        <v>514</v>
      </c>
      <c r="D143" s="26" t="s">
        <v>667</v>
      </c>
      <c r="E143" s="27">
        <v>4</v>
      </c>
      <c r="F143" s="26" t="s">
        <v>1258</v>
      </c>
      <c r="G143" s="28">
        <v>0.03</v>
      </c>
      <c r="H143" s="28">
        <f t="shared" si="18"/>
        <v>0.0075</v>
      </c>
      <c r="I143" s="16" t="s">
        <v>555</v>
      </c>
      <c r="J143" s="29">
        <v>1.94</v>
      </c>
      <c r="K143" s="58">
        <f t="shared" si="19"/>
        <v>0.014549999999999999</v>
      </c>
      <c r="L143" s="30">
        <f>H143*DEMANDA!$B$9</f>
        <v>0.9824999999999999</v>
      </c>
      <c r="M143" s="29">
        <f t="shared" si="20"/>
        <v>1.9060499999999998</v>
      </c>
    </row>
    <row r="144" spans="1:13" ht="15.75" customHeight="1" outlineLevel="2">
      <c r="A144" s="25">
        <v>24</v>
      </c>
      <c r="B144" s="26" t="s">
        <v>668</v>
      </c>
      <c r="C144" s="17" t="s">
        <v>510</v>
      </c>
      <c r="D144" s="26" t="s">
        <v>669</v>
      </c>
      <c r="E144" s="27">
        <v>10</v>
      </c>
      <c r="F144" s="26" t="s">
        <v>1258</v>
      </c>
      <c r="G144" s="28">
        <v>0.03125</v>
      </c>
      <c r="H144" s="28">
        <f t="shared" si="18"/>
        <v>0.003125</v>
      </c>
      <c r="I144" s="16" t="s">
        <v>555</v>
      </c>
      <c r="J144" s="29">
        <v>1.94</v>
      </c>
      <c r="K144" s="58">
        <f t="shared" si="19"/>
        <v>0.0060625</v>
      </c>
      <c r="L144" s="30">
        <f>H144*DEMANDA!$B$9</f>
        <v>0.40937500000000004</v>
      </c>
      <c r="M144" s="29">
        <f t="shared" si="20"/>
        <v>0.7941875</v>
      </c>
    </row>
    <row r="145" spans="1:13" ht="15.75" customHeight="1" outlineLevel="2">
      <c r="A145" s="25">
        <v>24</v>
      </c>
      <c r="B145" s="26" t="s">
        <v>668</v>
      </c>
      <c r="C145" s="17" t="s">
        <v>510</v>
      </c>
      <c r="D145" s="26" t="s">
        <v>665</v>
      </c>
      <c r="E145" s="27">
        <v>10</v>
      </c>
      <c r="F145" s="26" t="s">
        <v>1258</v>
      </c>
      <c r="G145" s="28">
        <v>0.125</v>
      </c>
      <c r="H145" s="28">
        <f t="shared" si="18"/>
        <v>0.0125</v>
      </c>
      <c r="I145" s="16" t="s">
        <v>555</v>
      </c>
      <c r="J145" s="29">
        <v>1.94</v>
      </c>
      <c r="K145" s="58">
        <f t="shared" si="19"/>
        <v>0.02425</v>
      </c>
      <c r="L145" s="30">
        <f>H145*DEMANDA!$B$9</f>
        <v>1.6375000000000002</v>
      </c>
      <c r="M145" s="29">
        <f t="shared" si="20"/>
        <v>3.17675</v>
      </c>
    </row>
    <row r="146" spans="1:13" ht="15.75" customHeight="1" outlineLevel="2">
      <c r="A146" s="25">
        <v>26</v>
      </c>
      <c r="B146" s="26" t="s">
        <v>590</v>
      </c>
      <c r="C146" s="17" t="s">
        <v>510</v>
      </c>
      <c r="D146" s="26" t="s">
        <v>665</v>
      </c>
      <c r="E146" s="27">
        <v>4</v>
      </c>
      <c r="F146" s="26" t="s">
        <v>1258</v>
      </c>
      <c r="G146" s="28">
        <v>0.125</v>
      </c>
      <c r="H146" s="28">
        <f t="shared" si="18"/>
        <v>0.03125</v>
      </c>
      <c r="I146" s="16" t="s">
        <v>555</v>
      </c>
      <c r="J146" s="29">
        <v>1.94</v>
      </c>
      <c r="K146" s="58">
        <f t="shared" si="19"/>
        <v>0.060625</v>
      </c>
      <c r="L146" s="30">
        <f>H146*DEMANDA!$B$9</f>
        <v>4.09375</v>
      </c>
      <c r="M146" s="29">
        <f t="shared" si="20"/>
        <v>7.941875</v>
      </c>
    </row>
    <row r="147" spans="1:13" ht="15.75" customHeight="1" outlineLevel="2">
      <c r="A147" s="25">
        <v>29</v>
      </c>
      <c r="B147" s="26" t="s">
        <v>670</v>
      </c>
      <c r="C147" s="17" t="s">
        <v>510</v>
      </c>
      <c r="D147" s="26" t="s">
        <v>671</v>
      </c>
      <c r="E147" s="27">
        <v>4</v>
      </c>
      <c r="F147" s="26" t="s">
        <v>1258</v>
      </c>
      <c r="G147" s="28">
        <v>0.25</v>
      </c>
      <c r="H147" s="28">
        <f t="shared" si="18"/>
        <v>0.0625</v>
      </c>
      <c r="I147" s="16" t="s">
        <v>555</v>
      </c>
      <c r="J147" s="29">
        <v>1.94</v>
      </c>
      <c r="K147" s="58">
        <f t="shared" si="19"/>
        <v>0.12125</v>
      </c>
      <c r="L147" s="30">
        <f>H147*DEMANDA!$B$9</f>
        <v>8.1875</v>
      </c>
      <c r="M147" s="29">
        <f t="shared" si="20"/>
        <v>15.88375</v>
      </c>
    </row>
    <row r="148" spans="1:13" ht="15.75" customHeight="1" outlineLevel="1">
      <c r="A148" s="25"/>
      <c r="B148" s="26"/>
      <c r="C148" s="17"/>
      <c r="D148" s="26"/>
      <c r="E148" s="27"/>
      <c r="F148" s="52" t="s">
        <v>1420</v>
      </c>
      <c r="G148" s="28"/>
      <c r="H148" s="28"/>
      <c r="I148" s="16"/>
      <c r="J148" s="29"/>
      <c r="K148" s="58">
        <f>SUBTOTAL(9,K140:K147)</f>
        <v>0.43771249999999995</v>
      </c>
      <c r="L148" s="30"/>
      <c r="M148" s="29"/>
    </row>
    <row r="149" spans="1:13" ht="15.75" customHeight="1" outlineLevel="2">
      <c r="A149" s="25">
        <v>15</v>
      </c>
      <c r="B149" s="26" t="s">
        <v>759</v>
      </c>
      <c r="C149" s="17" t="s">
        <v>510</v>
      </c>
      <c r="D149" s="26" t="s">
        <v>1161</v>
      </c>
      <c r="E149" s="27">
        <v>4</v>
      </c>
      <c r="F149" s="26" t="s">
        <v>1399</v>
      </c>
      <c r="G149" s="28">
        <v>0.045</v>
      </c>
      <c r="H149" s="28">
        <f aca="true" t="shared" si="21" ref="H149:H154">G149/E149</f>
        <v>0.01125</v>
      </c>
      <c r="I149" s="16" t="s">
        <v>555</v>
      </c>
      <c r="J149" s="29">
        <v>64.35</v>
      </c>
      <c r="K149" s="58">
        <f aca="true" t="shared" si="22" ref="K149:K154">J149*H149</f>
        <v>0.7239374999999999</v>
      </c>
      <c r="L149" s="30">
        <f>H149*DEMANDA!$B$9</f>
        <v>1.47375</v>
      </c>
      <c r="M149" s="29">
        <f aca="true" t="shared" si="23" ref="M149:M154">L149*J149</f>
        <v>94.83581249999999</v>
      </c>
    </row>
    <row r="150" spans="1:13" ht="15.75" customHeight="1" outlineLevel="2">
      <c r="A150" s="25">
        <v>25</v>
      </c>
      <c r="B150" s="26" t="s">
        <v>690</v>
      </c>
      <c r="C150" s="17" t="s">
        <v>521</v>
      </c>
      <c r="D150" s="26" t="s">
        <v>1162</v>
      </c>
      <c r="E150" s="27">
        <v>4</v>
      </c>
      <c r="F150" s="26" t="s">
        <v>1399</v>
      </c>
      <c r="G150" s="28">
        <v>0.008</v>
      </c>
      <c r="H150" s="28">
        <f t="shared" si="21"/>
        <v>0.002</v>
      </c>
      <c r="I150" s="16" t="s">
        <v>555</v>
      </c>
      <c r="J150" s="29">
        <v>64.35</v>
      </c>
      <c r="K150" s="58">
        <f t="shared" si="22"/>
        <v>0.12869999999999998</v>
      </c>
      <c r="L150" s="30">
        <f>H150*DEMANDA!$B$9</f>
        <v>0.262</v>
      </c>
      <c r="M150" s="29">
        <f t="shared" si="23"/>
        <v>16.8597</v>
      </c>
    </row>
    <row r="151" spans="1:13" ht="15.75" customHeight="1" outlineLevel="2">
      <c r="A151" s="25">
        <v>19</v>
      </c>
      <c r="B151" s="26" t="s">
        <v>781</v>
      </c>
      <c r="C151" s="17" t="s">
        <v>521</v>
      </c>
      <c r="D151" s="26" t="s">
        <v>1162</v>
      </c>
      <c r="E151" s="27">
        <v>4</v>
      </c>
      <c r="F151" s="26" t="s">
        <v>1399</v>
      </c>
      <c r="G151" s="28">
        <v>0.008</v>
      </c>
      <c r="H151" s="28">
        <f t="shared" si="21"/>
        <v>0.002</v>
      </c>
      <c r="I151" s="16" t="s">
        <v>555</v>
      </c>
      <c r="J151" s="29">
        <v>64.35</v>
      </c>
      <c r="K151" s="58">
        <f t="shared" si="22"/>
        <v>0.12869999999999998</v>
      </c>
      <c r="L151" s="30">
        <f>H151*DEMANDA!$B$9</f>
        <v>0.262</v>
      </c>
      <c r="M151" s="29">
        <f t="shared" si="23"/>
        <v>16.8597</v>
      </c>
    </row>
    <row r="152" spans="1:13" ht="15.75" customHeight="1" outlineLevel="2">
      <c r="A152" s="25">
        <v>10</v>
      </c>
      <c r="B152" s="26" t="s">
        <v>861</v>
      </c>
      <c r="C152" s="17" t="s">
        <v>521</v>
      </c>
      <c r="D152" s="26" t="s">
        <v>1160</v>
      </c>
      <c r="E152" s="27">
        <v>4</v>
      </c>
      <c r="F152" s="26" t="s">
        <v>1399</v>
      </c>
      <c r="G152" s="28">
        <v>0.06</v>
      </c>
      <c r="H152" s="28">
        <f t="shared" si="21"/>
        <v>0.015</v>
      </c>
      <c r="I152" s="16" t="s">
        <v>555</v>
      </c>
      <c r="J152" s="29">
        <v>64.35</v>
      </c>
      <c r="K152" s="58">
        <f t="shared" si="22"/>
        <v>0.9652499999999998</v>
      </c>
      <c r="L152" s="30">
        <f>H152*DEMANDA!$B$9</f>
        <v>1.9649999999999999</v>
      </c>
      <c r="M152" s="29">
        <f t="shared" si="23"/>
        <v>126.44774999999998</v>
      </c>
    </row>
    <row r="153" spans="1:13" ht="15.75" customHeight="1" outlineLevel="2">
      <c r="A153" s="25">
        <v>28</v>
      </c>
      <c r="B153" s="26" t="s">
        <v>781</v>
      </c>
      <c r="C153" s="17" t="s">
        <v>510</v>
      </c>
      <c r="D153" s="26" t="s">
        <v>1162</v>
      </c>
      <c r="E153" s="27">
        <v>4</v>
      </c>
      <c r="F153" s="26" t="s">
        <v>1399</v>
      </c>
      <c r="G153" s="28">
        <v>0.008</v>
      </c>
      <c r="H153" s="28">
        <f t="shared" si="21"/>
        <v>0.002</v>
      </c>
      <c r="I153" s="16" t="s">
        <v>555</v>
      </c>
      <c r="J153" s="29">
        <v>64.35</v>
      </c>
      <c r="K153" s="58">
        <f t="shared" si="22"/>
        <v>0.12869999999999998</v>
      </c>
      <c r="L153" s="30">
        <f>H153*DEMANDA!$B$9</f>
        <v>0.262</v>
      </c>
      <c r="M153" s="29">
        <f t="shared" si="23"/>
        <v>16.8597</v>
      </c>
    </row>
    <row r="154" spans="1:13" ht="15.75" customHeight="1" outlineLevel="2">
      <c r="A154" s="25">
        <v>30</v>
      </c>
      <c r="B154" s="26" t="s">
        <v>598</v>
      </c>
      <c r="C154" s="17" t="s">
        <v>510</v>
      </c>
      <c r="D154" s="26" t="s">
        <v>1163</v>
      </c>
      <c r="E154" s="27">
        <v>8</v>
      </c>
      <c r="F154" s="26" t="s">
        <v>1399</v>
      </c>
      <c r="G154" s="28">
        <v>0.008</v>
      </c>
      <c r="H154" s="28">
        <f t="shared" si="21"/>
        <v>0.001</v>
      </c>
      <c r="I154" s="16" t="s">
        <v>555</v>
      </c>
      <c r="J154" s="29">
        <v>64.35</v>
      </c>
      <c r="K154" s="58">
        <f t="shared" si="22"/>
        <v>0.06434999999999999</v>
      </c>
      <c r="L154" s="30">
        <f>H154*DEMANDA!$B$9</f>
        <v>0.131</v>
      </c>
      <c r="M154" s="29">
        <f t="shared" si="23"/>
        <v>8.42985</v>
      </c>
    </row>
    <row r="155" spans="1:13" ht="15.75" customHeight="1" outlineLevel="1">
      <c r="A155" s="25"/>
      <c r="B155" s="26"/>
      <c r="C155" s="17"/>
      <c r="D155" s="26"/>
      <c r="E155" s="27"/>
      <c r="F155" s="52" t="s">
        <v>81</v>
      </c>
      <c r="G155" s="28"/>
      <c r="H155" s="28"/>
      <c r="I155" s="16"/>
      <c r="J155" s="29"/>
      <c r="K155" s="58">
        <f>SUBTOTAL(9,K149:K154)</f>
        <v>2.1396374999999996</v>
      </c>
      <c r="L155" s="30"/>
      <c r="M155" s="29"/>
    </row>
    <row r="156" spans="1:13" ht="15.75" customHeight="1" outlineLevel="2">
      <c r="A156" s="25">
        <v>7</v>
      </c>
      <c r="B156" s="26" t="s">
        <v>673</v>
      </c>
      <c r="C156" s="17" t="s">
        <v>521</v>
      </c>
      <c r="D156" s="26" t="s">
        <v>674</v>
      </c>
      <c r="E156" s="27">
        <v>4</v>
      </c>
      <c r="F156" s="26" t="s">
        <v>1259</v>
      </c>
      <c r="G156" s="28">
        <v>0.016</v>
      </c>
      <c r="H156" s="28">
        <f aca="true" t="shared" si="24" ref="H156:H161">G156/E156</f>
        <v>0.004</v>
      </c>
      <c r="I156" s="16" t="s">
        <v>555</v>
      </c>
      <c r="J156" s="29">
        <v>0.66</v>
      </c>
      <c r="K156" s="58">
        <f aca="true" t="shared" si="25" ref="K156:K161">J156*H156</f>
        <v>0.00264</v>
      </c>
      <c r="L156" s="30">
        <f>H156*DEMANDA!$B$9</f>
        <v>0.524</v>
      </c>
      <c r="M156" s="29">
        <f aca="true" t="shared" si="26" ref="M156:M161">L156*J156</f>
        <v>0.34584000000000004</v>
      </c>
    </row>
    <row r="157" spans="1:13" ht="15.75" customHeight="1" outlineLevel="2">
      <c r="A157" s="25">
        <v>28</v>
      </c>
      <c r="B157" s="26" t="s">
        <v>572</v>
      </c>
      <c r="C157" s="17" t="s">
        <v>521</v>
      </c>
      <c r="D157" s="26" t="s">
        <v>679</v>
      </c>
      <c r="E157" s="27">
        <v>6</v>
      </c>
      <c r="F157" s="26" t="s">
        <v>1259</v>
      </c>
      <c r="G157" s="28">
        <v>0.016</v>
      </c>
      <c r="H157" s="28">
        <f t="shared" si="24"/>
        <v>0.0026666666666666666</v>
      </c>
      <c r="I157" s="16" t="s">
        <v>555</v>
      </c>
      <c r="J157" s="29">
        <v>0.66</v>
      </c>
      <c r="K157" s="58">
        <f t="shared" si="25"/>
        <v>0.00176</v>
      </c>
      <c r="L157" s="30">
        <f>H157*DEMANDA!$B$9</f>
        <v>0.34933333333333333</v>
      </c>
      <c r="M157" s="29">
        <f t="shared" si="26"/>
        <v>0.23056000000000001</v>
      </c>
    </row>
    <row r="158" spans="1:13" ht="15.75" customHeight="1" outlineLevel="2">
      <c r="A158" s="25">
        <v>6</v>
      </c>
      <c r="B158" s="26" t="s">
        <v>561</v>
      </c>
      <c r="C158" s="17" t="s">
        <v>521</v>
      </c>
      <c r="D158" s="26" t="s">
        <v>672</v>
      </c>
      <c r="E158" s="27">
        <v>6</v>
      </c>
      <c r="F158" s="26" t="s">
        <v>1259</v>
      </c>
      <c r="G158" s="28">
        <v>0.032</v>
      </c>
      <c r="H158" s="28">
        <f t="shared" si="24"/>
        <v>0.005333333333333333</v>
      </c>
      <c r="I158" s="16" t="s">
        <v>555</v>
      </c>
      <c r="J158" s="29">
        <v>0.66</v>
      </c>
      <c r="K158" s="58">
        <f t="shared" si="25"/>
        <v>0.00352</v>
      </c>
      <c r="L158" s="30">
        <f>H158*DEMANDA!$B$9</f>
        <v>0.6986666666666667</v>
      </c>
      <c r="M158" s="29">
        <f t="shared" si="26"/>
        <v>0.46112000000000003</v>
      </c>
    </row>
    <row r="159" spans="1:13" ht="15.75" customHeight="1" outlineLevel="2">
      <c r="A159" s="25">
        <v>8</v>
      </c>
      <c r="B159" s="26" t="s">
        <v>675</v>
      </c>
      <c r="C159" s="17" t="s">
        <v>510</v>
      </c>
      <c r="D159" s="26" t="s">
        <v>676</v>
      </c>
      <c r="E159" s="27">
        <v>4</v>
      </c>
      <c r="F159" s="26" t="s">
        <v>1259</v>
      </c>
      <c r="G159" s="28">
        <v>0.004</v>
      </c>
      <c r="H159" s="28">
        <f t="shared" si="24"/>
        <v>0.001</v>
      </c>
      <c r="I159" s="16" t="s">
        <v>555</v>
      </c>
      <c r="J159" s="29">
        <v>0.66</v>
      </c>
      <c r="K159" s="58">
        <f t="shared" si="25"/>
        <v>0.00066</v>
      </c>
      <c r="L159" s="30">
        <f>H159*DEMANDA!$B$9</f>
        <v>0.131</v>
      </c>
      <c r="M159" s="29">
        <f t="shared" si="26"/>
        <v>0.08646000000000001</v>
      </c>
    </row>
    <row r="160" spans="1:13" ht="15.75" customHeight="1" outlineLevel="2">
      <c r="A160" s="25">
        <v>12</v>
      </c>
      <c r="B160" s="26" t="s">
        <v>594</v>
      </c>
      <c r="C160" s="17" t="s">
        <v>510</v>
      </c>
      <c r="D160" s="26" t="s">
        <v>677</v>
      </c>
      <c r="E160" s="27">
        <v>8</v>
      </c>
      <c r="F160" s="26" t="s">
        <v>1259</v>
      </c>
      <c r="G160" s="28">
        <v>0.125</v>
      </c>
      <c r="H160" s="28">
        <f t="shared" si="24"/>
        <v>0.015625</v>
      </c>
      <c r="I160" s="16" t="s">
        <v>555</v>
      </c>
      <c r="J160" s="29">
        <v>0.66</v>
      </c>
      <c r="K160" s="58">
        <f t="shared" si="25"/>
        <v>0.0103125</v>
      </c>
      <c r="L160" s="30">
        <f>H160*DEMANDA!$B$9</f>
        <v>2.046875</v>
      </c>
      <c r="M160" s="29">
        <f t="shared" si="26"/>
        <v>1.3509375000000001</v>
      </c>
    </row>
    <row r="161" spans="1:13" ht="15.75" customHeight="1" outlineLevel="2">
      <c r="A161" s="25">
        <v>19</v>
      </c>
      <c r="B161" s="26" t="s">
        <v>651</v>
      </c>
      <c r="C161" s="17" t="s">
        <v>510</v>
      </c>
      <c r="D161" s="26" t="s">
        <v>678</v>
      </c>
      <c r="E161" s="27">
        <v>4</v>
      </c>
      <c r="F161" s="26" t="s">
        <v>1259</v>
      </c>
      <c r="G161" s="28">
        <v>0.032</v>
      </c>
      <c r="H161" s="28">
        <f t="shared" si="24"/>
        <v>0.008</v>
      </c>
      <c r="I161" s="16" t="s">
        <v>555</v>
      </c>
      <c r="J161" s="29">
        <v>0.66</v>
      </c>
      <c r="K161" s="58">
        <f t="shared" si="25"/>
        <v>0.00528</v>
      </c>
      <c r="L161" s="30">
        <f>H161*DEMANDA!$B$9</f>
        <v>1.048</v>
      </c>
      <c r="M161" s="29">
        <f t="shared" si="26"/>
        <v>0.6916800000000001</v>
      </c>
    </row>
    <row r="162" spans="1:13" ht="15.75" customHeight="1" outlineLevel="1">
      <c r="A162" s="25"/>
      <c r="B162" s="26"/>
      <c r="C162" s="17"/>
      <c r="D162" s="26"/>
      <c r="E162" s="27"/>
      <c r="F162" s="52" t="s">
        <v>1421</v>
      </c>
      <c r="G162" s="28"/>
      <c r="H162" s="28"/>
      <c r="I162" s="16"/>
      <c r="J162" s="29"/>
      <c r="K162" s="58">
        <f>SUBTOTAL(9,K156:K161)</f>
        <v>0.0241725</v>
      </c>
      <c r="L162" s="30"/>
      <c r="M162" s="29"/>
    </row>
    <row r="163" spans="1:13" ht="15.75" customHeight="1" outlineLevel="2">
      <c r="A163" s="25">
        <v>29</v>
      </c>
      <c r="B163" s="26" t="s">
        <v>670</v>
      </c>
      <c r="C163" s="17" t="s">
        <v>521</v>
      </c>
      <c r="D163" s="26" t="s">
        <v>682</v>
      </c>
      <c r="E163" s="27">
        <v>4</v>
      </c>
      <c r="F163" s="26" t="s">
        <v>1260</v>
      </c>
      <c r="G163" s="28">
        <v>0.032</v>
      </c>
      <c r="H163" s="28">
        <f>G163/E163</f>
        <v>0.008</v>
      </c>
      <c r="I163" s="16" t="s">
        <v>555</v>
      </c>
      <c r="J163" s="29">
        <v>0.77</v>
      </c>
      <c r="K163" s="58">
        <f>J163*H163</f>
        <v>0.0061600000000000005</v>
      </c>
      <c r="L163" s="30">
        <f>H163*DEMANDA!$B$9</f>
        <v>1.048</v>
      </c>
      <c r="M163" s="29">
        <f>L163*J163</f>
        <v>0.80696</v>
      </c>
    </row>
    <row r="164" spans="1:13" ht="15.75" customHeight="1" outlineLevel="2">
      <c r="A164" s="25">
        <v>14</v>
      </c>
      <c r="B164" s="26" t="s">
        <v>567</v>
      </c>
      <c r="C164" s="17" t="s">
        <v>521</v>
      </c>
      <c r="D164" s="26" t="s">
        <v>680</v>
      </c>
      <c r="E164" s="27">
        <v>2</v>
      </c>
      <c r="F164" s="26" t="s">
        <v>1260</v>
      </c>
      <c r="G164" s="28">
        <v>0.016</v>
      </c>
      <c r="H164" s="28">
        <f>G164/E164</f>
        <v>0.008</v>
      </c>
      <c r="I164" s="16" t="s">
        <v>555</v>
      </c>
      <c r="J164" s="29">
        <v>0.77</v>
      </c>
      <c r="K164" s="58">
        <f>J164*H164</f>
        <v>0.0061600000000000005</v>
      </c>
      <c r="L164" s="30">
        <f>H164*DEMANDA!$B$9</f>
        <v>1.048</v>
      </c>
      <c r="M164" s="29">
        <f>L164*J164</f>
        <v>0.80696</v>
      </c>
    </row>
    <row r="165" spans="1:13" ht="15.75" customHeight="1" outlineLevel="2">
      <c r="A165" s="25">
        <v>24</v>
      </c>
      <c r="B165" s="26" t="s">
        <v>668</v>
      </c>
      <c r="C165" s="17" t="s">
        <v>510</v>
      </c>
      <c r="D165" s="26" t="s">
        <v>681</v>
      </c>
      <c r="E165" s="27">
        <v>10</v>
      </c>
      <c r="F165" s="26" t="s">
        <v>1260</v>
      </c>
      <c r="G165" s="28">
        <v>0.25</v>
      </c>
      <c r="H165" s="28">
        <f>G165/E165</f>
        <v>0.025</v>
      </c>
      <c r="I165" s="16" t="s">
        <v>555</v>
      </c>
      <c r="J165" s="29">
        <v>0.77</v>
      </c>
      <c r="K165" s="58">
        <f>J165*H165</f>
        <v>0.019250000000000003</v>
      </c>
      <c r="L165" s="30">
        <f>H165*DEMANDA!$B$9</f>
        <v>3.2750000000000004</v>
      </c>
      <c r="M165" s="29">
        <f>L165*J165</f>
        <v>2.5217500000000004</v>
      </c>
    </row>
    <row r="166" spans="1:13" ht="15.75" customHeight="1" outlineLevel="2">
      <c r="A166" s="25">
        <v>29</v>
      </c>
      <c r="B166" s="26" t="s">
        <v>670</v>
      </c>
      <c r="C166" s="17" t="s">
        <v>510</v>
      </c>
      <c r="D166" s="26" t="s">
        <v>682</v>
      </c>
      <c r="E166" s="27">
        <v>4</v>
      </c>
      <c r="F166" s="26" t="s">
        <v>1260</v>
      </c>
      <c r="G166" s="28">
        <v>0.032</v>
      </c>
      <c r="H166" s="28">
        <f>G166/E166</f>
        <v>0.008</v>
      </c>
      <c r="I166" s="16" t="s">
        <v>555</v>
      </c>
      <c r="J166" s="29">
        <v>0.77</v>
      </c>
      <c r="K166" s="58">
        <f>J166*H166</f>
        <v>0.0061600000000000005</v>
      </c>
      <c r="L166" s="30">
        <f>H166*DEMANDA!$B$9</f>
        <v>1.048</v>
      </c>
      <c r="M166" s="29">
        <f>L166*J166</f>
        <v>0.80696</v>
      </c>
    </row>
    <row r="167" spans="1:13" ht="15.75" customHeight="1" outlineLevel="1">
      <c r="A167" s="25"/>
      <c r="B167" s="26"/>
      <c r="C167" s="17"/>
      <c r="D167" s="26"/>
      <c r="E167" s="27"/>
      <c r="F167" s="52" t="s">
        <v>1422</v>
      </c>
      <c r="G167" s="28"/>
      <c r="H167" s="28"/>
      <c r="I167" s="16"/>
      <c r="J167" s="29"/>
      <c r="K167" s="58">
        <f>SUBTOTAL(9,K163:K166)</f>
        <v>0.03773</v>
      </c>
      <c r="L167" s="30"/>
      <c r="M167" s="29"/>
    </row>
    <row r="168" spans="1:13" ht="15.75" customHeight="1" outlineLevel="2">
      <c r="A168" s="25">
        <v>7</v>
      </c>
      <c r="B168" s="26" t="s">
        <v>673</v>
      </c>
      <c r="C168" s="17" t="s">
        <v>521</v>
      </c>
      <c r="D168" s="26" t="s">
        <v>683</v>
      </c>
      <c r="E168" s="27">
        <v>4</v>
      </c>
      <c r="F168" s="26" t="s">
        <v>1261</v>
      </c>
      <c r="G168" s="28">
        <v>2</v>
      </c>
      <c r="H168" s="28">
        <f>G168/E168</f>
        <v>0.5</v>
      </c>
      <c r="I168" s="16" t="s">
        <v>632</v>
      </c>
      <c r="J168" s="29">
        <v>0.35</v>
      </c>
      <c r="K168" s="58">
        <f>J168*H168</f>
        <v>0.175</v>
      </c>
      <c r="L168" s="30">
        <f>H168*DEMANDA!$B$9</f>
        <v>65.5</v>
      </c>
      <c r="M168" s="29">
        <f>L168*J168</f>
        <v>22.924999999999997</v>
      </c>
    </row>
    <row r="169" spans="1:13" ht="15.75" customHeight="1" outlineLevel="1">
      <c r="A169" s="25"/>
      <c r="B169" s="26"/>
      <c r="C169" s="17"/>
      <c r="D169" s="26"/>
      <c r="E169" s="27"/>
      <c r="F169" s="52" t="s">
        <v>1423</v>
      </c>
      <c r="G169" s="28"/>
      <c r="H169" s="28"/>
      <c r="I169" s="16"/>
      <c r="J169" s="29"/>
      <c r="K169" s="58">
        <f>SUBTOTAL(9,K168:K168)</f>
        <v>0.175</v>
      </c>
      <c r="L169" s="30"/>
      <c r="M169" s="29"/>
    </row>
    <row r="170" spans="1:13" ht="15.75" customHeight="1" outlineLevel="2">
      <c r="A170" s="25">
        <v>22</v>
      </c>
      <c r="B170" s="26" t="s">
        <v>688</v>
      </c>
      <c r="C170" s="17" t="s">
        <v>521</v>
      </c>
      <c r="D170" s="16" t="s">
        <v>689</v>
      </c>
      <c r="E170" s="27">
        <v>2</v>
      </c>
      <c r="F170" s="26" t="s">
        <v>1262</v>
      </c>
      <c r="G170" s="28">
        <v>1</v>
      </c>
      <c r="H170" s="28">
        <f aca="true" t="shared" si="27" ref="H170:H179">G170/E170</f>
        <v>0.5</v>
      </c>
      <c r="I170" s="16" t="s">
        <v>632</v>
      </c>
      <c r="J170" s="29">
        <v>0.12</v>
      </c>
      <c r="K170" s="58">
        <f aca="true" t="shared" si="28" ref="K170:K179">J170*H170</f>
        <v>0.06</v>
      </c>
      <c r="L170" s="30">
        <f>H170*DEMANDA!$B$9</f>
        <v>65.5</v>
      </c>
      <c r="M170" s="29">
        <f aca="true" t="shared" si="29" ref="M170:M179">L170*J170</f>
        <v>7.859999999999999</v>
      </c>
    </row>
    <row r="171" spans="1:13" ht="15.75" customHeight="1" outlineLevel="2">
      <c r="A171" s="25">
        <v>7</v>
      </c>
      <c r="B171" s="26" t="s">
        <v>673</v>
      </c>
      <c r="C171" s="17" t="s">
        <v>521</v>
      </c>
      <c r="D171" s="26" t="s">
        <v>684</v>
      </c>
      <c r="E171" s="27">
        <v>4</v>
      </c>
      <c r="F171" s="26" t="s">
        <v>1262</v>
      </c>
      <c r="G171" s="28">
        <v>1</v>
      </c>
      <c r="H171" s="28">
        <f t="shared" si="27"/>
        <v>0.25</v>
      </c>
      <c r="I171" s="16" t="s">
        <v>632</v>
      </c>
      <c r="J171" s="29">
        <v>0.12</v>
      </c>
      <c r="K171" s="58">
        <f t="shared" si="28"/>
        <v>0.03</v>
      </c>
      <c r="L171" s="30">
        <f>H171*DEMANDA!$B$9</f>
        <v>32.75</v>
      </c>
      <c r="M171" s="29">
        <f t="shared" si="29"/>
        <v>3.9299999999999997</v>
      </c>
    </row>
    <row r="172" spans="1:13" ht="15.75" customHeight="1" outlineLevel="2">
      <c r="A172" s="25">
        <v>26</v>
      </c>
      <c r="B172" s="26" t="s">
        <v>692</v>
      </c>
      <c r="C172" s="17" t="s">
        <v>521</v>
      </c>
      <c r="D172" s="16" t="s">
        <v>693</v>
      </c>
      <c r="E172" s="27">
        <v>4</v>
      </c>
      <c r="F172" s="26" t="s">
        <v>1262</v>
      </c>
      <c r="G172" s="28">
        <v>1</v>
      </c>
      <c r="H172" s="28">
        <f t="shared" si="27"/>
        <v>0.25</v>
      </c>
      <c r="I172" s="16" t="s">
        <v>632</v>
      </c>
      <c r="J172" s="29">
        <v>0.12</v>
      </c>
      <c r="K172" s="58">
        <f t="shared" si="28"/>
        <v>0.03</v>
      </c>
      <c r="L172" s="30">
        <f>H172*DEMANDA!$B$9</f>
        <v>32.75</v>
      </c>
      <c r="M172" s="29">
        <f t="shared" si="29"/>
        <v>3.9299999999999997</v>
      </c>
    </row>
    <row r="173" spans="1:13" ht="15.75" customHeight="1" outlineLevel="2">
      <c r="A173" s="25">
        <v>28</v>
      </c>
      <c r="B173" s="26" t="s">
        <v>572</v>
      </c>
      <c r="C173" s="17" t="s">
        <v>521</v>
      </c>
      <c r="D173" s="26" t="s">
        <v>694</v>
      </c>
      <c r="E173" s="27">
        <v>6</v>
      </c>
      <c r="F173" s="26" t="s">
        <v>1262</v>
      </c>
      <c r="G173" s="28">
        <v>3</v>
      </c>
      <c r="H173" s="28">
        <f t="shared" si="27"/>
        <v>0.5</v>
      </c>
      <c r="I173" s="16" t="s">
        <v>632</v>
      </c>
      <c r="J173" s="29">
        <v>0.12</v>
      </c>
      <c r="K173" s="58">
        <f t="shared" si="28"/>
        <v>0.06</v>
      </c>
      <c r="L173" s="30">
        <f>H173*DEMANDA!$B$9</f>
        <v>65.5</v>
      </c>
      <c r="M173" s="29">
        <f t="shared" si="29"/>
        <v>7.859999999999999</v>
      </c>
    </row>
    <row r="174" spans="1:13" ht="15.75" customHeight="1" outlineLevel="2">
      <c r="A174" s="25">
        <v>25</v>
      </c>
      <c r="B174" s="26" t="s">
        <v>690</v>
      </c>
      <c r="C174" s="17" t="s">
        <v>521</v>
      </c>
      <c r="D174" s="26" t="s">
        <v>691</v>
      </c>
      <c r="E174" s="27">
        <v>4</v>
      </c>
      <c r="F174" s="26" t="s">
        <v>1262</v>
      </c>
      <c r="G174" s="28">
        <v>0.75</v>
      </c>
      <c r="H174" s="28">
        <f t="shared" si="27"/>
        <v>0.1875</v>
      </c>
      <c r="I174" s="16" t="s">
        <v>632</v>
      </c>
      <c r="J174" s="29">
        <v>0.12</v>
      </c>
      <c r="K174" s="58">
        <f t="shared" si="28"/>
        <v>0.0225</v>
      </c>
      <c r="L174" s="30">
        <f>H174*DEMANDA!$B$9</f>
        <v>24.5625</v>
      </c>
      <c r="M174" s="29">
        <f t="shared" si="29"/>
        <v>2.9475</v>
      </c>
    </row>
    <row r="175" spans="1:13" ht="15.75" customHeight="1" outlineLevel="2">
      <c r="A175" s="25">
        <v>8</v>
      </c>
      <c r="B175" s="26" t="s">
        <v>685</v>
      </c>
      <c r="C175" s="17" t="s">
        <v>521</v>
      </c>
      <c r="D175" s="26" t="s">
        <v>686</v>
      </c>
      <c r="E175" s="27">
        <v>4</v>
      </c>
      <c r="F175" s="26" t="s">
        <v>1262</v>
      </c>
      <c r="G175" s="28">
        <v>1</v>
      </c>
      <c r="H175" s="28">
        <f t="shared" si="27"/>
        <v>0.25</v>
      </c>
      <c r="I175" s="16" t="s">
        <v>632</v>
      </c>
      <c r="J175" s="29">
        <v>0.12</v>
      </c>
      <c r="K175" s="58">
        <f t="shared" si="28"/>
        <v>0.03</v>
      </c>
      <c r="L175" s="30">
        <f>H175*DEMANDA!$B$9</f>
        <v>32.75</v>
      </c>
      <c r="M175" s="29">
        <f t="shared" si="29"/>
        <v>3.9299999999999997</v>
      </c>
    </row>
    <row r="176" spans="1:13" ht="15.75" customHeight="1" outlineLevel="2">
      <c r="A176" s="25">
        <v>29</v>
      </c>
      <c r="B176" s="26" t="s">
        <v>670</v>
      </c>
      <c r="C176" s="17" t="s">
        <v>521</v>
      </c>
      <c r="D176" s="26" t="s">
        <v>695</v>
      </c>
      <c r="E176" s="27">
        <v>4</v>
      </c>
      <c r="F176" s="26" t="s">
        <v>1262</v>
      </c>
      <c r="G176" s="28">
        <v>1</v>
      </c>
      <c r="H176" s="28">
        <f t="shared" si="27"/>
        <v>0.25</v>
      </c>
      <c r="I176" s="16" t="s">
        <v>632</v>
      </c>
      <c r="J176" s="29">
        <v>0.12</v>
      </c>
      <c r="K176" s="58">
        <f t="shared" si="28"/>
        <v>0.03</v>
      </c>
      <c r="L176" s="30">
        <f>H176*DEMANDA!$B$9</f>
        <v>32.75</v>
      </c>
      <c r="M176" s="29">
        <f t="shared" si="29"/>
        <v>3.9299999999999997</v>
      </c>
    </row>
    <row r="177" spans="1:13" ht="15.75" customHeight="1" outlineLevel="2">
      <c r="A177" s="25">
        <v>14</v>
      </c>
      <c r="B177" s="26" t="s">
        <v>567</v>
      </c>
      <c r="C177" s="17" t="s">
        <v>521</v>
      </c>
      <c r="D177" s="26" t="s">
        <v>687</v>
      </c>
      <c r="E177" s="27">
        <v>2</v>
      </c>
      <c r="F177" s="26" t="s">
        <v>1262</v>
      </c>
      <c r="G177" s="28">
        <v>1</v>
      </c>
      <c r="H177" s="28">
        <f t="shared" si="27"/>
        <v>0.5</v>
      </c>
      <c r="I177" s="16" t="s">
        <v>632</v>
      </c>
      <c r="J177" s="29">
        <v>0.12</v>
      </c>
      <c r="K177" s="58">
        <f t="shared" si="28"/>
        <v>0.06</v>
      </c>
      <c r="L177" s="30">
        <f>H177*DEMANDA!$B$9</f>
        <v>65.5</v>
      </c>
      <c r="M177" s="29">
        <f t="shared" si="29"/>
        <v>7.859999999999999</v>
      </c>
    </row>
    <row r="178" spans="1:13" ht="15.75" customHeight="1" outlineLevel="2">
      <c r="A178" s="25">
        <v>29</v>
      </c>
      <c r="B178" s="26" t="s">
        <v>670</v>
      </c>
      <c r="C178" s="17" t="s">
        <v>510</v>
      </c>
      <c r="D178" s="26" t="s">
        <v>695</v>
      </c>
      <c r="E178" s="27">
        <v>4</v>
      </c>
      <c r="F178" s="26" t="s">
        <v>1262</v>
      </c>
      <c r="G178" s="28">
        <v>1</v>
      </c>
      <c r="H178" s="28">
        <f t="shared" si="27"/>
        <v>0.25</v>
      </c>
      <c r="I178" s="16" t="s">
        <v>632</v>
      </c>
      <c r="J178" s="29">
        <v>0.12</v>
      </c>
      <c r="K178" s="58">
        <f t="shared" si="28"/>
        <v>0.03</v>
      </c>
      <c r="L178" s="30">
        <f>H178*DEMANDA!$B$9</f>
        <v>32.75</v>
      </c>
      <c r="M178" s="29">
        <f t="shared" si="29"/>
        <v>3.9299999999999997</v>
      </c>
    </row>
    <row r="179" spans="1:13" ht="15.75" customHeight="1" outlineLevel="2">
      <c r="A179" s="25">
        <v>30</v>
      </c>
      <c r="B179" s="26" t="s">
        <v>598</v>
      </c>
      <c r="C179" s="17" t="s">
        <v>510</v>
      </c>
      <c r="D179" s="26" t="s">
        <v>696</v>
      </c>
      <c r="E179" s="27">
        <v>8</v>
      </c>
      <c r="F179" s="26" t="s">
        <v>1262</v>
      </c>
      <c r="G179" s="28">
        <v>3</v>
      </c>
      <c r="H179" s="28">
        <f t="shared" si="27"/>
        <v>0.375</v>
      </c>
      <c r="I179" s="16" t="s">
        <v>632</v>
      </c>
      <c r="J179" s="29">
        <v>0.12</v>
      </c>
      <c r="K179" s="58">
        <f t="shared" si="28"/>
        <v>0.045</v>
      </c>
      <c r="L179" s="30">
        <f>H179*DEMANDA!$B$9</f>
        <v>49.125</v>
      </c>
      <c r="M179" s="29">
        <f t="shared" si="29"/>
        <v>5.895</v>
      </c>
    </row>
    <row r="180" spans="1:13" ht="15.75" customHeight="1" outlineLevel="1">
      <c r="A180" s="25"/>
      <c r="B180" s="26"/>
      <c r="C180" s="17"/>
      <c r="D180" s="26"/>
      <c r="E180" s="27"/>
      <c r="F180" s="52" t="s">
        <v>1424</v>
      </c>
      <c r="G180" s="28"/>
      <c r="H180" s="28"/>
      <c r="I180" s="16"/>
      <c r="J180" s="29"/>
      <c r="K180" s="58">
        <f>SUBTOTAL(9,K170:K179)</f>
        <v>0.3974999999999999</v>
      </c>
      <c r="L180" s="30"/>
      <c r="M180" s="29"/>
    </row>
    <row r="181" spans="1:13" ht="15.75" customHeight="1" outlineLevel="2">
      <c r="A181" s="25">
        <v>16</v>
      </c>
      <c r="B181" s="26" t="s">
        <v>541</v>
      </c>
      <c r="C181" s="17" t="s">
        <v>514</v>
      </c>
      <c r="D181" s="26" t="s">
        <v>697</v>
      </c>
      <c r="E181" s="27">
        <v>4</v>
      </c>
      <c r="F181" s="26" t="s">
        <v>226</v>
      </c>
      <c r="G181" s="28">
        <v>0.6</v>
      </c>
      <c r="H181" s="28">
        <f>G181/E181</f>
        <v>0.15</v>
      </c>
      <c r="I181" s="16" t="s">
        <v>555</v>
      </c>
      <c r="J181" s="29">
        <v>1.02</v>
      </c>
      <c r="K181" s="58">
        <f>J181*H181</f>
        <v>0.153</v>
      </c>
      <c r="L181" s="30">
        <f>H181*DEMANDA!$B$9</f>
        <v>19.65</v>
      </c>
      <c r="M181" s="29">
        <f>L181*J181</f>
        <v>20.043</v>
      </c>
    </row>
    <row r="182" spans="1:13" ht="15.75" customHeight="1" outlineLevel="2">
      <c r="A182" s="25">
        <v>29</v>
      </c>
      <c r="B182" s="26" t="s">
        <v>551</v>
      </c>
      <c r="C182" s="17" t="s">
        <v>514</v>
      </c>
      <c r="D182" s="26" t="s">
        <v>698</v>
      </c>
      <c r="E182" s="27">
        <v>4</v>
      </c>
      <c r="F182" s="26" t="s">
        <v>226</v>
      </c>
      <c r="G182" s="28">
        <v>0.3</v>
      </c>
      <c r="H182" s="28">
        <f>G182/E182</f>
        <v>0.075</v>
      </c>
      <c r="I182" s="16" t="s">
        <v>555</v>
      </c>
      <c r="J182" s="29">
        <v>1.02</v>
      </c>
      <c r="K182" s="58">
        <f>J182*H182</f>
        <v>0.0765</v>
      </c>
      <c r="L182" s="30">
        <f>H182*DEMANDA!$B$9</f>
        <v>9.825</v>
      </c>
      <c r="M182" s="29">
        <f>L182*J182</f>
        <v>10.0215</v>
      </c>
    </row>
    <row r="183" spans="1:13" ht="15.75" customHeight="1" outlineLevel="1">
      <c r="A183" s="25"/>
      <c r="B183" s="26"/>
      <c r="C183" s="17"/>
      <c r="D183" s="26"/>
      <c r="E183" s="27"/>
      <c r="F183" s="52" t="s">
        <v>227</v>
      </c>
      <c r="G183" s="28"/>
      <c r="H183" s="28"/>
      <c r="I183" s="16"/>
      <c r="J183" s="29"/>
      <c r="K183" s="58">
        <f>SUBTOTAL(9,K181:K182)</f>
        <v>0.22949999999999998</v>
      </c>
      <c r="L183" s="30"/>
      <c r="M183" s="29"/>
    </row>
    <row r="184" spans="1:13" ht="15.75" customHeight="1" outlineLevel="2">
      <c r="A184" s="25">
        <v>24</v>
      </c>
      <c r="B184" s="26" t="s">
        <v>668</v>
      </c>
      <c r="C184" s="17" t="s">
        <v>510</v>
      </c>
      <c r="D184" s="26" t="s">
        <v>699</v>
      </c>
      <c r="E184" s="27">
        <v>10</v>
      </c>
      <c r="F184" s="26" t="s">
        <v>1263</v>
      </c>
      <c r="G184" s="28">
        <v>0.0025</v>
      </c>
      <c r="H184" s="28">
        <f>G184/E184</f>
        <v>0.00025</v>
      </c>
      <c r="I184" s="16" t="s">
        <v>555</v>
      </c>
      <c r="J184" s="29">
        <v>0.05</v>
      </c>
      <c r="K184" s="58">
        <f>J184*H184</f>
        <v>1.25E-05</v>
      </c>
      <c r="L184" s="30">
        <f>H184*DEMANDA!$B$9</f>
        <v>0.03275</v>
      </c>
      <c r="M184" s="29">
        <f>L184*J184</f>
        <v>0.0016375</v>
      </c>
    </row>
    <row r="185" spans="1:13" ht="15.75" customHeight="1" outlineLevel="1">
      <c r="A185" s="25"/>
      <c r="B185" s="26"/>
      <c r="C185" s="17"/>
      <c r="D185" s="26"/>
      <c r="E185" s="27"/>
      <c r="F185" s="52" t="s">
        <v>1425</v>
      </c>
      <c r="G185" s="28"/>
      <c r="H185" s="28"/>
      <c r="I185" s="16"/>
      <c r="J185" s="29"/>
      <c r="K185" s="58">
        <f>SUBTOTAL(9,K184:K184)</f>
        <v>1.25E-05</v>
      </c>
      <c r="L185" s="30"/>
      <c r="M185" s="29"/>
    </row>
    <row r="186" spans="1:13" ht="15.75" customHeight="1" outlineLevel="2">
      <c r="A186" s="25">
        <v>2</v>
      </c>
      <c r="B186" s="26" t="s">
        <v>700</v>
      </c>
      <c r="C186" s="17" t="s">
        <v>510</v>
      </c>
      <c r="D186" s="26" t="s">
        <v>701</v>
      </c>
      <c r="E186" s="27">
        <v>4</v>
      </c>
      <c r="F186" s="26" t="s">
        <v>1264</v>
      </c>
      <c r="G186" s="28">
        <v>0.04375</v>
      </c>
      <c r="H186" s="28">
        <f>G186/E186</f>
        <v>0.0109375</v>
      </c>
      <c r="I186" s="16" t="s">
        <v>555</v>
      </c>
      <c r="J186" s="29">
        <v>0.52</v>
      </c>
      <c r="K186" s="58">
        <f>J186*H186</f>
        <v>0.0056875</v>
      </c>
      <c r="L186" s="30">
        <f>H186*DEMANDA!$B$9</f>
        <v>1.4328124999999998</v>
      </c>
      <c r="M186" s="29">
        <f>L186*J186</f>
        <v>0.7450625</v>
      </c>
    </row>
    <row r="187" spans="1:13" ht="15.75" customHeight="1" outlineLevel="2">
      <c r="A187" s="25">
        <v>12</v>
      </c>
      <c r="B187" s="26" t="s">
        <v>537</v>
      </c>
      <c r="C187" s="17" t="s">
        <v>514</v>
      </c>
      <c r="D187" s="26" t="s">
        <v>702</v>
      </c>
      <c r="E187" s="27">
        <v>4</v>
      </c>
      <c r="F187" s="26" t="s">
        <v>1264</v>
      </c>
      <c r="G187" s="28">
        <v>0.0875</v>
      </c>
      <c r="H187" s="28">
        <f>G187/E187</f>
        <v>0.021875</v>
      </c>
      <c r="I187" s="16" t="s">
        <v>555</v>
      </c>
      <c r="J187" s="29">
        <v>0.52</v>
      </c>
      <c r="K187" s="58">
        <f>J187*H187</f>
        <v>0.011375</v>
      </c>
      <c r="L187" s="30">
        <f>H187*DEMANDA!$B$9</f>
        <v>2.8656249999999996</v>
      </c>
      <c r="M187" s="29">
        <f>L187*J187</f>
        <v>1.490125</v>
      </c>
    </row>
    <row r="188" spans="1:13" ht="15.75" customHeight="1" outlineLevel="1">
      <c r="A188" s="25"/>
      <c r="B188" s="26"/>
      <c r="C188" s="17"/>
      <c r="D188" s="26"/>
      <c r="E188" s="27"/>
      <c r="F188" s="52" t="s">
        <v>1426</v>
      </c>
      <c r="G188" s="28"/>
      <c r="H188" s="28"/>
      <c r="I188" s="16"/>
      <c r="J188" s="29"/>
      <c r="K188" s="58">
        <f>SUBTOTAL(9,K186:K187)</f>
        <v>0.0170625</v>
      </c>
      <c r="L188" s="30"/>
      <c r="M188" s="29"/>
    </row>
    <row r="189" spans="1:22" ht="15.75" customHeight="1" outlineLevel="2">
      <c r="A189" s="25">
        <v>4</v>
      </c>
      <c r="B189" s="26" t="s">
        <v>573</v>
      </c>
      <c r="C189" s="17" t="s">
        <v>514</v>
      </c>
      <c r="D189" s="26" t="s">
        <v>703</v>
      </c>
      <c r="E189" s="27">
        <v>4</v>
      </c>
      <c r="F189" s="26" t="s">
        <v>1265</v>
      </c>
      <c r="G189" s="28">
        <v>0.05</v>
      </c>
      <c r="H189" s="28">
        <f>G189/E189</f>
        <v>0.0125</v>
      </c>
      <c r="I189" s="16" t="s">
        <v>555</v>
      </c>
      <c r="J189" s="29">
        <v>5.96</v>
      </c>
      <c r="K189" s="58">
        <f>J189*H189</f>
        <v>0.0745</v>
      </c>
      <c r="L189" s="30">
        <f>H189*DEMANDA!$B$9</f>
        <v>1.6375000000000002</v>
      </c>
      <c r="M189" s="29">
        <f>L189*J189</f>
        <v>9.759500000000001</v>
      </c>
      <c r="V189" s="41"/>
    </row>
    <row r="190" spans="1:22" ht="15.75" customHeight="1" outlineLevel="2">
      <c r="A190" s="32">
        <v>6</v>
      </c>
      <c r="B190" s="33" t="s">
        <v>527</v>
      </c>
      <c r="C190" s="34" t="s">
        <v>514</v>
      </c>
      <c r="D190" s="33" t="s">
        <v>704</v>
      </c>
      <c r="E190" s="35">
        <v>12</v>
      </c>
      <c r="F190" s="26" t="s">
        <v>1265</v>
      </c>
      <c r="G190" s="36">
        <v>0.1</v>
      </c>
      <c r="H190" s="28">
        <f>G190/E190</f>
        <v>0.008333333333333333</v>
      </c>
      <c r="I190" s="16" t="s">
        <v>555</v>
      </c>
      <c r="J190" s="29">
        <v>5.96</v>
      </c>
      <c r="K190" s="58">
        <f>J190*H190</f>
        <v>0.049666666666666665</v>
      </c>
      <c r="L190" s="30">
        <f>H190*DEMANDA!$B$9</f>
        <v>1.0916666666666666</v>
      </c>
      <c r="M190" s="29">
        <f>L190*J190</f>
        <v>6.506333333333333</v>
      </c>
      <c r="V190" s="41"/>
    </row>
    <row r="191" spans="1:22" ht="15.75" customHeight="1" outlineLevel="2">
      <c r="A191" s="25">
        <v>10</v>
      </c>
      <c r="B191" s="26" t="s">
        <v>533</v>
      </c>
      <c r="C191" s="17" t="s">
        <v>514</v>
      </c>
      <c r="D191" s="26" t="s">
        <v>705</v>
      </c>
      <c r="E191" s="27">
        <v>4</v>
      </c>
      <c r="F191" s="26" t="s">
        <v>1265</v>
      </c>
      <c r="G191" s="28">
        <v>0.2</v>
      </c>
      <c r="H191" s="28">
        <f>G191/E191</f>
        <v>0.05</v>
      </c>
      <c r="I191" s="16" t="s">
        <v>555</v>
      </c>
      <c r="J191" s="29">
        <v>5.96</v>
      </c>
      <c r="K191" s="58">
        <f>J191*H191</f>
        <v>0.298</v>
      </c>
      <c r="L191" s="30">
        <f>H191*DEMANDA!$B$9</f>
        <v>6.550000000000001</v>
      </c>
      <c r="M191" s="29">
        <f>L191*J191</f>
        <v>39.038000000000004</v>
      </c>
      <c r="V191" s="41"/>
    </row>
    <row r="192" spans="1:13" ht="15.75" customHeight="1" outlineLevel="2">
      <c r="A192" s="25">
        <v>13</v>
      </c>
      <c r="B192" s="26" t="s">
        <v>655</v>
      </c>
      <c r="C192" s="17" t="s">
        <v>514</v>
      </c>
      <c r="D192" s="26" t="s">
        <v>706</v>
      </c>
      <c r="E192" s="27">
        <v>4</v>
      </c>
      <c r="F192" s="26" t="s">
        <v>1265</v>
      </c>
      <c r="G192" s="28">
        <v>0.4</v>
      </c>
      <c r="H192" s="28">
        <f>G192/E192</f>
        <v>0.1</v>
      </c>
      <c r="I192" s="16" t="s">
        <v>555</v>
      </c>
      <c r="J192" s="29">
        <v>5.96</v>
      </c>
      <c r="K192" s="58">
        <f>J192*H192</f>
        <v>0.596</v>
      </c>
      <c r="L192" s="30">
        <f>H192*DEMANDA!$B$9</f>
        <v>13.100000000000001</v>
      </c>
      <c r="M192" s="29">
        <f>L192*J192</f>
        <v>78.07600000000001</v>
      </c>
    </row>
    <row r="193" spans="1:22" s="41" customFormat="1" ht="15.75" customHeight="1" outlineLevel="2">
      <c r="A193" s="25">
        <v>27</v>
      </c>
      <c r="B193" s="26" t="s">
        <v>549</v>
      </c>
      <c r="C193" s="17" t="s">
        <v>514</v>
      </c>
      <c r="D193" s="26" t="s">
        <v>707</v>
      </c>
      <c r="E193" s="27">
        <v>4</v>
      </c>
      <c r="F193" s="26" t="s">
        <v>1265</v>
      </c>
      <c r="G193" s="28">
        <v>0.15</v>
      </c>
      <c r="H193" s="28">
        <f>G193/E193</f>
        <v>0.0375</v>
      </c>
      <c r="I193" s="16" t="s">
        <v>555</v>
      </c>
      <c r="J193" s="29">
        <v>5.96</v>
      </c>
      <c r="K193" s="58">
        <f>J193*H193</f>
        <v>0.2235</v>
      </c>
      <c r="L193" s="30">
        <f>H193*DEMANDA!$B$9</f>
        <v>4.9125</v>
      </c>
      <c r="M193" s="29">
        <f>L193*J193</f>
        <v>29.278499999999998</v>
      </c>
      <c r="O193" s="31"/>
      <c r="P193" s="31"/>
      <c r="Q193" s="31"/>
      <c r="R193" s="31"/>
      <c r="S193" s="31"/>
      <c r="T193" s="31"/>
      <c r="U193" s="31"/>
      <c r="V193" s="31"/>
    </row>
    <row r="194" spans="1:22" s="41" customFormat="1" ht="15.75" customHeight="1" outlineLevel="1">
      <c r="A194" s="25"/>
      <c r="B194" s="26"/>
      <c r="C194" s="17"/>
      <c r="D194" s="26"/>
      <c r="E194" s="27"/>
      <c r="F194" s="52" t="s">
        <v>1427</v>
      </c>
      <c r="G194" s="28"/>
      <c r="H194" s="28"/>
      <c r="I194" s="16"/>
      <c r="J194" s="29"/>
      <c r="K194" s="58">
        <f>SUBTOTAL(9,K189:K193)</f>
        <v>1.2416666666666667</v>
      </c>
      <c r="L194" s="30"/>
      <c r="M194" s="29"/>
      <c r="O194" s="31"/>
      <c r="P194" s="31"/>
      <c r="Q194" s="31"/>
      <c r="R194" s="31"/>
      <c r="S194" s="31"/>
      <c r="T194" s="31"/>
      <c r="U194" s="31"/>
      <c r="V194" s="31"/>
    </row>
    <row r="195" spans="1:13" s="41" customFormat="1" ht="15.75" customHeight="1" outlineLevel="2">
      <c r="A195" s="32">
        <v>8</v>
      </c>
      <c r="B195" s="33" t="s">
        <v>634</v>
      </c>
      <c r="C195" s="34" t="s">
        <v>514</v>
      </c>
      <c r="D195" s="33" t="s">
        <v>708</v>
      </c>
      <c r="E195" s="35">
        <v>4</v>
      </c>
      <c r="F195" s="26" t="s">
        <v>1266</v>
      </c>
      <c r="G195" s="36">
        <v>0.002</v>
      </c>
      <c r="H195" s="28">
        <f>G195/E195</f>
        <v>0.0005</v>
      </c>
      <c r="I195" s="39" t="s">
        <v>555</v>
      </c>
      <c r="J195" s="40">
        <v>4.45</v>
      </c>
      <c r="K195" s="58">
        <f>J195*H195</f>
        <v>0.002225</v>
      </c>
      <c r="L195" s="30">
        <f>H195*DEMANDA!$B$9</f>
        <v>0.0655</v>
      </c>
      <c r="M195" s="29">
        <f>L195*J195</f>
        <v>0.29147500000000004</v>
      </c>
    </row>
    <row r="196" spans="1:13" s="41" customFormat="1" ht="15.75" customHeight="1" outlineLevel="1">
      <c r="A196" s="32"/>
      <c r="B196" s="33"/>
      <c r="C196" s="34"/>
      <c r="D196" s="33"/>
      <c r="E196" s="35"/>
      <c r="F196" s="52" t="s">
        <v>1428</v>
      </c>
      <c r="G196" s="36"/>
      <c r="H196" s="28"/>
      <c r="I196" s="39"/>
      <c r="J196" s="40"/>
      <c r="K196" s="58">
        <f>SUBTOTAL(9,K195:K195)</f>
        <v>0.002225</v>
      </c>
      <c r="L196" s="30"/>
      <c r="M196" s="29"/>
    </row>
    <row r="197" spans="1:13" s="41" customFormat="1" ht="15.75" customHeight="1" outlineLevel="2">
      <c r="A197" s="25">
        <v>1</v>
      </c>
      <c r="B197" s="26" t="s">
        <v>518</v>
      </c>
      <c r="C197" s="17" t="s">
        <v>514</v>
      </c>
      <c r="D197" s="26" t="s">
        <v>709</v>
      </c>
      <c r="E197" s="27">
        <v>4</v>
      </c>
      <c r="F197" s="26" t="s">
        <v>1267</v>
      </c>
      <c r="G197" s="28">
        <v>0.454</v>
      </c>
      <c r="H197" s="28">
        <f aca="true" t="shared" si="30" ref="H197:H203">G197/E197</f>
        <v>0.1135</v>
      </c>
      <c r="I197" s="16" t="s">
        <v>555</v>
      </c>
      <c r="J197" s="29">
        <v>12.61</v>
      </c>
      <c r="K197" s="58">
        <f aca="true" t="shared" si="31" ref="K197:K203">J197*H197</f>
        <v>1.431235</v>
      </c>
      <c r="L197" s="30">
        <f>H197*DEMANDA!$B$9</f>
        <v>14.868500000000001</v>
      </c>
      <c r="M197" s="29">
        <f aca="true" t="shared" si="32" ref="M197:M203">L197*J197</f>
        <v>187.491785</v>
      </c>
    </row>
    <row r="198" spans="1:22" ht="15.75" customHeight="1" outlineLevel="2">
      <c r="A198" s="25">
        <v>4</v>
      </c>
      <c r="B198" s="26" t="s">
        <v>573</v>
      </c>
      <c r="C198" s="17" t="s">
        <v>514</v>
      </c>
      <c r="D198" s="26" t="s">
        <v>710</v>
      </c>
      <c r="E198" s="27">
        <v>4</v>
      </c>
      <c r="F198" s="26" t="s">
        <v>1267</v>
      </c>
      <c r="G198" s="28">
        <v>0.39</v>
      </c>
      <c r="H198" s="28">
        <f t="shared" si="30"/>
        <v>0.0975</v>
      </c>
      <c r="I198" s="16" t="s">
        <v>555</v>
      </c>
      <c r="J198" s="29">
        <v>12.61</v>
      </c>
      <c r="K198" s="58">
        <f t="shared" si="31"/>
        <v>1.229475</v>
      </c>
      <c r="L198" s="30">
        <f>H198*DEMANDA!$B$9</f>
        <v>12.7725</v>
      </c>
      <c r="M198" s="29">
        <f t="shared" si="32"/>
        <v>161.061225</v>
      </c>
      <c r="O198" s="41"/>
      <c r="P198" s="41"/>
      <c r="Q198" s="41"/>
      <c r="R198" s="41"/>
      <c r="S198" s="41"/>
      <c r="T198" s="41"/>
      <c r="U198" s="41"/>
      <c r="V198" s="41"/>
    </row>
    <row r="199" spans="1:22" ht="15.75" customHeight="1" outlineLevel="2">
      <c r="A199" s="25">
        <v>7</v>
      </c>
      <c r="B199" s="26" t="s">
        <v>563</v>
      </c>
      <c r="C199" s="17" t="s">
        <v>514</v>
      </c>
      <c r="D199" s="26" t="s">
        <v>711</v>
      </c>
      <c r="E199" s="27">
        <v>4</v>
      </c>
      <c r="F199" s="26" t="s">
        <v>1267</v>
      </c>
      <c r="G199" s="28">
        <v>0.454</v>
      </c>
      <c r="H199" s="28">
        <f t="shared" si="30"/>
        <v>0.1135</v>
      </c>
      <c r="I199" s="16" t="s">
        <v>555</v>
      </c>
      <c r="J199" s="29">
        <v>12.61</v>
      </c>
      <c r="K199" s="58">
        <f t="shared" si="31"/>
        <v>1.431235</v>
      </c>
      <c r="L199" s="30">
        <f>H199*DEMANDA!$B$9</f>
        <v>14.868500000000001</v>
      </c>
      <c r="M199" s="29">
        <f t="shared" si="32"/>
        <v>187.491785</v>
      </c>
      <c r="V199" s="41"/>
    </row>
    <row r="200" spans="1:22" s="41" customFormat="1" ht="15.75" customHeight="1" outlineLevel="2">
      <c r="A200" s="25">
        <v>12</v>
      </c>
      <c r="B200" s="26" t="s">
        <v>537</v>
      </c>
      <c r="C200" s="17" t="s">
        <v>514</v>
      </c>
      <c r="D200" s="26" t="s">
        <v>712</v>
      </c>
      <c r="E200" s="27">
        <v>4</v>
      </c>
      <c r="F200" s="26" t="s">
        <v>1267</v>
      </c>
      <c r="G200" s="28">
        <v>0.39</v>
      </c>
      <c r="H200" s="28">
        <f t="shared" si="30"/>
        <v>0.0975</v>
      </c>
      <c r="I200" s="16" t="s">
        <v>555</v>
      </c>
      <c r="J200" s="29">
        <v>12.61</v>
      </c>
      <c r="K200" s="58">
        <f t="shared" si="31"/>
        <v>1.229475</v>
      </c>
      <c r="L200" s="30">
        <f>H200*DEMANDA!$B$9</f>
        <v>12.7725</v>
      </c>
      <c r="M200" s="29">
        <f t="shared" si="32"/>
        <v>161.061225</v>
      </c>
      <c r="O200" s="31"/>
      <c r="P200" s="31"/>
      <c r="Q200" s="31"/>
      <c r="R200" s="31"/>
      <c r="S200" s="31"/>
      <c r="T200" s="31"/>
      <c r="U200" s="31"/>
      <c r="V200" s="31"/>
    </row>
    <row r="201" spans="1:22" s="41" customFormat="1" ht="15.75" customHeight="1" outlineLevel="2">
      <c r="A201" s="25">
        <v>18</v>
      </c>
      <c r="B201" s="26" t="s">
        <v>626</v>
      </c>
      <c r="C201" s="17" t="s">
        <v>514</v>
      </c>
      <c r="D201" s="26" t="s">
        <v>713</v>
      </c>
      <c r="E201" s="27">
        <v>4</v>
      </c>
      <c r="F201" s="26" t="s">
        <v>1267</v>
      </c>
      <c r="G201" s="28">
        <v>0.39</v>
      </c>
      <c r="H201" s="28">
        <f t="shared" si="30"/>
        <v>0.0975</v>
      </c>
      <c r="I201" s="16" t="s">
        <v>555</v>
      </c>
      <c r="J201" s="29">
        <v>12.61</v>
      </c>
      <c r="K201" s="58">
        <f t="shared" si="31"/>
        <v>1.229475</v>
      </c>
      <c r="L201" s="30">
        <f>H201*DEMANDA!$B$9</f>
        <v>12.7725</v>
      </c>
      <c r="M201" s="29">
        <f t="shared" si="32"/>
        <v>161.061225</v>
      </c>
      <c r="V201" s="31"/>
    </row>
    <row r="202" spans="1:22" s="41" customFormat="1" ht="15.75" customHeight="1" outlineLevel="2">
      <c r="A202" s="25">
        <v>25</v>
      </c>
      <c r="B202" s="26" t="s">
        <v>607</v>
      </c>
      <c r="C202" s="17" t="s">
        <v>514</v>
      </c>
      <c r="D202" s="26" t="s">
        <v>714</v>
      </c>
      <c r="E202" s="27">
        <v>4</v>
      </c>
      <c r="F202" s="26" t="s">
        <v>1267</v>
      </c>
      <c r="G202" s="28">
        <f>0.78</f>
        <v>0.78</v>
      </c>
      <c r="H202" s="28">
        <f t="shared" si="30"/>
        <v>0.195</v>
      </c>
      <c r="I202" s="16" t="s">
        <v>555</v>
      </c>
      <c r="J202" s="29">
        <v>12.61</v>
      </c>
      <c r="K202" s="58">
        <f t="shared" si="31"/>
        <v>2.45895</v>
      </c>
      <c r="L202" s="30">
        <f>H202*DEMANDA!$B$9</f>
        <v>25.545</v>
      </c>
      <c r="M202" s="29">
        <f t="shared" si="32"/>
        <v>322.12245</v>
      </c>
      <c r="V202" s="31"/>
    </row>
    <row r="203" spans="1:22" s="41" customFormat="1" ht="15.75" customHeight="1" outlineLevel="2">
      <c r="A203" s="25">
        <v>27</v>
      </c>
      <c r="B203" s="26" t="s">
        <v>549</v>
      </c>
      <c r="C203" s="17" t="s">
        <v>514</v>
      </c>
      <c r="D203" s="26" t="s">
        <v>715</v>
      </c>
      <c r="E203" s="27">
        <v>4</v>
      </c>
      <c r="F203" s="26" t="s">
        <v>1267</v>
      </c>
      <c r="G203" s="28">
        <v>0.454</v>
      </c>
      <c r="H203" s="28">
        <f t="shared" si="30"/>
        <v>0.1135</v>
      </c>
      <c r="I203" s="16" t="s">
        <v>555</v>
      </c>
      <c r="J203" s="29">
        <v>12.61</v>
      </c>
      <c r="K203" s="58">
        <f t="shared" si="31"/>
        <v>1.431235</v>
      </c>
      <c r="L203" s="30">
        <f>H203*DEMANDA!$B$9</f>
        <v>14.868500000000001</v>
      </c>
      <c r="M203" s="29">
        <f t="shared" si="32"/>
        <v>187.491785</v>
      </c>
      <c r="V203" s="31"/>
    </row>
    <row r="204" spans="1:22" s="41" customFormat="1" ht="15.75" customHeight="1" outlineLevel="1">
      <c r="A204" s="25"/>
      <c r="B204" s="26"/>
      <c r="C204" s="17"/>
      <c r="D204" s="26"/>
      <c r="E204" s="27"/>
      <c r="F204" s="52" t="s">
        <v>1429</v>
      </c>
      <c r="G204" s="28"/>
      <c r="H204" s="28"/>
      <c r="I204" s="16"/>
      <c r="J204" s="29"/>
      <c r="K204" s="58">
        <f>SUBTOTAL(9,K197:K203)</f>
        <v>10.44108</v>
      </c>
      <c r="L204" s="30"/>
      <c r="M204" s="29"/>
      <c r="V204" s="31"/>
    </row>
    <row r="205" spans="1:21" ht="15.75" customHeight="1" outlineLevel="2">
      <c r="A205" s="32">
        <v>8</v>
      </c>
      <c r="B205" s="33" t="s">
        <v>634</v>
      </c>
      <c r="C205" s="34" t="s">
        <v>514</v>
      </c>
      <c r="D205" s="33" t="s">
        <v>716</v>
      </c>
      <c r="E205" s="35">
        <v>4</v>
      </c>
      <c r="F205" s="33" t="s">
        <v>1268</v>
      </c>
      <c r="G205" s="36">
        <v>0.5</v>
      </c>
      <c r="H205" s="28">
        <f>G205/E205</f>
        <v>0.125</v>
      </c>
      <c r="I205" s="39" t="s">
        <v>555</v>
      </c>
      <c r="J205" s="42">
        <v>0.68</v>
      </c>
      <c r="K205" s="58">
        <f>J205*H205</f>
        <v>0.085</v>
      </c>
      <c r="L205" s="30">
        <f>H205*DEMANDA!$B$9</f>
        <v>16.375</v>
      </c>
      <c r="M205" s="29">
        <f>L205*J205</f>
        <v>11.135000000000002</v>
      </c>
      <c r="O205" s="41"/>
      <c r="P205" s="41"/>
      <c r="Q205" s="41"/>
      <c r="R205" s="41"/>
      <c r="S205" s="41"/>
      <c r="T205" s="41"/>
      <c r="U205" s="41"/>
    </row>
    <row r="206" spans="1:21" ht="15.75" customHeight="1" outlineLevel="1">
      <c r="A206" s="32"/>
      <c r="B206" s="33"/>
      <c r="C206" s="34"/>
      <c r="D206" s="33"/>
      <c r="E206" s="35"/>
      <c r="F206" s="43" t="s">
        <v>1430</v>
      </c>
      <c r="G206" s="36"/>
      <c r="H206" s="28"/>
      <c r="I206" s="39"/>
      <c r="J206" s="42"/>
      <c r="K206" s="58">
        <f>SUBTOTAL(9,K205:K205)</f>
        <v>0.085</v>
      </c>
      <c r="L206" s="30"/>
      <c r="M206" s="29"/>
      <c r="O206" s="41"/>
      <c r="P206" s="41"/>
      <c r="Q206" s="41"/>
      <c r="R206" s="41"/>
      <c r="S206" s="41"/>
      <c r="T206" s="41"/>
      <c r="U206" s="41"/>
    </row>
    <row r="207" spans="1:21" ht="15.75" customHeight="1" outlineLevel="2">
      <c r="A207" s="25">
        <v>1</v>
      </c>
      <c r="B207" s="26" t="s">
        <v>590</v>
      </c>
      <c r="C207" s="17" t="s">
        <v>521</v>
      </c>
      <c r="D207" s="26" t="s">
        <v>717</v>
      </c>
      <c r="E207" s="27">
        <v>4</v>
      </c>
      <c r="F207" s="26" t="s">
        <v>1269</v>
      </c>
      <c r="G207" s="28">
        <v>0.001</v>
      </c>
      <c r="H207" s="28">
        <f aca="true" t="shared" si="33" ref="H207:H212">G207/E207</f>
        <v>0.00025</v>
      </c>
      <c r="I207" s="16" t="s">
        <v>555</v>
      </c>
      <c r="J207" s="29">
        <v>19</v>
      </c>
      <c r="K207" s="58">
        <f aca="true" t="shared" si="34" ref="K207:K212">J207*H207</f>
        <v>0.00475</v>
      </c>
      <c r="L207" s="30">
        <f>H207*DEMANDA!$B$9</f>
        <v>0.03275</v>
      </c>
      <c r="M207" s="29">
        <f aca="true" t="shared" si="35" ref="M207:M212">L207*J207</f>
        <v>0.62225</v>
      </c>
      <c r="O207" s="41"/>
      <c r="P207" s="41"/>
      <c r="Q207" s="41"/>
      <c r="R207" s="41"/>
      <c r="S207" s="41"/>
      <c r="T207" s="41"/>
      <c r="U207" s="41"/>
    </row>
    <row r="208" spans="1:13" ht="15.75" customHeight="1" outlineLevel="2">
      <c r="A208" s="25">
        <v>28</v>
      </c>
      <c r="B208" s="26" t="s">
        <v>572</v>
      </c>
      <c r="C208" s="17" t="s">
        <v>521</v>
      </c>
      <c r="D208" s="26" t="s">
        <v>721</v>
      </c>
      <c r="E208" s="27">
        <v>6</v>
      </c>
      <c r="F208" s="26" t="s">
        <v>1269</v>
      </c>
      <c r="G208" s="28">
        <v>0.003</v>
      </c>
      <c r="H208" s="28">
        <f t="shared" si="33"/>
        <v>0.0005</v>
      </c>
      <c r="I208" s="16" t="s">
        <v>555</v>
      </c>
      <c r="J208" s="29">
        <v>19</v>
      </c>
      <c r="K208" s="58">
        <f t="shared" si="34"/>
        <v>0.0095</v>
      </c>
      <c r="L208" s="30">
        <f>H208*DEMANDA!$B$9</f>
        <v>0.0655</v>
      </c>
      <c r="M208" s="29">
        <f t="shared" si="35"/>
        <v>1.2445</v>
      </c>
    </row>
    <row r="209" spans="1:13" ht="15.75" customHeight="1" outlineLevel="2">
      <c r="A209" s="25">
        <v>25</v>
      </c>
      <c r="B209" s="26" t="s">
        <v>690</v>
      </c>
      <c r="C209" s="17" t="s">
        <v>521</v>
      </c>
      <c r="D209" s="26" t="s">
        <v>720</v>
      </c>
      <c r="E209" s="27">
        <v>4</v>
      </c>
      <c r="F209" s="26" t="s">
        <v>1269</v>
      </c>
      <c r="G209" s="28">
        <v>0.001</v>
      </c>
      <c r="H209" s="28">
        <f t="shared" si="33"/>
        <v>0.00025</v>
      </c>
      <c r="I209" s="16" t="s">
        <v>555</v>
      </c>
      <c r="J209" s="29">
        <v>19</v>
      </c>
      <c r="K209" s="58">
        <f t="shared" si="34"/>
        <v>0.00475</v>
      </c>
      <c r="L209" s="30">
        <f>H209*DEMANDA!$B$9</f>
        <v>0.03275</v>
      </c>
      <c r="M209" s="29">
        <f t="shared" si="35"/>
        <v>0.62225</v>
      </c>
    </row>
    <row r="210" spans="1:13" ht="15.75" customHeight="1" outlineLevel="2">
      <c r="A210" s="25">
        <v>8</v>
      </c>
      <c r="B210" s="26" t="s">
        <v>675</v>
      </c>
      <c r="C210" s="17" t="s">
        <v>510</v>
      </c>
      <c r="D210" s="26" t="s">
        <v>718</v>
      </c>
      <c r="E210" s="27">
        <v>4</v>
      </c>
      <c r="F210" s="26" t="s">
        <v>1269</v>
      </c>
      <c r="G210" s="28">
        <v>0.001</v>
      </c>
      <c r="H210" s="28">
        <f t="shared" si="33"/>
        <v>0.00025</v>
      </c>
      <c r="I210" s="16" t="s">
        <v>555</v>
      </c>
      <c r="J210" s="29">
        <v>19</v>
      </c>
      <c r="K210" s="58">
        <f t="shared" si="34"/>
        <v>0.00475</v>
      </c>
      <c r="L210" s="30">
        <f>H210*DEMANDA!$B$9</f>
        <v>0.03275</v>
      </c>
      <c r="M210" s="29">
        <f t="shared" si="35"/>
        <v>0.62225</v>
      </c>
    </row>
    <row r="211" spans="1:13" ht="15.75" customHeight="1" outlineLevel="2">
      <c r="A211" s="25">
        <v>12</v>
      </c>
      <c r="B211" s="26" t="s">
        <v>594</v>
      </c>
      <c r="C211" s="17" t="s">
        <v>510</v>
      </c>
      <c r="D211" s="26" t="s">
        <v>719</v>
      </c>
      <c r="E211" s="27">
        <v>8</v>
      </c>
      <c r="F211" s="26" t="s">
        <v>1269</v>
      </c>
      <c r="G211" s="28">
        <v>0.002</v>
      </c>
      <c r="H211" s="28">
        <f t="shared" si="33"/>
        <v>0.00025</v>
      </c>
      <c r="I211" s="16" t="s">
        <v>555</v>
      </c>
      <c r="J211" s="29">
        <v>19</v>
      </c>
      <c r="K211" s="58">
        <f t="shared" si="34"/>
        <v>0.00475</v>
      </c>
      <c r="L211" s="30">
        <f>H211*DEMANDA!$B$9</f>
        <v>0.03275</v>
      </c>
      <c r="M211" s="29">
        <f t="shared" si="35"/>
        <v>0.62225</v>
      </c>
    </row>
    <row r="212" spans="1:13" ht="15.75" customHeight="1" outlineLevel="2">
      <c r="A212" s="25">
        <v>26</v>
      </c>
      <c r="B212" s="26" t="s">
        <v>590</v>
      </c>
      <c r="C212" s="17" t="s">
        <v>510</v>
      </c>
      <c r="D212" s="26" t="s">
        <v>717</v>
      </c>
      <c r="E212" s="27">
        <v>4</v>
      </c>
      <c r="F212" s="26" t="s">
        <v>1269</v>
      </c>
      <c r="G212" s="28">
        <v>0.001</v>
      </c>
      <c r="H212" s="28">
        <f t="shared" si="33"/>
        <v>0.00025</v>
      </c>
      <c r="I212" s="16" t="s">
        <v>555</v>
      </c>
      <c r="J212" s="29">
        <v>19</v>
      </c>
      <c r="K212" s="58">
        <f t="shared" si="34"/>
        <v>0.00475</v>
      </c>
      <c r="L212" s="30">
        <f>H212*DEMANDA!$B$9</f>
        <v>0.03275</v>
      </c>
      <c r="M212" s="29">
        <f t="shared" si="35"/>
        <v>0.62225</v>
      </c>
    </row>
    <row r="213" spans="1:13" ht="15.75" customHeight="1" outlineLevel="1">
      <c r="A213" s="25"/>
      <c r="B213" s="26"/>
      <c r="C213" s="17"/>
      <c r="D213" s="26"/>
      <c r="E213" s="27"/>
      <c r="F213" s="52" t="s">
        <v>1431</v>
      </c>
      <c r="G213" s="28"/>
      <c r="H213" s="28"/>
      <c r="I213" s="16"/>
      <c r="J213" s="29"/>
      <c r="K213" s="58">
        <f>SUBTOTAL(9,K207:K212)</f>
        <v>0.03325</v>
      </c>
      <c r="L213" s="30"/>
      <c r="M213" s="29"/>
    </row>
    <row r="214" spans="1:13" ht="15.75" customHeight="1" outlineLevel="2">
      <c r="A214" s="32">
        <v>8</v>
      </c>
      <c r="B214" s="33" t="s">
        <v>634</v>
      </c>
      <c r="C214" s="34" t="s">
        <v>514</v>
      </c>
      <c r="D214" s="33" t="s">
        <v>722</v>
      </c>
      <c r="E214" s="35">
        <v>4</v>
      </c>
      <c r="F214" s="33" t="s">
        <v>1270</v>
      </c>
      <c r="G214" s="36">
        <v>0.25</v>
      </c>
      <c r="H214" s="28">
        <f>G214/E214</f>
        <v>0.0625</v>
      </c>
      <c r="I214" s="39" t="s">
        <v>555</v>
      </c>
      <c r="J214" s="40">
        <v>3.78</v>
      </c>
      <c r="K214" s="58">
        <f>J214*H214</f>
        <v>0.23625</v>
      </c>
      <c r="L214" s="30">
        <f>H214*DEMANDA!$B$9</f>
        <v>8.1875</v>
      </c>
      <c r="M214" s="29">
        <f>L214*J214</f>
        <v>30.948749999999997</v>
      </c>
    </row>
    <row r="215" spans="1:13" ht="15.75" customHeight="1" outlineLevel="1">
      <c r="A215" s="32"/>
      <c r="B215" s="33"/>
      <c r="C215" s="34"/>
      <c r="D215" s="33"/>
      <c r="E215" s="35"/>
      <c r="F215" s="43" t="s">
        <v>1432</v>
      </c>
      <c r="G215" s="36"/>
      <c r="H215" s="28"/>
      <c r="I215" s="39"/>
      <c r="J215" s="40"/>
      <c r="K215" s="58">
        <f>SUBTOTAL(9,K214:K214)</f>
        <v>0.23625</v>
      </c>
      <c r="L215" s="30"/>
      <c r="M215" s="29"/>
    </row>
    <row r="216" spans="1:13" ht="15.75" customHeight="1" outlineLevel="2">
      <c r="A216" s="25">
        <v>22</v>
      </c>
      <c r="B216" s="26" t="s">
        <v>581</v>
      </c>
      <c r="C216" s="17" t="s">
        <v>514</v>
      </c>
      <c r="D216" s="26" t="s">
        <v>723</v>
      </c>
      <c r="E216" s="27">
        <v>4</v>
      </c>
      <c r="F216" s="26" t="s">
        <v>1271</v>
      </c>
      <c r="G216" s="28">
        <v>0.325</v>
      </c>
      <c r="H216" s="28">
        <f>G216/E216</f>
        <v>0.08125</v>
      </c>
      <c r="I216" s="16" t="s">
        <v>555</v>
      </c>
      <c r="J216" s="29">
        <v>15.91</v>
      </c>
      <c r="K216" s="58">
        <f>J216*H216</f>
        <v>1.2926875</v>
      </c>
      <c r="L216" s="30">
        <f>H216*DEMANDA!$B$9</f>
        <v>10.64375</v>
      </c>
      <c r="M216" s="29">
        <f>L216*J216</f>
        <v>169.34206250000003</v>
      </c>
    </row>
    <row r="217" spans="1:13" ht="15.75" customHeight="1" outlineLevel="1">
      <c r="A217" s="25"/>
      <c r="B217" s="26"/>
      <c r="C217" s="17"/>
      <c r="D217" s="26"/>
      <c r="E217" s="27"/>
      <c r="F217" s="52" t="s">
        <v>1433</v>
      </c>
      <c r="G217" s="28"/>
      <c r="H217" s="28"/>
      <c r="I217" s="16"/>
      <c r="J217" s="29"/>
      <c r="K217" s="58">
        <f>SUBTOTAL(9,K216:K216)</f>
        <v>1.2926875</v>
      </c>
      <c r="L217" s="30"/>
      <c r="M217" s="29"/>
    </row>
    <row r="218" spans="1:13" ht="15.75" customHeight="1" outlineLevel="2">
      <c r="A218" s="25">
        <v>3</v>
      </c>
      <c r="B218" s="26" t="s">
        <v>556</v>
      </c>
      <c r="C218" s="17" t="s">
        <v>521</v>
      </c>
      <c r="D218" s="26" t="s">
        <v>724</v>
      </c>
      <c r="E218" s="27">
        <v>4</v>
      </c>
      <c r="F218" s="26" t="s">
        <v>1272</v>
      </c>
      <c r="G218" s="28">
        <v>0.0075</v>
      </c>
      <c r="H218" s="28">
        <f>G218/E218</f>
        <v>0.001875</v>
      </c>
      <c r="I218" s="16" t="s">
        <v>555</v>
      </c>
      <c r="J218" s="29">
        <v>2.16</v>
      </c>
      <c r="K218" s="58">
        <f>J218*H218</f>
        <v>0.00405</v>
      </c>
      <c r="L218" s="30">
        <f>H218*DEMANDA!$B$9</f>
        <v>0.24562499999999998</v>
      </c>
      <c r="M218" s="29">
        <f>L218*J218</f>
        <v>0.53055</v>
      </c>
    </row>
    <row r="219" spans="1:13" ht="15.75" customHeight="1" outlineLevel="2">
      <c r="A219" s="25">
        <v>20</v>
      </c>
      <c r="B219" s="26" t="s">
        <v>600</v>
      </c>
      <c r="C219" s="17" t="s">
        <v>510</v>
      </c>
      <c r="D219" s="26" t="s">
        <v>725</v>
      </c>
      <c r="E219" s="27">
        <v>6</v>
      </c>
      <c r="F219" s="26" t="s">
        <v>1272</v>
      </c>
      <c r="G219" s="28">
        <v>0.0375</v>
      </c>
      <c r="H219" s="28">
        <f>G219/E219</f>
        <v>0.0062499999999999995</v>
      </c>
      <c r="I219" s="16" t="s">
        <v>555</v>
      </c>
      <c r="J219" s="29">
        <v>2.16</v>
      </c>
      <c r="K219" s="58">
        <f>J219*H219</f>
        <v>0.0135</v>
      </c>
      <c r="L219" s="30">
        <f>H219*DEMANDA!$B$9</f>
        <v>0.81875</v>
      </c>
      <c r="M219" s="29">
        <f>L219*J219</f>
        <v>1.7685</v>
      </c>
    </row>
    <row r="220" spans="1:13" ht="15.75" customHeight="1" outlineLevel="1">
      <c r="A220" s="25"/>
      <c r="B220" s="26"/>
      <c r="C220" s="17"/>
      <c r="D220" s="26"/>
      <c r="E220" s="27"/>
      <c r="F220" s="52" t="s">
        <v>1434</v>
      </c>
      <c r="G220" s="28"/>
      <c r="H220" s="28"/>
      <c r="I220" s="16"/>
      <c r="J220" s="29"/>
      <c r="K220" s="58">
        <f>SUBTOTAL(9,K218:K219)</f>
        <v>0.01755</v>
      </c>
      <c r="L220" s="30"/>
      <c r="M220" s="29"/>
    </row>
    <row r="221" spans="1:13" ht="15.75" customHeight="1" outlineLevel="2">
      <c r="A221" s="25">
        <v>1</v>
      </c>
      <c r="B221" s="26" t="s">
        <v>509</v>
      </c>
      <c r="C221" s="17" t="s">
        <v>510</v>
      </c>
      <c r="D221" s="26" t="s">
        <v>726</v>
      </c>
      <c r="E221" s="27">
        <v>4</v>
      </c>
      <c r="F221" s="26" t="s">
        <v>1273</v>
      </c>
      <c r="G221" s="28">
        <v>0.075</v>
      </c>
      <c r="H221" s="28">
        <f aca="true" t="shared" si="36" ref="H221:H244">G221/E221</f>
        <v>0.01875</v>
      </c>
      <c r="I221" s="16" t="s">
        <v>555</v>
      </c>
      <c r="J221" s="29">
        <v>2.23</v>
      </c>
      <c r="K221" s="58">
        <f aca="true" t="shared" si="37" ref="K221:K244">J221*H221</f>
        <v>0.041812499999999996</v>
      </c>
      <c r="L221" s="30">
        <f>H221*DEMANDA!$B$9</f>
        <v>2.45625</v>
      </c>
      <c r="M221" s="29">
        <f aca="true" t="shared" si="38" ref="M221:M244">L221*J221</f>
        <v>5.4774375</v>
      </c>
    </row>
    <row r="222" spans="1:13" ht="15.75" customHeight="1" outlineLevel="2">
      <c r="A222" s="25">
        <v>4</v>
      </c>
      <c r="B222" s="26" t="s">
        <v>573</v>
      </c>
      <c r="C222" s="17" t="s">
        <v>514</v>
      </c>
      <c r="D222" s="26" t="s">
        <v>727</v>
      </c>
      <c r="E222" s="27">
        <v>4</v>
      </c>
      <c r="F222" s="26" t="s">
        <v>1273</v>
      </c>
      <c r="G222" s="28">
        <v>0.075</v>
      </c>
      <c r="H222" s="28">
        <f t="shared" si="36"/>
        <v>0.01875</v>
      </c>
      <c r="I222" s="16" t="s">
        <v>555</v>
      </c>
      <c r="J222" s="29">
        <v>2.23</v>
      </c>
      <c r="K222" s="58">
        <f t="shared" si="37"/>
        <v>0.041812499999999996</v>
      </c>
      <c r="L222" s="30">
        <f>H222*DEMANDA!$B$9</f>
        <v>2.45625</v>
      </c>
      <c r="M222" s="29">
        <f t="shared" si="38"/>
        <v>5.4774375</v>
      </c>
    </row>
    <row r="223" spans="1:13" ht="15.75" customHeight="1" outlineLevel="2">
      <c r="A223" s="25">
        <v>5</v>
      </c>
      <c r="B223" s="26" t="s">
        <v>526</v>
      </c>
      <c r="C223" s="17" t="s">
        <v>514</v>
      </c>
      <c r="D223" s="26" t="s">
        <v>728</v>
      </c>
      <c r="E223" s="27">
        <v>4</v>
      </c>
      <c r="F223" s="26" t="s">
        <v>1273</v>
      </c>
      <c r="G223" s="28">
        <v>0.075</v>
      </c>
      <c r="H223" s="28">
        <f t="shared" si="36"/>
        <v>0.01875</v>
      </c>
      <c r="I223" s="16" t="s">
        <v>555</v>
      </c>
      <c r="J223" s="29">
        <v>2.23</v>
      </c>
      <c r="K223" s="58">
        <f t="shared" si="37"/>
        <v>0.041812499999999996</v>
      </c>
      <c r="L223" s="30">
        <f>H223*DEMANDA!$B$9</f>
        <v>2.45625</v>
      </c>
      <c r="M223" s="29">
        <f t="shared" si="38"/>
        <v>5.4774375</v>
      </c>
    </row>
    <row r="224" spans="1:13" ht="15.75" customHeight="1" outlineLevel="2">
      <c r="A224" s="25">
        <v>27</v>
      </c>
      <c r="B224" s="26" t="s">
        <v>584</v>
      </c>
      <c r="C224" s="17" t="s">
        <v>521</v>
      </c>
      <c r="D224" s="26" t="s">
        <v>748</v>
      </c>
      <c r="E224" s="27">
        <v>4</v>
      </c>
      <c r="F224" s="26" t="s">
        <v>1273</v>
      </c>
      <c r="G224" s="28">
        <v>0.075</v>
      </c>
      <c r="H224" s="28">
        <f t="shared" si="36"/>
        <v>0.01875</v>
      </c>
      <c r="I224" s="16" t="s">
        <v>555</v>
      </c>
      <c r="J224" s="29">
        <v>2.23</v>
      </c>
      <c r="K224" s="58">
        <f t="shared" si="37"/>
        <v>0.041812499999999996</v>
      </c>
      <c r="L224" s="30">
        <f>H224*DEMANDA!$B$9</f>
        <v>2.45625</v>
      </c>
      <c r="M224" s="29">
        <f t="shared" si="38"/>
        <v>5.4774375</v>
      </c>
    </row>
    <row r="225" spans="1:13" ht="15.75" customHeight="1" outlineLevel="2">
      <c r="A225" s="25">
        <v>5</v>
      </c>
      <c r="B225" s="26" t="s">
        <v>729</v>
      </c>
      <c r="C225" s="17" t="s">
        <v>521</v>
      </c>
      <c r="D225" s="26" t="s">
        <v>730</v>
      </c>
      <c r="E225" s="27">
        <v>2</v>
      </c>
      <c r="F225" s="26" t="s">
        <v>1273</v>
      </c>
      <c r="G225" s="28">
        <v>0.005</v>
      </c>
      <c r="H225" s="28">
        <f t="shared" si="36"/>
        <v>0.0025</v>
      </c>
      <c r="I225" s="16" t="s">
        <v>555</v>
      </c>
      <c r="J225" s="29">
        <v>2.23</v>
      </c>
      <c r="K225" s="58">
        <f t="shared" si="37"/>
        <v>0.005575</v>
      </c>
      <c r="L225" s="30">
        <f>H225*DEMANDA!$B$9</f>
        <v>0.3275</v>
      </c>
      <c r="M225" s="29">
        <f t="shared" si="38"/>
        <v>0.730325</v>
      </c>
    </row>
    <row r="226" spans="1:13" ht="15.75" customHeight="1" outlineLevel="2">
      <c r="A226" s="25">
        <v>9</v>
      </c>
      <c r="B226" s="26" t="s">
        <v>531</v>
      </c>
      <c r="C226" s="17" t="s">
        <v>510</v>
      </c>
      <c r="D226" s="26" t="s">
        <v>732</v>
      </c>
      <c r="E226" s="27">
        <v>4</v>
      </c>
      <c r="F226" s="26" t="s">
        <v>1273</v>
      </c>
      <c r="G226" s="28">
        <v>0.075</v>
      </c>
      <c r="H226" s="28">
        <f t="shared" si="36"/>
        <v>0.01875</v>
      </c>
      <c r="I226" s="16" t="s">
        <v>555</v>
      </c>
      <c r="J226" s="29">
        <v>2.23</v>
      </c>
      <c r="K226" s="58">
        <f t="shared" si="37"/>
        <v>0.041812499999999996</v>
      </c>
      <c r="L226" s="30">
        <f>H226*DEMANDA!$B$9</f>
        <v>2.45625</v>
      </c>
      <c r="M226" s="29">
        <f t="shared" si="38"/>
        <v>5.4774375</v>
      </c>
    </row>
    <row r="227" spans="1:13" ht="15.75" customHeight="1" outlineLevel="2">
      <c r="A227" s="25">
        <v>9</v>
      </c>
      <c r="B227" s="26" t="s">
        <v>564</v>
      </c>
      <c r="C227" s="17" t="s">
        <v>514</v>
      </c>
      <c r="D227" s="26" t="s">
        <v>731</v>
      </c>
      <c r="E227" s="27">
        <v>8</v>
      </c>
      <c r="F227" s="26" t="s">
        <v>1273</v>
      </c>
      <c r="G227" s="28">
        <v>0.0375</v>
      </c>
      <c r="H227" s="28">
        <f t="shared" si="36"/>
        <v>0.0046875</v>
      </c>
      <c r="I227" s="16" t="s">
        <v>555</v>
      </c>
      <c r="J227" s="29">
        <v>2.23</v>
      </c>
      <c r="K227" s="58">
        <f t="shared" si="37"/>
        <v>0.010453124999999999</v>
      </c>
      <c r="L227" s="30">
        <f>H227*DEMANDA!$B$9</f>
        <v>0.6140625</v>
      </c>
      <c r="M227" s="29">
        <f t="shared" si="38"/>
        <v>1.369359375</v>
      </c>
    </row>
    <row r="228" spans="1:13" ht="15.75" customHeight="1" outlineLevel="2">
      <c r="A228" s="25">
        <v>10</v>
      </c>
      <c r="B228" s="26" t="s">
        <v>533</v>
      </c>
      <c r="C228" s="17" t="s">
        <v>514</v>
      </c>
      <c r="D228" s="26" t="s">
        <v>733</v>
      </c>
      <c r="E228" s="27">
        <v>4</v>
      </c>
      <c r="F228" s="26" t="s">
        <v>1273</v>
      </c>
      <c r="G228" s="28">
        <v>0.0375</v>
      </c>
      <c r="H228" s="28">
        <f t="shared" si="36"/>
        <v>0.009375</v>
      </c>
      <c r="I228" s="16" t="s">
        <v>555</v>
      </c>
      <c r="J228" s="29">
        <v>2.23</v>
      </c>
      <c r="K228" s="58">
        <f t="shared" si="37"/>
        <v>0.020906249999999998</v>
      </c>
      <c r="L228" s="30">
        <f>H228*DEMANDA!$B$9</f>
        <v>1.228125</v>
      </c>
      <c r="M228" s="29">
        <f t="shared" si="38"/>
        <v>2.73871875</v>
      </c>
    </row>
    <row r="229" spans="1:13" ht="15.75" customHeight="1" outlineLevel="2">
      <c r="A229" s="25">
        <v>11</v>
      </c>
      <c r="B229" s="26" t="s">
        <v>588</v>
      </c>
      <c r="C229" s="17" t="s">
        <v>514</v>
      </c>
      <c r="D229" s="26" t="s">
        <v>734</v>
      </c>
      <c r="E229" s="27">
        <v>4</v>
      </c>
      <c r="F229" s="26" t="s">
        <v>1273</v>
      </c>
      <c r="G229" s="28">
        <v>0.0375</v>
      </c>
      <c r="H229" s="28">
        <f t="shared" si="36"/>
        <v>0.009375</v>
      </c>
      <c r="I229" s="16" t="s">
        <v>555</v>
      </c>
      <c r="J229" s="29">
        <v>2.23</v>
      </c>
      <c r="K229" s="58">
        <f t="shared" si="37"/>
        <v>0.020906249999999998</v>
      </c>
      <c r="L229" s="30">
        <f>H229*DEMANDA!$B$9</f>
        <v>1.228125</v>
      </c>
      <c r="M229" s="29">
        <f t="shared" si="38"/>
        <v>2.73871875</v>
      </c>
    </row>
    <row r="230" spans="1:13" ht="15.75" customHeight="1" outlineLevel="2">
      <c r="A230" s="25">
        <v>13</v>
      </c>
      <c r="B230" s="26" t="s">
        <v>655</v>
      </c>
      <c r="C230" s="17" t="s">
        <v>514</v>
      </c>
      <c r="D230" s="26" t="s">
        <v>735</v>
      </c>
      <c r="E230" s="27">
        <v>4</v>
      </c>
      <c r="F230" s="26" t="s">
        <v>1273</v>
      </c>
      <c r="G230" s="28">
        <v>0.1</v>
      </c>
      <c r="H230" s="28">
        <f t="shared" si="36"/>
        <v>0.025</v>
      </c>
      <c r="I230" s="16" t="s">
        <v>555</v>
      </c>
      <c r="J230" s="29">
        <v>2.23</v>
      </c>
      <c r="K230" s="58">
        <f t="shared" si="37"/>
        <v>0.05575</v>
      </c>
      <c r="L230" s="30">
        <f>H230*DEMANDA!$B$9</f>
        <v>3.2750000000000004</v>
      </c>
      <c r="M230" s="29">
        <f t="shared" si="38"/>
        <v>7.303250000000001</v>
      </c>
    </row>
    <row r="231" spans="1:13" ht="15.75" customHeight="1" outlineLevel="2">
      <c r="A231" s="25">
        <v>16</v>
      </c>
      <c r="B231" s="26" t="s">
        <v>541</v>
      </c>
      <c r="C231" s="17" t="s">
        <v>514</v>
      </c>
      <c r="D231" s="26" t="s">
        <v>736</v>
      </c>
      <c r="E231" s="27">
        <v>4</v>
      </c>
      <c r="F231" s="26" t="s">
        <v>1273</v>
      </c>
      <c r="G231" s="28">
        <v>0.075</v>
      </c>
      <c r="H231" s="28">
        <f t="shared" si="36"/>
        <v>0.01875</v>
      </c>
      <c r="I231" s="16" t="s">
        <v>555</v>
      </c>
      <c r="J231" s="29">
        <v>2.23</v>
      </c>
      <c r="K231" s="58">
        <f t="shared" si="37"/>
        <v>0.041812499999999996</v>
      </c>
      <c r="L231" s="30">
        <f>H231*DEMANDA!$B$9</f>
        <v>2.45625</v>
      </c>
      <c r="M231" s="29">
        <f t="shared" si="38"/>
        <v>5.4774375</v>
      </c>
    </row>
    <row r="232" spans="1:13" ht="15.75" customHeight="1" outlineLevel="2">
      <c r="A232" s="25">
        <v>17</v>
      </c>
      <c r="B232" s="26" t="s">
        <v>569</v>
      </c>
      <c r="C232" s="17" t="s">
        <v>514</v>
      </c>
      <c r="D232" s="26" t="s">
        <v>737</v>
      </c>
      <c r="E232" s="27">
        <v>4</v>
      </c>
      <c r="F232" s="26" t="s">
        <v>1273</v>
      </c>
      <c r="G232" s="28">
        <v>0.0375</v>
      </c>
      <c r="H232" s="28">
        <f t="shared" si="36"/>
        <v>0.009375</v>
      </c>
      <c r="I232" s="16" t="s">
        <v>555</v>
      </c>
      <c r="J232" s="29">
        <v>2.23</v>
      </c>
      <c r="K232" s="58">
        <f t="shared" si="37"/>
        <v>0.020906249999999998</v>
      </c>
      <c r="L232" s="30">
        <f>H232*DEMANDA!$B$9</f>
        <v>1.228125</v>
      </c>
      <c r="M232" s="29">
        <f t="shared" si="38"/>
        <v>2.73871875</v>
      </c>
    </row>
    <row r="233" spans="1:13" ht="15.75" customHeight="1" outlineLevel="2">
      <c r="A233" s="25">
        <v>18</v>
      </c>
      <c r="B233" s="26" t="s">
        <v>626</v>
      </c>
      <c r="C233" s="17" t="s">
        <v>514</v>
      </c>
      <c r="D233" s="26" t="s">
        <v>738</v>
      </c>
      <c r="E233" s="27">
        <v>4</v>
      </c>
      <c r="F233" s="26" t="s">
        <v>1273</v>
      </c>
      <c r="G233" s="28">
        <v>0.075</v>
      </c>
      <c r="H233" s="28">
        <f t="shared" si="36"/>
        <v>0.01875</v>
      </c>
      <c r="I233" s="16" t="s">
        <v>555</v>
      </c>
      <c r="J233" s="29">
        <v>2.23</v>
      </c>
      <c r="K233" s="58">
        <f t="shared" si="37"/>
        <v>0.041812499999999996</v>
      </c>
      <c r="L233" s="30">
        <f>H233*DEMANDA!$B$9</f>
        <v>2.45625</v>
      </c>
      <c r="M233" s="29">
        <f t="shared" si="38"/>
        <v>5.4774375</v>
      </c>
    </row>
    <row r="234" spans="1:13" ht="15.75" customHeight="1" outlineLevel="2">
      <c r="A234" s="25">
        <v>18</v>
      </c>
      <c r="B234" s="26" t="s">
        <v>639</v>
      </c>
      <c r="C234" s="17" t="s">
        <v>510</v>
      </c>
      <c r="D234" s="26" t="s">
        <v>739</v>
      </c>
      <c r="E234" s="27">
        <v>4</v>
      </c>
      <c r="F234" s="26" t="s">
        <v>1273</v>
      </c>
      <c r="G234" s="28">
        <v>0.02</v>
      </c>
      <c r="H234" s="28">
        <f t="shared" si="36"/>
        <v>0.005</v>
      </c>
      <c r="I234" s="16" t="s">
        <v>555</v>
      </c>
      <c r="J234" s="29">
        <v>2.23</v>
      </c>
      <c r="K234" s="58">
        <f t="shared" si="37"/>
        <v>0.01115</v>
      </c>
      <c r="L234" s="30">
        <f>H234*DEMANDA!$B$9</f>
        <v>0.655</v>
      </c>
      <c r="M234" s="29">
        <f t="shared" si="38"/>
        <v>1.46065</v>
      </c>
    </row>
    <row r="235" spans="1:13" ht="15.75" customHeight="1" outlineLevel="2">
      <c r="A235" s="25">
        <v>19</v>
      </c>
      <c r="B235" s="26" t="s">
        <v>651</v>
      </c>
      <c r="C235" s="17" t="s">
        <v>510</v>
      </c>
      <c r="D235" s="26" t="s">
        <v>740</v>
      </c>
      <c r="E235" s="27">
        <v>4</v>
      </c>
      <c r="F235" s="26" t="s">
        <v>1273</v>
      </c>
      <c r="G235" s="28">
        <v>0.075</v>
      </c>
      <c r="H235" s="28">
        <f t="shared" si="36"/>
        <v>0.01875</v>
      </c>
      <c r="I235" s="16" t="s">
        <v>555</v>
      </c>
      <c r="J235" s="29">
        <v>2.23</v>
      </c>
      <c r="K235" s="58">
        <f t="shared" si="37"/>
        <v>0.041812499999999996</v>
      </c>
      <c r="L235" s="30">
        <f>H235*DEMANDA!$B$9</f>
        <v>2.45625</v>
      </c>
      <c r="M235" s="29">
        <f t="shared" si="38"/>
        <v>5.4774375</v>
      </c>
    </row>
    <row r="236" spans="1:13" ht="15.75" customHeight="1" outlineLevel="2">
      <c r="A236" s="25">
        <v>20</v>
      </c>
      <c r="B236" s="26" t="s">
        <v>576</v>
      </c>
      <c r="C236" s="17" t="s">
        <v>514</v>
      </c>
      <c r="D236" s="26" t="s">
        <v>741</v>
      </c>
      <c r="E236" s="27">
        <v>4</v>
      </c>
      <c r="F236" s="26" t="s">
        <v>1273</v>
      </c>
      <c r="G236" s="28">
        <v>0.25</v>
      </c>
      <c r="H236" s="28">
        <f t="shared" si="36"/>
        <v>0.0625</v>
      </c>
      <c r="I236" s="16" t="s">
        <v>555</v>
      </c>
      <c r="J236" s="29">
        <v>2.23</v>
      </c>
      <c r="K236" s="58">
        <f t="shared" si="37"/>
        <v>0.139375</v>
      </c>
      <c r="L236" s="30">
        <f>H236*DEMANDA!$B$9</f>
        <v>8.1875</v>
      </c>
      <c r="M236" s="29">
        <f t="shared" si="38"/>
        <v>18.258125</v>
      </c>
    </row>
    <row r="237" spans="1:13" ht="15.75" customHeight="1" outlineLevel="2">
      <c r="A237" s="25">
        <v>21</v>
      </c>
      <c r="B237" s="26" t="s">
        <v>515</v>
      </c>
      <c r="C237" s="17" t="s">
        <v>514</v>
      </c>
      <c r="D237" s="26" t="s">
        <v>742</v>
      </c>
      <c r="E237" s="27">
        <v>4</v>
      </c>
      <c r="F237" s="26" t="s">
        <v>1273</v>
      </c>
      <c r="G237" s="28">
        <v>2</v>
      </c>
      <c r="H237" s="28">
        <f t="shared" si="36"/>
        <v>0.5</v>
      </c>
      <c r="I237" s="16" t="s">
        <v>555</v>
      </c>
      <c r="J237" s="29">
        <v>2.23</v>
      </c>
      <c r="K237" s="58">
        <f t="shared" si="37"/>
        <v>1.115</v>
      </c>
      <c r="L237" s="30">
        <f>H237*DEMANDA!$B$9</f>
        <v>65.5</v>
      </c>
      <c r="M237" s="29">
        <f t="shared" si="38"/>
        <v>146.065</v>
      </c>
    </row>
    <row r="238" spans="1:13" ht="15.75" customHeight="1" outlineLevel="2">
      <c r="A238" s="25">
        <v>22</v>
      </c>
      <c r="B238" s="26" t="s">
        <v>581</v>
      </c>
      <c r="C238" s="17" t="s">
        <v>514</v>
      </c>
      <c r="D238" s="26" t="s">
        <v>743</v>
      </c>
      <c r="E238" s="27">
        <v>4</v>
      </c>
      <c r="F238" s="26" t="s">
        <v>1273</v>
      </c>
      <c r="G238" s="28">
        <v>0.5</v>
      </c>
      <c r="H238" s="28">
        <f t="shared" si="36"/>
        <v>0.125</v>
      </c>
      <c r="I238" s="16" t="s">
        <v>555</v>
      </c>
      <c r="J238" s="29">
        <v>2.23</v>
      </c>
      <c r="K238" s="58">
        <f t="shared" si="37"/>
        <v>0.27875</v>
      </c>
      <c r="L238" s="30">
        <f>H238*DEMANDA!$B$9</f>
        <v>16.375</v>
      </c>
      <c r="M238" s="29">
        <f t="shared" si="38"/>
        <v>36.51625</v>
      </c>
    </row>
    <row r="239" spans="1:13" ht="15.75" customHeight="1" outlineLevel="2">
      <c r="A239" s="25">
        <v>23</v>
      </c>
      <c r="B239" s="26" t="s">
        <v>602</v>
      </c>
      <c r="C239" s="17" t="s">
        <v>510</v>
      </c>
      <c r="D239" s="26" t="s">
        <v>745</v>
      </c>
      <c r="E239" s="27">
        <v>6</v>
      </c>
      <c r="F239" s="26" t="s">
        <v>1273</v>
      </c>
      <c r="G239" s="28">
        <v>0.075</v>
      </c>
      <c r="H239" s="28">
        <f t="shared" si="36"/>
        <v>0.012499999999999999</v>
      </c>
      <c r="I239" s="16" t="s">
        <v>555</v>
      </c>
      <c r="J239" s="29">
        <v>2.23</v>
      </c>
      <c r="K239" s="58">
        <f t="shared" si="37"/>
        <v>0.027874999999999997</v>
      </c>
      <c r="L239" s="30">
        <f>H239*DEMANDA!$B$9</f>
        <v>1.6375</v>
      </c>
      <c r="M239" s="29">
        <f t="shared" si="38"/>
        <v>3.6516249999999997</v>
      </c>
    </row>
    <row r="240" spans="1:13" ht="15.75" customHeight="1" outlineLevel="2">
      <c r="A240" s="25">
        <v>23</v>
      </c>
      <c r="B240" s="26" t="s">
        <v>517</v>
      </c>
      <c r="C240" s="17" t="s">
        <v>514</v>
      </c>
      <c r="D240" s="26" t="s">
        <v>744</v>
      </c>
      <c r="E240" s="27">
        <v>4</v>
      </c>
      <c r="F240" s="26" t="s">
        <v>1273</v>
      </c>
      <c r="G240" s="28">
        <v>0.01875</v>
      </c>
      <c r="H240" s="28">
        <f t="shared" si="36"/>
        <v>0.0046875</v>
      </c>
      <c r="I240" s="16" t="s">
        <v>555</v>
      </c>
      <c r="J240" s="29">
        <v>2.23</v>
      </c>
      <c r="K240" s="58">
        <f t="shared" si="37"/>
        <v>0.010453124999999999</v>
      </c>
      <c r="L240" s="30">
        <f>H240*DEMANDA!$B$9</f>
        <v>0.6140625</v>
      </c>
      <c r="M240" s="29">
        <f t="shared" si="38"/>
        <v>1.369359375</v>
      </c>
    </row>
    <row r="241" spans="1:13" ht="15.75" customHeight="1" outlineLevel="2">
      <c r="A241" s="25">
        <v>25</v>
      </c>
      <c r="B241" s="26" t="s">
        <v>607</v>
      </c>
      <c r="C241" s="17" t="s">
        <v>514</v>
      </c>
      <c r="D241" s="26" t="s">
        <v>746</v>
      </c>
      <c r="E241" s="27">
        <v>4</v>
      </c>
      <c r="F241" s="26" t="s">
        <v>1273</v>
      </c>
      <c r="G241" s="28">
        <v>0.075</v>
      </c>
      <c r="H241" s="28">
        <f t="shared" si="36"/>
        <v>0.01875</v>
      </c>
      <c r="I241" s="16" t="s">
        <v>555</v>
      </c>
      <c r="J241" s="29">
        <v>2.23</v>
      </c>
      <c r="K241" s="58">
        <f t="shared" si="37"/>
        <v>0.041812499999999996</v>
      </c>
      <c r="L241" s="30">
        <f>H241*DEMANDA!$B$9</f>
        <v>2.45625</v>
      </c>
      <c r="M241" s="29">
        <f t="shared" si="38"/>
        <v>5.4774375</v>
      </c>
    </row>
    <row r="242" spans="1:13" ht="15.75" customHeight="1" outlineLevel="2">
      <c r="A242" s="25">
        <v>27</v>
      </c>
      <c r="B242" s="26" t="s">
        <v>549</v>
      </c>
      <c r="C242" s="17" t="s">
        <v>514</v>
      </c>
      <c r="D242" s="26" t="s">
        <v>747</v>
      </c>
      <c r="E242" s="27">
        <v>4</v>
      </c>
      <c r="F242" s="26" t="s">
        <v>1273</v>
      </c>
      <c r="G242" s="28">
        <v>0.0375</v>
      </c>
      <c r="H242" s="28">
        <f t="shared" si="36"/>
        <v>0.009375</v>
      </c>
      <c r="I242" s="16" t="s">
        <v>555</v>
      </c>
      <c r="J242" s="29">
        <v>2.23</v>
      </c>
      <c r="K242" s="58">
        <f t="shared" si="37"/>
        <v>0.020906249999999998</v>
      </c>
      <c r="L242" s="30">
        <f>H242*DEMANDA!$B$9</f>
        <v>1.228125</v>
      </c>
      <c r="M242" s="29">
        <f t="shared" si="38"/>
        <v>2.73871875</v>
      </c>
    </row>
    <row r="243" spans="1:13" ht="15.75" customHeight="1" outlineLevel="2">
      <c r="A243" s="25">
        <v>28</v>
      </c>
      <c r="B243" s="26" t="s">
        <v>550</v>
      </c>
      <c r="C243" s="17" t="s">
        <v>514</v>
      </c>
      <c r="D243" s="26" t="s">
        <v>749</v>
      </c>
      <c r="E243" s="27">
        <v>4</v>
      </c>
      <c r="F243" s="26" t="s">
        <v>1273</v>
      </c>
      <c r="G243" s="28">
        <v>0.075</v>
      </c>
      <c r="H243" s="28">
        <f t="shared" si="36"/>
        <v>0.01875</v>
      </c>
      <c r="I243" s="16" t="s">
        <v>555</v>
      </c>
      <c r="J243" s="29">
        <v>2.23</v>
      </c>
      <c r="K243" s="58">
        <f t="shared" si="37"/>
        <v>0.041812499999999996</v>
      </c>
      <c r="L243" s="30">
        <f>H243*DEMANDA!$B$9</f>
        <v>2.45625</v>
      </c>
      <c r="M243" s="29">
        <f t="shared" si="38"/>
        <v>5.4774375</v>
      </c>
    </row>
    <row r="244" spans="1:13" ht="15.75" customHeight="1" outlineLevel="2">
      <c r="A244" s="25">
        <v>30</v>
      </c>
      <c r="B244" s="26" t="s">
        <v>552</v>
      </c>
      <c r="C244" s="17" t="s">
        <v>514</v>
      </c>
      <c r="D244" s="26" t="s">
        <v>747</v>
      </c>
      <c r="E244" s="27">
        <v>4</v>
      </c>
      <c r="F244" s="26" t="s">
        <v>1273</v>
      </c>
      <c r="G244" s="28">
        <v>0.0375</v>
      </c>
      <c r="H244" s="28">
        <f t="shared" si="36"/>
        <v>0.009375</v>
      </c>
      <c r="I244" s="16" t="s">
        <v>555</v>
      </c>
      <c r="J244" s="29">
        <v>2.23</v>
      </c>
      <c r="K244" s="58">
        <f t="shared" si="37"/>
        <v>0.020906249999999998</v>
      </c>
      <c r="L244" s="30">
        <f>H244*DEMANDA!$B$9</f>
        <v>1.228125</v>
      </c>
      <c r="M244" s="29">
        <f t="shared" si="38"/>
        <v>2.73871875</v>
      </c>
    </row>
    <row r="245" spans="1:13" ht="15.75" customHeight="1" outlineLevel="1">
      <c r="A245" s="25"/>
      <c r="B245" s="26"/>
      <c r="C245" s="17"/>
      <c r="D245" s="26"/>
      <c r="E245" s="27"/>
      <c r="F245" s="52" t="s">
        <v>1435</v>
      </c>
      <c r="G245" s="28"/>
      <c r="H245" s="28"/>
      <c r="I245" s="16"/>
      <c r="J245" s="29"/>
      <c r="K245" s="58">
        <f>SUBTOTAL(9,K221:K244)</f>
        <v>2.1770374999999995</v>
      </c>
      <c r="L245" s="30"/>
      <c r="M245" s="29"/>
    </row>
    <row r="246" spans="1:13" ht="15.75" customHeight="1" outlineLevel="2">
      <c r="A246" s="25">
        <v>18</v>
      </c>
      <c r="B246" s="26" t="s">
        <v>570</v>
      </c>
      <c r="C246" s="17" t="s">
        <v>521</v>
      </c>
      <c r="D246" s="26" t="s">
        <v>750</v>
      </c>
      <c r="E246" s="27">
        <v>4</v>
      </c>
      <c r="F246" s="26" t="s">
        <v>1274</v>
      </c>
      <c r="G246" s="28">
        <v>0.01</v>
      </c>
      <c r="H246" s="28">
        <f>G246/E246</f>
        <v>0.0025</v>
      </c>
      <c r="I246" s="16" t="s">
        <v>555</v>
      </c>
      <c r="J246" s="29">
        <v>2.56</v>
      </c>
      <c r="K246" s="58">
        <f>J246*H246</f>
        <v>0.0064</v>
      </c>
      <c r="L246" s="30">
        <f>H246*DEMANDA!$B$9</f>
        <v>0.3275</v>
      </c>
      <c r="M246" s="29">
        <f>L246*J246</f>
        <v>0.8384</v>
      </c>
    </row>
    <row r="247" spans="1:13" ht="15.75" customHeight="1" outlineLevel="2">
      <c r="A247" s="25">
        <v>23</v>
      </c>
      <c r="B247" s="26" t="s">
        <v>753</v>
      </c>
      <c r="C247" s="17" t="s">
        <v>521</v>
      </c>
      <c r="D247" s="26" t="s">
        <v>754</v>
      </c>
      <c r="E247" s="27">
        <v>4</v>
      </c>
      <c r="F247" s="26" t="s">
        <v>1274</v>
      </c>
      <c r="G247" s="28">
        <v>0.02</v>
      </c>
      <c r="H247" s="28">
        <f>G247/E247</f>
        <v>0.005</v>
      </c>
      <c r="I247" s="16" t="s">
        <v>555</v>
      </c>
      <c r="J247" s="29">
        <v>2.56</v>
      </c>
      <c r="K247" s="58">
        <f>J247*H247</f>
        <v>0.0128</v>
      </c>
      <c r="L247" s="30">
        <f>H247*DEMANDA!$B$9</f>
        <v>0.655</v>
      </c>
      <c r="M247" s="29">
        <f>L247*J247</f>
        <v>1.6768</v>
      </c>
    </row>
    <row r="248" spans="1:13" ht="15.75" customHeight="1" outlineLevel="2">
      <c r="A248" s="25">
        <v>21</v>
      </c>
      <c r="B248" s="26" t="s">
        <v>515</v>
      </c>
      <c r="C248" s="17" t="s">
        <v>514</v>
      </c>
      <c r="D248" s="26" t="s">
        <v>751</v>
      </c>
      <c r="E248" s="27">
        <v>4</v>
      </c>
      <c r="F248" s="26" t="s">
        <v>1274</v>
      </c>
      <c r="G248" s="28">
        <v>0.02</v>
      </c>
      <c r="H248" s="28">
        <f>G248/E248</f>
        <v>0.005</v>
      </c>
      <c r="I248" s="16" t="s">
        <v>555</v>
      </c>
      <c r="J248" s="29">
        <v>2.56</v>
      </c>
      <c r="K248" s="58">
        <f>J248*H248</f>
        <v>0.0128</v>
      </c>
      <c r="L248" s="30">
        <f>H248*DEMANDA!$B$9</f>
        <v>0.655</v>
      </c>
      <c r="M248" s="29">
        <f>L248*J248</f>
        <v>1.6768</v>
      </c>
    </row>
    <row r="249" spans="1:13" ht="15.75" customHeight="1" outlineLevel="2">
      <c r="A249" s="25">
        <v>22</v>
      </c>
      <c r="B249" s="26" t="s">
        <v>663</v>
      </c>
      <c r="C249" s="17" t="s">
        <v>510</v>
      </c>
      <c r="D249" s="26" t="s">
        <v>752</v>
      </c>
      <c r="E249" s="27">
        <v>4</v>
      </c>
      <c r="F249" s="26" t="s">
        <v>1274</v>
      </c>
      <c r="G249" s="28">
        <v>0.05</v>
      </c>
      <c r="H249" s="28">
        <f>G249/E249</f>
        <v>0.0125</v>
      </c>
      <c r="I249" s="16" t="s">
        <v>555</v>
      </c>
      <c r="J249" s="29">
        <v>2.56</v>
      </c>
      <c r="K249" s="58">
        <f>J249*H249</f>
        <v>0.032</v>
      </c>
      <c r="L249" s="30">
        <f>H249*DEMANDA!$B$9</f>
        <v>1.6375000000000002</v>
      </c>
      <c r="M249" s="29">
        <f>L249*J249</f>
        <v>4.192</v>
      </c>
    </row>
    <row r="250" spans="1:13" ht="15.75" customHeight="1" outlineLevel="1">
      <c r="A250" s="25"/>
      <c r="B250" s="26"/>
      <c r="C250" s="17"/>
      <c r="D250" s="26"/>
      <c r="E250" s="27"/>
      <c r="F250" s="52" t="s">
        <v>1436</v>
      </c>
      <c r="G250" s="28"/>
      <c r="H250" s="28"/>
      <c r="I250" s="16"/>
      <c r="J250" s="29"/>
      <c r="K250" s="58">
        <f>SUBTOTAL(9,K246:K249)</f>
        <v>0.064</v>
      </c>
      <c r="L250" s="30"/>
      <c r="M250" s="29"/>
    </row>
    <row r="251" spans="1:13" ht="15.75" customHeight="1" outlineLevel="2">
      <c r="A251" s="25">
        <v>14</v>
      </c>
      <c r="B251" s="26" t="s">
        <v>755</v>
      </c>
      <c r="C251" s="17" t="s">
        <v>514</v>
      </c>
      <c r="D251" s="26" t="s">
        <v>756</v>
      </c>
      <c r="E251" s="27">
        <v>4</v>
      </c>
      <c r="F251" s="26" t="s">
        <v>1275</v>
      </c>
      <c r="G251" s="28">
        <v>0.45</v>
      </c>
      <c r="H251" s="28">
        <f>G251/E251</f>
        <v>0.1125</v>
      </c>
      <c r="I251" s="16" t="s">
        <v>555</v>
      </c>
      <c r="J251" s="38">
        <v>4.02</v>
      </c>
      <c r="K251" s="58">
        <f>J251*H251</f>
        <v>0.45225</v>
      </c>
      <c r="L251" s="30">
        <f>H251*DEMANDA!$B$9</f>
        <v>14.7375</v>
      </c>
      <c r="M251" s="29">
        <f>L251*J251</f>
        <v>59.244749999999996</v>
      </c>
    </row>
    <row r="252" spans="1:13" ht="15.75" customHeight="1" outlineLevel="2">
      <c r="A252" s="25">
        <v>29</v>
      </c>
      <c r="B252" s="26" t="s">
        <v>551</v>
      </c>
      <c r="C252" s="17" t="s">
        <v>514</v>
      </c>
      <c r="D252" s="26" t="s">
        <v>757</v>
      </c>
      <c r="E252" s="27">
        <v>4</v>
      </c>
      <c r="F252" s="26" t="s">
        <v>1275</v>
      </c>
      <c r="G252" s="28">
        <v>0.45</v>
      </c>
      <c r="H252" s="28">
        <f>G252/E252</f>
        <v>0.1125</v>
      </c>
      <c r="I252" s="16" t="s">
        <v>555</v>
      </c>
      <c r="J252" s="38">
        <v>4.02</v>
      </c>
      <c r="K252" s="58">
        <f>J252*H252</f>
        <v>0.45225</v>
      </c>
      <c r="L252" s="30">
        <f>H252*DEMANDA!$B$9</f>
        <v>14.7375</v>
      </c>
      <c r="M252" s="29">
        <f>L252*J252</f>
        <v>59.244749999999996</v>
      </c>
    </row>
    <row r="253" spans="1:13" ht="15.75" customHeight="1" outlineLevel="1">
      <c r="A253" s="25"/>
      <c r="B253" s="26"/>
      <c r="C253" s="17"/>
      <c r="D253" s="26"/>
      <c r="E253" s="27"/>
      <c r="F253" s="52" t="s">
        <v>1437</v>
      </c>
      <c r="G253" s="28"/>
      <c r="H253" s="28"/>
      <c r="I253" s="16"/>
      <c r="J253" s="38"/>
      <c r="K253" s="58">
        <f>SUBTOTAL(9,K251:K252)</f>
        <v>0.9045</v>
      </c>
      <c r="L253" s="30"/>
      <c r="M253" s="29"/>
    </row>
    <row r="254" spans="1:13" ht="15.75" customHeight="1" outlineLevel="2">
      <c r="A254" s="25">
        <v>15</v>
      </c>
      <c r="B254" s="26" t="s">
        <v>539</v>
      </c>
      <c r="C254" s="17" t="s">
        <v>521</v>
      </c>
      <c r="D254" s="26" t="s">
        <v>758</v>
      </c>
      <c r="E254" s="27">
        <v>4</v>
      </c>
      <c r="F254" s="26" t="s">
        <v>1276</v>
      </c>
      <c r="G254" s="28">
        <v>0.1</v>
      </c>
      <c r="H254" s="28">
        <f>G254/E254</f>
        <v>0.025</v>
      </c>
      <c r="I254" s="16" t="s">
        <v>555</v>
      </c>
      <c r="J254" s="29">
        <v>4.5</v>
      </c>
      <c r="K254" s="58">
        <f>J254*H254</f>
        <v>0.1125</v>
      </c>
      <c r="L254" s="30">
        <f>H254*DEMANDA!$B$9</f>
        <v>3.2750000000000004</v>
      </c>
      <c r="M254" s="29">
        <f>L254*J254</f>
        <v>14.7375</v>
      </c>
    </row>
    <row r="255" spans="1:13" ht="15.75" customHeight="1" outlineLevel="1">
      <c r="A255" s="25"/>
      <c r="B255" s="26"/>
      <c r="C255" s="17"/>
      <c r="D255" s="26"/>
      <c r="E255" s="27"/>
      <c r="F255" s="52" t="s">
        <v>1438</v>
      </c>
      <c r="G255" s="28"/>
      <c r="H255" s="28"/>
      <c r="I255" s="16"/>
      <c r="J255" s="29"/>
      <c r="K255" s="58">
        <f>SUBTOTAL(9,K254:K254)</f>
        <v>0.1125</v>
      </c>
      <c r="L255" s="30"/>
      <c r="M255" s="29"/>
    </row>
    <row r="256" spans="1:13" ht="15.75" customHeight="1" outlineLevel="2">
      <c r="A256" s="25">
        <v>15</v>
      </c>
      <c r="B256" s="26" t="s">
        <v>759</v>
      </c>
      <c r="C256" s="17" t="s">
        <v>510</v>
      </c>
      <c r="D256" s="26" t="s">
        <v>760</v>
      </c>
      <c r="E256" s="27">
        <v>4</v>
      </c>
      <c r="F256" s="26" t="s">
        <v>1277</v>
      </c>
      <c r="G256" s="28">
        <v>0.25</v>
      </c>
      <c r="H256" s="28">
        <f>G256/E256</f>
        <v>0.0625</v>
      </c>
      <c r="I256" s="16" t="s">
        <v>555</v>
      </c>
      <c r="J256" s="29">
        <v>0.3</v>
      </c>
      <c r="K256" s="58">
        <f>J256*H256</f>
        <v>0.01875</v>
      </c>
      <c r="L256" s="30">
        <f>H256*DEMANDA!$B$9</f>
        <v>8.1875</v>
      </c>
      <c r="M256" s="29">
        <f>L256*J256</f>
        <v>2.45625</v>
      </c>
    </row>
    <row r="257" spans="1:13" ht="15.75" customHeight="1" outlineLevel="1">
      <c r="A257" s="25"/>
      <c r="B257" s="26"/>
      <c r="C257" s="17"/>
      <c r="D257" s="26"/>
      <c r="E257" s="27"/>
      <c r="F257" s="52" t="s">
        <v>1439</v>
      </c>
      <c r="G257" s="28"/>
      <c r="H257" s="28"/>
      <c r="I257" s="16"/>
      <c r="J257" s="29"/>
      <c r="K257" s="58">
        <f>SUBTOTAL(9,K256:K256)</f>
        <v>0.01875</v>
      </c>
      <c r="L257" s="30"/>
      <c r="M257" s="29"/>
    </row>
    <row r="258" spans="1:13" ht="15.75" customHeight="1" outlineLevel="2">
      <c r="A258" s="25">
        <v>20</v>
      </c>
      <c r="B258" s="26" t="s">
        <v>600</v>
      </c>
      <c r="C258" s="17" t="s">
        <v>510</v>
      </c>
      <c r="D258" s="26" t="s">
        <v>761</v>
      </c>
      <c r="E258" s="27">
        <v>6</v>
      </c>
      <c r="F258" s="26" t="s">
        <v>1278</v>
      </c>
      <c r="G258" s="28">
        <v>0.2</v>
      </c>
      <c r="H258" s="28">
        <f>G258/E258</f>
        <v>0.03333333333333333</v>
      </c>
      <c r="I258" s="16" t="s">
        <v>555</v>
      </c>
      <c r="J258" s="29">
        <v>0.6</v>
      </c>
      <c r="K258" s="58">
        <f>J258*H258</f>
        <v>0.02</v>
      </c>
      <c r="L258" s="30">
        <f>H258*DEMANDA!$B$9</f>
        <v>4.366666666666666</v>
      </c>
      <c r="M258" s="29">
        <f>L258*J258</f>
        <v>2.6199999999999997</v>
      </c>
    </row>
    <row r="259" spans="1:13" ht="15.75" customHeight="1" outlineLevel="1">
      <c r="A259" s="25"/>
      <c r="B259" s="26"/>
      <c r="C259" s="17"/>
      <c r="D259" s="26"/>
      <c r="E259" s="27"/>
      <c r="F259" s="52" t="s">
        <v>1440</v>
      </c>
      <c r="G259" s="28"/>
      <c r="H259" s="28"/>
      <c r="I259" s="16"/>
      <c r="J259" s="29"/>
      <c r="K259" s="58">
        <f>SUBTOTAL(9,K258:K258)</f>
        <v>0.02</v>
      </c>
      <c r="L259" s="30"/>
      <c r="M259" s="29"/>
    </row>
    <row r="260" spans="1:13" ht="15.75" customHeight="1" outlineLevel="2">
      <c r="A260" s="25">
        <v>11</v>
      </c>
      <c r="B260" s="26" t="s">
        <v>588</v>
      </c>
      <c r="C260" s="17" t="s">
        <v>514</v>
      </c>
      <c r="D260" s="26" t="s">
        <v>762</v>
      </c>
      <c r="E260" s="27">
        <v>4</v>
      </c>
      <c r="F260" s="26" t="s">
        <v>1279</v>
      </c>
      <c r="G260" s="28">
        <v>0.007</v>
      </c>
      <c r="H260" s="28">
        <f>G260/E260</f>
        <v>0.00175</v>
      </c>
      <c r="I260" s="16" t="s">
        <v>555</v>
      </c>
      <c r="J260" s="29">
        <v>7.2</v>
      </c>
      <c r="K260" s="58">
        <f>J260*H260</f>
        <v>0.0126</v>
      </c>
      <c r="L260" s="30">
        <f>H260*DEMANDA!$B$9</f>
        <v>0.22925</v>
      </c>
      <c r="M260" s="29">
        <f>L260*J260</f>
        <v>1.6506</v>
      </c>
    </row>
    <row r="261" spans="1:13" ht="15.75" customHeight="1" outlineLevel="2">
      <c r="A261" s="25">
        <v>21</v>
      </c>
      <c r="B261" s="26" t="s">
        <v>515</v>
      </c>
      <c r="C261" s="17" t="s">
        <v>514</v>
      </c>
      <c r="D261" s="26" t="s">
        <v>762</v>
      </c>
      <c r="E261" s="27">
        <v>4</v>
      </c>
      <c r="F261" s="26" t="s">
        <v>1279</v>
      </c>
      <c r="G261" s="28">
        <v>0.007</v>
      </c>
      <c r="H261" s="28">
        <f>G261/E261</f>
        <v>0.00175</v>
      </c>
      <c r="I261" s="16" t="s">
        <v>555</v>
      </c>
      <c r="J261" s="29">
        <v>7.2</v>
      </c>
      <c r="K261" s="58">
        <f>J261*H261</f>
        <v>0.0126</v>
      </c>
      <c r="L261" s="30">
        <f>H261*DEMANDA!$B$9</f>
        <v>0.22925</v>
      </c>
      <c r="M261" s="29">
        <f>L261*J261</f>
        <v>1.6506</v>
      </c>
    </row>
    <row r="262" spans="1:13" ht="15.75" customHeight="1" outlineLevel="1">
      <c r="A262" s="25"/>
      <c r="B262" s="26"/>
      <c r="C262" s="17"/>
      <c r="D262" s="26"/>
      <c r="E262" s="27"/>
      <c r="F262" s="52" t="s">
        <v>1441</v>
      </c>
      <c r="G262" s="28"/>
      <c r="H262" s="28"/>
      <c r="I262" s="16"/>
      <c r="J262" s="29"/>
      <c r="K262" s="58">
        <f>SUBTOTAL(9,K260:K261)</f>
        <v>0.0252</v>
      </c>
      <c r="L262" s="30"/>
      <c r="M262" s="29"/>
    </row>
    <row r="263" spans="1:13" ht="15.75" customHeight="1" outlineLevel="2">
      <c r="A263" s="25">
        <v>4</v>
      </c>
      <c r="B263" s="26" t="s">
        <v>558</v>
      </c>
      <c r="C263" s="17" t="s">
        <v>510</v>
      </c>
      <c r="D263" s="26" t="s">
        <v>763</v>
      </c>
      <c r="E263" s="27">
        <v>2</v>
      </c>
      <c r="F263" s="26" t="s">
        <v>1280</v>
      </c>
      <c r="G263" s="28">
        <v>0.063</v>
      </c>
      <c r="H263" s="28">
        <f>G263/E263</f>
        <v>0.0315</v>
      </c>
      <c r="I263" s="16" t="s">
        <v>555</v>
      </c>
      <c r="J263" s="38">
        <v>3.5</v>
      </c>
      <c r="K263" s="58">
        <f>J263*H263</f>
        <v>0.11025</v>
      </c>
      <c r="L263" s="30">
        <f>H263*DEMANDA!$B$9</f>
        <v>4.1265</v>
      </c>
      <c r="M263" s="29">
        <f>L263*J263</f>
        <v>14.44275</v>
      </c>
    </row>
    <row r="264" spans="1:13" ht="15.75" customHeight="1" outlineLevel="1">
      <c r="A264" s="25"/>
      <c r="B264" s="26"/>
      <c r="C264" s="17"/>
      <c r="D264" s="26"/>
      <c r="E264" s="27"/>
      <c r="F264" s="52" t="s">
        <v>1442</v>
      </c>
      <c r="G264" s="28"/>
      <c r="H264" s="28"/>
      <c r="I264" s="16"/>
      <c r="J264" s="38"/>
      <c r="K264" s="58">
        <f>SUBTOTAL(9,K263:K263)</f>
        <v>0.11025</v>
      </c>
      <c r="L264" s="30"/>
      <c r="M264" s="29"/>
    </row>
    <row r="265" spans="1:13" ht="15.75" customHeight="1" outlineLevel="2">
      <c r="A265" s="25">
        <v>20</v>
      </c>
      <c r="B265" s="26" t="s">
        <v>576</v>
      </c>
      <c r="C265" s="17" t="s">
        <v>514</v>
      </c>
      <c r="D265" s="26" t="s">
        <v>764</v>
      </c>
      <c r="E265" s="27">
        <v>4</v>
      </c>
      <c r="F265" s="26" t="s">
        <v>228</v>
      </c>
      <c r="G265" s="28">
        <v>0.5</v>
      </c>
      <c r="H265" s="28">
        <f>G265/E265</f>
        <v>0.125</v>
      </c>
      <c r="I265" s="16" t="s">
        <v>632</v>
      </c>
      <c r="J265" s="29">
        <v>0.3</v>
      </c>
      <c r="K265" s="58">
        <f>J265*H265</f>
        <v>0.0375</v>
      </c>
      <c r="L265" s="30">
        <f>H265*DEMANDA!$B$9</f>
        <v>16.375</v>
      </c>
      <c r="M265" s="29">
        <f>L265*J265</f>
        <v>4.9125</v>
      </c>
    </row>
    <row r="266" spans="1:13" ht="15.75" customHeight="1" outlineLevel="2">
      <c r="A266" s="25">
        <v>23</v>
      </c>
      <c r="B266" s="26" t="s">
        <v>602</v>
      </c>
      <c r="C266" s="17" t="s">
        <v>510</v>
      </c>
      <c r="D266" s="26" t="s">
        <v>765</v>
      </c>
      <c r="E266" s="27">
        <v>6</v>
      </c>
      <c r="F266" s="26" t="s">
        <v>228</v>
      </c>
      <c r="G266" s="28">
        <v>0.75</v>
      </c>
      <c r="H266" s="28">
        <f>G266/E266</f>
        <v>0.125</v>
      </c>
      <c r="I266" s="16" t="s">
        <v>632</v>
      </c>
      <c r="J266" s="29">
        <v>0.3</v>
      </c>
      <c r="K266" s="58">
        <f>J266*H266</f>
        <v>0.0375</v>
      </c>
      <c r="L266" s="30">
        <f>H266*DEMANDA!$B$9</f>
        <v>16.375</v>
      </c>
      <c r="M266" s="29">
        <f>L266*J266</f>
        <v>4.9125</v>
      </c>
    </row>
    <row r="267" spans="1:13" ht="15.75" customHeight="1" outlineLevel="2">
      <c r="A267" s="25">
        <v>27</v>
      </c>
      <c r="B267" s="26" t="s">
        <v>549</v>
      </c>
      <c r="C267" s="17" t="s">
        <v>514</v>
      </c>
      <c r="D267" s="26" t="s">
        <v>766</v>
      </c>
      <c r="E267" s="27">
        <v>4</v>
      </c>
      <c r="F267" s="26" t="s">
        <v>228</v>
      </c>
      <c r="G267" s="28">
        <v>1</v>
      </c>
      <c r="H267" s="28">
        <f>G267/E267</f>
        <v>0.25</v>
      </c>
      <c r="I267" s="16" t="s">
        <v>632</v>
      </c>
      <c r="J267" s="29">
        <v>0.3</v>
      </c>
      <c r="K267" s="58">
        <f>J267*H267</f>
        <v>0.075</v>
      </c>
      <c r="L267" s="30">
        <f>H267*DEMANDA!$B$9</f>
        <v>32.75</v>
      </c>
      <c r="M267" s="29">
        <f>L267*J267</f>
        <v>9.825</v>
      </c>
    </row>
    <row r="268" spans="1:13" ht="15.75" customHeight="1" outlineLevel="1">
      <c r="A268" s="25"/>
      <c r="B268" s="26"/>
      <c r="C268" s="17"/>
      <c r="D268" s="26"/>
      <c r="E268" s="27"/>
      <c r="F268" s="52" t="s">
        <v>229</v>
      </c>
      <c r="G268" s="28"/>
      <c r="H268" s="28"/>
      <c r="I268" s="16"/>
      <c r="J268" s="29"/>
      <c r="K268" s="58">
        <f>SUBTOTAL(9,K265:K267)</f>
        <v>0.15</v>
      </c>
      <c r="L268" s="30"/>
      <c r="M268" s="29"/>
    </row>
    <row r="269" spans="1:13" ht="15.75" customHeight="1" outlineLevel="2">
      <c r="A269" s="25">
        <v>1</v>
      </c>
      <c r="B269" s="26" t="s">
        <v>590</v>
      </c>
      <c r="C269" s="17" t="s">
        <v>521</v>
      </c>
      <c r="D269" s="26" t="s">
        <v>767</v>
      </c>
      <c r="E269" s="27">
        <v>4</v>
      </c>
      <c r="F269" s="26" t="s">
        <v>1391</v>
      </c>
      <c r="G269" s="28">
        <v>0.25</v>
      </c>
      <c r="H269" s="28">
        <f>G269/E269</f>
        <v>0.0625</v>
      </c>
      <c r="I269" s="16" t="s">
        <v>555</v>
      </c>
      <c r="J269" s="29">
        <v>2.95</v>
      </c>
      <c r="K269" s="58">
        <f>J269*H269</f>
        <v>0.184375</v>
      </c>
      <c r="L269" s="30">
        <f>H269*DEMANDA!$B$9</f>
        <v>8.1875</v>
      </c>
      <c r="M269" s="29">
        <f>L269*J269</f>
        <v>24.153125000000003</v>
      </c>
    </row>
    <row r="270" spans="1:13" ht="15.75" customHeight="1" outlineLevel="2">
      <c r="A270" s="25">
        <v>7</v>
      </c>
      <c r="B270" s="26" t="s">
        <v>673</v>
      </c>
      <c r="C270" s="17" t="s">
        <v>521</v>
      </c>
      <c r="D270" s="26" t="s">
        <v>768</v>
      </c>
      <c r="E270" s="27">
        <v>4</v>
      </c>
      <c r="F270" s="26" t="s">
        <v>1391</v>
      </c>
      <c r="G270" s="28">
        <v>0.082</v>
      </c>
      <c r="H270" s="28">
        <f>G270/E270</f>
        <v>0.0205</v>
      </c>
      <c r="I270" s="16" t="s">
        <v>555</v>
      </c>
      <c r="J270" s="29">
        <v>2.95</v>
      </c>
      <c r="K270" s="58">
        <f>J270*H270</f>
        <v>0.06047500000000001</v>
      </c>
      <c r="L270" s="30">
        <f>H270*DEMANDA!$B$9</f>
        <v>2.6855</v>
      </c>
      <c r="M270" s="29">
        <f>L270*J270</f>
        <v>7.922225000000001</v>
      </c>
    </row>
    <row r="271" spans="1:13" ht="15.75" customHeight="1" outlineLevel="2">
      <c r="A271" s="25">
        <v>25</v>
      </c>
      <c r="B271" s="26" t="s">
        <v>690</v>
      </c>
      <c r="C271" s="17" t="s">
        <v>521</v>
      </c>
      <c r="D271" s="26" t="s">
        <v>769</v>
      </c>
      <c r="E271" s="27">
        <v>4</v>
      </c>
      <c r="F271" s="26" t="s">
        <v>1391</v>
      </c>
      <c r="G271" s="28">
        <v>0.25</v>
      </c>
      <c r="H271" s="28">
        <f>G271/E271</f>
        <v>0.0625</v>
      </c>
      <c r="I271" s="16" t="s">
        <v>555</v>
      </c>
      <c r="J271" s="29">
        <v>2.95</v>
      </c>
      <c r="K271" s="58">
        <f>J271*H271</f>
        <v>0.184375</v>
      </c>
      <c r="L271" s="30">
        <f>H271*DEMANDA!$B$9</f>
        <v>8.1875</v>
      </c>
      <c r="M271" s="29">
        <f>L271*J271</f>
        <v>24.153125000000003</v>
      </c>
    </row>
    <row r="272" spans="1:13" ht="15.75" customHeight="1" outlineLevel="2">
      <c r="A272" s="25">
        <v>26</v>
      </c>
      <c r="B272" s="26" t="s">
        <v>590</v>
      </c>
      <c r="C272" s="17" t="s">
        <v>510</v>
      </c>
      <c r="D272" s="26" t="s">
        <v>767</v>
      </c>
      <c r="E272" s="27">
        <v>4</v>
      </c>
      <c r="F272" s="26" t="s">
        <v>1391</v>
      </c>
      <c r="G272" s="28">
        <v>0.25</v>
      </c>
      <c r="H272" s="28">
        <f>G272/E272</f>
        <v>0.0625</v>
      </c>
      <c r="I272" s="16" t="s">
        <v>555</v>
      </c>
      <c r="J272" s="29">
        <v>2.95</v>
      </c>
      <c r="K272" s="58">
        <f>J272*H272</f>
        <v>0.184375</v>
      </c>
      <c r="L272" s="30">
        <f>H272*DEMANDA!$B$9</f>
        <v>8.1875</v>
      </c>
      <c r="M272" s="29">
        <f>L272*J272</f>
        <v>24.153125000000003</v>
      </c>
    </row>
    <row r="273" spans="1:13" ht="15.75" customHeight="1" outlineLevel="1">
      <c r="A273" s="25"/>
      <c r="B273" s="26"/>
      <c r="C273" s="17"/>
      <c r="D273" s="26"/>
      <c r="E273" s="27"/>
      <c r="F273" s="52" t="s">
        <v>1443</v>
      </c>
      <c r="G273" s="28"/>
      <c r="H273" s="28"/>
      <c r="I273" s="16"/>
      <c r="J273" s="29"/>
      <c r="K273" s="58">
        <f>SUBTOTAL(9,K269:K272)</f>
        <v>0.6136</v>
      </c>
      <c r="L273" s="30"/>
      <c r="M273" s="29"/>
    </row>
    <row r="274" spans="1:13" ht="15.75" customHeight="1" outlineLevel="2">
      <c r="A274" s="25">
        <v>14</v>
      </c>
      <c r="B274" s="26" t="s">
        <v>755</v>
      </c>
      <c r="C274" s="17" t="s">
        <v>514</v>
      </c>
      <c r="D274" s="26" t="s">
        <v>770</v>
      </c>
      <c r="E274" s="27">
        <v>4</v>
      </c>
      <c r="F274" s="26" t="s">
        <v>1281</v>
      </c>
      <c r="G274" s="28">
        <v>0.005</v>
      </c>
      <c r="H274" s="28">
        <f>G274/E274</f>
        <v>0.00125</v>
      </c>
      <c r="I274" s="16" t="s">
        <v>555</v>
      </c>
      <c r="J274" s="29">
        <v>1</v>
      </c>
      <c r="K274" s="58">
        <f>J274*H274</f>
        <v>0.00125</v>
      </c>
      <c r="L274" s="30">
        <f>H274*DEMANDA!$B$9</f>
        <v>0.16375</v>
      </c>
      <c r="M274" s="29">
        <f>L274*J274</f>
        <v>0.16375</v>
      </c>
    </row>
    <row r="275" spans="1:13" ht="15.75" customHeight="1" outlineLevel="2">
      <c r="A275" s="25">
        <v>22</v>
      </c>
      <c r="B275" s="26" t="s">
        <v>663</v>
      </c>
      <c r="C275" s="17" t="s">
        <v>510</v>
      </c>
      <c r="D275" s="26" t="s">
        <v>771</v>
      </c>
      <c r="E275" s="27">
        <v>4</v>
      </c>
      <c r="F275" s="26" t="s">
        <v>1281</v>
      </c>
      <c r="G275" s="28">
        <v>0.0025</v>
      </c>
      <c r="H275" s="28">
        <f>G275/E275</f>
        <v>0.000625</v>
      </c>
      <c r="I275" s="16" t="s">
        <v>555</v>
      </c>
      <c r="J275" s="29">
        <v>1</v>
      </c>
      <c r="K275" s="58">
        <f>J275*H275</f>
        <v>0.000625</v>
      </c>
      <c r="L275" s="30">
        <f>H275*DEMANDA!$B$9</f>
        <v>0.081875</v>
      </c>
      <c r="M275" s="29">
        <f>L275*J275</f>
        <v>0.081875</v>
      </c>
    </row>
    <row r="276" spans="1:13" ht="15.75" customHeight="1" outlineLevel="1">
      <c r="A276" s="25"/>
      <c r="B276" s="26"/>
      <c r="C276" s="17"/>
      <c r="D276" s="26"/>
      <c r="E276" s="27"/>
      <c r="F276" s="52" t="s">
        <v>1444</v>
      </c>
      <c r="G276" s="28"/>
      <c r="H276" s="28"/>
      <c r="I276" s="16"/>
      <c r="J276" s="29"/>
      <c r="K276" s="58">
        <f>SUBTOTAL(9,K274:K275)</f>
        <v>0.001875</v>
      </c>
      <c r="L276" s="30"/>
      <c r="M276" s="29"/>
    </row>
    <row r="277" spans="1:13" ht="15.75" customHeight="1" outlineLevel="2">
      <c r="A277" s="25">
        <v>1</v>
      </c>
      <c r="B277" s="26" t="s">
        <v>509</v>
      </c>
      <c r="C277" s="17" t="s">
        <v>510</v>
      </c>
      <c r="D277" s="26" t="s">
        <v>772</v>
      </c>
      <c r="E277" s="27">
        <v>4</v>
      </c>
      <c r="F277" s="26" t="s">
        <v>230</v>
      </c>
      <c r="G277" s="28">
        <v>0.1</v>
      </c>
      <c r="H277" s="28">
        <f>G277/E277</f>
        <v>0.025</v>
      </c>
      <c r="I277" s="16" t="s">
        <v>555</v>
      </c>
      <c r="J277" s="29">
        <v>0.69</v>
      </c>
      <c r="K277" s="58">
        <f>J277*H277</f>
        <v>0.017249999999999998</v>
      </c>
      <c r="L277" s="30">
        <f>H277*DEMANDA!$B$9</f>
        <v>3.2750000000000004</v>
      </c>
      <c r="M277" s="29">
        <f>L277*J277</f>
        <v>2.25975</v>
      </c>
    </row>
    <row r="278" spans="1:13" ht="15.75" customHeight="1" outlineLevel="2">
      <c r="A278" s="25">
        <v>3</v>
      </c>
      <c r="B278" s="26" t="s">
        <v>524</v>
      </c>
      <c r="C278" s="17" t="s">
        <v>510</v>
      </c>
      <c r="D278" s="26" t="s">
        <v>773</v>
      </c>
      <c r="E278" s="27">
        <v>4</v>
      </c>
      <c r="F278" s="26" t="s">
        <v>230</v>
      </c>
      <c r="G278" s="28">
        <v>1</v>
      </c>
      <c r="H278" s="28">
        <f>G278/E278</f>
        <v>0.25</v>
      </c>
      <c r="I278" s="16" t="s">
        <v>555</v>
      </c>
      <c r="J278" s="29">
        <v>0.69</v>
      </c>
      <c r="K278" s="58">
        <f>J278*H278</f>
        <v>0.1725</v>
      </c>
      <c r="L278" s="30">
        <f>H278*DEMANDA!$B$9</f>
        <v>32.75</v>
      </c>
      <c r="M278" s="29">
        <f>L278*J278</f>
        <v>22.597499999999997</v>
      </c>
    </row>
    <row r="279" spans="1:13" ht="15.75" customHeight="1" outlineLevel="2">
      <c r="A279" s="25">
        <v>12</v>
      </c>
      <c r="B279" s="26" t="s">
        <v>537</v>
      </c>
      <c r="C279" s="17" t="s">
        <v>514</v>
      </c>
      <c r="D279" s="26" t="s">
        <v>774</v>
      </c>
      <c r="E279" s="27">
        <v>4</v>
      </c>
      <c r="F279" s="26" t="s">
        <v>230</v>
      </c>
      <c r="G279" s="28">
        <v>0.1</v>
      </c>
      <c r="H279" s="28">
        <f>G279/E279</f>
        <v>0.025</v>
      </c>
      <c r="I279" s="16" t="s">
        <v>555</v>
      </c>
      <c r="J279" s="29">
        <v>0.69</v>
      </c>
      <c r="K279" s="58">
        <f>J279*H279</f>
        <v>0.017249999999999998</v>
      </c>
      <c r="L279" s="30">
        <f>H279*DEMANDA!$B$9</f>
        <v>3.2750000000000004</v>
      </c>
      <c r="M279" s="29">
        <f>L279*J279</f>
        <v>2.25975</v>
      </c>
    </row>
    <row r="280" spans="1:13" ht="15.75" customHeight="1" outlineLevel="2">
      <c r="A280" s="25">
        <v>13</v>
      </c>
      <c r="B280" s="26" t="s">
        <v>775</v>
      </c>
      <c r="C280" s="17" t="s">
        <v>510</v>
      </c>
      <c r="D280" s="26" t="s">
        <v>776</v>
      </c>
      <c r="E280" s="27">
        <v>4</v>
      </c>
      <c r="F280" s="26" t="s">
        <v>230</v>
      </c>
      <c r="G280" s="28">
        <v>0.137</v>
      </c>
      <c r="H280" s="28">
        <f>G280/E280</f>
        <v>0.03425</v>
      </c>
      <c r="I280" s="16" t="s">
        <v>555</v>
      </c>
      <c r="J280" s="29">
        <v>0.69</v>
      </c>
      <c r="K280" s="58">
        <f>J280*H280</f>
        <v>0.0236325</v>
      </c>
      <c r="L280" s="30">
        <f>H280*DEMANDA!$B$9</f>
        <v>4.486750000000001</v>
      </c>
      <c r="M280" s="29">
        <f>L280*J280</f>
        <v>3.0958575</v>
      </c>
    </row>
    <row r="281" spans="1:13" ht="15.75" customHeight="1" outlineLevel="2">
      <c r="A281" s="25">
        <v>20</v>
      </c>
      <c r="B281" s="26" t="s">
        <v>600</v>
      </c>
      <c r="C281" s="17" t="s">
        <v>510</v>
      </c>
      <c r="D281" s="26" t="s">
        <v>777</v>
      </c>
      <c r="E281" s="27">
        <v>6</v>
      </c>
      <c r="F281" s="26" t="s">
        <v>230</v>
      </c>
      <c r="G281" s="28">
        <v>0.8</v>
      </c>
      <c r="H281" s="28">
        <f>G281/E281</f>
        <v>0.13333333333333333</v>
      </c>
      <c r="I281" s="16" t="s">
        <v>555</v>
      </c>
      <c r="J281" s="29">
        <v>0.69</v>
      </c>
      <c r="K281" s="58">
        <f>J281*H281</f>
        <v>0.092</v>
      </c>
      <c r="L281" s="30">
        <f>H281*DEMANDA!$B$9</f>
        <v>17.466666666666665</v>
      </c>
      <c r="M281" s="29">
        <f>L281*J281</f>
        <v>12.051999999999998</v>
      </c>
    </row>
    <row r="282" spans="1:13" ht="15.75" customHeight="1" outlineLevel="1">
      <c r="A282" s="25"/>
      <c r="B282" s="26"/>
      <c r="C282" s="17"/>
      <c r="D282" s="26"/>
      <c r="E282" s="27"/>
      <c r="F282" s="52" t="s">
        <v>1445</v>
      </c>
      <c r="G282" s="28"/>
      <c r="H282" s="28"/>
      <c r="I282" s="16"/>
      <c r="J282" s="29"/>
      <c r="K282" s="58">
        <f>SUBTOTAL(9,K277:K281)</f>
        <v>0.3226325</v>
      </c>
      <c r="L282" s="30"/>
      <c r="M282" s="29"/>
    </row>
    <row r="283" spans="1:13" ht="15.75" customHeight="1" outlineLevel="2">
      <c r="A283" s="25">
        <v>9</v>
      </c>
      <c r="B283" s="26" t="s">
        <v>531</v>
      </c>
      <c r="C283" s="17" t="s">
        <v>510</v>
      </c>
      <c r="D283" s="26" t="s">
        <v>778</v>
      </c>
      <c r="E283" s="27">
        <v>4</v>
      </c>
      <c r="F283" s="26" t="s">
        <v>1282</v>
      </c>
      <c r="G283" s="28">
        <v>0.015</v>
      </c>
      <c r="H283" s="28">
        <f>G283/E283</f>
        <v>0.00375</v>
      </c>
      <c r="I283" s="16" t="s">
        <v>555</v>
      </c>
      <c r="J283" s="38">
        <v>10</v>
      </c>
      <c r="K283" s="58">
        <f>J283*H283</f>
        <v>0.0375</v>
      </c>
      <c r="L283" s="30">
        <f>H283*DEMANDA!$B$9</f>
        <v>0.49124999999999996</v>
      </c>
      <c r="M283" s="29">
        <f>L283*J283</f>
        <v>4.9125</v>
      </c>
    </row>
    <row r="284" spans="1:13" ht="15.75" customHeight="1" outlineLevel="1">
      <c r="A284" s="25"/>
      <c r="B284" s="26"/>
      <c r="C284" s="17"/>
      <c r="D284" s="26"/>
      <c r="E284" s="27"/>
      <c r="F284" s="52" t="s">
        <v>1446</v>
      </c>
      <c r="G284" s="28"/>
      <c r="H284" s="28"/>
      <c r="I284" s="16"/>
      <c r="J284" s="38"/>
      <c r="K284" s="58">
        <f>SUBTOTAL(9,K283:K283)</f>
        <v>0.0375</v>
      </c>
      <c r="L284" s="30"/>
      <c r="M284" s="29"/>
    </row>
    <row r="285" spans="1:13" ht="15.75" customHeight="1" outlineLevel="2">
      <c r="A285" s="32">
        <v>30</v>
      </c>
      <c r="B285" s="33" t="s">
        <v>643</v>
      </c>
      <c r="C285" s="34" t="s">
        <v>521</v>
      </c>
      <c r="D285" s="33" t="s">
        <v>779</v>
      </c>
      <c r="E285" s="35">
        <v>4</v>
      </c>
      <c r="F285" s="33" t="s">
        <v>1283</v>
      </c>
      <c r="G285" s="36">
        <v>0.00125</v>
      </c>
      <c r="H285" s="28">
        <f>G285/E285</f>
        <v>0.0003125</v>
      </c>
      <c r="I285" s="16" t="s">
        <v>512</v>
      </c>
      <c r="J285" s="38">
        <v>12</v>
      </c>
      <c r="K285" s="58">
        <f>J285*H285</f>
        <v>0.00375</v>
      </c>
      <c r="L285" s="30">
        <f>H285*DEMANDA!$B$9</f>
        <v>0.0409375</v>
      </c>
      <c r="M285" s="29">
        <f>L285*J285</f>
        <v>0.49125</v>
      </c>
    </row>
    <row r="286" spans="1:13" ht="15.75" customHeight="1" outlineLevel="2">
      <c r="A286" s="32">
        <v>25</v>
      </c>
      <c r="B286" s="33" t="s">
        <v>643</v>
      </c>
      <c r="C286" s="34" t="s">
        <v>510</v>
      </c>
      <c r="D286" s="33" t="s">
        <v>779</v>
      </c>
      <c r="E286" s="35">
        <v>4</v>
      </c>
      <c r="F286" s="33" t="s">
        <v>1283</v>
      </c>
      <c r="G286" s="36">
        <v>0.00125</v>
      </c>
      <c r="H286" s="28">
        <f>G286/E286</f>
        <v>0.0003125</v>
      </c>
      <c r="I286" s="16" t="s">
        <v>512</v>
      </c>
      <c r="J286" s="38">
        <v>12</v>
      </c>
      <c r="K286" s="58">
        <f>J286*H286</f>
        <v>0.00375</v>
      </c>
      <c r="L286" s="30">
        <f>H286*DEMANDA!$B$9</f>
        <v>0.0409375</v>
      </c>
      <c r="M286" s="29">
        <f>L286*J286</f>
        <v>0.49125</v>
      </c>
    </row>
    <row r="287" spans="1:13" ht="15.75" customHeight="1" outlineLevel="1">
      <c r="A287" s="32"/>
      <c r="B287" s="33"/>
      <c r="C287" s="34"/>
      <c r="D287" s="33"/>
      <c r="E287" s="35"/>
      <c r="F287" s="43" t="s">
        <v>1447</v>
      </c>
      <c r="G287" s="36"/>
      <c r="H287" s="28"/>
      <c r="I287" s="16"/>
      <c r="J287" s="38"/>
      <c r="K287" s="58">
        <f>SUBTOTAL(9,K285:K286)</f>
        <v>0.0075</v>
      </c>
      <c r="L287" s="30"/>
      <c r="M287" s="29"/>
    </row>
    <row r="288" spans="1:13" ht="15.75" customHeight="1" outlineLevel="2">
      <c r="A288" s="25">
        <v>19</v>
      </c>
      <c r="B288" s="26" t="s">
        <v>781</v>
      </c>
      <c r="C288" s="17" t="s">
        <v>521</v>
      </c>
      <c r="D288" s="26" t="s">
        <v>782</v>
      </c>
      <c r="E288" s="27">
        <v>4</v>
      </c>
      <c r="F288" s="26" t="s">
        <v>1284</v>
      </c>
      <c r="G288" s="28">
        <v>0.00125</v>
      </c>
      <c r="H288" s="28">
        <f>G288/E288</f>
        <v>0.0003125</v>
      </c>
      <c r="I288" s="16" t="s">
        <v>512</v>
      </c>
      <c r="J288" s="38">
        <v>12</v>
      </c>
      <c r="K288" s="58">
        <f>J288*H288</f>
        <v>0.00375</v>
      </c>
      <c r="L288" s="30">
        <f>H288*DEMANDA!$B$9</f>
        <v>0.0409375</v>
      </c>
      <c r="M288" s="29">
        <f>L288*J288</f>
        <v>0.49125</v>
      </c>
    </row>
    <row r="289" spans="1:13" ht="15.75" customHeight="1" outlineLevel="2">
      <c r="A289" s="25">
        <v>6</v>
      </c>
      <c r="B289" s="26" t="s">
        <v>561</v>
      </c>
      <c r="C289" s="17" t="s">
        <v>521</v>
      </c>
      <c r="D289" s="26" t="s">
        <v>780</v>
      </c>
      <c r="E289" s="27">
        <v>6</v>
      </c>
      <c r="F289" s="26" t="s">
        <v>1284</v>
      </c>
      <c r="G289" s="28">
        <v>0.03</v>
      </c>
      <c r="H289" s="28">
        <f>G289/E289</f>
        <v>0.005</v>
      </c>
      <c r="I289" s="16" t="s">
        <v>512</v>
      </c>
      <c r="J289" s="38">
        <v>12</v>
      </c>
      <c r="K289" s="58">
        <f>J289*H289</f>
        <v>0.06</v>
      </c>
      <c r="L289" s="30">
        <f>H289*DEMANDA!$B$9</f>
        <v>0.655</v>
      </c>
      <c r="M289" s="29">
        <f>L289*J289</f>
        <v>7.86</v>
      </c>
    </row>
    <row r="290" spans="1:13" ht="15.75" customHeight="1" outlineLevel="2">
      <c r="A290" s="25">
        <v>24</v>
      </c>
      <c r="B290" s="26" t="s">
        <v>668</v>
      </c>
      <c r="C290" s="17" t="s">
        <v>510</v>
      </c>
      <c r="D290" s="26" t="s">
        <v>783</v>
      </c>
      <c r="E290" s="27">
        <v>10</v>
      </c>
      <c r="F290" s="26" t="s">
        <v>1284</v>
      </c>
      <c r="G290" s="28">
        <v>0.00375</v>
      </c>
      <c r="H290" s="28">
        <f>G290/E290</f>
        <v>0.000375</v>
      </c>
      <c r="I290" s="16" t="s">
        <v>512</v>
      </c>
      <c r="J290" s="38">
        <v>12</v>
      </c>
      <c r="K290" s="58">
        <f>J290*H290</f>
        <v>0.0045000000000000005</v>
      </c>
      <c r="L290" s="30">
        <f>H290*DEMANDA!$B$9</f>
        <v>0.049125</v>
      </c>
      <c r="M290" s="29">
        <f>L290*J290</f>
        <v>0.5895</v>
      </c>
    </row>
    <row r="291" spans="1:13" ht="15.75" customHeight="1" outlineLevel="2">
      <c r="A291" s="25">
        <v>28</v>
      </c>
      <c r="B291" s="26" t="s">
        <v>781</v>
      </c>
      <c r="C291" s="17" t="s">
        <v>510</v>
      </c>
      <c r="D291" s="26" t="s">
        <v>782</v>
      </c>
      <c r="E291" s="27">
        <v>4</v>
      </c>
      <c r="F291" s="26" t="s">
        <v>1284</v>
      </c>
      <c r="G291" s="28">
        <v>0.00125</v>
      </c>
      <c r="H291" s="28">
        <f>G291/E291</f>
        <v>0.0003125</v>
      </c>
      <c r="I291" s="16" t="s">
        <v>512</v>
      </c>
      <c r="J291" s="38">
        <v>12</v>
      </c>
      <c r="K291" s="58">
        <f>J291*H291</f>
        <v>0.00375</v>
      </c>
      <c r="L291" s="30">
        <f>H291*DEMANDA!$B$9</f>
        <v>0.0409375</v>
      </c>
      <c r="M291" s="29">
        <f>L291*J291</f>
        <v>0.49125</v>
      </c>
    </row>
    <row r="292" spans="1:13" ht="15.75" customHeight="1" outlineLevel="2">
      <c r="A292" s="25">
        <v>30</v>
      </c>
      <c r="B292" s="26" t="s">
        <v>598</v>
      </c>
      <c r="C292" s="17" t="s">
        <v>510</v>
      </c>
      <c r="D292" s="26" t="s">
        <v>784</v>
      </c>
      <c r="E292" s="27">
        <v>8</v>
      </c>
      <c r="F292" s="26" t="s">
        <v>1284</v>
      </c>
      <c r="G292" s="28">
        <v>0.0025</v>
      </c>
      <c r="H292" s="28">
        <f>G292/E292</f>
        <v>0.0003125</v>
      </c>
      <c r="I292" s="16" t="s">
        <v>512</v>
      </c>
      <c r="J292" s="38">
        <v>12</v>
      </c>
      <c r="K292" s="58">
        <f>J292*H292</f>
        <v>0.00375</v>
      </c>
      <c r="L292" s="30">
        <f>H292*DEMANDA!$B$9</f>
        <v>0.0409375</v>
      </c>
      <c r="M292" s="29">
        <f>L292*J292</f>
        <v>0.49125</v>
      </c>
    </row>
    <row r="293" spans="1:13" ht="15.75" customHeight="1" outlineLevel="1">
      <c r="A293" s="25"/>
      <c r="B293" s="26"/>
      <c r="C293" s="17"/>
      <c r="D293" s="26"/>
      <c r="E293" s="27"/>
      <c r="F293" s="52" t="s">
        <v>1448</v>
      </c>
      <c r="G293" s="28"/>
      <c r="H293" s="28"/>
      <c r="I293" s="16"/>
      <c r="J293" s="38"/>
      <c r="K293" s="58">
        <f>SUBTOTAL(9,K288:K292)</f>
        <v>0.07575000000000001</v>
      </c>
      <c r="L293" s="30"/>
      <c r="M293" s="29"/>
    </row>
    <row r="294" spans="1:13" ht="15.75" customHeight="1" outlineLevel="2">
      <c r="A294" s="25">
        <v>5</v>
      </c>
      <c r="B294" s="26" t="s">
        <v>559</v>
      </c>
      <c r="C294" s="17" t="s">
        <v>510</v>
      </c>
      <c r="D294" s="26" t="s">
        <v>785</v>
      </c>
      <c r="E294" s="27">
        <v>4</v>
      </c>
      <c r="F294" s="26" t="s">
        <v>1285</v>
      </c>
      <c r="G294" s="28">
        <v>0.5</v>
      </c>
      <c r="H294" s="28">
        <f>G294/E294</f>
        <v>0.125</v>
      </c>
      <c r="I294" s="16" t="s">
        <v>555</v>
      </c>
      <c r="J294" s="29">
        <v>1.87</v>
      </c>
      <c r="K294" s="58">
        <f>J294*H294</f>
        <v>0.23375</v>
      </c>
      <c r="L294" s="30">
        <f>H294*DEMANDA!$B$9</f>
        <v>16.375</v>
      </c>
      <c r="M294" s="29">
        <f>L294*J294</f>
        <v>30.621250000000003</v>
      </c>
    </row>
    <row r="295" spans="1:13" ht="15.75" customHeight="1" outlineLevel="2">
      <c r="A295" s="25">
        <v>7</v>
      </c>
      <c r="B295" s="26" t="s">
        <v>529</v>
      </c>
      <c r="C295" s="17" t="s">
        <v>510</v>
      </c>
      <c r="D295" s="26" t="s">
        <v>786</v>
      </c>
      <c r="E295" s="27">
        <v>2</v>
      </c>
      <c r="F295" s="26" t="s">
        <v>1285</v>
      </c>
      <c r="G295" s="28">
        <v>0.25</v>
      </c>
      <c r="H295" s="28">
        <f>G295/E295</f>
        <v>0.125</v>
      </c>
      <c r="I295" s="16" t="s">
        <v>555</v>
      </c>
      <c r="J295" s="29">
        <v>1.87</v>
      </c>
      <c r="K295" s="58">
        <f>J295*H295</f>
        <v>0.23375</v>
      </c>
      <c r="L295" s="30">
        <f>H295*DEMANDA!$B$9</f>
        <v>16.375</v>
      </c>
      <c r="M295" s="29">
        <f>L295*J295</f>
        <v>30.621250000000003</v>
      </c>
    </row>
    <row r="296" spans="1:13" ht="15.75" customHeight="1" outlineLevel="1">
      <c r="A296" s="25"/>
      <c r="B296" s="26"/>
      <c r="C296" s="17"/>
      <c r="D296" s="26"/>
      <c r="E296" s="27"/>
      <c r="F296" s="52" t="s">
        <v>1449</v>
      </c>
      <c r="G296" s="28"/>
      <c r="H296" s="28"/>
      <c r="I296" s="16"/>
      <c r="J296" s="29"/>
      <c r="K296" s="58">
        <f>SUBTOTAL(9,K294:K295)</f>
        <v>0.4675</v>
      </c>
      <c r="L296" s="30"/>
      <c r="M296" s="29"/>
    </row>
    <row r="297" spans="1:13" ht="15.75" customHeight="1" outlineLevel="2">
      <c r="A297" s="25">
        <v>7</v>
      </c>
      <c r="B297" s="26" t="s">
        <v>673</v>
      </c>
      <c r="C297" s="17" t="s">
        <v>521</v>
      </c>
      <c r="D297" s="26" t="s">
        <v>787</v>
      </c>
      <c r="E297" s="27">
        <v>4</v>
      </c>
      <c r="F297" s="26" t="s">
        <v>1286</v>
      </c>
      <c r="G297" s="28">
        <v>0.06</v>
      </c>
      <c r="H297" s="28">
        <f>G297/E297</f>
        <v>0.015</v>
      </c>
      <c r="I297" s="16" t="s">
        <v>555</v>
      </c>
      <c r="J297" s="29">
        <v>3.26</v>
      </c>
      <c r="K297" s="58">
        <f>J297*H297</f>
        <v>0.04889999999999999</v>
      </c>
      <c r="L297" s="30">
        <f>H297*DEMANDA!$B$9</f>
        <v>1.9649999999999999</v>
      </c>
      <c r="M297" s="29">
        <f>L297*J297</f>
        <v>6.405899999999999</v>
      </c>
    </row>
    <row r="298" spans="1:13" ht="15.75" customHeight="1" outlineLevel="1">
      <c r="A298" s="25"/>
      <c r="B298" s="26"/>
      <c r="C298" s="17"/>
      <c r="D298" s="26"/>
      <c r="E298" s="27"/>
      <c r="F298" s="52" t="s">
        <v>1450</v>
      </c>
      <c r="G298" s="28"/>
      <c r="H298" s="28"/>
      <c r="I298" s="16"/>
      <c r="J298" s="29"/>
      <c r="K298" s="58">
        <f>SUBTOTAL(9,K297:K297)</f>
        <v>0.04889999999999999</v>
      </c>
      <c r="L298" s="30"/>
      <c r="M298" s="29"/>
    </row>
    <row r="299" spans="1:13" ht="15.75" customHeight="1" outlineLevel="2">
      <c r="A299" s="25">
        <v>1</v>
      </c>
      <c r="B299" s="26" t="s">
        <v>518</v>
      </c>
      <c r="C299" s="17" t="s">
        <v>514</v>
      </c>
      <c r="D299" s="26" t="s">
        <v>788</v>
      </c>
      <c r="E299" s="27">
        <v>4</v>
      </c>
      <c r="F299" s="26" t="s">
        <v>1287</v>
      </c>
      <c r="G299" s="28">
        <v>0.2</v>
      </c>
      <c r="H299" s="28">
        <f>G299/E299</f>
        <v>0.05</v>
      </c>
      <c r="I299" s="16" t="s">
        <v>555</v>
      </c>
      <c r="J299" s="29">
        <v>4.32</v>
      </c>
      <c r="K299" s="58">
        <f>J299*H299</f>
        <v>0.21600000000000003</v>
      </c>
      <c r="L299" s="30">
        <f>H299*DEMANDA!$B$9</f>
        <v>6.550000000000001</v>
      </c>
      <c r="M299" s="29">
        <f>L299*J299</f>
        <v>28.296000000000006</v>
      </c>
    </row>
    <row r="300" spans="1:13" ht="15.75" customHeight="1" outlineLevel="2">
      <c r="A300" s="25">
        <v>7</v>
      </c>
      <c r="B300" s="26" t="s">
        <v>529</v>
      </c>
      <c r="C300" s="17" t="s">
        <v>510</v>
      </c>
      <c r="D300" s="26" t="s">
        <v>789</v>
      </c>
      <c r="E300" s="27">
        <v>4</v>
      </c>
      <c r="F300" s="26" t="s">
        <v>1287</v>
      </c>
      <c r="G300" s="28">
        <v>0.4</v>
      </c>
      <c r="H300" s="28">
        <f>G300/E300</f>
        <v>0.1</v>
      </c>
      <c r="I300" s="16" t="s">
        <v>555</v>
      </c>
      <c r="J300" s="29">
        <v>4.32</v>
      </c>
      <c r="K300" s="58">
        <f>J300*H300</f>
        <v>0.43200000000000005</v>
      </c>
      <c r="L300" s="30">
        <f>H300*DEMANDA!$B$9</f>
        <v>13.100000000000001</v>
      </c>
      <c r="M300" s="29">
        <f>L300*J300</f>
        <v>56.59200000000001</v>
      </c>
    </row>
    <row r="301" spans="1:13" ht="15.75" customHeight="1" outlineLevel="1">
      <c r="A301" s="25"/>
      <c r="B301" s="26"/>
      <c r="C301" s="17"/>
      <c r="D301" s="26"/>
      <c r="E301" s="27"/>
      <c r="F301" s="52" t="s">
        <v>1451</v>
      </c>
      <c r="G301" s="28"/>
      <c r="H301" s="28"/>
      <c r="I301" s="16"/>
      <c r="J301" s="29"/>
      <c r="K301" s="58">
        <f>SUBTOTAL(9,K299:K300)</f>
        <v>0.6480000000000001</v>
      </c>
      <c r="L301" s="30"/>
      <c r="M301" s="29"/>
    </row>
    <row r="302" spans="1:13" ht="15.75" customHeight="1" outlineLevel="2">
      <c r="A302" s="25">
        <v>11</v>
      </c>
      <c r="B302" s="26" t="s">
        <v>588</v>
      </c>
      <c r="C302" s="17" t="s">
        <v>514</v>
      </c>
      <c r="D302" s="26" t="s">
        <v>790</v>
      </c>
      <c r="E302" s="27">
        <v>4</v>
      </c>
      <c r="F302" s="26" t="s">
        <v>1288</v>
      </c>
      <c r="G302" s="28">
        <v>0.2</v>
      </c>
      <c r="H302" s="28">
        <f>G302/E302</f>
        <v>0.05</v>
      </c>
      <c r="I302" s="16" t="s">
        <v>555</v>
      </c>
      <c r="J302" s="29">
        <v>4.24</v>
      </c>
      <c r="K302" s="58">
        <f>J302*H302</f>
        <v>0.21200000000000002</v>
      </c>
      <c r="L302" s="30">
        <f>H302*DEMANDA!$B$9</f>
        <v>6.550000000000001</v>
      </c>
      <c r="M302" s="29">
        <f>L302*J302</f>
        <v>27.772000000000006</v>
      </c>
    </row>
    <row r="303" spans="1:13" ht="15.75" customHeight="1" outlineLevel="2">
      <c r="A303" s="25">
        <v>26</v>
      </c>
      <c r="B303" s="26" t="s">
        <v>791</v>
      </c>
      <c r="C303" s="17" t="s">
        <v>514</v>
      </c>
      <c r="D303" s="26" t="s">
        <v>790</v>
      </c>
      <c r="E303" s="27">
        <v>4</v>
      </c>
      <c r="F303" s="26" t="s">
        <v>1288</v>
      </c>
      <c r="G303" s="28">
        <v>0.2</v>
      </c>
      <c r="H303" s="28">
        <f>G303/E303</f>
        <v>0.05</v>
      </c>
      <c r="I303" s="16" t="s">
        <v>555</v>
      </c>
      <c r="J303" s="29">
        <v>4.24</v>
      </c>
      <c r="K303" s="58">
        <f>J303*H303</f>
        <v>0.21200000000000002</v>
      </c>
      <c r="L303" s="30">
        <f>H303*DEMANDA!$B$9</f>
        <v>6.550000000000001</v>
      </c>
      <c r="M303" s="29">
        <f>L303*J303</f>
        <v>27.772000000000006</v>
      </c>
    </row>
    <row r="304" spans="1:13" ht="15.75" customHeight="1" outlineLevel="1">
      <c r="A304" s="25"/>
      <c r="B304" s="26"/>
      <c r="C304" s="17"/>
      <c r="D304" s="26"/>
      <c r="E304" s="27"/>
      <c r="F304" s="52" t="s">
        <v>1452</v>
      </c>
      <c r="G304" s="28"/>
      <c r="H304" s="28"/>
      <c r="I304" s="16"/>
      <c r="J304" s="29"/>
      <c r="K304" s="58">
        <f>SUBTOTAL(9,K302:K303)</f>
        <v>0.42400000000000004</v>
      </c>
      <c r="L304" s="30"/>
      <c r="M304" s="29"/>
    </row>
    <row r="305" spans="1:13" ht="15.75" customHeight="1" outlineLevel="2">
      <c r="A305" s="25">
        <v>8</v>
      </c>
      <c r="B305" s="26" t="s">
        <v>675</v>
      </c>
      <c r="C305" s="17" t="s">
        <v>510</v>
      </c>
      <c r="D305" s="26" t="s">
        <v>802</v>
      </c>
      <c r="E305" s="27">
        <v>4</v>
      </c>
      <c r="F305" s="26" t="s">
        <v>1289</v>
      </c>
      <c r="G305" s="28">
        <v>0.25</v>
      </c>
      <c r="H305" s="28">
        <f>G305/E305</f>
        <v>0.0625</v>
      </c>
      <c r="I305" s="16" t="s">
        <v>555</v>
      </c>
      <c r="J305" s="29">
        <v>2.4</v>
      </c>
      <c r="K305" s="58">
        <f>J305*H305</f>
        <v>0.15</v>
      </c>
      <c r="L305" s="30">
        <f>H305*DEMANDA!$B$9</f>
        <v>8.1875</v>
      </c>
      <c r="M305" s="29">
        <f>L305*J305</f>
        <v>19.65</v>
      </c>
    </row>
    <row r="306" spans="1:13" ht="15.75" customHeight="1" outlineLevel="1">
      <c r="A306" s="25"/>
      <c r="B306" s="26"/>
      <c r="C306" s="17"/>
      <c r="D306" s="26"/>
      <c r="E306" s="27"/>
      <c r="F306" s="52" t="s">
        <v>1453</v>
      </c>
      <c r="G306" s="28"/>
      <c r="H306" s="28"/>
      <c r="I306" s="16"/>
      <c r="J306" s="29"/>
      <c r="K306" s="58">
        <f>SUBTOTAL(9,K305:K305)</f>
        <v>0.15</v>
      </c>
      <c r="L306" s="30"/>
      <c r="M306" s="29"/>
    </row>
    <row r="307" spans="1:13" ht="15.75" customHeight="1" outlineLevel="2">
      <c r="A307" s="25">
        <v>20</v>
      </c>
      <c r="B307" s="26" t="s">
        <v>600</v>
      </c>
      <c r="C307" s="17" t="s">
        <v>510</v>
      </c>
      <c r="D307" s="26" t="s">
        <v>803</v>
      </c>
      <c r="E307" s="27">
        <v>6</v>
      </c>
      <c r="F307" s="26" t="s">
        <v>1290</v>
      </c>
      <c r="G307" s="28">
        <v>0.4</v>
      </c>
      <c r="H307" s="28">
        <f>G307/E307</f>
        <v>0.06666666666666667</v>
      </c>
      <c r="I307" s="16" t="s">
        <v>555</v>
      </c>
      <c r="J307" s="29">
        <v>4.2</v>
      </c>
      <c r="K307" s="58">
        <f>J307*H307</f>
        <v>0.28</v>
      </c>
      <c r="L307" s="30">
        <f>H307*DEMANDA!$B$9</f>
        <v>8.733333333333333</v>
      </c>
      <c r="M307" s="29">
        <f>L307*J307</f>
        <v>36.68</v>
      </c>
    </row>
    <row r="308" spans="1:13" ht="15.75" customHeight="1" outlineLevel="1">
      <c r="A308" s="25"/>
      <c r="B308" s="26"/>
      <c r="C308" s="17"/>
      <c r="D308" s="26"/>
      <c r="E308" s="27"/>
      <c r="F308" s="52" t="s">
        <v>1454</v>
      </c>
      <c r="G308" s="28"/>
      <c r="H308" s="28"/>
      <c r="I308" s="16"/>
      <c r="J308" s="29"/>
      <c r="K308" s="58">
        <f>SUBTOTAL(9,K307:K307)</f>
        <v>0.28</v>
      </c>
      <c r="L308" s="30"/>
      <c r="M308" s="29"/>
    </row>
    <row r="309" spans="1:13" ht="15.75" customHeight="1" outlineLevel="2">
      <c r="A309" s="25">
        <v>13</v>
      </c>
      <c r="B309" s="26" t="s">
        <v>655</v>
      </c>
      <c r="C309" s="17" t="s">
        <v>514</v>
      </c>
      <c r="D309" s="26" t="s">
        <v>804</v>
      </c>
      <c r="E309" s="27">
        <v>4</v>
      </c>
      <c r="F309" s="26" t="s">
        <v>1291</v>
      </c>
      <c r="G309" s="28">
        <v>0.228</v>
      </c>
      <c r="H309" s="28">
        <f>G309/E309</f>
        <v>0.057</v>
      </c>
      <c r="I309" s="16" t="s">
        <v>555</v>
      </c>
      <c r="J309" s="29">
        <v>3.86</v>
      </c>
      <c r="K309" s="58">
        <f>J309*H309</f>
        <v>0.22002</v>
      </c>
      <c r="L309" s="30">
        <f>H309*DEMANDA!$B$9</f>
        <v>7.4670000000000005</v>
      </c>
      <c r="M309" s="29">
        <f>L309*J309</f>
        <v>28.82262</v>
      </c>
    </row>
    <row r="310" spans="1:13" ht="15.75" customHeight="1" outlineLevel="2">
      <c r="A310" s="25">
        <v>19</v>
      </c>
      <c r="B310" s="26" t="s">
        <v>544</v>
      </c>
      <c r="C310" s="17" t="s">
        <v>514</v>
      </c>
      <c r="D310" s="26" t="s">
        <v>805</v>
      </c>
      <c r="E310" s="27">
        <v>4</v>
      </c>
      <c r="F310" s="26" t="s">
        <v>1291</v>
      </c>
      <c r="G310" s="28">
        <v>0.18</v>
      </c>
      <c r="H310" s="28">
        <f>G310/E310</f>
        <v>0.045</v>
      </c>
      <c r="I310" s="16" t="s">
        <v>555</v>
      </c>
      <c r="J310" s="29">
        <v>3.86</v>
      </c>
      <c r="K310" s="58">
        <f>J310*H310</f>
        <v>0.1737</v>
      </c>
      <c r="L310" s="30">
        <f>H310*DEMANDA!$B$9</f>
        <v>5.895</v>
      </c>
      <c r="M310" s="29">
        <f>L310*J310</f>
        <v>22.754699999999996</v>
      </c>
    </row>
    <row r="311" spans="1:13" ht="15.75" customHeight="1" outlineLevel="1">
      <c r="A311" s="25"/>
      <c r="B311" s="26"/>
      <c r="C311" s="17"/>
      <c r="D311" s="26"/>
      <c r="E311" s="27"/>
      <c r="F311" s="52" t="s">
        <v>1455</v>
      </c>
      <c r="G311" s="28"/>
      <c r="H311" s="28"/>
      <c r="I311" s="16"/>
      <c r="J311" s="29"/>
      <c r="K311" s="58">
        <f>SUBTOTAL(9,K309:K310)</f>
        <v>0.39371999999999996</v>
      </c>
      <c r="L311" s="30"/>
      <c r="M311" s="29"/>
    </row>
    <row r="312" spans="1:13" ht="15.75" customHeight="1" outlineLevel="2">
      <c r="A312" s="25">
        <v>19</v>
      </c>
      <c r="B312" s="26" t="s">
        <v>544</v>
      </c>
      <c r="C312" s="17" t="s">
        <v>514</v>
      </c>
      <c r="D312" s="26" t="s">
        <v>806</v>
      </c>
      <c r="E312" s="27">
        <v>4</v>
      </c>
      <c r="F312" s="26" t="s">
        <v>1392</v>
      </c>
      <c r="G312" s="28">
        <v>0.1</v>
      </c>
      <c r="H312" s="28">
        <f>G312/E312</f>
        <v>0.025</v>
      </c>
      <c r="I312" s="16" t="s">
        <v>555</v>
      </c>
      <c r="J312" s="29">
        <v>6.93</v>
      </c>
      <c r="K312" s="58">
        <f>J312*H312</f>
        <v>0.17325000000000002</v>
      </c>
      <c r="L312" s="30">
        <f>H312*DEMANDA!$B$9</f>
        <v>3.2750000000000004</v>
      </c>
      <c r="M312" s="29">
        <f>L312*J312</f>
        <v>22.69575</v>
      </c>
    </row>
    <row r="313" spans="1:13" ht="15.75" customHeight="1" outlineLevel="1">
      <c r="A313" s="25"/>
      <c r="B313" s="26"/>
      <c r="C313" s="17"/>
      <c r="D313" s="26"/>
      <c r="E313" s="27"/>
      <c r="F313" s="52" t="s">
        <v>1456</v>
      </c>
      <c r="G313" s="28"/>
      <c r="H313" s="28"/>
      <c r="I313" s="16"/>
      <c r="J313" s="29"/>
      <c r="K313" s="58">
        <f>SUBTOTAL(9,K312:K312)</f>
        <v>0.17325000000000002</v>
      </c>
      <c r="L313" s="30"/>
      <c r="M313" s="29"/>
    </row>
    <row r="314" spans="1:13" ht="15.75" customHeight="1" outlineLevel="2">
      <c r="A314" s="25">
        <v>5</v>
      </c>
      <c r="B314" s="26" t="s">
        <v>559</v>
      </c>
      <c r="C314" s="17" t="s">
        <v>510</v>
      </c>
      <c r="D314" s="26" t="s">
        <v>807</v>
      </c>
      <c r="E314" s="27">
        <v>4</v>
      </c>
      <c r="F314" s="26" t="s">
        <v>1292</v>
      </c>
      <c r="G314" s="28">
        <v>0.06</v>
      </c>
      <c r="H314" s="28">
        <f aca="true" t="shared" si="39" ref="H314:H321">G314/E314</f>
        <v>0.015</v>
      </c>
      <c r="I314" s="16" t="s">
        <v>555</v>
      </c>
      <c r="J314" s="29">
        <v>2.23</v>
      </c>
      <c r="K314" s="58">
        <f aca="true" t="shared" si="40" ref="K314:K321">J314*H314</f>
        <v>0.03345</v>
      </c>
      <c r="L314" s="30">
        <f>H314*DEMANDA!$B$9</f>
        <v>1.9649999999999999</v>
      </c>
      <c r="M314" s="29">
        <f aca="true" t="shared" si="41" ref="M314:M321">L314*J314</f>
        <v>4.38195</v>
      </c>
    </row>
    <row r="315" spans="1:13" ht="15.75" customHeight="1" outlineLevel="2">
      <c r="A315" s="32">
        <v>8</v>
      </c>
      <c r="B315" s="33" t="s">
        <v>634</v>
      </c>
      <c r="C315" s="34" t="s">
        <v>514</v>
      </c>
      <c r="D315" s="33" t="s">
        <v>808</v>
      </c>
      <c r="E315" s="35">
        <v>4</v>
      </c>
      <c r="F315" s="26" t="s">
        <v>1292</v>
      </c>
      <c r="G315" s="36">
        <v>0.02</v>
      </c>
      <c r="H315" s="28">
        <f t="shared" si="39"/>
        <v>0.005</v>
      </c>
      <c r="I315" s="16" t="s">
        <v>555</v>
      </c>
      <c r="J315" s="29">
        <v>2.23</v>
      </c>
      <c r="K315" s="58">
        <f t="shared" si="40"/>
        <v>0.01115</v>
      </c>
      <c r="L315" s="30">
        <f>H315*DEMANDA!$B$9</f>
        <v>0.655</v>
      </c>
      <c r="M315" s="29">
        <f t="shared" si="41"/>
        <v>1.46065</v>
      </c>
    </row>
    <row r="316" spans="1:13" ht="15.75" customHeight="1" outlineLevel="2">
      <c r="A316" s="25">
        <v>28</v>
      </c>
      <c r="B316" s="26" t="s">
        <v>572</v>
      </c>
      <c r="C316" s="17" t="s">
        <v>521</v>
      </c>
      <c r="D316" s="26" t="s">
        <v>813</v>
      </c>
      <c r="E316" s="27">
        <v>6</v>
      </c>
      <c r="F316" s="26" t="s">
        <v>1292</v>
      </c>
      <c r="G316" s="28">
        <v>0.0125</v>
      </c>
      <c r="H316" s="28">
        <f t="shared" si="39"/>
        <v>0.0020833333333333333</v>
      </c>
      <c r="I316" s="16" t="s">
        <v>555</v>
      </c>
      <c r="J316" s="29">
        <v>2.23</v>
      </c>
      <c r="K316" s="58">
        <f t="shared" si="40"/>
        <v>0.004645833333333333</v>
      </c>
      <c r="L316" s="30">
        <f>H316*DEMANDA!$B$9</f>
        <v>0.27291666666666664</v>
      </c>
      <c r="M316" s="29">
        <f t="shared" si="41"/>
        <v>0.6086041666666666</v>
      </c>
    </row>
    <row r="317" spans="1:13" ht="15.75" customHeight="1" outlineLevel="2">
      <c r="A317" s="25">
        <v>14</v>
      </c>
      <c r="B317" s="26" t="s">
        <v>567</v>
      </c>
      <c r="C317" s="17" t="s">
        <v>521</v>
      </c>
      <c r="D317" s="26" t="s">
        <v>809</v>
      </c>
      <c r="E317" s="27">
        <v>2</v>
      </c>
      <c r="F317" s="26" t="s">
        <v>1292</v>
      </c>
      <c r="G317" s="28">
        <v>0.04</v>
      </c>
      <c r="H317" s="28">
        <f t="shared" si="39"/>
        <v>0.02</v>
      </c>
      <c r="I317" s="16" t="s">
        <v>555</v>
      </c>
      <c r="J317" s="29">
        <v>2.23</v>
      </c>
      <c r="K317" s="58">
        <f t="shared" si="40"/>
        <v>0.0446</v>
      </c>
      <c r="L317" s="30">
        <f>H317*DEMANDA!$B$9</f>
        <v>2.62</v>
      </c>
      <c r="M317" s="29">
        <f t="shared" si="41"/>
        <v>5.8426</v>
      </c>
    </row>
    <row r="318" spans="1:13" ht="15.75" customHeight="1" outlineLevel="2">
      <c r="A318" s="25">
        <v>21</v>
      </c>
      <c r="B318" s="26" t="s">
        <v>797</v>
      </c>
      <c r="C318" s="17" t="s">
        <v>521</v>
      </c>
      <c r="D318" s="26" t="s">
        <v>811</v>
      </c>
      <c r="E318" s="27">
        <v>4</v>
      </c>
      <c r="F318" s="26" t="s">
        <v>1292</v>
      </c>
      <c r="G318" s="28">
        <v>0.25</v>
      </c>
      <c r="H318" s="28">
        <f t="shared" si="39"/>
        <v>0.0625</v>
      </c>
      <c r="I318" s="16" t="s">
        <v>555</v>
      </c>
      <c r="J318" s="29">
        <v>2.23</v>
      </c>
      <c r="K318" s="58">
        <f t="shared" si="40"/>
        <v>0.139375</v>
      </c>
      <c r="L318" s="30">
        <f>H318*DEMANDA!$B$9</f>
        <v>8.1875</v>
      </c>
      <c r="M318" s="29">
        <f t="shared" si="41"/>
        <v>18.258125</v>
      </c>
    </row>
    <row r="319" spans="1:13" ht="15.75" customHeight="1" outlineLevel="2">
      <c r="A319" s="25">
        <v>15</v>
      </c>
      <c r="B319" s="26" t="s">
        <v>513</v>
      </c>
      <c r="C319" s="17" t="s">
        <v>514</v>
      </c>
      <c r="D319" s="26" t="s">
        <v>810</v>
      </c>
      <c r="E319" s="27">
        <v>4</v>
      </c>
      <c r="F319" s="26" t="s">
        <v>1292</v>
      </c>
      <c r="G319" s="28">
        <v>0.09375</v>
      </c>
      <c r="H319" s="28">
        <f t="shared" si="39"/>
        <v>0.0234375</v>
      </c>
      <c r="I319" s="16" t="s">
        <v>555</v>
      </c>
      <c r="J319" s="29">
        <v>2.23</v>
      </c>
      <c r="K319" s="58">
        <f t="shared" si="40"/>
        <v>0.052265624999999996</v>
      </c>
      <c r="L319" s="30">
        <f>H319*DEMANDA!$B$9</f>
        <v>3.0703125</v>
      </c>
      <c r="M319" s="29">
        <f t="shared" si="41"/>
        <v>6.846796875</v>
      </c>
    </row>
    <row r="320" spans="1:13" ht="15.75" customHeight="1" outlineLevel="2">
      <c r="A320" s="25">
        <v>23</v>
      </c>
      <c r="B320" s="26" t="s">
        <v>517</v>
      </c>
      <c r="C320" s="17" t="s">
        <v>514</v>
      </c>
      <c r="D320" s="26" t="s">
        <v>812</v>
      </c>
      <c r="E320" s="27">
        <v>4</v>
      </c>
      <c r="F320" s="26" t="s">
        <v>1292</v>
      </c>
      <c r="G320" s="28">
        <v>0.03125</v>
      </c>
      <c r="H320" s="28">
        <f t="shared" si="39"/>
        <v>0.0078125</v>
      </c>
      <c r="I320" s="16" t="s">
        <v>555</v>
      </c>
      <c r="J320" s="29">
        <v>2.23</v>
      </c>
      <c r="K320" s="58">
        <f t="shared" si="40"/>
        <v>0.017421875</v>
      </c>
      <c r="L320" s="30">
        <f>H320*DEMANDA!$B$9</f>
        <v>1.0234375</v>
      </c>
      <c r="M320" s="29">
        <f t="shared" si="41"/>
        <v>2.282265625</v>
      </c>
    </row>
    <row r="321" spans="1:13" ht="15.75" customHeight="1" outlineLevel="2">
      <c r="A321" s="25">
        <v>30</v>
      </c>
      <c r="B321" s="26" t="s">
        <v>552</v>
      </c>
      <c r="C321" s="17" t="s">
        <v>514</v>
      </c>
      <c r="D321" s="26" t="s">
        <v>814</v>
      </c>
      <c r="E321" s="27">
        <v>4</v>
      </c>
      <c r="F321" s="26" t="s">
        <v>1292</v>
      </c>
      <c r="G321" s="28">
        <v>0.018</v>
      </c>
      <c r="H321" s="28">
        <f t="shared" si="39"/>
        <v>0.0045</v>
      </c>
      <c r="I321" s="16" t="s">
        <v>555</v>
      </c>
      <c r="J321" s="29">
        <v>2.23</v>
      </c>
      <c r="K321" s="58">
        <f t="shared" si="40"/>
        <v>0.010034999999999999</v>
      </c>
      <c r="L321" s="30">
        <f>H321*DEMANDA!$B$9</f>
        <v>0.5894999999999999</v>
      </c>
      <c r="M321" s="29">
        <f t="shared" si="41"/>
        <v>1.314585</v>
      </c>
    </row>
    <row r="322" spans="1:13" ht="15.75" customHeight="1" outlineLevel="1">
      <c r="A322" s="25"/>
      <c r="B322" s="26"/>
      <c r="C322" s="17"/>
      <c r="D322" s="26"/>
      <c r="E322" s="27"/>
      <c r="F322" s="52" t="s">
        <v>1457</v>
      </c>
      <c r="G322" s="28"/>
      <c r="H322" s="28"/>
      <c r="I322" s="16"/>
      <c r="J322" s="29"/>
      <c r="K322" s="58">
        <f>SUBTOTAL(9,K314:K321)</f>
        <v>0.3129433333333333</v>
      </c>
      <c r="L322" s="30"/>
      <c r="M322" s="29"/>
    </row>
    <row r="323" spans="1:13" ht="15.75" customHeight="1" outlineLevel="2">
      <c r="A323" s="25">
        <v>12</v>
      </c>
      <c r="B323" s="26" t="s">
        <v>595</v>
      </c>
      <c r="C323" s="17" t="s">
        <v>521</v>
      </c>
      <c r="D323" s="26" t="s">
        <v>815</v>
      </c>
      <c r="E323" s="27">
        <v>4</v>
      </c>
      <c r="F323" s="26" t="s">
        <v>1293</v>
      </c>
      <c r="G323" s="28">
        <v>0.077</v>
      </c>
      <c r="H323" s="28">
        <f>G323/E323</f>
        <v>0.01925</v>
      </c>
      <c r="I323" s="16" t="s">
        <v>555</v>
      </c>
      <c r="J323" s="29">
        <v>2.52</v>
      </c>
      <c r="K323" s="58">
        <f>J323*H323</f>
        <v>0.04851</v>
      </c>
      <c r="L323" s="30">
        <f>H323*DEMANDA!$B$9</f>
        <v>2.52175</v>
      </c>
      <c r="M323" s="29">
        <f>L323*J323</f>
        <v>6.35481</v>
      </c>
    </row>
    <row r="324" spans="1:13" ht="15.75" customHeight="1" outlineLevel="2">
      <c r="A324" s="25">
        <v>24</v>
      </c>
      <c r="B324" s="26" t="s">
        <v>668</v>
      </c>
      <c r="C324" s="17" t="s">
        <v>510</v>
      </c>
      <c r="D324" s="26" t="s">
        <v>816</v>
      </c>
      <c r="E324" s="27">
        <v>10</v>
      </c>
      <c r="F324" s="26" t="s">
        <v>1293</v>
      </c>
      <c r="G324" s="28">
        <v>0.154</v>
      </c>
      <c r="H324" s="28">
        <f>G324/E324</f>
        <v>0.0154</v>
      </c>
      <c r="I324" s="16" t="s">
        <v>555</v>
      </c>
      <c r="J324" s="29">
        <v>2.52</v>
      </c>
      <c r="K324" s="58">
        <f>J324*H324</f>
        <v>0.038808</v>
      </c>
      <c r="L324" s="30">
        <f>H324*DEMANDA!$B$9</f>
        <v>2.0174</v>
      </c>
      <c r="M324" s="29">
        <f>L324*J324</f>
        <v>5.083848</v>
      </c>
    </row>
    <row r="325" spans="1:13" ht="15.75" customHeight="1" outlineLevel="1">
      <c r="A325" s="25"/>
      <c r="B325" s="26"/>
      <c r="C325" s="17"/>
      <c r="D325" s="26"/>
      <c r="E325" s="27"/>
      <c r="F325" s="52" t="s">
        <v>1458</v>
      </c>
      <c r="G325" s="28"/>
      <c r="H325" s="28"/>
      <c r="I325" s="16"/>
      <c r="J325" s="29"/>
      <c r="K325" s="58">
        <f>SUBTOTAL(9,K323:K324)</f>
        <v>0.087318</v>
      </c>
      <c r="L325" s="30"/>
      <c r="M325" s="29"/>
    </row>
    <row r="326" spans="1:13" ht="15.75" customHeight="1" outlineLevel="2">
      <c r="A326" s="25">
        <v>19</v>
      </c>
      <c r="B326" s="26" t="s">
        <v>781</v>
      </c>
      <c r="C326" s="17" t="s">
        <v>521</v>
      </c>
      <c r="D326" s="26" t="s">
        <v>817</v>
      </c>
      <c r="E326" s="27">
        <v>4</v>
      </c>
      <c r="F326" s="26" t="s">
        <v>1294</v>
      </c>
      <c r="G326" s="28">
        <v>0</v>
      </c>
      <c r="H326" s="28">
        <f>G326/E326</f>
        <v>0</v>
      </c>
      <c r="I326" s="16" t="s">
        <v>555</v>
      </c>
      <c r="J326" s="29">
        <v>0.24</v>
      </c>
      <c r="K326" s="58">
        <f>J326*H326</f>
        <v>0</v>
      </c>
      <c r="L326" s="30">
        <f>H326*DEMANDA!$B$9</f>
        <v>0</v>
      </c>
      <c r="M326" s="29">
        <f>L326*J326</f>
        <v>0</v>
      </c>
    </row>
    <row r="327" spans="1:13" ht="15.75" customHeight="1" outlineLevel="2">
      <c r="A327" s="25">
        <v>28</v>
      </c>
      <c r="B327" s="26" t="s">
        <v>781</v>
      </c>
      <c r="C327" s="17" t="s">
        <v>510</v>
      </c>
      <c r="D327" s="26" t="s">
        <v>817</v>
      </c>
      <c r="E327" s="27">
        <v>4</v>
      </c>
      <c r="F327" s="26" t="s">
        <v>1294</v>
      </c>
      <c r="G327" s="28">
        <v>0</v>
      </c>
      <c r="H327" s="28">
        <f>G327/E327</f>
        <v>0</v>
      </c>
      <c r="I327" s="16" t="s">
        <v>555</v>
      </c>
      <c r="J327" s="29">
        <v>0.24</v>
      </c>
      <c r="K327" s="58">
        <f>J327*H327</f>
        <v>0</v>
      </c>
      <c r="L327" s="30">
        <f>H327*DEMANDA!$B$9</f>
        <v>0</v>
      </c>
      <c r="M327" s="29">
        <f>L327*J327</f>
        <v>0</v>
      </c>
    </row>
    <row r="328" spans="1:13" ht="15.75" customHeight="1" outlineLevel="1">
      <c r="A328" s="25"/>
      <c r="B328" s="26"/>
      <c r="C328" s="17"/>
      <c r="D328" s="26"/>
      <c r="E328" s="27"/>
      <c r="F328" s="52" t="s">
        <v>1459</v>
      </c>
      <c r="G328" s="28"/>
      <c r="H328" s="28"/>
      <c r="I328" s="16"/>
      <c r="J328" s="29"/>
      <c r="K328" s="58">
        <f>SUBTOTAL(9,K326:K327)</f>
        <v>0</v>
      </c>
      <c r="L328" s="30"/>
      <c r="M328" s="29"/>
    </row>
    <row r="329" spans="1:22" ht="15.75" customHeight="1" outlineLevel="2">
      <c r="A329" s="25">
        <v>13</v>
      </c>
      <c r="B329" s="26" t="s">
        <v>819</v>
      </c>
      <c r="C329" s="17" t="s">
        <v>521</v>
      </c>
      <c r="D329" s="26" t="s">
        <v>820</v>
      </c>
      <c r="E329" s="27">
        <v>4</v>
      </c>
      <c r="F329" s="26" t="s">
        <v>1295</v>
      </c>
      <c r="G329" s="28">
        <v>0.08</v>
      </c>
      <c r="H329" s="28">
        <f>G329/E329</f>
        <v>0.02</v>
      </c>
      <c r="I329" s="16" t="s">
        <v>555</v>
      </c>
      <c r="J329" s="29">
        <v>5.15</v>
      </c>
      <c r="K329" s="58">
        <f>J329*H329</f>
        <v>0.10300000000000001</v>
      </c>
      <c r="L329" s="30">
        <f>H329*DEMANDA!$B$9</f>
        <v>2.62</v>
      </c>
      <c r="M329" s="29">
        <f>L329*J329</f>
        <v>13.493000000000002</v>
      </c>
      <c r="V329" s="41"/>
    </row>
    <row r="330" spans="1:22" ht="15.75" customHeight="1" outlineLevel="2">
      <c r="A330" s="25">
        <v>17</v>
      </c>
      <c r="B330" s="26" t="s">
        <v>822</v>
      </c>
      <c r="C330" s="17" t="s">
        <v>521</v>
      </c>
      <c r="D330" s="26" t="s">
        <v>820</v>
      </c>
      <c r="E330" s="27">
        <v>4</v>
      </c>
      <c r="F330" s="26" t="s">
        <v>1295</v>
      </c>
      <c r="G330" s="28">
        <v>0.08</v>
      </c>
      <c r="H330" s="28">
        <f>G330/E330</f>
        <v>0.02</v>
      </c>
      <c r="I330" s="16" t="s">
        <v>555</v>
      </c>
      <c r="J330" s="29">
        <v>5.15</v>
      </c>
      <c r="K330" s="58">
        <f>J330*H330</f>
        <v>0.10300000000000001</v>
      </c>
      <c r="L330" s="30">
        <f>H330*DEMANDA!$B$9</f>
        <v>2.62</v>
      </c>
      <c r="M330" s="29">
        <f>L330*J330</f>
        <v>13.493000000000002</v>
      </c>
      <c r="V330" s="41"/>
    </row>
    <row r="331" spans="1:22" ht="15.75" customHeight="1" outlineLevel="2">
      <c r="A331" s="25">
        <v>12</v>
      </c>
      <c r="B331" s="26" t="s">
        <v>595</v>
      </c>
      <c r="C331" s="17" t="s">
        <v>521</v>
      </c>
      <c r="D331" s="26" t="s">
        <v>818</v>
      </c>
      <c r="E331" s="27">
        <v>4</v>
      </c>
      <c r="F331" s="26" t="s">
        <v>1295</v>
      </c>
      <c r="G331" s="28">
        <v>0.01</v>
      </c>
      <c r="H331" s="28">
        <f>G331/E331</f>
        <v>0.0025</v>
      </c>
      <c r="I331" s="16" t="s">
        <v>555</v>
      </c>
      <c r="J331" s="29">
        <v>5.15</v>
      </c>
      <c r="K331" s="58">
        <f>J331*H331</f>
        <v>0.012875000000000001</v>
      </c>
      <c r="L331" s="30">
        <f>H331*DEMANDA!$B$9</f>
        <v>0.3275</v>
      </c>
      <c r="M331" s="29">
        <f>L331*J331</f>
        <v>1.6866250000000003</v>
      </c>
      <c r="V331" s="41"/>
    </row>
    <row r="332" spans="1:22" ht="15.75" customHeight="1" outlineLevel="2">
      <c r="A332" s="25">
        <v>16</v>
      </c>
      <c r="B332" s="26" t="s">
        <v>821</v>
      </c>
      <c r="C332" s="17" t="s">
        <v>521</v>
      </c>
      <c r="D332" s="26" t="s">
        <v>820</v>
      </c>
      <c r="E332" s="27">
        <v>4</v>
      </c>
      <c r="F332" s="26" t="s">
        <v>1295</v>
      </c>
      <c r="G332" s="28">
        <v>0.08</v>
      </c>
      <c r="H332" s="28">
        <f>G332/E332</f>
        <v>0.02</v>
      </c>
      <c r="I332" s="16" t="s">
        <v>555</v>
      </c>
      <c r="J332" s="29">
        <v>5.15</v>
      </c>
      <c r="K332" s="58">
        <f>J332*H332</f>
        <v>0.10300000000000001</v>
      </c>
      <c r="L332" s="30">
        <f>H332*DEMANDA!$B$9</f>
        <v>2.62</v>
      </c>
      <c r="M332" s="29">
        <f>L332*J332</f>
        <v>13.493000000000002</v>
      </c>
      <c r="V332" s="41"/>
    </row>
    <row r="333" spans="1:22" ht="15.75" customHeight="1" outlineLevel="1">
      <c r="A333" s="25"/>
      <c r="B333" s="26"/>
      <c r="C333" s="17"/>
      <c r="D333" s="26"/>
      <c r="E333" s="27"/>
      <c r="F333" s="52" t="s">
        <v>1460</v>
      </c>
      <c r="G333" s="28"/>
      <c r="H333" s="28"/>
      <c r="I333" s="16"/>
      <c r="J333" s="29"/>
      <c r="K333" s="58">
        <f>SUBTOTAL(9,K329:K332)</f>
        <v>0.321875</v>
      </c>
      <c r="L333" s="30"/>
      <c r="M333" s="29"/>
      <c r="V333" s="41"/>
    </row>
    <row r="334" spans="1:21" s="41" customFormat="1" ht="15.75" customHeight="1" outlineLevel="2">
      <c r="A334" s="25">
        <v>1</v>
      </c>
      <c r="B334" s="26" t="s">
        <v>509</v>
      </c>
      <c r="C334" s="17" t="s">
        <v>510</v>
      </c>
      <c r="D334" s="26" t="s">
        <v>823</v>
      </c>
      <c r="E334" s="27">
        <v>4</v>
      </c>
      <c r="F334" s="26" t="s">
        <v>1296</v>
      </c>
      <c r="G334" s="28">
        <v>0.1</v>
      </c>
      <c r="H334" s="28">
        <f>G334/E334</f>
        <v>0.025</v>
      </c>
      <c r="I334" s="39" t="s">
        <v>555</v>
      </c>
      <c r="J334" s="40">
        <v>4.5</v>
      </c>
      <c r="K334" s="58">
        <f>J334*H334</f>
        <v>0.1125</v>
      </c>
      <c r="L334" s="30">
        <f>H334*DEMANDA!$B$9</f>
        <v>3.2750000000000004</v>
      </c>
      <c r="M334" s="29">
        <f>L334*J334</f>
        <v>14.7375</v>
      </c>
      <c r="O334" s="31"/>
      <c r="P334" s="31"/>
      <c r="Q334" s="31"/>
      <c r="R334" s="31"/>
      <c r="S334" s="31"/>
      <c r="T334" s="31"/>
      <c r="U334" s="31"/>
    </row>
    <row r="335" spans="1:21" s="41" customFormat="1" ht="15.75" customHeight="1" outlineLevel="2">
      <c r="A335" s="25">
        <v>9</v>
      </c>
      <c r="B335" s="26" t="s">
        <v>564</v>
      </c>
      <c r="C335" s="17" t="s">
        <v>514</v>
      </c>
      <c r="D335" s="26" t="s">
        <v>824</v>
      </c>
      <c r="E335" s="27">
        <v>8</v>
      </c>
      <c r="F335" s="26" t="s">
        <v>1296</v>
      </c>
      <c r="G335" s="28">
        <v>0.4</v>
      </c>
      <c r="H335" s="28">
        <f>G335/E335</f>
        <v>0.05</v>
      </c>
      <c r="I335" s="39" t="s">
        <v>555</v>
      </c>
      <c r="J335" s="40">
        <v>4.5</v>
      </c>
      <c r="K335" s="58">
        <f>J335*H335</f>
        <v>0.225</v>
      </c>
      <c r="L335" s="30">
        <f>H335*DEMANDA!$B$9</f>
        <v>6.550000000000001</v>
      </c>
      <c r="M335" s="29">
        <f>L335*J335</f>
        <v>29.475</v>
      </c>
      <c r="O335" s="31"/>
      <c r="P335" s="31"/>
      <c r="Q335" s="31"/>
      <c r="R335" s="31"/>
      <c r="S335" s="31"/>
      <c r="T335" s="31"/>
      <c r="U335" s="31"/>
    </row>
    <row r="336" spans="1:13" s="41" customFormat="1" ht="15.75" customHeight="1" outlineLevel="2">
      <c r="A336" s="25">
        <v>20</v>
      </c>
      <c r="B336" s="26" t="s">
        <v>600</v>
      </c>
      <c r="C336" s="17" t="s">
        <v>510</v>
      </c>
      <c r="D336" s="26" t="s">
        <v>825</v>
      </c>
      <c r="E336" s="27">
        <v>6</v>
      </c>
      <c r="F336" s="26" t="s">
        <v>1296</v>
      </c>
      <c r="G336" s="28">
        <v>0.2</v>
      </c>
      <c r="H336" s="28">
        <f>G336/E336</f>
        <v>0.03333333333333333</v>
      </c>
      <c r="I336" s="39" t="s">
        <v>555</v>
      </c>
      <c r="J336" s="40">
        <v>4.5</v>
      </c>
      <c r="K336" s="58">
        <f>J336*H336</f>
        <v>0.15</v>
      </c>
      <c r="L336" s="30">
        <f>H336*DEMANDA!$B$9</f>
        <v>4.366666666666666</v>
      </c>
      <c r="M336" s="29">
        <f>L336*J336</f>
        <v>19.65</v>
      </c>
    </row>
    <row r="337" spans="1:13" s="41" customFormat="1" ht="15.75" customHeight="1" outlineLevel="1">
      <c r="A337" s="25"/>
      <c r="B337" s="26"/>
      <c r="C337" s="17"/>
      <c r="D337" s="26"/>
      <c r="E337" s="27"/>
      <c r="F337" s="52" t="s">
        <v>1461</v>
      </c>
      <c r="G337" s="28"/>
      <c r="H337" s="28"/>
      <c r="I337" s="39"/>
      <c r="J337" s="40"/>
      <c r="K337" s="58">
        <f>SUBTOTAL(9,K334:K336)</f>
        <v>0.48750000000000004</v>
      </c>
      <c r="L337" s="30"/>
      <c r="M337" s="29"/>
    </row>
    <row r="338" spans="1:13" s="41" customFormat="1" ht="15.75" customHeight="1" outlineLevel="2">
      <c r="A338" s="25">
        <v>7</v>
      </c>
      <c r="B338" s="26" t="s">
        <v>563</v>
      </c>
      <c r="C338" s="17" t="s">
        <v>514</v>
      </c>
      <c r="D338" s="26" t="s">
        <v>829</v>
      </c>
      <c r="E338" s="27">
        <v>4</v>
      </c>
      <c r="F338" s="26" t="s">
        <v>1297</v>
      </c>
      <c r="G338" s="28">
        <v>4</v>
      </c>
      <c r="H338" s="28">
        <f aca="true" t="shared" si="42" ref="H338:H354">G338/E338</f>
        <v>1</v>
      </c>
      <c r="I338" s="39" t="s">
        <v>632</v>
      </c>
      <c r="J338" s="40">
        <v>0.13</v>
      </c>
      <c r="K338" s="58">
        <f aca="true" t="shared" si="43" ref="K338:K354">J338*H338</f>
        <v>0.13</v>
      </c>
      <c r="L338" s="30">
        <f>H338*DEMANDA!$B$9</f>
        <v>131</v>
      </c>
      <c r="M338" s="29">
        <f aca="true" t="shared" si="44" ref="M338:M354">L338*J338</f>
        <v>17.03</v>
      </c>
    </row>
    <row r="339" spans="1:13" s="41" customFormat="1" ht="15.75" customHeight="1" outlineLevel="2">
      <c r="A339" s="32">
        <v>8</v>
      </c>
      <c r="B339" s="33" t="s">
        <v>634</v>
      </c>
      <c r="C339" s="34" t="s">
        <v>514</v>
      </c>
      <c r="D339" s="43" t="s">
        <v>830</v>
      </c>
      <c r="E339" s="35">
        <v>4</v>
      </c>
      <c r="F339" s="26" t="s">
        <v>1297</v>
      </c>
      <c r="G339" s="36">
        <v>1</v>
      </c>
      <c r="H339" s="28">
        <f t="shared" si="42"/>
        <v>0.25</v>
      </c>
      <c r="I339" s="39" t="s">
        <v>632</v>
      </c>
      <c r="J339" s="40">
        <v>0.13</v>
      </c>
      <c r="K339" s="58">
        <f t="shared" si="43"/>
        <v>0.0325</v>
      </c>
      <c r="L339" s="30">
        <f>H339*DEMANDA!$B$9</f>
        <v>32.75</v>
      </c>
      <c r="M339" s="29">
        <f t="shared" si="44"/>
        <v>4.2575</v>
      </c>
    </row>
    <row r="340" spans="1:13" s="41" customFormat="1" ht="15.75" customHeight="1" outlineLevel="2">
      <c r="A340" s="25">
        <v>28</v>
      </c>
      <c r="B340" s="26" t="s">
        <v>572</v>
      </c>
      <c r="C340" s="17" t="s">
        <v>521</v>
      </c>
      <c r="D340" s="26" t="s">
        <v>826</v>
      </c>
      <c r="E340" s="27">
        <v>6</v>
      </c>
      <c r="F340" s="26" t="s">
        <v>1297</v>
      </c>
      <c r="G340" s="28">
        <v>2</v>
      </c>
      <c r="H340" s="28">
        <f t="shared" si="42"/>
        <v>0.3333333333333333</v>
      </c>
      <c r="I340" s="39" t="s">
        <v>632</v>
      </c>
      <c r="J340" s="40">
        <v>0.13</v>
      </c>
      <c r="K340" s="58">
        <f t="shared" si="43"/>
        <v>0.043333333333333335</v>
      </c>
      <c r="L340" s="30">
        <f>H340*DEMANDA!$B$9</f>
        <v>43.666666666666664</v>
      </c>
      <c r="M340" s="29">
        <f t="shared" si="44"/>
        <v>5.676666666666667</v>
      </c>
    </row>
    <row r="341" spans="1:13" s="41" customFormat="1" ht="15.75" customHeight="1" outlineLevel="2">
      <c r="A341" s="25">
        <v>15</v>
      </c>
      <c r="B341" s="26" t="s">
        <v>539</v>
      </c>
      <c r="C341" s="17" t="s">
        <v>521</v>
      </c>
      <c r="D341" s="26" t="s">
        <v>832</v>
      </c>
      <c r="E341" s="27">
        <v>4</v>
      </c>
      <c r="F341" s="26" t="s">
        <v>1297</v>
      </c>
      <c r="G341" s="28">
        <v>3</v>
      </c>
      <c r="H341" s="28">
        <f t="shared" si="42"/>
        <v>0.75</v>
      </c>
      <c r="I341" s="39" t="s">
        <v>632</v>
      </c>
      <c r="J341" s="40">
        <v>0.13</v>
      </c>
      <c r="K341" s="58">
        <f t="shared" si="43"/>
        <v>0.0975</v>
      </c>
      <c r="L341" s="30">
        <f>H341*DEMANDA!$B$9</f>
        <v>98.25</v>
      </c>
      <c r="M341" s="29">
        <f t="shared" si="44"/>
        <v>12.7725</v>
      </c>
    </row>
    <row r="342" spans="1:13" s="41" customFormat="1" ht="15.75" customHeight="1" outlineLevel="2">
      <c r="A342" s="25">
        <v>15</v>
      </c>
      <c r="B342" s="26" t="s">
        <v>539</v>
      </c>
      <c r="C342" s="17" t="s">
        <v>521</v>
      </c>
      <c r="D342" s="26" t="s">
        <v>833</v>
      </c>
      <c r="E342" s="27">
        <v>4</v>
      </c>
      <c r="F342" s="26" t="s">
        <v>1297</v>
      </c>
      <c r="G342" s="28">
        <v>4</v>
      </c>
      <c r="H342" s="28">
        <f t="shared" si="42"/>
        <v>1</v>
      </c>
      <c r="I342" s="39" t="s">
        <v>632</v>
      </c>
      <c r="J342" s="40">
        <v>0.13</v>
      </c>
      <c r="K342" s="58">
        <f t="shared" si="43"/>
        <v>0.13</v>
      </c>
      <c r="L342" s="30">
        <f>H342*DEMANDA!$B$9</f>
        <v>131</v>
      </c>
      <c r="M342" s="29">
        <f t="shared" si="44"/>
        <v>17.03</v>
      </c>
    </row>
    <row r="343" spans="1:22" s="41" customFormat="1" ht="15.75" customHeight="1" outlineLevel="2">
      <c r="A343" s="25">
        <v>27</v>
      </c>
      <c r="B343" s="26" t="s">
        <v>584</v>
      </c>
      <c r="C343" s="17" t="s">
        <v>521</v>
      </c>
      <c r="D343" s="26" t="s">
        <v>837</v>
      </c>
      <c r="E343" s="27">
        <v>4</v>
      </c>
      <c r="F343" s="26" t="s">
        <v>1297</v>
      </c>
      <c r="G343" s="28">
        <v>4</v>
      </c>
      <c r="H343" s="28">
        <f t="shared" si="42"/>
        <v>1</v>
      </c>
      <c r="I343" s="39" t="s">
        <v>632</v>
      </c>
      <c r="J343" s="40">
        <v>0.13</v>
      </c>
      <c r="K343" s="58">
        <f t="shared" si="43"/>
        <v>0.13</v>
      </c>
      <c r="L343" s="30">
        <f>H343*DEMANDA!$B$9</f>
        <v>131</v>
      </c>
      <c r="M343" s="29">
        <f t="shared" si="44"/>
        <v>17.03</v>
      </c>
      <c r="V343" s="31"/>
    </row>
    <row r="344" spans="1:22" s="41" customFormat="1" ht="15.75" customHeight="1" outlineLevel="2">
      <c r="A344" s="25">
        <v>11</v>
      </c>
      <c r="B344" s="26" t="s">
        <v>566</v>
      </c>
      <c r="C344" s="17" t="s">
        <v>521</v>
      </c>
      <c r="D344" s="26" t="s">
        <v>831</v>
      </c>
      <c r="E344" s="27">
        <v>4</v>
      </c>
      <c r="F344" s="26" t="s">
        <v>1297</v>
      </c>
      <c r="G344" s="28">
        <v>4</v>
      </c>
      <c r="H344" s="28">
        <f t="shared" si="42"/>
        <v>1</v>
      </c>
      <c r="I344" s="39" t="s">
        <v>632</v>
      </c>
      <c r="J344" s="40">
        <v>0.13</v>
      </c>
      <c r="K344" s="58">
        <f t="shared" si="43"/>
        <v>0.13</v>
      </c>
      <c r="L344" s="30">
        <f>H344*DEMANDA!$B$9</f>
        <v>131</v>
      </c>
      <c r="M344" s="29">
        <f t="shared" si="44"/>
        <v>17.03</v>
      </c>
      <c r="V344" s="31"/>
    </row>
    <row r="345" spans="1:22" s="41" customFormat="1" ht="15.75" customHeight="1" outlineLevel="2">
      <c r="A345" s="25">
        <v>14</v>
      </c>
      <c r="B345" s="26" t="s">
        <v>567</v>
      </c>
      <c r="C345" s="17" t="s">
        <v>521</v>
      </c>
      <c r="D345" s="26" t="s">
        <v>830</v>
      </c>
      <c r="E345" s="27">
        <v>2</v>
      </c>
      <c r="F345" s="26" t="s">
        <v>1297</v>
      </c>
      <c r="G345" s="28">
        <v>1</v>
      </c>
      <c r="H345" s="28">
        <f t="shared" si="42"/>
        <v>0.5</v>
      </c>
      <c r="I345" s="39" t="s">
        <v>632</v>
      </c>
      <c r="J345" s="40">
        <v>0.13</v>
      </c>
      <c r="K345" s="58">
        <f t="shared" si="43"/>
        <v>0.065</v>
      </c>
      <c r="L345" s="30">
        <f>H345*DEMANDA!$B$9</f>
        <v>65.5</v>
      </c>
      <c r="M345" s="29">
        <f t="shared" si="44"/>
        <v>8.515</v>
      </c>
      <c r="V345" s="31"/>
    </row>
    <row r="346" spans="1:22" s="41" customFormat="1" ht="15.75" customHeight="1" outlineLevel="2">
      <c r="A346" s="25">
        <v>18</v>
      </c>
      <c r="B346" s="26" t="s">
        <v>570</v>
      </c>
      <c r="C346" s="17" t="s">
        <v>521</v>
      </c>
      <c r="D346" s="26" t="s">
        <v>833</v>
      </c>
      <c r="E346" s="27">
        <v>4</v>
      </c>
      <c r="F346" s="26" t="s">
        <v>1297</v>
      </c>
      <c r="G346" s="28">
        <v>4</v>
      </c>
      <c r="H346" s="28">
        <f t="shared" si="42"/>
        <v>1</v>
      </c>
      <c r="I346" s="39" t="s">
        <v>632</v>
      </c>
      <c r="J346" s="40">
        <v>0.13</v>
      </c>
      <c r="K346" s="58">
        <f t="shared" si="43"/>
        <v>0.13</v>
      </c>
      <c r="L346" s="30">
        <f>H346*DEMANDA!$B$9</f>
        <v>131</v>
      </c>
      <c r="M346" s="29">
        <f t="shared" si="44"/>
        <v>17.03</v>
      </c>
      <c r="V346" s="31"/>
    </row>
    <row r="347" spans="1:21" ht="15.75" customHeight="1" outlineLevel="2">
      <c r="A347" s="25">
        <v>17</v>
      </c>
      <c r="B347" s="26" t="s">
        <v>822</v>
      </c>
      <c r="C347" s="17" t="s">
        <v>521</v>
      </c>
      <c r="D347" s="26" t="s">
        <v>834</v>
      </c>
      <c r="E347" s="27">
        <v>4</v>
      </c>
      <c r="F347" s="26" t="s">
        <v>1297</v>
      </c>
      <c r="G347" s="28">
        <v>3</v>
      </c>
      <c r="H347" s="28">
        <f t="shared" si="42"/>
        <v>0.75</v>
      </c>
      <c r="I347" s="39" t="s">
        <v>632</v>
      </c>
      <c r="J347" s="40">
        <v>0.13</v>
      </c>
      <c r="K347" s="58">
        <f t="shared" si="43"/>
        <v>0.0975</v>
      </c>
      <c r="L347" s="30">
        <f>H347*DEMANDA!$B$9</f>
        <v>98.25</v>
      </c>
      <c r="M347" s="29">
        <f t="shared" si="44"/>
        <v>12.7725</v>
      </c>
      <c r="O347" s="41"/>
      <c r="P347" s="41"/>
      <c r="Q347" s="41"/>
      <c r="R347" s="41"/>
      <c r="S347" s="41"/>
      <c r="T347" s="41"/>
      <c r="U347" s="41"/>
    </row>
    <row r="348" spans="1:13" ht="15.75" customHeight="1" outlineLevel="2">
      <c r="A348" s="25">
        <v>5</v>
      </c>
      <c r="B348" s="26" t="s">
        <v>729</v>
      </c>
      <c r="C348" s="17" t="s">
        <v>521</v>
      </c>
      <c r="D348" s="26" t="s">
        <v>826</v>
      </c>
      <c r="E348" s="27">
        <v>2</v>
      </c>
      <c r="F348" s="26" t="s">
        <v>1297</v>
      </c>
      <c r="G348" s="28">
        <v>2</v>
      </c>
      <c r="H348" s="28">
        <f t="shared" si="42"/>
        <v>1</v>
      </c>
      <c r="I348" s="39" t="s">
        <v>632</v>
      </c>
      <c r="J348" s="40">
        <v>0.13</v>
      </c>
      <c r="K348" s="58">
        <f t="shared" si="43"/>
        <v>0.13</v>
      </c>
      <c r="L348" s="30">
        <f>H348*DEMANDA!$B$9</f>
        <v>131</v>
      </c>
      <c r="M348" s="29">
        <f t="shared" si="44"/>
        <v>17.03</v>
      </c>
    </row>
    <row r="349" spans="1:13" ht="15.75" customHeight="1" outlineLevel="2">
      <c r="A349" s="25">
        <v>24</v>
      </c>
      <c r="B349" s="26" t="s">
        <v>548</v>
      </c>
      <c r="C349" s="17" t="s">
        <v>521</v>
      </c>
      <c r="D349" s="26" t="s">
        <v>836</v>
      </c>
      <c r="E349" s="27">
        <v>2</v>
      </c>
      <c r="F349" s="26" t="s">
        <v>1297</v>
      </c>
      <c r="G349" s="28">
        <v>4</v>
      </c>
      <c r="H349" s="28">
        <f t="shared" si="42"/>
        <v>2</v>
      </c>
      <c r="I349" s="39" t="s">
        <v>632</v>
      </c>
      <c r="J349" s="40">
        <v>0.13</v>
      </c>
      <c r="K349" s="58">
        <f t="shared" si="43"/>
        <v>0.26</v>
      </c>
      <c r="L349" s="30">
        <f>H349*DEMANDA!$B$9</f>
        <v>262</v>
      </c>
      <c r="M349" s="29">
        <f t="shared" si="44"/>
        <v>34.06</v>
      </c>
    </row>
    <row r="350" spans="1:13" ht="15.75" customHeight="1" outlineLevel="2">
      <c r="A350" s="25">
        <v>16</v>
      </c>
      <c r="B350" s="26" t="s">
        <v>821</v>
      </c>
      <c r="C350" s="17" t="s">
        <v>521</v>
      </c>
      <c r="D350" s="26" t="s">
        <v>834</v>
      </c>
      <c r="E350" s="27">
        <v>4</v>
      </c>
      <c r="F350" s="26" t="s">
        <v>1297</v>
      </c>
      <c r="G350" s="28">
        <v>3</v>
      </c>
      <c r="H350" s="28">
        <f t="shared" si="42"/>
        <v>0.75</v>
      </c>
      <c r="I350" s="39" t="s">
        <v>632</v>
      </c>
      <c r="J350" s="40">
        <v>0.13</v>
      </c>
      <c r="K350" s="58">
        <f t="shared" si="43"/>
        <v>0.0975</v>
      </c>
      <c r="L350" s="30">
        <f>H350*DEMANDA!$B$9</f>
        <v>98.25</v>
      </c>
      <c r="M350" s="29">
        <f t="shared" si="44"/>
        <v>12.7725</v>
      </c>
    </row>
    <row r="351" spans="1:13" ht="15.75" customHeight="1" outlineLevel="2">
      <c r="A351" s="25">
        <v>6</v>
      </c>
      <c r="B351" s="26" t="s">
        <v>561</v>
      </c>
      <c r="C351" s="17" t="s">
        <v>521</v>
      </c>
      <c r="D351" s="26" t="s">
        <v>827</v>
      </c>
      <c r="E351" s="27">
        <v>6</v>
      </c>
      <c r="F351" s="26" t="s">
        <v>1297</v>
      </c>
      <c r="G351" s="28">
        <v>1</v>
      </c>
      <c r="H351" s="28">
        <f t="shared" si="42"/>
        <v>0.16666666666666666</v>
      </c>
      <c r="I351" s="39" t="s">
        <v>632</v>
      </c>
      <c r="J351" s="40">
        <v>0.13</v>
      </c>
      <c r="K351" s="58">
        <f t="shared" si="43"/>
        <v>0.021666666666666667</v>
      </c>
      <c r="L351" s="30">
        <f>H351*DEMANDA!$B$9</f>
        <v>21.833333333333332</v>
      </c>
      <c r="M351" s="29">
        <f t="shared" si="44"/>
        <v>2.8383333333333334</v>
      </c>
    </row>
    <row r="352" spans="1:13" ht="15.75" customHeight="1" outlineLevel="2">
      <c r="A352" s="25">
        <v>6</v>
      </c>
      <c r="B352" s="26" t="s">
        <v>561</v>
      </c>
      <c r="C352" s="17" t="s">
        <v>521</v>
      </c>
      <c r="D352" s="26" t="s">
        <v>828</v>
      </c>
      <c r="E352" s="27">
        <v>6</v>
      </c>
      <c r="F352" s="26" t="s">
        <v>1297</v>
      </c>
      <c r="G352" s="28">
        <v>1</v>
      </c>
      <c r="H352" s="28">
        <f t="shared" si="42"/>
        <v>0.16666666666666666</v>
      </c>
      <c r="I352" s="39" t="s">
        <v>632</v>
      </c>
      <c r="J352" s="40">
        <v>0.13</v>
      </c>
      <c r="K352" s="58">
        <f t="shared" si="43"/>
        <v>0.021666666666666667</v>
      </c>
      <c r="L352" s="30">
        <f>H352*DEMANDA!$B$9</f>
        <v>21.833333333333332</v>
      </c>
      <c r="M352" s="29">
        <f t="shared" si="44"/>
        <v>2.8383333333333334</v>
      </c>
    </row>
    <row r="353" spans="1:13" ht="15.75" customHeight="1" outlineLevel="2">
      <c r="A353" s="25">
        <v>23</v>
      </c>
      <c r="B353" s="26" t="s">
        <v>517</v>
      </c>
      <c r="C353" s="17" t="s">
        <v>514</v>
      </c>
      <c r="D353" s="26" t="s">
        <v>835</v>
      </c>
      <c r="E353" s="27">
        <v>4</v>
      </c>
      <c r="F353" s="26" t="s">
        <v>1297</v>
      </c>
      <c r="G353" s="28">
        <v>2</v>
      </c>
      <c r="H353" s="28">
        <f t="shared" si="42"/>
        <v>0.5</v>
      </c>
      <c r="I353" s="39" t="s">
        <v>632</v>
      </c>
      <c r="J353" s="40">
        <v>0.13</v>
      </c>
      <c r="K353" s="58">
        <f t="shared" si="43"/>
        <v>0.065</v>
      </c>
      <c r="L353" s="30">
        <f>H353*DEMANDA!$B$9</f>
        <v>65.5</v>
      </c>
      <c r="M353" s="29">
        <f t="shared" si="44"/>
        <v>8.515</v>
      </c>
    </row>
    <row r="354" spans="1:13" ht="15.75" customHeight="1" outlineLevel="2">
      <c r="A354" s="25">
        <v>24</v>
      </c>
      <c r="B354" s="26" t="s">
        <v>668</v>
      </c>
      <c r="C354" s="17" t="s">
        <v>510</v>
      </c>
      <c r="D354" s="26" t="s">
        <v>830</v>
      </c>
      <c r="E354" s="27">
        <v>10</v>
      </c>
      <c r="F354" s="26" t="s">
        <v>1297</v>
      </c>
      <c r="G354" s="28">
        <v>1</v>
      </c>
      <c r="H354" s="28">
        <f t="shared" si="42"/>
        <v>0.1</v>
      </c>
      <c r="I354" s="39" t="s">
        <v>632</v>
      </c>
      <c r="J354" s="40">
        <v>0.13</v>
      </c>
      <c r="K354" s="58">
        <f t="shared" si="43"/>
        <v>0.013000000000000001</v>
      </c>
      <c r="L354" s="30">
        <f>H354*DEMANDA!$B$9</f>
        <v>13.100000000000001</v>
      </c>
      <c r="M354" s="29">
        <f t="shared" si="44"/>
        <v>1.7030000000000003</v>
      </c>
    </row>
    <row r="355" spans="1:13" ht="15.75" customHeight="1" outlineLevel="1">
      <c r="A355" s="25"/>
      <c r="B355" s="26"/>
      <c r="C355" s="17"/>
      <c r="D355" s="26"/>
      <c r="E355" s="27"/>
      <c r="F355" s="52" t="s">
        <v>1462</v>
      </c>
      <c r="G355" s="28"/>
      <c r="H355" s="28"/>
      <c r="I355" s="39"/>
      <c r="J355" s="40"/>
      <c r="K355" s="58">
        <f>SUBTOTAL(9,K338:K354)</f>
        <v>1.5946666666666665</v>
      </c>
      <c r="L355" s="30"/>
      <c r="M355" s="29"/>
    </row>
    <row r="356" spans="1:13" ht="15.75" customHeight="1" outlineLevel="2">
      <c r="A356" s="25">
        <v>13</v>
      </c>
      <c r="B356" s="26" t="s">
        <v>775</v>
      </c>
      <c r="C356" s="17" t="s">
        <v>510</v>
      </c>
      <c r="D356" s="26" t="s">
        <v>841</v>
      </c>
      <c r="E356" s="27">
        <v>4</v>
      </c>
      <c r="F356" s="26" t="s">
        <v>1298</v>
      </c>
      <c r="G356" s="28">
        <v>0.03</v>
      </c>
      <c r="H356" s="28">
        <f aca="true" t="shared" si="45" ref="H356:H364">G356/E356</f>
        <v>0.0075</v>
      </c>
      <c r="I356" s="16" t="s">
        <v>555</v>
      </c>
      <c r="J356" s="29">
        <v>11.32</v>
      </c>
      <c r="K356" s="58">
        <f aca="true" t="shared" si="46" ref="K356:K364">J356*H356</f>
        <v>0.0849</v>
      </c>
      <c r="L356" s="30">
        <f>H356*DEMANDA!$B$9</f>
        <v>0.9824999999999999</v>
      </c>
      <c r="M356" s="29">
        <f aca="true" t="shared" si="47" ref="M356:M364">L356*J356</f>
        <v>11.1219</v>
      </c>
    </row>
    <row r="357" spans="1:13" ht="15.75" customHeight="1" outlineLevel="2">
      <c r="A357" s="25">
        <v>11</v>
      </c>
      <c r="B357" s="26" t="s">
        <v>566</v>
      </c>
      <c r="C357" s="17" t="s">
        <v>521</v>
      </c>
      <c r="D357" s="26" t="s">
        <v>840</v>
      </c>
      <c r="E357" s="27">
        <v>4</v>
      </c>
      <c r="F357" s="26" t="s">
        <v>1298</v>
      </c>
      <c r="G357" s="28">
        <v>0.08</v>
      </c>
      <c r="H357" s="28">
        <f t="shared" si="45"/>
        <v>0.02</v>
      </c>
      <c r="I357" s="16" t="s">
        <v>555</v>
      </c>
      <c r="J357" s="29">
        <v>11.32</v>
      </c>
      <c r="K357" s="58">
        <f t="shared" si="46"/>
        <v>0.22640000000000002</v>
      </c>
      <c r="L357" s="30">
        <f>H357*DEMANDA!$B$9</f>
        <v>2.62</v>
      </c>
      <c r="M357" s="29">
        <f t="shared" si="47"/>
        <v>29.6584</v>
      </c>
    </row>
    <row r="358" spans="1:13" ht="15.75" customHeight="1" outlineLevel="2">
      <c r="A358" s="25">
        <v>4</v>
      </c>
      <c r="B358" s="26" t="s">
        <v>792</v>
      </c>
      <c r="C358" s="17" t="s">
        <v>521</v>
      </c>
      <c r="D358" s="26" t="s">
        <v>839</v>
      </c>
      <c r="E358" s="27">
        <v>4</v>
      </c>
      <c r="F358" s="26" t="s">
        <v>1298</v>
      </c>
      <c r="G358" s="28">
        <v>0.16</v>
      </c>
      <c r="H358" s="28">
        <f t="shared" si="45"/>
        <v>0.04</v>
      </c>
      <c r="I358" s="16" t="s">
        <v>555</v>
      </c>
      <c r="J358" s="29">
        <v>11.32</v>
      </c>
      <c r="K358" s="58">
        <f t="shared" si="46"/>
        <v>0.45280000000000004</v>
      </c>
      <c r="L358" s="30">
        <f>H358*DEMANDA!$B$9</f>
        <v>5.24</v>
      </c>
      <c r="M358" s="29">
        <f t="shared" si="47"/>
        <v>59.3168</v>
      </c>
    </row>
    <row r="359" spans="1:13" ht="15.75" customHeight="1" outlineLevel="2">
      <c r="A359" s="25">
        <v>18</v>
      </c>
      <c r="B359" s="26" t="s">
        <v>570</v>
      </c>
      <c r="C359" s="17" t="s">
        <v>521</v>
      </c>
      <c r="D359" s="26" t="s">
        <v>844</v>
      </c>
      <c r="E359" s="27">
        <v>4</v>
      </c>
      <c r="F359" s="26" t="s">
        <v>1298</v>
      </c>
      <c r="G359" s="28">
        <v>0.16</v>
      </c>
      <c r="H359" s="28">
        <f t="shared" si="45"/>
        <v>0.04</v>
      </c>
      <c r="I359" s="16" t="s">
        <v>555</v>
      </c>
      <c r="J359" s="29">
        <v>11.32</v>
      </c>
      <c r="K359" s="58">
        <f t="shared" si="46"/>
        <v>0.45280000000000004</v>
      </c>
      <c r="L359" s="30">
        <f>H359*DEMANDA!$B$9</f>
        <v>5.24</v>
      </c>
      <c r="M359" s="29">
        <f t="shared" si="47"/>
        <v>59.3168</v>
      </c>
    </row>
    <row r="360" spans="1:13" ht="15.75" customHeight="1" outlineLevel="2">
      <c r="A360" s="25">
        <v>23</v>
      </c>
      <c r="B360" s="26" t="s">
        <v>753</v>
      </c>
      <c r="C360" s="17" t="s">
        <v>521</v>
      </c>
      <c r="D360" s="26" t="s">
        <v>847</v>
      </c>
      <c r="E360" s="27">
        <v>4</v>
      </c>
      <c r="F360" s="26" t="s">
        <v>1298</v>
      </c>
      <c r="G360" s="28">
        <v>0.09</v>
      </c>
      <c r="H360" s="28">
        <f t="shared" si="45"/>
        <v>0.0225</v>
      </c>
      <c r="I360" s="16" t="s">
        <v>555</v>
      </c>
      <c r="J360" s="29">
        <v>11.32</v>
      </c>
      <c r="K360" s="58">
        <f t="shared" si="46"/>
        <v>0.2547</v>
      </c>
      <c r="L360" s="30">
        <f>H360*DEMANDA!$B$9</f>
        <v>2.9475</v>
      </c>
      <c r="M360" s="29">
        <f t="shared" si="47"/>
        <v>33.3657</v>
      </c>
    </row>
    <row r="361" spans="1:13" ht="15.75" customHeight="1" outlineLevel="2">
      <c r="A361" s="25">
        <v>3</v>
      </c>
      <c r="B361" s="26" t="s">
        <v>556</v>
      </c>
      <c r="C361" s="17" t="s">
        <v>521</v>
      </c>
      <c r="D361" s="26" t="s">
        <v>838</v>
      </c>
      <c r="E361" s="27">
        <v>4</v>
      </c>
      <c r="F361" s="26" t="s">
        <v>1298</v>
      </c>
      <c r="G361" s="28">
        <v>0.12</v>
      </c>
      <c r="H361" s="28">
        <f t="shared" si="45"/>
        <v>0.03</v>
      </c>
      <c r="I361" s="16" t="s">
        <v>555</v>
      </c>
      <c r="J361" s="29">
        <v>11.32</v>
      </c>
      <c r="K361" s="58">
        <f t="shared" si="46"/>
        <v>0.3396</v>
      </c>
      <c r="L361" s="30">
        <f>H361*DEMANDA!$B$9</f>
        <v>3.9299999999999997</v>
      </c>
      <c r="M361" s="29">
        <f t="shared" si="47"/>
        <v>44.4876</v>
      </c>
    </row>
    <row r="362" spans="1:13" ht="15.75" customHeight="1" outlineLevel="2">
      <c r="A362" s="25">
        <v>16</v>
      </c>
      <c r="B362" s="26" t="s">
        <v>842</v>
      </c>
      <c r="C362" s="17" t="s">
        <v>510</v>
      </c>
      <c r="D362" s="26" t="s">
        <v>843</v>
      </c>
      <c r="E362" s="27">
        <v>4</v>
      </c>
      <c r="F362" s="26" t="s">
        <v>1298</v>
      </c>
      <c r="G362" s="28">
        <v>0.24</v>
      </c>
      <c r="H362" s="28">
        <f t="shared" si="45"/>
        <v>0.06</v>
      </c>
      <c r="I362" s="16" t="s">
        <v>555</v>
      </c>
      <c r="J362" s="29">
        <v>11.32</v>
      </c>
      <c r="K362" s="58">
        <f t="shared" si="46"/>
        <v>0.6792</v>
      </c>
      <c r="L362" s="30">
        <f>H362*DEMANDA!$B$9</f>
        <v>7.859999999999999</v>
      </c>
      <c r="M362" s="29">
        <f t="shared" si="47"/>
        <v>88.9752</v>
      </c>
    </row>
    <row r="363" spans="1:13" ht="15.75" customHeight="1" outlineLevel="2">
      <c r="A363" s="25">
        <v>20</v>
      </c>
      <c r="B363" s="26" t="s">
        <v>576</v>
      </c>
      <c r="C363" s="17" t="s">
        <v>514</v>
      </c>
      <c r="D363" s="26" t="s">
        <v>845</v>
      </c>
      <c r="E363" s="27">
        <v>4</v>
      </c>
      <c r="F363" s="26" t="s">
        <v>1298</v>
      </c>
      <c r="G363" s="28">
        <v>0.16</v>
      </c>
      <c r="H363" s="28">
        <f t="shared" si="45"/>
        <v>0.04</v>
      </c>
      <c r="I363" s="16" t="s">
        <v>555</v>
      </c>
      <c r="J363" s="29">
        <v>11.32</v>
      </c>
      <c r="K363" s="58">
        <f t="shared" si="46"/>
        <v>0.45280000000000004</v>
      </c>
      <c r="L363" s="30">
        <f>H363*DEMANDA!$B$9</f>
        <v>5.24</v>
      </c>
      <c r="M363" s="29">
        <f t="shared" si="47"/>
        <v>59.3168</v>
      </c>
    </row>
    <row r="364" spans="1:13" ht="15.75" customHeight="1" outlineLevel="2">
      <c r="A364" s="25">
        <v>22</v>
      </c>
      <c r="B364" s="26" t="s">
        <v>581</v>
      </c>
      <c r="C364" s="17" t="s">
        <v>514</v>
      </c>
      <c r="D364" s="26" t="s">
        <v>846</v>
      </c>
      <c r="E364" s="27">
        <v>4</v>
      </c>
      <c r="F364" s="26" t="s">
        <v>1298</v>
      </c>
      <c r="G364" s="28">
        <v>0.04</v>
      </c>
      <c r="H364" s="28">
        <f t="shared" si="45"/>
        <v>0.01</v>
      </c>
      <c r="I364" s="16" t="s">
        <v>555</v>
      </c>
      <c r="J364" s="29">
        <v>11.32</v>
      </c>
      <c r="K364" s="58">
        <f t="shared" si="46"/>
        <v>0.11320000000000001</v>
      </c>
      <c r="L364" s="30">
        <f>H364*DEMANDA!$B$9</f>
        <v>1.31</v>
      </c>
      <c r="M364" s="29">
        <f t="shared" si="47"/>
        <v>14.8292</v>
      </c>
    </row>
    <row r="365" spans="1:13" ht="15.75" customHeight="1" outlineLevel="1">
      <c r="A365" s="25"/>
      <c r="B365" s="26"/>
      <c r="C365" s="17"/>
      <c r="D365" s="26"/>
      <c r="E365" s="27"/>
      <c r="F365" s="52" t="s">
        <v>1463</v>
      </c>
      <c r="G365" s="28"/>
      <c r="H365" s="28"/>
      <c r="I365" s="16"/>
      <c r="J365" s="29"/>
      <c r="K365" s="58">
        <f>SUBTOTAL(9,K356:K364)</f>
        <v>3.0564</v>
      </c>
      <c r="L365" s="30"/>
      <c r="M365" s="29"/>
    </row>
    <row r="366" spans="1:13" ht="15.75" customHeight="1" outlineLevel="2">
      <c r="A366" s="25">
        <v>4</v>
      </c>
      <c r="B366" s="26" t="s">
        <v>573</v>
      </c>
      <c r="C366" s="17" t="s">
        <v>514</v>
      </c>
      <c r="D366" s="26" t="s">
        <v>848</v>
      </c>
      <c r="E366" s="27">
        <v>4</v>
      </c>
      <c r="F366" s="26" t="s">
        <v>1299</v>
      </c>
      <c r="G366" s="28">
        <v>0.015</v>
      </c>
      <c r="H366" s="28">
        <f>G366/E366</f>
        <v>0.00375</v>
      </c>
      <c r="I366" s="16" t="s">
        <v>555</v>
      </c>
      <c r="J366" s="38">
        <v>2</v>
      </c>
      <c r="K366" s="58">
        <f>J366*H366</f>
        <v>0.0075</v>
      </c>
      <c r="L366" s="30">
        <f>H366*DEMANDA!$B$9</f>
        <v>0.49124999999999996</v>
      </c>
      <c r="M366" s="29">
        <f>L366*J366</f>
        <v>0.9824999999999999</v>
      </c>
    </row>
    <row r="367" spans="1:13" ht="15.75" customHeight="1" outlineLevel="2">
      <c r="A367" s="25">
        <v>12</v>
      </c>
      <c r="B367" s="26" t="s">
        <v>537</v>
      </c>
      <c r="C367" s="17" t="s">
        <v>514</v>
      </c>
      <c r="D367" s="26" t="s">
        <v>849</v>
      </c>
      <c r="E367" s="27">
        <v>4</v>
      </c>
      <c r="F367" s="26" t="s">
        <v>1299</v>
      </c>
      <c r="G367" s="28">
        <v>0.03</v>
      </c>
      <c r="H367" s="28">
        <f>G367/E367</f>
        <v>0.0075</v>
      </c>
      <c r="I367" s="16" t="s">
        <v>555</v>
      </c>
      <c r="J367" s="38">
        <v>2</v>
      </c>
      <c r="K367" s="58">
        <f>J367*H367</f>
        <v>0.015</v>
      </c>
      <c r="L367" s="30">
        <f>H367*DEMANDA!$B$9</f>
        <v>0.9824999999999999</v>
      </c>
      <c r="M367" s="29">
        <f>L367*J367</f>
        <v>1.9649999999999999</v>
      </c>
    </row>
    <row r="368" spans="1:13" ht="15.75" customHeight="1" outlineLevel="1">
      <c r="A368" s="25"/>
      <c r="B368" s="26"/>
      <c r="C368" s="17"/>
      <c r="D368" s="26"/>
      <c r="E368" s="27"/>
      <c r="F368" s="52" t="s">
        <v>1464</v>
      </c>
      <c r="G368" s="28"/>
      <c r="H368" s="28"/>
      <c r="I368" s="16"/>
      <c r="J368" s="38"/>
      <c r="K368" s="58">
        <f>SUBTOTAL(9,K366:K367)</f>
        <v>0.0225</v>
      </c>
      <c r="L368" s="30"/>
      <c r="M368" s="29"/>
    </row>
    <row r="369" spans="1:13" ht="15.75" customHeight="1" outlineLevel="2">
      <c r="A369" s="25">
        <v>26</v>
      </c>
      <c r="B369" s="26" t="s">
        <v>692</v>
      </c>
      <c r="C369" s="17" t="s">
        <v>521</v>
      </c>
      <c r="D369" s="16" t="s">
        <v>854</v>
      </c>
      <c r="E369" s="27">
        <v>4</v>
      </c>
      <c r="F369" s="26" t="s">
        <v>1300</v>
      </c>
      <c r="G369" s="28">
        <v>0.15</v>
      </c>
      <c r="H369" s="28">
        <f aca="true" t="shared" si="48" ref="H369:H374">G369/E369</f>
        <v>0.0375</v>
      </c>
      <c r="I369" s="16" t="s">
        <v>555</v>
      </c>
      <c r="J369" s="29">
        <v>3.5</v>
      </c>
      <c r="K369" s="58">
        <f aca="true" t="shared" si="49" ref="K369:K374">J369*H369</f>
        <v>0.13125</v>
      </c>
      <c r="L369" s="30">
        <f>H369*DEMANDA!$B$9</f>
        <v>4.9125</v>
      </c>
      <c r="M369" s="29">
        <f aca="true" t="shared" si="50" ref="M369:M374">L369*J369</f>
        <v>17.193749999999998</v>
      </c>
    </row>
    <row r="370" spans="1:13" ht="15.75" customHeight="1" outlineLevel="2">
      <c r="A370" s="25">
        <v>13</v>
      </c>
      <c r="B370" s="26" t="s">
        <v>819</v>
      </c>
      <c r="C370" s="17" t="s">
        <v>521</v>
      </c>
      <c r="D370" s="26" t="s">
        <v>852</v>
      </c>
      <c r="E370" s="27">
        <v>4</v>
      </c>
      <c r="F370" s="26" t="s">
        <v>1300</v>
      </c>
      <c r="G370" s="28">
        <v>0.3</v>
      </c>
      <c r="H370" s="28">
        <f t="shared" si="48"/>
        <v>0.075</v>
      </c>
      <c r="I370" s="16" t="s">
        <v>555</v>
      </c>
      <c r="J370" s="29">
        <v>3.5</v>
      </c>
      <c r="K370" s="58">
        <f t="shared" si="49"/>
        <v>0.2625</v>
      </c>
      <c r="L370" s="30">
        <f>H370*DEMANDA!$B$9</f>
        <v>9.825</v>
      </c>
      <c r="M370" s="29">
        <f t="shared" si="50"/>
        <v>34.387499999999996</v>
      </c>
    </row>
    <row r="371" spans="1:13" ht="15.75" customHeight="1" outlineLevel="2">
      <c r="A371" s="32">
        <v>30</v>
      </c>
      <c r="B371" s="33" t="s">
        <v>643</v>
      </c>
      <c r="C371" s="34" t="s">
        <v>521</v>
      </c>
      <c r="D371" s="33" t="s">
        <v>853</v>
      </c>
      <c r="E371" s="35">
        <v>4</v>
      </c>
      <c r="F371" s="26" t="s">
        <v>1300</v>
      </c>
      <c r="G371" s="36">
        <v>0.1275</v>
      </c>
      <c r="H371" s="28">
        <f t="shared" si="48"/>
        <v>0.031875</v>
      </c>
      <c r="I371" s="16" t="s">
        <v>555</v>
      </c>
      <c r="J371" s="29">
        <v>3.5</v>
      </c>
      <c r="K371" s="58">
        <f t="shared" si="49"/>
        <v>0.11156250000000001</v>
      </c>
      <c r="L371" s="30">
        <f>H371*DEMANDA!$B$9</f>
        <v>4.175625</v>
      </c>
      <c r="M371" s="29">
        <f t="shared" si="50"/>
        <v>14.6146875</v>
      </c>
    </row>
    <row r="372" spans="1:13" ht="15.75" customHeight="1" outlineLevel="2">
      <c r="A372" s="25">
        <v>8</v>
      </c>
      <c r="B372" s="26" t="s">
        <v>685</v>
      </c>
      <c r="C372" s="17" t="s">
        <v>521</v>
      </c>
      <c r="D372" s="26" t="s">
        <v>851</v>
      </c>
      <c r="E372" s="27">
        <v>4</v>
      </c>
      <c r="F372" s="26" t="s">
        <v>1300</v>
      </c>
      <c r="G372" s="28">
        <v>0.3</v>
      </c>
      <c r="H372" s="28">
        <f t="shared" si="48"/>
        <v>0.075</v>
      </c>
      <c r="I372" s="16" t="s">
        <v>555</v>
      </c>
      <c r="J372" s="29">
        <v>3.5</v>
      </c>
      <c r="K372" s="58">
        <f t="shared" si="49"/>
        <v>0.2625</v>
      </c>
      <c r="L372" s="30">
        <f>H372*DEMANDA!$B$9</f>
        <v>9.825</v>
      </c>
      <c r="M372" s="29">
        <f t="shared" si="50"/>
        <v>34.387499999999996</v>
      </c>
    </row>
    <row r="373" spans="1:13" ht="15.75" customHeight="1" outlineLevel="2">
      <c r="A373" s="25">
        <v>4</v>
      </c>
      <c r="B373" s="26" t="s">
        <v>792</v>
      </c>
      <c r="C373" s="17" t="s">
        <v>521</v>
      </c>
      <c r="D373" s="26" t="s">
        <v>850</v>
      </c>
      <c r="E373" s="27">
        <v>4</v>
      </c>
      <c r="F373" s="26" t="s">
        <v>1300</v>
      </c>
      <c r="G373" s="28">
        <v>0.15</v>
      </c>
      <c r="H373" s="28">
        <f t="shared" si="48"/>
        <v>0.0375</v>
      </c>
      <c r="I373" s="16" t="s">
        <v>555</v>
      </c>
      <c r="J373" s="29">
        <v>3.5</v>
      </c>
      <c r="K373" s="58">
        <f t="shared" si="49"/>
        <v>0.13125</v>
      </c>
      <c r="L373" s="30">
        <f>H373*DEMANDA!$B$9</f>
        <v>4.9125</v>
      </c>
      <c r="M373" s="29">
        <f t="shared" si="50"/>
        <v>17.193749999999998</v>
      </c>
    </row>
    <row r="374" spans="1:13" ht="15.75" customHeight="1" outlineLevel="2">
      <c r="A374" s="32">
        <v>25</v>
      </c>
      <c r="B374" s="33" t="s">
        <v>643</v>
      </c>
      <c r="C374" s="34" t="s">
        <v>510</v>
      </c>
      <c r="D374" s="33" t="s">
        <v>853</v>
      </c>
      <c r="E374" s="35">
        <v>4</v>
      </c>
      <c r="F374" s="26" t="s">
        <v>1300</v>
      </c>
      <c r="G374" s="36">
        <v>0.1275</v>
      </c>
      <c r="H374" s="28">
        <f t="shared" si="48"/>
        <v>0.031875</v>
      </c>
      <c r="I374" s="16" t="s">
        <v>555</v>
      </c>
      <c r="J374" s="29">
        <v>3.5</v>
      </c>
      <c r="K374" s="58">
        <f t="shared" si="49"/>
        <v>0.11156250000000001</v>
      </c>
      <c r="L374" s="30">
        <f>H374*DEMANDA!$B$9</f>
        <v>4.175625</v>
      </c>
      <c r="M374" s="29">
        <f t="shared" si="50"/>
        <v>14.6146875</v>
      </c>
    </row>
    <row r="375" spans="1:13" ht="15.75" customHeight="1" outlineLevel="1">
      <c r="A375" s="32"/>
      <c r="B375" s="33"/>
      <c r="C375" s="34"/>
      <c r="D375" s="33"/>
      <c r="E375" s="35"/>
      <c r="F375" s="52" t="s">
        <v>1465</v>
      </c>
      <c r="G375" s="36"/>
      <c r="H375" s="28"/>
      <c r="I375" s="16"/>
      <c r="J375" s="29"/>
      <c r="K375" s="58">
        <f>SUBTOTAL(9,K369:K374)</f>
        <v>1.010625</v>
      </c>
      <c r="L375" s="30"/>
      <c r="M375" s="29"/>
    </row>
    <row r="376" spans="1:13" ht="15.75" customHeight="1" outlineLevel="2">
      <c r="A376" s="25">
        <v>10</v>
      </c>
      <c r="B376" s="26" t="s">
        <v>646</v>
      </c>
      <c r="C376" s="17" t="s">
        <v>510</v>
      </c>
      <c r="D376" s="26" t="s">
        <v>855</v>
      </c>
      <c r="E376" s="27">
        <v>6</v>
      </c>
      <c r="F376" s="26" t="s">
        <v>1301</v>
      </c>
      <c r="G376" s="28">
        <v>0.0025</v>
      </c>
      <c r="H376" s="28">
        <f>G376/E376</f>
        <v>0.0004166666666666667</v>
      </c>
      <c r="I376" s="16" t="s">
        <v>555</v>
      </c>
      <c r="J376" s="38">
        <v>6</v>
      </c>
      <c r="K376" s="58">
        <f>J376*H376</f>
        <v>0.0025</v>
      </c>
      <c r="L376" s="30">
        <f>H376*DEMANDA!$B$9</f>
        <v>0.05458333333333334</v>
      </c>
      <c r="M376" s="29">
        <f>L376*J376</f>
        <v>0.3275</v>
      </c>
    </row>
    <row r="377" spans="1:13" ht="15.75" customHeight="1" outlineLevel="2">
      <c r="A377" s="25">
        <v>17</v>
      </c>
      <c r="B377" s="26" t="s">
        <v>569</v>
      </c>
      <c r="C377" s="17" t="s">
        <v>514</v>
      </c>
      <c r="D377" s="26" t="s">
        <v>856</v>
      </c>
      <c r="E377" s="27">
        <v>4</v>
      </c>
      <c r="F377" s="26" t="s">
        <v>1301</v>
      </c>
      <c r="G377" s="28">
        <v>0.0025</v>
      </c>
      <c r="H377" s="28">
        <f>G377/E377</f>
        <v>0.000625</v>
      </c>
      <c r="I377" s="16" t="s">
        <v>555</v>
      </c>
      <c r="J377" s="38">
        <v>6</v>
      </c>
      <c r="K377" s="58">
        <f>J377*H377</f>
        <v>0.00375</v>
      </c>
      <c r="L377" s="30">
        <f>H377*DEMANDA!$B$9</f>
        <v>0.081875</v>
      </c>
      <c r="M377" s="29">
        <f>L377*J377</f>
        <v>0.49125</v>
      </c>
    </row>
    <row r="378" spans="1:13" ht="15.75" customHeight="1" outlineLevel="2">
      <c r="A378" s="25">
        <v>25</v>
      </c>
      <c r="B378" s="26" t="s">
        <v>607</v>
      </c>
      <c r="C378" s="17" t="s">
        <v>514</v>
      </c>
      <c r="D378" s="26" t="s">
        <v>857</v>
      </c>
      <c r="E378" s="27">
        <v>4</v>
      </c>
      <c r="F378" s="26" t="s">
        <v>1301</v>
      </c>
      <c r="G378" s="28">
        <v>0.0075</v>
      </c>
      <c r="H378" s="28">
        <f>G378/E378</f>
        <v>0.001875</v>
      </c>
      <c r="I378" s="16" t="s">
        <v>555</v>
      </c>
      <c r="J378" s="38">
        <v>6</v>
      </c>
      <c r="K378" s="58">
        <f>J378*H378</f>
        <v>0.01125</v>
      </c>
      <c r="L378" s="30">
        <f>H378*DEMANDA!$B$9</f>
        <v>0.24562499999999998</v>
      </c>
      <c r="M378" s="29">
        <f>L378*J378</f>
        <v>1.47375</v>
      </c>
    </row>
    <row r="379" spans="1:13" ht="15.75" customHeight="1" outlineLevel="2">
      <c r="A379" s="25">
        <v>29</v>
      </c>
      <c r="B379" s="26" t="s">
        <v>551</v>
      </c>
      <c r="C379" s="17" t="s">
        <v>514</v>
      </c>
      <c r="D379" s="26" t="s">
        <v>856</v>
      </c>
      <c r="E379" s="27">
        <v>4</v>
      </c>
      <c r="F379" s="26" t="s">
        <v>1301</v>
      </c>
      <c r="G379" s="28">
        <v>0.003</v>
      </c>
      <c r="H379" s="28">
        <f>G379/E379</f>
        <v>0.00075</v>
      </c>
      <c r="I379" s="16" t="s">
        <v>555</v>
      </c>
      <c r="J379" s="38">
        <v>6</v>
      </c>
      <c r="K379" s="58">
        <f>J379*H379</f>
        <v>0.0045000000000000005</v>
      </c>
      <c r="L379" s="30">
        <f>H379*DEMANDA!$B$9</f>
        <v>0.09825</v>
      </c>
      <c r="M379" s="29">
        <f>L379*J379</f>
        <v>0.5895</v>
      </c>
    </row>
    <row r="380" spans="1:13" ht="15.75" customHeight="1" outlineLevel="1">
      <c r="A380" s="25"/>
      <c r="B380" s="26"/>
      <c r="C380" s="17"/>
      <c r="D380" s="26"/>
      <c r="E380" s="27"/>
      <c r="F380" s="52" t="s">
        <v>1466</v>
      </c>
      <c r="G380" s="28"/>
      <c r="H380" s="28"/>
      <c r="I380" s="16"/>
      <c r="J380" s="38"/>
      <c r="K380" s="58">
        <f>SUBTOTAL(9,K376:K379)</f>
        <v>0.022000000000000002</v>
      </c>
      <c r="L380" s="30"/>
      <c r="M380" s="29"/>
    </row>
    <row r="381" spans="1:13" ht="15.75" customHeight="1" outlineLevel="2">
      <c r="A381" s="25">
        <v>2</v>
      </c>
      <c r="B381" s="26" t="s">
        <v>700</v>
      </c>
      <c r="C381" s="17" t="s">
        <v>510</v>
      </c>
      <c r="D381" s="26" t="s">
        <v>859</v>
      </c>
      <c r="E381" s="27">
        <v>4</v>
      </c>
      <c r="F381" s="26" t="s">
        <v>1302</v>
      </c>
      <c r="G381" s="28">
        <v>0.0625</v>
      </c>
      <c r="H381" s="28">
        <f aca="true" t="shared" si="51" ref="H381:H396">G381/E381</f>
        <v>0.015625</v>
      </c>
      <c r="I381" s="16" t="s">
        <v>512</v>
      </c>
      <c r="J381" s="29">
        <v>1.18</v>
      </c>
      <c r="K381" s="58">
        <f aca="true" t="shared" si="52" ref="K381:K396">J381*H381</f>
        <v>0.0184375</v>
      </c>
      <c r="L381" s="30">
        <f>H381*DEMANDA!$B$9</f>
        <v>2.046875</v>
      </c>
      <c r="M381" s="29">
        <f aca="true" t="shared" si="53" ref="M381:M396">L381*J381</f>
        <v>2.4153124999999998</v>
      </c>
    </row>
    <row r="382" spans="1:13" ht="15.75" customHeight="1" outlineLevel="2">
      <c r="A382" s="25">
        <v>5</v>
      </c>
      <c r="B382" s="26" t="s">
        <v>559</v>
      </c>
      <c r="C382" s="17" t="s">
        <v>510</v>
      </c>
      <c r="D382" s="26" t="s">
        <v>860</v>
      </c>
      <c r="E382" s="27">
        <v>4</v>
      </c>
      <c r="F382" s="26" t="s">
        <v>1302</v>
      </c>
      <c r="G382" s="28">
        <v>0.5</v>
      </c>
      <c r="H382" s="28">
        <f t="shared" si="51"/>
        <v>0.125</v>
      </c>
      <c r="I382" s="16" t="s">
        <v>512</v>
      </c>
      <c r="J382" s="29">
        <v>1.18</v>
      </c>
      <c r="K382" s="58">
        <f t="shared" si="52"/>
        <v>0.1475</v>
      </c>
      <c r="L382" s="30">
        <f>H382*DEMANDA!$B$9</f>
        <v>16.375</v>
      </c>
      <c r="M382" s="29">
        <f t="shared" si="53"/>
        <v>19.322499999999998</v>
      </c>
    </row>
    <row r="383" spans="1:13" ht="15.75" customHeight="1" outlineLevel="2">
      <c r="A383" s="25">
        <v>1</v>
      </c>
      <c r="B383" s="26" t="s">
        <v>590</v>
      </c>
      <c r="C383" s="17" t="s">
        <v>521</v>
      </c>
      <c r="D383" s="26" t="s">
        <v>858</v>
      </c>
      <c r="E383" s="27">
        <v>4</v>
      </c>
      <c r="F383" s="26" t="s">
        <v>1302</v>
      </c>
      <c r="G383" s="28">
        <v>0.125</v>
      </c>
      <c r="H383" s="28">
        <f t="shared" si="51"/>
        <v>0.03125</v>
      </c>
      <c r="I383" s="16" t="s">
        <v>512</v>
      </c>
      <c r="J383" s="29">
        <v>1.18</v>
      </c>
      <c r="K383" s="58">
        <f t="shared" si="52"/>
        <v>0.036875</v>
      </c>
      <c r="L383" s="30">
        <f>H383*DEMANDA!$B$9</f>
        <v>4.09375</v>
      </c>
      <c r="M383" s="29">
        <f t="shared" si="53"/>
        <v>4.8306249999999995</v>
      </c>
    </row>
    <row r="384" spans="1:13" ht="15.75" customHeight="1" outlineLevel="2">
      <c r="A384" s="25">
        <v>28</v>
      </c>
      <c r="B384" s="26" t="s">
        <v>572</v>
      </c>
      <c r="C384" s="17" t="s">
        <v>521</v>
      </c>
      <c r="D384" s="26" t="s">
        <v>869</v>
      </c>
      <c r="E384" s="27">
        <v>6</v>
      </c>
      <c r="F384" s="26" t="s">
        <v>1302</v>
      </c>
      <c r="G384" s="28">
        <v>0.25</v>
      </c>
      <c r="H384" s="28">
        <f t="shared" si="51"/>
        <v>0.041666666666666664</v>
      </c>
      <c r="I384" s="16" t="s">
        <v>512</v>
      </c>
      <c r="J384" s="29">
        <v>1.18</v>
      </c>
      <c r="K384" s="58">
        <f t="shared" si="52"/>
        <v>0.049166666666666664</v>
      </c>
      <c r="L384" s="30">
        <f>H384*DEMANDA!$B$9</f>
        <v>5.458333333333333</v>
      </c>
      <c r="M384" s="29">
        <f t="shared" si="53"/>
        <v>6.440833333333333</v>
      </c>
    </row>
    <row r="385" spans="1:13" ht="15.75" customHeight="1" outlineLevel="2">
      <c r="A385" s="25">
        <v>13</v>
      </c>
      <c r="B385" s="26" t="s">
        <v>819</v>
      </c>
      <c r="C385" s="17" t="s">
        <v>521</v>
      </c>
      <c r="D385" s="26" t="s">
        <v>863</v>
      </c>
      <c r="E385" s="27">
        <v>4</v>
      </c>
      <c r="F385" s="26" t="s">
        <v>1302</v>
      </c>
      <c r="G385" s="28">
        <v>0.5</v>
      </c>
      <c r="H385" s="28">
        <f t="shared" si="51"/>
        <v>0.125</v>
      </c>
      <c r="I385" s="16" t="s">
        <v>512</v>
      </c>
      <c r="J385" s="29">
        <v>1.18</v>
      </c>
      <c r="K385" s="58">
        <f t="shared" si="52"/>
        <v>0.1475</v>
      </c>
      <c r="L385" s="30">
        <f>H385*DEMANDA!$B$9</f>
        <v>16.375</v>
      </c>
      <c r="M385" s="29">
        <f t="shared" si="53"/>
        <v>19.322499999999998</v>
      </c>
    </row>
    <row r="386" spans="1:13" ht="15.75" customHeight="1" outlineLevel="2">
      <c r="A386" s="25">
        <v>15</v>
      </c>
      <c r="B386" s="26" t="s">
        <v>539</v>
      </c>
      <c r="C386" s="17" t="s">
        <v>521</v>
      </c>
      <c r="D386" s="26" t="s">
        <v>864</v>
      </c>
      <c r="E386" s="27">
        <v>4</v>
      </c>
      <c r="F386" s="26" t="s">
        <v>1302</v>
      </c>
      <c r="G386" s="28">
        <v>0.125</v>
      </c>
      <c r="H386" s="28">
        <f t="shared" si="51"/>
        <v>0.03125</v>
      </c>
      <c r="I386" s="16" t="s">
        <v>512</v>
      </c>
      <c r="J386" s="29">
        <v>1.18</v>
      </c>
      <c r="K386" s="58">
        <f t="shared" si="52"/>
        <v>0.036875</v>
      </c>
      <c r="L386" s="30">
        <f>H386*DEMANDA!$B$9</f>
        <v>4.09375</v>
      </c>
      <c r="M386" s="29">
        <f t="shared" si="53"/>
        <v>4.8306249999999995</v>
      </c>
    </row>
    <row r="387" spans="1:13" ht="15.75" customHeight="1" outlineLevel="2">
      <c r="A387" s="25">
        <v>19</v>
      </c>
      <c r="B387" s="26" t="s">
        <v>781</v>
      </c>
      <c r="C387" s="17" t="s">
        <v>521</v>
      </c>
      <c r="D387" s="26" t="s">
        <v>867</v>
      </c>
      <c r="E387" s="27">
        <v>4</v>
      </c>
      <c r="F387" s="26" t="s">
        <v>1302</v>
      </c>
      <c r="G387" s="28">
        <v>0.125</v>
      </c>
      <c r="H387" s="28">
        <f t="shared" si="51"/>
        <v>0.03125</v>
      </c>
      <c r="I387" s="16" t="s">
        <v>512</v>
      </c>
      <c r="J387" s="29">
        <v>1.18</v>
      </c>
      <c r="K387" s="58">
        <f t="shared" si="52"/>
        <v>0.036875</v>
      </c>
      <c r="L387" s="30">
        <f>H387*DEMANDA!$B$9</f>
        <v>4.09375</v>
      </c>
      <c r="M387" s="29">
        <f t="shared" si="53"/>
        <v>4.8306249999999995</v>
      </c>
    </row>
    <row r="388" spans="1:13" ht="15.75" customHeight="1" outlineLevel="2">
      <c r="A388" s="25">
        <v>29</v>
      </c>
      <c r="B388" s="26" t="s">
        <v>670</v>
      </c>
      <c r="C388" s="17" t="s">
        <v>521</v>
      </c>
      <c r="D388" s="26" t="s">
        <v>870</v>
      </c>
      <c r="E388" s="27">
        <v>4</v>
      </c>
      <c r="F388" s="26" t="s">
        <v>1302</v>
      </c>
      <c r="G388" s="28">
        <v>0.25</v>
      </c>
      <c r="H388" s="28">
        <f t="shared" si="51"/>
        <v>0.0625</v>
      </c>
      <c r="I388" s="16" t="s">
        <v>512</v>
      </c>
      <c r="J388" s="29">
        <v>1.18</v>
      </c>
      <c r="K388" s="58">
        <f t="shared" si="52"/>
        <v>0.07375</v>
      </c>
      <c r="L388" s="30">
        <f>H388*DEMANDA!$B$9</f>
        <v>8.1875</v>
      </c>
      <c r="M388" s="29">
        <f t="shared" si="53"/>
        <v>9.661249999999999</v>
      </c>
    </row>
    <row r="389" spans="1:13" ht="15.75" customHeight="1" outlineLevel="2">
      <c r="A389" s="25">
        <v>18</v>
      </c>
      <c r="B389" s="26" t="s">
        <v>570</v>
      </c>
      <c r="C389" s="17" t="s">
        <v>521</v>
      </c>
      <c r="D389" s="26" t="s">
        <v>866</v>
      </c>
      <c r="E389" s="27">
        <v>4</v>
      </c>
      <c r="F389" s="26" t="s">
        <v>1302</v>
      </c>
      <c r="G389" s="28">
        <v>0.04</v>
      </c>
      <c r="H389" s="28">
        <f t="shared" si="51"/>
        <v>0.01</v>
      </c>
      <c r="I389" s="16" t="s">
        <v>512</v>
      </c>
      <c r="J389" s="29">
        <v>1.18</v>
      </c>
      <c r="K389" s="58">
        <f t="shared" si="52"/>
        <v>0.0118</v>
      </c>
      <c r="L389" s="30">
        <f>H389*DEMANDA!$B$9</f>
        <v>1.31</v>
      </c>
      <c r="M389" s="29">
        <f t="shared" si="53"/>
        <v>1.5458</v>
      </c>
    </row>
    <row r="390" spans="1:13" ht="15.75" customHeight="1" outlineLevel="2">
      <c r="A390" s="25">
        <v>17</v>
      </c>
      <c r="B390" s="26" t="s">
        <v>822</v>
      </c>
      <c r="C390" s="17" t="s">
        <v>521</v>
      </c>
      <c r="D390" s="26" t="s">
        <v>865</v>
      </c>
      <c r="E390" s="27">
        <v>4</v>
      </c>
      <c r="F390" s="26" t="s">
        <v>1302</v>
      </c>
      <c r="G390" s="28">
        <v>0.0625</v>
      </c>
      <c r="H390" s="28">
        <f t="shared" si="51"/>
        <v>0.015625</v>
      </c>
      <c r="I390" s="16" t="s">
        <v>512</v>
      </c>
      <c r="J390" s="29">
        <v>1.18</v>
      </c>
      <c r="K390" s="58">
        <f t="shared" si="52"/>
        <v>0.0184375</v>
      </c>
      <c r="L390" s="30">
        <f>H390*DEMANDA!$B$9</f>
        <v>2.046875</v>
      </c>
      <c r="M390" s="29">
        <f t="shared" si="53"/>
        <v>2.4153124999999998</v>
      </c>
    </row>
    <row r="391" spans="1:13" ht="15.75" customHeight="1" outlineLevel="2">
      <c r="A391" s="25">
        <v>10</v>
      </c>
      <c r="B391" s="26" t="s">
        <v>861</v>
      </c>
      <c r="C391" s="17" t="s">
        <v>521</v>
      </c>
      <c r="D391" s="26" t="s">
        <v>862</v>
      </c>
      <c r="E391" s="27">
        <v>4</v>
      </c>
      <c r="F391" s="26" t="s">
        <v>1302</v>
      </c>
      <c r="G391" s="28">
        <v>1</v>
      </c>
      <c r="H391" s="28">
        <f t="shared" si="51"/>
        <v>0.25</v>
      </c>
      <c r="I391" s="16" t="s">
        <v>512</v>
      </c>
      <c r="J391" s="29">
        <v>1.18</v>
      </c>
      <c r="K391" s="58">
        <f t="shared" si="52"/>
        <v>0.295</v>
      </c>
      <c r="L391" s="30">
        <f>H391*DEMANDA!$B$9</f>
        <v>32.75</v>
      </c>
      <c r="M391" s="29">
        <f t="shared" si="53"/>
        <v>38.644999999999996</v>
      </c>
    </row>
    <row r="392" spans="1:13" ht="15.75" customHeight="1" outlineLevel="2">
      <c r="A392" s="25">
        <v>16</v>
      </c>
      <c r="B392" s="26" t="s">
        <v>821</v>
      </c>
      <c r="C392" s="17" t="s">
        <v>521</v>
      </c>
      <c r="D392" s="26" t="s">
        <v>865</v>
      </c>
      <c r="E392" s="27">
        <v>4</v>
      </c>
      <c r="F392" s="26" t="s">
        <v>1302</v>
      </c>
      <c r="G392" s="28">
        <v>0.0625</v>
      </c>
      <c r="H392" s="28">
        <f t="shared" si="51"/>
        <v>0.015625</v>
      </c>
      <c r="I392" s="16" t="s">
        <v>512</v>
      </c>
      <c r="J392" s="29">
        <v>1.18</v>
      </c>
      <c r="K392" s="58">
        <f t="shared" si="52"/>
        <v>0.0184375</v>
      </c>
      <c r="L392" s="30">
        <f>H392*DEMANDA!$B$9</f>
        <v>2.046875</v>
      </c>
      <c r="M392" s="29">
        <f t="shared" si="53"/>
        <v>2.4153124999999998</v>
      </c>
    </row>
    <row r="393" spans="1:13" ht="15.75" customHeight="1" outlineLevel="2">
      <c r="A393" s="25">
        <v>20</v>
      </c>
      <c r="B393" s="26" t="s">
        <v>600</v>
      </c>
      <c r="C393" s="17" t="s">
        <v>510</v>
      </c>
      <c r="D393" s="26" t="s">
        <v>868</v>
      </c>
      <c r="E393" s="27">
        <v>6</v>
      </c>
      <c r="F393" s="26" t="s">
        <v>1302</v>
      </c>
      <c r="G393" s="28">
        <v>0.04</v>
      </c>
      <c r="H393" s="28">
        <f t="shared" si="51"/>
        <v>0.006666666666666667</v>
      </c>
      <c r="I393" s="16" t="s">
        <v>512</v>
      </c>
      <c r="J393" s="29">
        <v>1.18</v>
      </c>
      <c r="K393" s="58">
        <f t="shared" si="52"/>
        <v>0.007866666666666666</v>
      </c>
      <c r="L393" s="30">
        <f>H393*DEMANDA!$B$9</f>
        <v>0.8733333333333334</v>
      </c>
      <c r="M393" s="29">
        <f t="shared" si="53"/>
        <v>1.0305333333333333</v>
      </c>
    </row>
    <row r="394" spans="1:13" ht="15.75" customHeight="1" outlineLevel="2">
      <c r="A394" s="25">
        <v>26</v>
      </c>
      <c r="B394" s="26" t="s">
        <v>590</v>
      </c>
      <c r="C394" s="17" t="s">
        <v>510</v>
      </c>
      <c r="D394" s="26" t="s">
        <v>858</v>
      </c>
      <c r="E394" s="27">
        <v>4</v>
      </c>
      <c r="F394" s="26" t="s">
        <v>1302</v>
      </c>
      <c r="G394" s="28">
        <v>0.125</v>
      </c>
      <c r="H394" s="28">
        <f t="shared" si="51"/>
        <v>0.03125</v>
      </c>
      <c r="I394" s="16" t="s">
        <v>512</v>
      </c>
      <c r="J394" s="29">
        <v>1.18</v>
      </c>
      <c r="K394" s="58">
        <f t="shared" si="52"/>
        <v>0.036875</v>
      </c>
      <c r="L394" s="30">
        <f>H394*DEMANDA!$B$9</f>
        <v>4.09375</v>
      </c>
      <c r="M394" s="29">
        <f t="shared" si="53"/>
        <v>4.8306249999999995</v>
      </c>
    </row>
    <row r="395" spans="1:13" ht="15.75" customHeight="1" outlineLevel="2">
      <c r="A395" s="25">
        <v>28</v>
      </c>
      <c r="B395" s="26" t="s">
        <v>781</v>
      </c>
      <c r="C395" s="17" t="s">
        <v>510</v>
      </c>
      <c r="D395" s="26" t="s">
        <v>867</v>
      </c>
      <c r="E395" s="27">
        <v>4</v>
      </c>
      <c r="F395" s="26" t="s">
        <v>1302</v>
      </c>
      <c r="G395" s="28">
        <v>0.125</v>
      </c>
      <c r="H395" s="28">
        <f t="shared" si="51"/>
        <v>0.03125</v>
      </c>
      <c r="I395" s="16" t="s">
        <v>512</v>
      </c>
      <c r="J395" s="29">
        <v>1.18</v>
      </c>
      <c r="K395" s="58">
        <f t="shared" si="52"/>
        <v>0.036875</v>
      </c>
      <c r="L395" s="30">
        <f>H395*DEMANDA!$B$9</f>
        <v>4.09375</v>
      </c>
      <c r="M395" s="29">
        <f t="shared" si="53"/>
        <v>4.8306249999999995</v>
      </c>
    </row>
    <row r="396" spans="1:13" ht="15.75" customHeight="1" outlineLevel="2">
      <c r="A396" s="25">
        <v>29</v>
      </c>
      <c r="B396" s="26" t="s">
        <v>670</v>
      </c>
      <c r="C396" s="17" t="s">
        <v>510</v>
      </c>
      <c r="D396" s="26" t="s">
        <v>870</v>
      </c>
      <c r="E396" s="27">
        <v>4</v>
      </c>
      <c r="F396" s="26" t="s">
        <v>1302</v>
      </c>
      <c r="G396" s="28">
        <v>0.25</v>
      </c>
      <c r="H396" s="28">
        <f t="shared" si="51"/>
        <v>0.0625</v>
      </c>
      <c r="I396" s="16" t="s">
        <v>512</v>
      </c>
      <c r="J396" s="29">
        <v>1.18</v>
      </c>
      <c r="K396" s="58">
        <f t="shared" si="52"/>
        <v>0.07375</v>
      </c>
      <c r="L396" s="30">
        <f>H396*DEMANDA!$B$9</f>
        <v>8.1875</v>
      </c>
      <c r="M396" s="29">
        <f t="shared" si="53"/>
        <v>9.661249999999999</v>
      </c>
    </row>
    <row r="397" spans="1:13" ht="15.75" customHeight="1" outlineLevel="1">
      <c r="A397" s="25"/>
      <c r="B397" s="26"/>
      <c r="C397" s="17"/>
      <c r="D397" s="26"/>
      <c r="E397" s="27"/>
      <c r="F397" s="52" t="s">
        <v>1467</v>
      </c>
      <c r="G397" s="28"/>
      <c r="H397" s="28"/>
      <c r="I397" s="16"/>
      <c r="J397" s="29"/>
      <c r="K397" s="58">
        <f>SUBTOTAL(9,K381:K396)</f>
        <v>1.0460208333333334</v>
      </c>
      <c r="L397" s="30"/>
      <c r="M397" s="29"/>
    </row>
    <row r="398" spans="1:13" ht="15.75" customHeight="1" outlineLevel="2">
      <c r="A398" s="25">
        <v>6</v>
      </c>
      <c r="B398" s="26" t="s">
        <v>561</v>
      </c>
      <c r="C398" s="17" t="s">
        <v>521</v>
      </c>
      <c r="D398" s="26" t="s">
        <v>871</v>
      </c>
      <c r="E398" s="27">
        <v>6</v>
      </c>
      <c r="F398" s="26" t="s">
        <v>1303</v>
      </c>
      <c r="G398" s="28">
        <v>0.0625</v>
      </c>
      <c r="H398" s="28">
        <f>G398/E398</f>
        <v>0.010416666666666666</v>
      </c>
      <c r="I398" s="16" t="s">
        <v>512</v>
      </c>
      <c r="J398" s="44">
        <v>2</v>
      </c>
      <c r="K398" s="58">
        <f>J398*H398</f>
        <v>0.020833333333333332</v>
      </c>
      <c r="L398" s="30">
        <f>H398*DEMANDA!$B$9</f>
        <v>1.3645833333333333</v>
      </c>
      <c r="M398" s="29">
        <f>L398*J398</f>
        <v>2.7291666666666665</v>
      </c>
    </row>
    <row r="399" spans="1:13" ht="15.75" customHeight="1" outlineLevel="1">
      <c r="A399" s="25"/>
      <c r="B399" s="26"/>
      <c r="C399" s="17"/>
      <c r="D399" s="26"/>
      <c r="E399" s="27"/>
      <c r="F399" s="52" t="s">
        <v>1468</v>
      </c>
      <c r="G399" s="28"/>
      <c r="H399" s="28"/>
      <c r="I399" s="16"/>
      <c r="J399" s="44"/>
      <c r="K399" s="58">
        <f>SUBTOTAL(9,K398:K398)</f>
        <v>0.020833333333333332</v>
      </c>
      <c r="L399" s="30"/>
      <c r="M399" s="29"/>
    </row>
    <row r="400" spans="1:13" ht="15.75" customHeight="1" outlineLevel="2">
      <c r="A400" s="25">
        <v>12</v>
      </c>
      <c r="B400" s="26" t="s">
        <v>594</v>
      </c>
      <c r="C400" s="17" t="s">
        <v>510</v>
      </c>
      <c r="D400" s="26" t="s">
        <v>872</v>
      </c>
      <c r="E400" s="27">
        <v>8</v>
      </c>
      <c r="F400" s="26" t="s">
        <v>1304</v>
      </c>
      <c r="G400" s="28">
        <v>0.625</v>
      </c>
      <c r="H400" s="28">
        <f>G400/E400</f>
        <v>0.078125</v>
      </c>
      <c r="I400" s="16" t="s">
        <v>512</v>
      </c>
      <c r="J400" s="29">
        <v>1.28</v>
      </c>
      <c r="K400" s="58">
        <f>J400*H400</f>
        <v>0.1</v>
      </c>
      <c r="L400" s="30">
        <f>H400*DEMANDA!$B$9</f>
        <v>10.234375</v>
      </c>
      <c r="M400" s="29">
        <f>L400*J400</f>
        <v>13.1</v>
      </c>
    </row>
    <row r="401" spans="1:13" ht="15.75" customHeight="1" outlineLevel="1">
      <c r="A401" s="25"/>
      <c r="B401" s="26"/>
      <c r="C401" s="17"/>
      <c r="D401" s="26"/>
      <c r="E401" s="27"/>
      <c r="F401" s="52" t="s">
        <v>1469</v>
      </c>
      <c r="G401" s="28"/>
      <c r="H401" s="28"/>
      <c r="I401" s="16"/>
      <c r="J401" s="29"/>
      <c r="K401" s="58">
        <f>SUBTOTAL(9,K400:K400)</f>
        <v>0.1</v>
      </c>
      <c r="L401" s="30"/>
      <c r="M401" s="29"/>
    </row>
    <row r="402" spans="1:13" ht="15.75" customHeight="1" outlineLevel="2">
      <c r="A402" s="25">
        <v>11</v>
      </c>
      <c r="B402" s="26" t="s">
        <v>535</v>
      </c>
      <c r="C402" s="17" t="s">
        <v>510</v>
      </c>
      <c r="D402" s="26" t="s">
        <v>873</v>
      </c>
      <c r="E402" s="27">
        <v>4</v>
      </c>
      <c r="F402" s="26" t="s">
        <v>1305</v>
      </c>
      <c r="G402" s="28">
        <v>0.05</v>
      </c>
      <c r="H402" s="28">
        <f>G402/E402</f>
        <v>0.0125</v>
      </c>
      <c r="I402" s="16" t="s">
        <v>632</v>
      </c>
      <c r="J402" s="29">
        <v>0.2</v>
      </c>
      <c r="K402" s="58">
        <f>J402*H402</f>
        <v>0.0025000000000000005</v>
      </c>
      <c r="L402" s="30">
        <f>H402*DEMANDA!$B$9</f>
        <v>1.6375000000000002</v>
      </c>
      <c r="M402" s="29">
        <f>L402*J402</f>
        <v>0.32750000000000007</v>
      </c>
    </row>
    <row r="403" spans="1:13" ht="15.75" customHeight="1" outlineLevel="2">
      <c r="A403" s="25">
        <v>14</v>
      </c>
      <c r="B403" s="26" t="s">
        <v>578</v>
      </c>
      <c r="C403" s="17" t="s">
        <v>510</v>
      </c>
      <c r="D403" s="26" t="s">
        <v>874</v>
      </c>
      <c r="E403" s="27">
        <v>4</v>
      </c>
      <c r="F403" s="26" t="s">
        <v>1305</v>
      </c>
      <c r="G403" s="28">
        <v>0.25</v>
      </c>
      <c r="H403" s="28">
        <f>G403/E403</f>
        <v>0.0625</v>
      </c>
      <c r="I403" s="16" t="s">
        <v>632</v>
      </c>
      <c r="J403" s="29">
        <v>0.2</v>
      </c>
      <c r="K403" s="58">
        <f>J403*H403</f>
        <v>0.0125</v>
      </c>
      <c r="L403" s="30">
        <f>H403*DEMANDA!$B$9</f>
        <v>8.1875</v>
      </c>
      <c r="M403" s="29">
        <f>L403*J403</f>
        <v>1.6375000000000002</v>
      </c>
    </row>
    <row r="404" spans="1:13" ht="15.75" customHeight="1" outlineLevel="2">
      <c r="A404" s="25">
        <v>23</v>
      </c>
      <c r="B404" s="26" t="s">
        <v>753</v>
      </c>
      <c r="C404" s="17" t="s">
        <v>521</v>
      </c>
      <c r="D404" s="26" t="s">
        <v>876</v>
      </c>
      <c r="E404" s="27">
        <v>4</v>
      </c>
      <c r="F404" s="26" t="s">
        <v>1305</v>
      </c>
      <c r="G404" s="28">
        <v>0.25</v>
      </c>
      <c r="H404" s="28">
        <f>G404/E404</f>
        <v>0.0625</v>
      </c>
      <c r="I404" s="16" t="s">
        <v>632</v>
      </c>
      <c r="J404" s="29">
        <v>0.2</v>
      </c>
      <c r="K404" s="58">
        <f>J404*H404</f>
        <v>0.0125</v>
      </c>
      <c r="L404" s="30">
        <f>H404*DEMANDA!$B$9</f>
        <v>8.1875</v>
      </c>
      <c r="M404" s="29">
        <f>L404*J404</f>
        <v>1.6375000000000002</v>
      </c>
    </row>
    <row r="405" spans="1:13" ht="15.75" customHeight="1" outlineLevel="2">
      <c r="A405" s="25">
        <v>23</v>
      </c>
      <c r="B405" s="26" t="s">
        <v>602</v>
      </c>
      <c r="C405" s="17" t="s">
        <v>510</v>
      </c>
      <c r="D405" s="26" t="s">
        <v>875</v>
      </c>
      <c r="E405" s="27">
        <v>6</v>
      </c>
      <c r="F405" s="26" t="s">
        <v>1305</v>
      </c>
      <c r="G405" s="28">
        <v>1</v>
      </c>
      <c r="H405" s="28">
        <f>G405/E405</f>
        <v>0.16666666666666666</v>
      </c>
      <c r="I405" s="16" t="s">
        <v>632</v>
      </c>
      <c r="J405" s="29">
        <v>0.2</v>
      </c>
      <c r="K405" s="58">
        <f>J405*H405</f>
        <v>0.03333333333333333</v>
      </c>
      <c r="L405" s="30">
        <f>H405*DEMANDA!$B$9</f>
        <v>21.833333333333332</v>
      </c>
      <c r="M405" s="29">
        <f>L405*J405</f>
        <v>4.366666666666666</v>
      </c>
    </row>
    <row r="406" spans="1:13" ht="15.75" customHeight="1" outlineLevel="2">
      <c r="A406" s="25">
        <v>27</v>
      </c>
      <c r="B406" s="26" t="s">
        <v>549</v>
      </c>
      <c r="C406" s="17" t="s">
        <v>514</v>
      </c>
      <c r="D406" s="26" t="s">
        <v>877</v>
      </c>
      <c r="E406" s="27">
        <v>4</v>
      </c>
      <c r="F406" s="26" t="s">
        <v>1305</v>
      </c>
      <c r="G406" s="28">
        <v>0.375</v>
      </c>
      <c r="H406" s="28">
        <f>G406/E406</f>
        <v>0.09375</v>
      </c>
      <c r="I406" s="16" t="s">
        <v>632</v>
      </c>
      <c r="J406" s="29">
        <v>0.2</v>
      </c>
      <c r="K406" s="58">
        <f>J406*H406</f>
        <v>0.018750000000000003</v>
      </c>
      <c r="L406" s="30">
        <f>H406*DEMANDA!$B$9</f>
        <v>12.28125</v>
      </c>
      <c r="M406" s="29">
        <f>L406*J406</f>
        <v>2.4562500000000003</v>
      </c>
    </row>
    <row r="407" spans="1:13" ht="15.75" customHeight="1" outlineLevel="1">
      <c r="A407" s="25"/>
      <c r="B407" s="26"/>
      <c r="C407" s="17"/>
      <c r="D407" s="26"/>
      <c r="E407" s="27"/>
      <c r="F407" s="52" t="s">
        <v>8</v>
      </c>
      <c r="G407" s="28"/>
      <c r="H407" s="28"/>
      <c r="I407" s="16"/>
      <c r="J407" s="29"/>
      <c r="K407" s="58">
        <f>SUBTOTAL(9,K402:K406)</f>
        <v>0.07958333333333334</v>
      </c>
      <c r="L407" s="30"/>
      <c r="M407" s="29"/>
    </row>
    <row r="408" spans="1:13" ht="15.75" customHeight="1" outlineLevel="2">
      <c r="A408" s="25">
        <v>21</v>
      </c>
      <c r="B408" s="26" t="s">
        <v>546</v>
      </c>
      <c r="C408" s="17" t="s">
        <v>510</v>
      </c>
      <c r="D408" s="16" t="s">
        <v>920</v>
      </c>
      <c r="E408" s="27">
        <v>4</v>
      </c>
      <c r="F408" s="26" t="s">
        <v>1306</v>
      </c>
      <c r="G408" s="28">
        <v>0.0625</v>
      </c>
      <c r="H408" s="28">
        <f>G408/E408</f>
        <v>0.015625</v>
      </c>
      <c r="I408" s="16" t="s">
        <v>632</v>
      </c>
      <c r="J408" s="29">
        <v>0.5</v>
      </c>
      <c r="K408" s="58">
        <f>J408*H408</f>
        <v>0.0078125</v>
      </c>
      <c r="L408" s="30">
        <f>H408*DEMANDA!$B$9</f>
        <v>2.046875</v>
      </c>
      <c r="M408" s="29">
        <f>L408*J408</f>
        <v>1.0234375</v>
      </c>
    </row>
    <row r="409" spans="1:13" ht="15.75" customHeight="1" outlineLevel="1">
      <c r="A409" s="25"/>
      <c r="B409" s="26"/>
      <c r="C409" s="17"/>
      <c r="D409" s="16"/>
      <c r="E409" s="27"/>
      <c r="F409" s="52" t="s">
        <v>9</v>
      </c>
      <c r="G409" s="28"/>
      <c r="H409" s="28"/>
      <c r="I409" s="16"/>
      <c r="J409" s="29"/>
      <c r="K409" s="58">
        <f>SUBTOTAL(9,K408:K408)</f>
        <v>0.0078125</v>
      </c>
      <c r="L409" s="30"/>
      <c r="M409" s="29"/>
    </row>
    <row r="410" spans="1:13" ht="15.75" customHeight="1" outlineLevel="2">
      <c r="A410" s="25">
        <v>17</v>
      </c>
      <c r="B410" s="26" t="s">
        <v>543</v>
      </c>
      <c r="C410" s="17" t="s">
        <v>510</v>
      </c>
      <c r="D410" s="26" t="s">
        <v>921</v>
      </c>
      <c r="E410" s="27">
        <v>4</v>
      </c>
      <c r="F410" s="26" t="s">
        <v>1393</v>
      </c>
      <c r="G410" s="28">
        <v>0.2</v>
      </c>
      <c r="H410" s="28">
        <f>G410/E410</f>
        <v>0.05</v>
      </c>
      <c r="I410" s="16" t="s">
        <v>555</v>
      </c>
      <c r="J410" s="29">
        <v>2.2</v>
      </c>
      <c r="K410" s="58">
        <f>J410*H410</f>
        <v>0.11000000000000001</v>
      </c>
      <c r="L410" s="30">
        <f>H410*DEMANDA!$B$9</f>
        <v>6.550000000000001</v>
      </c>
      <c r="M410" s="29">
        <f>L410*J410</f>
        <v>14.410000000000002</v>
      </c>
    </row>
    <row r="411" spans="1:13" ht="15.75" customHeight="1" outlineLevel="1">
      <c r="A411" s="25"/>
      <c r="B411" s="26"/>
      <c r="C411" s="17"/>
      <c r="D411" s="26"/>
      <c r="E411" s="27"/>
      <c r="F411" s="52" t="s">
        <v>10</v>
      </c>
      <c r="G411" s="28"/>
      <c r="H411" s="28"/>
      <c r="I411" s="16"/>
      <c r="J411" s="29"/>
      <c r="K411" s="58">
        <f>SUBTOTAL(9,K410:K410)</f>
        <v>0.11000000000000001</v>
      </c>
      <c r="L411" s="30"/>
      <c r="M411" s="29"/>
    </row>
    <row r="412" spans="1:13" ht="15.75" customHeight="1" outlineLevel="2">
      <c r="A412" s="25">
        <v>14</v>
      </c>
      <c r="B412" s="26" t="s">
        <v>567</v>
      </c>
      <c r="C412" s="17" t="s">
        <v>521</v>
      </c>
      <c r="D412" s="26" t="s">
        <v>922</v>
      </c>
      <c r="E412" s="27">
        <v>2</v>
      </c>
      <c r="F412" s="26" t="s">
        <v>1307</v>
      </c>
      <c r="G412" s="28">
        <v>0.012</v>
      </c>
      <c r="H412" s="28">
        <f>G412/E412</f>
        <v>0.006</v>
      </c>
      <c r="I412" s="16" t="s">
        <v>555</v>
      </c>
      <c r="J412" s="38">
        <v>6</v>
      </c>
      <c r="K412" s="58">
        <f>J412*H412</f>
        <v>0.036000000000000004</v>
      </c>
      <c r="L412" s="30">
        <f>H412*DEMANDA!$B$9</f>
        <v>0.786</v>
      </c>
      <c r="M412" s="29">
        <f>L412*J412</f>
        <v>4.716</v>
      </c>
    </row>
    <row r="413" spans="1:13" ht="15.75" customHeight="1" outlineLevel="1">
      <c r="A413" s="25"/>
      <c r="B413" s="26"/>
      <c r="C413" s="17"/>
      <c r="D413" s="26"/>
      <c r="E413" s="27"/>
      <c r="F413" s="52" t="s">
        <v>11</v>
      </c>
      <c r="G413" s="28"/>
      <c r="H413" s="28"/>
      <c r="I413" s="16"/>
      <c r="J413" s="38"/>
      <c r="K413" s="58">
        <f>SUBTOTAL(9,K412:K412)</f>
        <v>0.036000000000000004</v>
      </c>
      <c r="L413" s="30"/>
      <c r="M413" s="29"/>
    </row>
    <row r="414" spans="1:13" ht="15.75" customHeight="1" outlineLevel="2">
      <c r="A414" s="25">
        <v>2</v>
      </c>
      <c r="B414" s="26" t="s">
        <v>923</v>
      </c>
      <c r="C414" s="17" t="s">
        <v>514</v>
      </c>
      <c r="D414" s="26" t="s">
        <v>924</v>
      </c>
      <c r="E414" s="27">
        <v>4</v>
      </c>
      <c r="F414" s="26" t="s">
        <v>1308</v>
      </c>
      <c r="G414" s="28">
        <v>0.1</v>
      </c>
      <c r="H414" s="28">
        <f aca="true" t="shared" si="54" ref="H414:H431">G414/E414</f>
        <v>0.025</v>
      </c>
      <c r="I414" s="16" t="s">
        <v>555</v>
      </c>
      <c r="J414" s="29">
        <v>2.02</v>
      </c>
      <c r="K414" s="58">
        <f aca="true" t="shared" si="55" ref="K414:K431">J414*H414</f>
        <v>0.0505</v>
      </c>
      <c r="L414" s="30">
        <f>H414*DEMANDA!$B$9</f>
        <v>3.2750000000000004</v>
      </c>
      <c r="M414" s="29">
        <f aca="true" t="shared" si="56" ref="M414:M431">L414*J414</f>
        <v>6.615500000000001</v>
      </c>
    </row>
    <row r="415" spans="1:13" ht="15.75" customHeight="1" outlineLevel="2">
      <c r="A415" s="25">
        <v>3</v>
      </c>
      <c r="B415" s="26" t="s">
        <v>524</v>
      </c>
      <c r="C415" s="17" t="s">
        <v>510</v>
      </c>
      <c r="D415" s="26" t="s">
        <v>926</v>
      </c>
      <c r="E415" s="27">
        <v>4</v>
      </c>
      <c r="F415" s="26" t="s">
        <v>1308</v>
      </c>
      <c r="G415" s="28">
        <v>0.1</v>
      </c>
      <c r="H415" s="28">
        <f t="shared" si="54"/>
        <v>0.025</v>
      </c>
      <c r="I415" s="16" t="s">
        <v>555</v>
      </c>
      <c r="J415" s="29">
        <v>2.02</v>
      </c>
      <c r="K415" s="58">
        <f t="shared" si="55"/>
        <v>0.0505</v>
      </c>
      <c r="L415" s="30">
        <f>H415*DEMANDA!$B$9</f>
        <v>3.2750000000000004</v>
      </c>
      <c r="M415" s="29">
        <f t="shared" si="56"/>
        <v>6.615500000000001</v>
      </c>
    </row>
    <row r="416" spans="1:13" ht="15.75" customHeight="1" outlineLevel="2">
      <c r="A416" s="25">
        <v>3</v>
      </c>
      <c r="B416" s="26" t="s">
        <v>523</v>
      </c>
      <c r="C416" s="17" t="s">
        <v>514</v>
      </c>
      <c r="D416" s="26" t="s">
        <v>925</v>
      </c>
      <c r="E416" s="27">
        <v>4</v>
      </c>
      <c r="F416" s="26" t="s">
        <v>1308</v>
      </c>
      <c r="G416" s="28">
        <v>0.1</v>
      </c>
      <c r="H416" s="28">
        <f t="shared" si="54"/>
        <v>0.025</v>
      </c>
      <c r="I416" s="16" t="s">
        <v>555</v>
      </c>
      <c r="J416" s="29">
        <v>2.02</v>
      </c>
      <c r="K416" s="58">
        <f t="shared" si="55"/>
        <v>0.0505</v>
      </c>
      <c r="L416" s="30">
        <f>H416*DEMANDA!$B$9</f>
        <v>3.2750000000000004</v>
      </c>
      <c r="M416" s="29">
        <f t="shared" si="56"/>
        <v>6.615500000000001</v>
      </c>
    </row>
    <row r="417" spans="1:13" ht="15.75" customHeight="1" outlineLevel="2">
      <c r="A417" s="32">
        <v>6</v>
      </c>
      <c r="B417" s="33" t="s">
        <v>527</v>
      </c>
      <c r="C417" s="34" t="s">
        <v>514</v>
      </c>
      <c r="D417" s="33" t="s">
        <v>927</v>
      </c>
      <c r="E417" s="35">
        <v>12</v>
      </c>
      <c r="F417" s="26" t="s">
        <v>1308</v>
      </c>
      <c r="G417" s="28">
        <v>0.1</v>
      </c>
      <c r="H417" s="28">
        <f t="shared" si="54"/>
        <v>0.008333333333333333</v>
      </c>
      <c r="I417" s="16" t="s">
        <v>555</v>
      </c>
      <c r="J417" s="29">
        <v>2.02</v>
      </c>
      <c r="K417" s="58">
        <f t="shared" si="55"/>
        <v>0.016833333333333332</v>
      </c>
      <c r="L417" s="30">
        <f>H417*DEMANDA!$B$9</f>
        <v>1.0916666666666666</v>
      </c>
      <c r="M417" s="29">
        <f t="shared" si="56"/>
        <v>2.2051666666666665</v>
      </c>
    </row>
    <row r="418" spans="1:13" ht="15.75" customHeight="1" outlineLevel="2">
      <c r="A418" s="32">
        <v>6</v>
      </c>
      <c r="B418" s="33" t="s">
        <v>527</v>
      </c>
      <c r="C418" s="34" t="s">
        <v>514</v>
      </c>
      <c r="D418" s="33" t="s">
        <v>928</v>
      </c>
      <c r="E418" s="35">
        <v>12</v>
      </c>
      <c r="F418" s="26" t="s">
        <v>1308</v>
      </c>
      <c r="G418" s="28">
        <v>0.3</v>
      </c>
      <c r="H418" s="28">
        <f t="shared" si="54"/>
        <v>0.024999999999999998</v>
      </c>
      <c r="I418" s="16" t="s">
        <v>555</v>
      </c>
      <c r="J418" s="29">
        <v>2.02</v>
      </c>
      <c r="K418" s="58">
        <f t="shared" si="55"/>
        <v>0.050499999999999996</v>
      </c>
      <c r="L418" s="30">
        <f>H418*DEMANDA!$B$9</f>
        <v>3.275</v>
      </c>
      <c r="M418" s="29">
        <f t="shared" si="56"/>
        <v>6.6155</v>
      </c>
    </row>
    <row r="419" spans="1:13" ht="15.75" customHeight="1" outlineLevel="2">
      <c r="A419" s="25">
        <v>9</v>
      </c>
      <c r="B419" s="26" t="s">
        <v>564</v>
      </c>
      <c r="C419" s="17" t="s">
        <v>514</v>
      </c>
      <c r="D419" s="26" t="s">
        <v>929</v>
      </c>
      <c r="E419" s="27">
        <v>8</v>
      </c>
      <c r="F419" s="26" t="s">
        <v>1308</v>
      </c>
      <c r="G419" s="28">
        <v>0.033</v>
      </c>
      <c r="H419" s="28">
        <f t="shared" si="54"/>
        <v>0.004125</v>
      </c>
      <c r="I419" s="16" t="s">
        <v>555</v>
      </c>
      <c r="J419" s="29">
        <v>2.02</v>
      </c>
      <c r="K419" s="58">
        <f t="shared" si="55"/>
        <v>0.0083325</v>
      </c>
      <c r="L419" s="30">
        <f>H419*DEMANDA!$B$9</f>
        <v>0.540375</v>
      </c>
      <c r="M419" s="29">
        <f t="shared" si="56"/>
        <v>1.0915575000000002</v>
      </c>
    </row>
    <row r="420" spans="1:13" ht="15.75" customHeight="1" outlineLevel="2">
      <c r="A420" s="25">
        <v>12</v>
      </c>
      <c r="B420" s="26" t="s">
        <v>537</v>
      </c>
      <c r="C420" s="17" t="s">
        <v>514</v>
      </c>
      <c r="D420" s="26" t="s">
        <v>929</v>
      </c>
      <c r="E420" s="27">
        <v>4</v>
      </c>
      <c r="F420" s="26" t="s">
        <v>1308</v>
      </c>
      <c r="G420" s="28">
        <v>0.033</v>
      </c>
      <c r="H420" s="28">
        <f t="shared" si="54"/>
        <v>0.00825</v>
      </c>
      <c r="I420" s="16" t="s">
        <v>555</v>
      </c>
      <c r="J420" s="29">
        <v>2.02</v>
      </c>
      <c r="K420" s="58">
        <f t="shared" si="55"/>
        <v>0.016665</v>
      </c>
      <c r="L420" s="30">
        <f>H420*DEMANDA!$B$9</f>
        <v>1.08075</v>
      </c>
      <c r="M420" s="29">
        <f t="shared" si="56"/>
        <v>2.1831150000000004</v>
      </c>
    </row>
    <row r="421" spans="1:13" ht="15.75" customHeight="1" outlineLevel="2">
      <c r="A421" s="25">
        <v>15</v>
      </c>
      <c r="B421" s="26" t="s">
        <v>513</v>
      </c>
      <c r="C421" s="17" t="s">
        <v>514</v>
      </c>
      <c r="D421" s="26" t="s">
        <v>932</v>
      </c>
      <c r="E421" s="27">
        <v>4</v>
      </c>
      <c r="F421" s="26" t="s">
        <v>1308</v>
      </c>
      <c r="G421" s="28">
        <v>0.2</v>
      </c>
      <c r="H421" s="28">
        <f t="shared" si="54"/>
        <v>0.05</v>
      </c>
      <c r="I421" s="16" t="s">
        <v>555</v>
      </c>
      <c r="J421" s="29">
        <v>2.02</v>
      </c>
      <c r="K421" s="58">
        <f t="shared" si="55"/>
        <v>0.101</v>
      </c>
      <c r="L421" s="30">
        <f>H421*DEMANDA!$B$9</f>
        <v>6.550000000000001</v>
      </c>
      <c r="M421" s="29">
        <f t="shared" si="56"/>
        <v>13.231000000000002</v>
      </c>
    </row>
    <row r="422" spans="1:13" ht="15.75" customHeight="1" outlineLevel="2">
      <c r="A422" s="25">
        <v>15</v>
      </c>
      <c r="B422" s="26" t="s">
        <v>759</v>
      </c>
      <c r="C422" s="17" t="s">
        <v>510</v>
      </c>
      <c r="D422" s="26" t="s">
        <v>933</v>
      </c>
      <c r="E422" s="27">
        <v>4</v>
      </c>
      <c r="F422" s="26" t="s">
        <v>1308</v>
      </c>
      <c r="G422" s="28">
        <v>0.066</v>
      </c>
      <c r="H422" s="28">
        <f t="shared" si="54"/>
        <v>0.0165</v>
      </c>
      <c r="I422" s="16" t="s">
        <v>555</v>
      </c>
      <c r="J422" s="29">
        <v>2.02</v>
      </c>
      <c r="K422" s="58">
        <f t="shared" si="55"/>
        <v>0.03333</v>
      </c>
      <c r="L422" s="30">
        <f>H422*DEMANDA!$B$9</f>
        <v>2.1615</v>
      </c>
      <c r="M422" s="29">
        <f t="shared" si="56"/>
        <v>4.366230000000001</v>
      </c>
    </row>
    <row r="423" spans="1:13" ht="15.75" customHeight="1" outlineLevel="2">
      <c r="A423" s="25">
        <v>16</v>
      </c>
      <c r="B423" s="26" t="s">
        <v>842</v>
      </c>
      <c r="C423" s="17" t="s">
        <v>510</v>
      </c>
      <c r="D423" s="26" t="s">
        <v>1383</v>
      </c>
      <c r="E423" s="27">
        <v>4</v>
      </c>
      <c r="F423" s="26" t="s">
        <v>1308</v>
      </c>
      <c r="G423" s="28">
        <v>0.066</v>
      </c>
      <c r="H423" s="28">
        <f t="shared" si="54"/>
        <v>0.0165</v>
      </c>
      <c r="I423" s="16" t="s">
        <v>555</v>
      </c>
      <c r="J423" s="29">
        <v>2.02</v>
      </c>
      <c r="K423" s="58">
        <f t="shared" si="55"/>
        <v>0.03333</v>
      </c>
      <c r="L423" s="30">
        <f>H423*DEMANDA!$B$9</f>
        <v>2.1615</v>
      </c>
      <c r="M423" s="29">
        <f t="shared" si="56"/>
        <v>4.366230000000001</v>
      </c>
    </row>
    <row r="424" spans="1:13" ht="15.75" customHeight="1" outlineLevel="2">
      <c r="A424" s="25">
        <v>17</v>
      </c>
      <c r="B424" s="26" t="s">
        <v>543</v>
      </c>
      <c r="C424" s="17" t="s">
        <v>510</v>
      </c>
      <c r="D424" s="26" t="s">
        <v>934</v>
      </c>
      <c r="E424" s="27">
        <v>4</v>
      </c>
      <c r="F424" s="26" t="s">
        <v>1308</v>
      </c>
      <c r="G424" s="28">
        <v>0.066</v>
      </c>
      <c r="H424" s="28">
        <f t="shared" si="54"/>
        <v>0.0165</v>
      </c>
      <c r="I424" s="16" t="s">
        <v>555</v>
      </c>
      <c r="J424" s="29">
        <v>2.02</v>
      </c>
      <c r="K424" s="58">
        <f t="shared" si="55"/>
        <v>0.03333</v>
      </c>
      <c r="L424" s="30">
        <f>H424*DEMANDA!$B$9</f>
        <v>2.1615</v>
      </c>
      <c r="M424" s="29">
        <f t="shared" si="56"/>
        <v>4.366230000000001</v>
      </c>
    </row>
    <row r="425" spans="1:13" ht="15.75" customHeight="1" outlineLevel="2">
      <c r="A425" s="25">
        <v>9</v>
      </c>
      <c r="B425" s="26" t="s">
        <v>930</v>
      </c>
      <c r="C425" s="17" t="s">
        <v>521</v>
      </c>
      <c r="D425" s="26" t="s">
        <v>931</v>
      </c>
      <c r="E425" s="27">
        <v>4</v>
      </c>
      <c r="F425" s="26" t="s">
        <v>1308</v>
      </c>
      <c r="G425" s="28">
        <v>0.4</v>
      </c>
      <c r="H425" s="28">
        <f t="shared" si="54"/>
        <v>0.1</v>
      </c>
      <c r="I425" s="16" t="s">
        <v>555</v>
      </c>
      <c r="J425" s="29">
        <v>2.02</v>
      </c>
      <c r="K425" s="58">
        <f t="shared" si="55"/>
        <v>0.202</v>
      </c>
      <c r="L425" s="30">
        <f>H425*DEMANDA!$B$9</f>
        <v>13.100000000000001</v>
      </c>
      <c r="M425" s="29">
        <f t="shared" si="56"/>
        <v>26.462000000000003</v>
      </c>
    </row>
    <row r="426" spans="1:13" ht="15.75" customHeight="1" outlineLevel="2">
      <c r="A426" s="25">
        <v>18</v>
      </c>
      <c r="B426" s="26" t="s">
        <v>639</v>
      </c>
      <c r="C426" s="17" t="s">
        <v>510</v>
      </c>
      <c r="D426" s="26" t="s">
        <v>935</v>
      </c>
      <c r="E426" s="27">
        <v>4</v>
      </c>
      <c r="F426" s="26" t="s">
        <v>1308</v>
      </c>
      <c r="G426" s="28">
        <v>0.066</v>
      </c>
      <c r="H426" s="28">
        <f t="shared" si="54"/>
        <v>0.0165</v>
      </c>
      <c r="I426" s="16" t="s">
        <v>555</v>
      </c>
      <c r="J426" s="29">
        <v>2.02</v>
      </c>
      <c r="K426" s="58">
        <f t="shared" si="55"/>
        <v>0.03333</v>
      </c>
      <c r="L426" s="30">
        <f>H426*DEMANDA!$B$9</f>
        <v>2.1615</v>
      </c>
      <c r="M426" s="29">
        <f t="shared" si="56"/>
        <v>4.366230000000001</v>
      </c>
    </row>
    <row r="427" spans="1:13" ht="15.75" customHeight="1" outlineLevel="2">
      <c r="A427" s="25">
        <v>26</v>
      </c>
      <c r="B427" s="26" t="s">
        <v>791</v>
      </c>
      <c r="C427" s="17" t="s">
        <v>514</v>
      </c>
      <c r="D427" s="26" t="s">
        <v>936</v>
      </c>
      <c r="E427" s="27">
        <v>4</v>
      </c>
      <c r="F427" s="26" t="s">
        <v>1308</v>
      </c>
      <c r="G427" s="28">
        <v>0.4</v>
      </c>
      <c r="H427" s="28">
        <f t="shared" si="54"/>
        <v>0.1</v>
      </c>
      <c r="I427" s="16" t="s">
        <v>555</v>
      </c>
      <c r="J427" s="29">
        <v>2.02</v>
      </c>
      <c r="K427" s="58">
        <f t="shared" si="55"/>
        <v>0.202</v>
      </c>
      <c r="L427" s="30">
        <f>H427*DEMANDA!$B$9</f>
        <v>13.100000000000001</v>
      </c>
      <c r="M427" s="29">
        <f t="shared" si="56"/>
        <v>26.462000000000003</v>
      </c>
    </row>
    <row r="428" spans="1:13" ht="15.75" customHeight="1" outlineLevel="2">
      <c r="A428" s="25">
        <v>27</v>
      </c>
      <c r="B428" s="26" t="s">
        <v>930</v>
      </c>
      <c r="C428" s="17" t="s">
        <v>510</v>
      </c>
      <c r="D428" s="26" t="s">
        <v>931</v>
      </c>
      <c r="E428" s="27">
        <v>4</v>
      </c>
      <c r="F428" s="26" t="s">
        <v>1308</v>
      </c>
      <c r="G428" s="28">
        <v>0.4</v>
      </c>
      <c r="H428" s="28">
        <f t="shared" si="54"/>
        <v>0.1</v>
      </c>
      <c r="I428" s="16" t="s">
        <v>555</v>
      </c>
      <c r="J428" s="29">
        <v>2.02</v>
      </c>
      <c r="K428" s="58">
        <f t="shared" si="55"/>
        <v>0.202</v>
      </c>
      <c r="L428" s="30">
        <f>H428*DEMANDA!$B$9</f>
        <v>13.100000000000001</v>
      </c>
      <c r="M428" s="29">
        <f t="shared" si="56"/>
        <v>26.462000000000003</v>
      </c>
    </row>
    <row r="429" spans="1:13" ht="15.75" customHeight="1" outlineLevel="2">
      <c r="A429" s="25">
        <v>27</v>
      </c>
      <c r="B429" s="26" t="s">
        <v>549</v>
      </c>
      <c r="C429" s="17" t="s">
        <v>514</v>
      </c>
      <c r="D429" s="26" t="s">
        <v>937</v>
      </c>
      <c r="E429" s="27">
        <v>4</v>
      </c>
      <c r="F429" s="26" t="s">
        <v>1308</v>
      </c>
      <c r="G429" s="28">
        <v>0.1</v>
      </c>
      <c r="H429" s="28">
        <f t="shared" si="54"/>
        <v>0.025</v>
      </c>
      <c r="I429" s="16" t="s">
        <v>555</v>
      </c>
      <c r="J429" s="29">
        <v>2.02</v>
      </c>
      <c r="K429" s="58">
        <f t="shared" si="55"/>
        <v>0.0505</v>
      </c>
      <c r="L429" s="30">
        <f>H429*DEMANDA!$B$9</f>
        <v>3.2750000000000004</v>
      </c>
      <c r="M429" s="29">
        <f t="shared" si="56"/>
        <v>6.615500000000001</v>
      </c>
    </row>
    <row r="430" spans="1:13" ht="15.75" customHeight="1" outlineLevel="2">
      <c r="A430" s="25">
        <v>30</v>
      </c>
      <c r="B430" s="26" t="s">
        <v>598</v>
      </c>
      <c r="C430" s="17" t="s">
        <v>510</v>
      </c>
      <c r="D430" s="26" t="s">
        <v>938</v>
      </c>
      <c r="E430" s="27">
        <v>8</v>
      </c>
      <c r="F430" s="26" t="s">
        <v>1308</v>
      </c>
      <c r="G430" s="28">
        <v>0.033</v>
      </c>
      <c r="H430" s="28">
        <f t="shared" si="54"/>
        <v>0.004125</v>
      </c>
      <c r="I430" s="16" t="s">
        <v>555</v>
      </c>
      <c r="J430" s="29">
        <v>2.02</v>
      </c>
      <c r="K430" s="58">
        <f t="shared" si="55"/>
        <v>0.0083325</v>
      </c>
      <c r="L430" s="30">
        <f>H430*DEMANDA!$B$9</f>
        <v>0.540375</v>
      </c>
      <c r="M430" s="29">
        <f t="shared" si="56"/>
        <v>1.0915575000000002</v>
      </c>
    </row>
    <row r="431" spans="1:13" ht="15.75" customHeight="1" outlineLevel="2">
      <c r="A431" s="25">
        <v>30</v>
      </c>
      <c r="B431" s="26" t="s">
        <v>598</v>
      </c>
      <c r="C431" s="17" t="s">
        <v>510</v>
      </c>
      <c r="D431" s="26" t="s">
        <v>939</v>
      </c>
      <c r="E431" s="27">
        <v>8</v>
      </c>
      <c r="F431" s="26" t="s">
        <v>1308</v>
      </c>
      <c r="G431" s="28">
        <v>0.01</v>
      </c>
      <c r="H431" s="28">
        <f t="shared" si="54"/>
        <v>0.00125</v>
      </c>
      <c r="I431" s="16" t="s">
        <v>555</v>
      </c>
      <c r="J431" s="29">
        <v>2.02</v>
      </c>
      <c r="K431" s="58">
        <f t="shared" si="55"/>
        <v>0.002525</v>
      </c>
      <c r="L431" s="30">
        <f>H431*DEMANDA!$B$9</f>
        <v>0.16375</v>
      </c>
      <c r="M431" s="29">
        <f t="shared" si="56"/>
        <v>0.33077500000000004</v>
      </c>
    </row>
    <row r="432" spans="1:13" ht="15.75" customHeight="1" outlineLevel="1">
      <c r="A432" s="25"/>
      <c r="B432" s="26"/>
      <c r="C432" s="17"/>
      <c r="D432" s="26"/>
      <c r="E432" s="27"/>
      <c r="F432" s="52" t="s">
        <v>12</v>
      </c>
      <c r="G432" s="28"/>
      <c r="H432" s="28"/>
      <c r="I432" s="16"/>
      <c r="J432" s="29"/>
      <c r="K432" s="58">
        <f>SUBTOTAL(9,K414:K431)</f>
        <v>1.1455083333333334</v>
      </c>
      <c r="L432" s="30"/>
      <c r="M432" s="29"/>
    </row>
    <row r="433" spans="1:13" ht="15.75" customHeight="1" outlineLevel="2">
      <c r="A433" s="25">
        <v>19</v>
      </c>
      <c r="B433" s="26" t="s">
        <v>651</v>
      </c>
      <c r="C433" s="17" t="s">
        <v>510</v>
      </c>
      <c r="D433" s="26" t="s">
        <v>940</v>
      </c>
      <c r="E433" s="27">
        <v>4</v>
      </c>
      <c r="F433" s="26" t="s">
        <v>1309</v>
      </c>
      <c r="G433" s="28">
        <v>0.5</v>
      </c>
      <c r="H433" s="28">
        <f>G433/E433</f>
        <v>0.125</v>
      </c>
      <c r="I433" s="16" t="s">
        <v>555</v>
      </c>
      <c r="J433" s="29">
        <v>1.87</v>
      </c>
      <c r="K433" s="58">
        <f>J433*H433</f>
        <v>0.23375</v>
      </c>
      <c r="L433" s="30">
        <f>H433*DEMANDA!$B$9</f>
        <v>16.375</v>
      </c>
      <c r="M433" s="29">
        <f>L433*J433</f>
        <v>30.621250000000003</v>
      </c>
    </row>
    <row r="434" spans="1:13" ht="15.75" customHeight="1" outlineLevel="2">
      <c r="A434" s="25">
        <v>20</v>
      </c>
      <c r="B434" s="26" t="s">
        <v>576</v>
      </c>
      <c r="C434" s="17" t="s">
        <v>514</v>
      </c>
      <c r="D434" s="26" t="s">
        <v>941</v>
      </c>
      <c r="E434" s="27">
        <v>4</v>
      </c>
      <c r="F434" s="26" t="s">
        <v>1309</v>
      </c>
      <c r="G434" s="28">
        <v>0.5</v>
      </c>
      <c r="H434" s="28">
        <f>G434/E434</f>
        <v>0.125</v>
      </c>
      <c r="I434" s="16" t="s">
        <v>555</v>
      </c>
      <c r="J434" s="29">
        <v>1.87</v>
      </c>
      <c r="K434" s="58">
        <f>J434*H434</f>
        <v>0.23375</v>
      </c>
      <c r="L434" s="30">
        <f>H434*DEMANDA!$B$9</f>
        <v>16.375</v>
      </c>
      <c r="M434" s="29">
        <f>L434*J434</f>
        <v>30.621250000000003</v>
      </c>
    </row>
    <row r="435" spans="1:13" ht="15.75" customHeight="1" outlineLevel="1">
      <c r="A435" s="25"/>
      <c r="B435" s="26"/>
      <c r="C435" s="17"/>
      <c r="D435" s="26"/>
      <c r="E435" s="27"/>
      <c r="F435" s="52" t="s">
        <v>13</v>
      </c>
      <c r="G435" s="28"/>
      <c r="H435" s="28"/>
      <c r="I435" s="16"/>
      <c r="J435" s="29"/>
      <c r="K435" s="58">
        <f>SUBTOTAL(9,K433:K434)</f>
        <v>0.4675</v>
      </c>
      <c r="L435" s="30"/>
      <c r="M435" s="29"/>
    </row>
    <row r="436" spans="1:13" ht="15.75" customHeight="1" outlineLevel="2">
      <c r="A436" s="25">
        <v>4</v>
      </c>
      <c r="B436" s="26" t="s">
        <v>573</v>
      </c>
      <c r="C436" s="17" t="s">
        <v>514</v>
      </c>
      <c r="D436" s="26" t="s">
        <v>942</v>
      </c>
      <c r="E436" s="27">
        <v>4</v>
      </c>
      <c r="F436" s="26" t="s">
        <v>1310</v>
      </c>
      <c r="G436" s="28">
        <v>0.06</v>
      </c>
      <c r="H436" s="28">
        <f>G436/E436</f>
        <v>0.015</v>
      </c>
      <c r="I436" s="16" t="s">
        <v>555</v>
      </c>
      <c r="J436" s="29">
        <v>3.04</v>
      </c>
      <c r="K436" s="58">
        <f>J436*H436</f>
        <v>0.0456</v>
      </c>
      <c r="L436" s="30">
        <f>H436*DEMANDA!$B$9</f>
        <v>1.9649999999999999</v>
      </c>
      <c r="M436" s="29">
        <f>L436*J436</f>
        <v>5.973599999999999</v>
      </c>
    </row>
    <row r="437" spans="1:13" ht="15.75" customHeight="1" outlineLevel="2">
      <c r="A437" s="25">
        <v>9</v>
      </c>
      <c r="B437" s="26" t="s">
        <v>930</v>
      </c>
      <c r="C437" s="17" t="s">
        <v>521</v>
      </c>
      <c r="D437" s="26" t="s">
        <v>944</v>
      </c>
      <c r="E437" s="27">
        <v>4</v>
      </c>
      <c r="F437" s="26" t="s">
        <v>1310</v>
      </c>
      <c r="G437" s="28">
        <v>1.2</v>
      </c>
      <c r="H437" s="28">
        <f>G437/E437</f>
        <v>0.3</v>
      </c>
      <c r="I437" s="16" t="s">
        <v>555</v>
      </c>
      <c r="J437" s="29">
        <v>2.87</v>
      </c>
      <c r="K437" s="58">
        <f>J437*H437</f>
        <v>0.861</v>
      </c>
      <c r="L437" s="30">
        <f>H437*DEMANDA!$B$9</f>
        <v>39.3</v>
      </c>
      <c r="M437" s="29">
        <f>L437*J437</f>
        <v>112.791</v>
      </c>
    </row>
    <row r="438" spans="1:13" ht="15.75" customHeight="1" outlineLevel="1">
      <c r="A438" s="25"/>
      <c r="B438" s="26"/>
      <c r="C438" s="17"/>
      <c r="D438" s="26"/>
      <c r="E438" s="27"/>
      <c r="F438" s="52" t="s">
        <v>14</v>
      </c>
      <c r="G438" s="28"/>
      <c r="H438" s="28"/>
      <c r="I438" s="16"/>
      <c r="J438" s="29"/>
      <c r="K438" s="58">
        <f>SUBTOTAL(9,K436:K437)</f>
        <v>0.9066</v>
      </c>
      <c r="L438" s="30"/>
      <c r="M438" s="29"/>
    </row>
    <row r="439" spans="1:13" ht="15.75" customHeight="1" outlineLevel="2">
      <c r="A439" s="25">
        <v>9</v>
      </c>
      <c r="B439" s="26" t="s">
        <v>531</v>
      </c>
      <c r="C439" s="17" t="s">
        <v>510</v>
      </c>
      <c r="D439" s="26" t="s">
        <v>943</v>
      </c>
      <c r="E439" s="27">
        <v>4</v>
      </c>
      <c r="F439" s="26" t="s">
        <v>222</v>
      </c>
      <c r="G439" s="28">
        <v>1</v>
      </c>
      <c r="H439" s="28">
        <f>G439/E439</f>
        <v>0.25</v>
      </c>
      <c r="I439" s="16" t="s">
        <v>632</v>
      </c>
      <c r="J439" s="29">
        <v>1.36</v>
      </c>
      <c r="K439" s="58">
        <f>J439*H439</f>
        <v>0.34</v>
      </c>
      <c r="L439" s="30">
        <f>H439*DEMANDA!$B$9</f>
        <v>32.75</v>
      </c>
      <c r="M439" s="29">
        <f>L439*J439</f>
        <v>44.540000000000006</v>
      </c>
    </row>
    <row r="440" spans="1:13" ht="15.75" customHeight="1" outlineLevel="1">
      <c r="A440" s="25"/>
      <c r="B440" s="26"/>
      <c r="C440" s="17"/>
      <c r="D440" s="26"/>
      <c r="E440" s="27"/>
      <c r="F440" s="52" t="s">
        <v>223</v>
      </c>
      <c r="G440" s="28"/>
      <c r="H440" s="28"/>
      <c r="I440" s="16"/>
      <c r="J440" s="29"/>
      <c r="K440" s="58">
        <f>SUBTOTAL(9,K439:K439)</f>
        <v>0.34</v>
      </c>
      <c r="L440" s="30"/>
      <c r="M440" s="29"/>
    </row>
    <row r="441" spans="1:13" ht="15.75" customHeight="1" outlineLevel="2">
      <c r="A441" s="25">
        <v>13</v>
      </c>
      <c r="B441" s="26" t="s">
        <v>819</v>
      </c>
      <c r="C441" s="17" t="s">
        <v>521</v>
      </c>
      <c r="D441" s="26" t="s">
        <v>945</v>
      </c>
      <c r="E441" s="27">
        <v>4</v>
      </c>
      <c r="F441" s="26" t="s">
        <v>1311</v>
      </c>
      <c r="G441" s="28">
        <v>1.2</v>
      </c>
      <c r="H441" s="28">
        <f>G441/E441</f>
        <v>0.3</v>
      </c>
      <c r="I441" s="16" t="s">
        <v>555</v>
      </c>
      <c r="J441" s="29">
        <v>2.87</v>
      </c>
      <c r="K441" s="58">
        <f>J441*H441</f>
        <v>0.861</v>
      </c>
      <c r="L441" s="30">
        <f>H441*DEMANDA!$B$9</f>
        <v>39.3</v>
      </c>
      <c r="M441" s="29">
        <f>L441*J441</f>
        <v>112.791</v>
      </c>
    </row>
    <row r="442" spans="1:13" ht="15.75" customHeight="1" outlineLevel="2">
      <c r="A442" s="25">
        <v>19</v>
      </c>
      <c r="B442" s="26" t="s">
        <v>781</v>
      </c>
      <c r="C442" s="17" t="s">
        <v>521</v>
      </c>
      <c r="D442" s="26" t="s">
        <v>946</v>
      </c>
      <c r="E442" s="27">
        <v>4</v>
      </c>
      <c r="F442" s="26" t="s">
        <v>1311</v>
      </c>
      <c r="G442" s="28">
        <v>0.6</v>
      </c>
      <c r="H442" s="28">
        <f>G442/E442</f>
        <v>0.15</v>
      </c>
      <c r="I442" s="16" t="s">
        <v>555</v>
      </c>
      <c r="J442" s="29">
        <v>2.87</v>
      </c>
      <c r="K442" s="58">
        <f>J442*H442</f>
        <v>0.4305</v>
      </c>
      <c r="L442" s="30">
        <f>H442*DEMANDA!$B$9</f>
        <v>19.65</v>
      </c>
      <c r="M442" s="29">
        <f>L442*J442</f>
        <v>56.3955</v>
      </c>
    </row>
    <row r="443" spans="1:13" ht="15.75" customHeight="1" outlineLevel="2">
      <c r="A443" s="25">
        <v>27</v>
      </c>
      <c r="B443" s="26" t="s">
        <v>930</v>
      </c>
      <c r="C443" s="17" t="s">
        <v>510</v>
      </c>
      <c r="D443" s="26" t="s">
        <v>944</v>
      </c>
      <c r="E443" s="27">
        <v>4</v>
      </c>
      <c r="F443" s="26" t="s">
        <v>1311</v>
      </c>
      <c r="G443" s="28">
        <v>1.2</v>
      </c>
      <c r="H443" s="28">
        <f>G443/E443</f>
        <v>0.3</v>
      </c>
      <c r="I443" s="16" t="s">
        <v>555</v>
      </c>
      <c r="J443" s="29">
        <v>2.87</v>
      </c>
      <c r="K443" s="58">
        <f>J443*H443</f>
        <v>0.861</v>
      </c>
      <c r="L443" s="30">
        <f>H443*DEMANDA!$B$9</f>
        <v>39.3</v>
      </c>
      <c r="M443" s="29">
        <f>L443*J443</f>
        <v>112.791</v>
      </c>
    </row>
    <row r="444" spans="1:13" ht="15.75" customHeight="1" outlineLevel="2">
      <c r="A444" s="25">
        <v>30</v>
      </c>
      <c r="B444" s="26" t="s">
        <v>598</v>
      </c>
      <c r="C444" s="17" t="s">
        <v>510</v>
      </c>
      <c r="D444" s="26" t="s">
        <v>947</v>
      </c>
      <c r="E444" s="27">
        <v>8</v>
      </c>
      <c r="F444" s="26" t="s">
        <v>1311</v>
      </c>
      <c r="G444" s="28">
        <v>1.2</v>
      </c>
      <c r="H444" s="28">
        <f>G444/E444</f>
        <v>0.15</v>
      </c>
      <c r="I444" s="16" t="s">
        <v>555</v>
      </c>
      <c r="J444" s="29">
        <v>2.87</v>
      </c>
      <c r="K444" s="58">
        <f>J444*H444</f>
        <v>0.4305</v>
      </c>
      <c r="L444" s="30">
        <f>H444*DEMANDA!$B$9</f>
        <v>19.65</v>
      </c>
      <c r="M444" s="29">
        <f>L444*J444</f>
        <v>56.3955</v>
      </c>
    </row>
    <row r="445" spans="1:13" ht="15.75" customHeight="1" outlineLevel="1">
      <c r="A445" s="25"/>
      <c r="B445" s="26"/>
      <c r="C445" s="17"/>
      <c r="D445" s="26"/>
      <c r="E445" s="27"/>
      <c r="F445" s="52" t="s">
        <v>15</v>
      </c>
      <c r="G445" s="28"/>
      <c r="H445" s="28"/>
      <c r="I445" s="16"/>
      <c r="J445" s="29"/>
      <c r="K445" s="58">
        <f>SUBTOTAL(9,K441:K444)</f>
        <v>2.5829999999999997</v>
      </c>
      <c r="L445" s="30"/>
      <c r="M445" s="29"/>
    </row>
    <row r="446" spans="1:13" ht="15.75" customHeight="1" outlineLevel="2">
      <c r="A446" s="25">
        <v>6</v>
      </c>
      <c r="B446" s="26" t="s">
        <v>615</v>
      </c>
      <c r="C446" s="17" t="s">
        <v>510</v>
      </c>
      <c r="D446" s="26" t="s">
        <v>949</v>
      </c>
      <c r="E446" s="27">
        <v>2</v>
      </c>
      <c r="F446" s="26" t="s">
        <v>1312</v>
      </c>
      <c r="G446" s="28">
        <v>0.12</v>
      </c>
      <c r="H446" s="28">
        <f aca="true" t="shared" si="57" ref="H446:H452">G446/E446</f>
        <v>0.06</v>
      </c>
      <c r="I446" s="16" t="s">
        <v>555</v>
      </c>
      <c r="J446" s="29">
        <v>8</v>
      </c>
      <c r="K446" s="58">
        <f aca="true" t="shared" si="58" ref="K446:K452">J446*H446</f>
        <v>0.48</v>
      </c>
      <c r="L446" s="30">
        <f>H446*DEMANDA!$B$9</f>
        <v>7.859999999999999</v>
      </c>
      <c r="M446" s="29">
        <f aca="true" t="shared" si="59" ref="M446:M452">L446*J446</f>
        <v>62.879999999999995</v>
      </c>
    </row>
    <row r="447" spans="1:13" ht="15.75" customHeight="1" outlineLevel="2">
      <c r="A447" s="32">
        <v>6</v>
      </c>
      <c r="B447" s="33" t="s">
        <v>527</v>
      </c>
      <c r="C447" s="34" t="s">
        <v>514</v>
      </c>
      <c r="D447" s="33" t="s">
        <v>948</v>
      </c>
      <c r="E447" s="35">
        <v>12</v>
      </c>
      <c r="F447" s="26" t="s">
        <v>1312</v>
      </c>
      <c r="G447" s="36">
        <v>0.18</v>
      </c>
      <c r="H447" s="28">
        <f t="shared" si="57"/>
        <v>0.015</v>
      </c>
      <c r="I447" s="16" t="s">
        <v>555</v>
      </c>
      <c r="J447" s="29">
        <v>8</v>
      </c>
      <c r="K447" s="58">
        <f t="shared" si="58"/>
        <v>0.12</v>
      </c>
      <c r="L447" s="30">
        <f>H447*DEMANDA!$B$9</f>
        <v>1.9649999999999999</v>
      </c>
      <c r="M447" s="29">
        <f t="shared" si="59"/>
        <v>15.719999999999999</v>
      </c>
    </row>
    <row r="448" spans="1:13" ht="15.75" customHeight="1" outlineLevel="2">
      <c r="A448" s="25">
        <v>13</v>
      </c>
      <c r="B448" s="26" t="s">
        <v>775</v>
      </c>
      <c r="C448" s="17" t="s">
        <v>510</v>
      </c>
      <c r="D448" s="26" t="s">
        <v>952</v>
      </c>
      <c r="E448" s="27">
        <v>4</v>
      </c>
      <c r="F448" s="26" t="s">
        <v>1312</v>
      </c>
      <c r="G448" s="28">
        <v>0.06</v>
      </c>
      <c r="H448" s="28">
        <f t="shared" si="57"/>
        <v>0.015</v>
      </c>
      <c r="I448" s="16" t="s">
        <v>555</v>
      </c>
      <c r="J448" s="29">
        <v>8</v>
      </c>
      <c r="K448" s="58">
        <f t="shared" si="58"/>
        <v>0.12</v>
      </c>
      <c r="L448" s="30">
        <f>H448*DEMANDA!$B$9</f>
        <v>1.9649999999999999</v>
      </c>
      <c r="M448" s="29">
        <f t="shared" si="59"/>
        <v>15.719999999999999</v>
      </c>
    </row>
    <row r="449" spans="1:13" ht="15.75" customHeight="1" outlineLevel="2">
      <c r="A449" s="25">
        <v>13</v>
      </c>
      <c r="B449" s="26" t="s">
        <v>655</v>
      </c>
      <c r="C449" s="17" t="s">
        <v>514</v>
      </c>
      <c r="D449" s="26" t="s">
        <v>951</v>
      </c>
      <c r="E449" s="27">
        <v>4</v>
      </c>
      <c r="F449" s="26" t="s">
        <v>1312</v>
      </c>
      <c r="G449" s="28">
        <v>0.09</v>
      </c>
      <c r="H449" s="28">
        <f t="shared" si="57"/>
        <v>0.0225</v>
      </c>
      <c r="I449" s="16" t="s">
        <v>555</v>
      </c>
      <c r="J449" s="29">
        <v>8</v>
      </c>
      <c r="K449" s="58">
        <f t="shared" si="58"/>
        <v>0.18</v>
      </c>
      <c r="L449" s="30">
        <f>H449*DEMANDA!$B$9</f>
        <v>2.9475</v>
      </c>
      <c r="M449" s="29">
        <f t="shared" si="59"/>
        <v>23.58</v>
      </c>
    </row>
    <row r="450" spans="1:13" ht="15.75" customHeight="1" outlineLevel="2">
      <c r="A450" s="25">
        <v>12</v>
      </c>
      <c r="B450" s="26" t="s">
        <v>595</v>
      </c>
      <c r="C450" s="17" t="s">
        <v>521</v>
      </c>
      <c r="D450" s="26" t="s">
        <v>950</v>
      </c>
      <c r="E450" s="27">
        <v>4</v>
      </c>
      <c r="F450" s="26" t="s">
        <v>1312</v>
      </c>
      <c r="G450" s="28">
        <v>0.06</v>
      </c>
      <c r="H450" s="28">
        <f t="shared" si="57"/>
        <v>0.015</v>
      </c>
      <c r="I450" s="16" t="s">
        <v>555</v>
      </c>
      <c r="J450" s="29">
        <v>8</v>
      </c>
      <c r="K450" s="58">
        <f t="shared" si="58"/>
        <v>0.12</v>
      </c>
      <c r="L450" s="30">
        <f>H450*DEMANDA!$B$9</f>
        <v>1.9649999999999999</v>
      </c>
      <c r="M450" s="29">
        <f t="shared" si="59"/>
        <v>15.719999999999999</v>
      </c>
    </row>
    <row r="451" spans="1:13" ht="15.75" customHeight="1" outlineLevel="2">
      <c r="A451" s="25">
        <v>10</v>
      </c>
      <c r="B451" s="26" t="s">
        <v>861</v>
      </c>
      <c r="C451" s="17" t="s">
        <v>521</v>
      </c>
      <c r="D451" s="26" t="s">
        <v>950</v>
      </c>
      <c r="E451" s="27">
        <v>4</v>
      </c>
      <c r="F451" s="26" t="s">
        <v>1312</v>
      </c>
      <c r="G451" s="28">
        <v>0.06</v>
      </c>
      <c r="H451" s="28">
        <f t="shared" si="57"/>
        <v>0.015</v>
      </c>
      <c r="I451" s="16" t="s">
        <v>555</v>
      </c>
      <c r="J451" s="29">
        <v>8</v>
      </c>
      <c r="K451" s="58">
        <f t="shared" si="58"/>
        <v>0.12</v>
      </c>
      <c r="L451" s="30">
        <f>H451*DEMANDA!$B$9</f>
        <v>1.9649999999999999</v>
      </c>
      <c r="M451" s="29">
        <f t="shared" si="59"/>
        <v>15.719999999999999</v>
      </c>
    </row>
    <row r="452" spans="1:13" ht="15.75" customHeight="1" outlineLevel="2">
      <c r="A452" s="25">
        <v>24</v>
      </c>
      <c r="B452" s="26" t="s">
        <v>668</v>
      </c>
      <c r="C452" s="17" t="s">
        <v>510</v>
      </c>
      <c r="D452" s="26" t="s">
        <v>953</v>
      </c>
      <c r="E452" s="27">
        <v>10</v>
      </c>
      <c r="F452" s="26" t="s">
        <v>1312</v>
      </c>
      <c r="G452" s="28">
        <v>0.125</v>
      </c>
      <c r="H452" s="28">
        <f t="shared" si="57"/>
        <v>0.0125</v>
      </c>
      <c r="I452" s="16" t="s">
        <v>555</v>
      </c>
      <c r="J452" s="29">
        <v>8</v>
      </c>
      <c r="K452" s="58">
        <f t="shared" si="58"/>
        <v>0.1</v>
      </c>
      <c r="L452" s="30">
        <f>H452*DEMANDA!$B$9</f>
        <v>1.6375000000000002</v>
      </c>
      <c r="M452" s="29">
        <f t="shared" si="59"/>
        <v>13.100000000000001</v>
      </c>
    </row>
    <row r="453" spans="1:13" ht="15.75" customHeight="1" outlineLevel="1">
      <c r="A453" s="25"/>
      <c r="B453" s="26"/>
      <c r="C453" s="17"/>
      <c r="D453" s="26"/>
      <c r="E453" s="27"/>
      <c r="F453" s="52" t="s">
        <v>16</v>
      </c>
      <c r="G453" s="28"/>
      <c r="H453" s="28"/>
      <c r="I453" s="16"/>
      <c r="J453" s="29"/>
      <c r="K453" s="58">
        <f>SUBTOTAL(9,K446:K452)</f>
        <v>1.2400000000000002</v>
      </c>
      <c r="L453" s="30"/>
      <c r="M453" s="29"/>
    </row>
    <row r="454" spans="1:13" ht="15.75" customHeight="1" outlineLevel="2">
      <c r="A454" s="25">
        <v>8</v>
      </c>
      <c r="B454" s="26" t="s">
        <v>685</v>
      </c>
      <c r="C454" s="17" t="s">
        <v>521</v>
      </c>
      <c r="D454" s="26" t="s">
        <v>954</v>
      </c>
      <c r="E454" s="27">
        <v>4</v>
      </c>
      <c r="F454" s="26" t="s">
        <v>1313</v>
      </c>
      <c r="G454" s="28">
        <v>0.24</v>
      </c>
      <c r="H454" s="28">
        <f>G454/E454</f>
        <v>0.06</v>
      </c>
      <c r="I454" s="16" t="s">
        <v>555</v>
      </c>
      <c r="J454" s="38">
        <v>8</v>
      </c>
      <c r="K454" s="58">
        <f>J454*H454</f>
        <v>0.48</v>
      </c>
      <c r="L454" s="30">
        <f>H454*DEMANDA!$B$9</f>
        <v>7.859999999999999</v>
      </c>
      <c r="M454" s="29">
        <f>L454*J454</f>
        <v>62.879999999999995</v>
      </c>
    </row>
    <row r="455" spans="1:13" ht="15.75" customHeight="1" outlineLevel="1">
      <c r="A455" s="25"/>
      <c r="B455" s="26"/>
      <c r="C455" s="17"/>
      <c r="D455" s="26"/>
      <c r="E455" s="27"/>
      <c r="F455" s="52" t="s">
        <v>17</v>
      </c>
      <c r="G455" s="28"/>
      <c r="H455" s="28"/>
      <c r="I455" s="16"/>
      <c r="J455" s="38"/>
      <c r="K455" s="58">
        <f>SUBTOTAL(9,K454:K454)</f>
        <v>0.48</v>
      </c>
      <c r="L455" s="30"/>
      <c r="M455" s="29"/>
    </row>
    <row r="456" spans="1:13" ht="15.75" customHeight="1" outlineLevel="2">
      <c r="A456" s="25">
        <v>8</v>
      </c>
      <c r="B456" s="26" t="s">
        <v>675</v>
      </c>
      <c r="C456" s="17" t="s">
        <v>510</v>
      </c>
      <c r="D456" s="26" t="s">
        <v>956</v>
      </c>
      <c r="E456" s="27">
        <v>4</v>
      </c>
      <c r="F456" s="26" t="s">
        <v>1314</v>
      </c>
      <c r="G456" s="28">
        <v>0.5</v>
      </c>
      <c r="H456" s="28">
        <f>G456/E456</f>
        <v>0.125</v>
      </c>
      <c r="I456" s="16" t="s">
        <v>555</v>
      </c>
      <c r="J456" s="29">
        <v>2.46</v>
      </c>
      <c r="K456" s="58">
        <f>J456*H456</f>
        <v>0.3075</v>
      </c>
      <c r="L456" s="30">
        <f>H456*DEMANDA!$B$9</f>
        <v>16.375</v>
      </c>
      <c r="M456" s="29">
        <f>L456*J456</f>
        <v>40.2825</v>
      </c>
    </row>
    <row r="457" spans="1:13" ht="15.75" customHeight="1" outlineLevel="2">
      <c r="A457" s="25">
        <v>22</v>
      </c>
      <c r="B457" s="26" t="s">
        <v>688</v>
      </c>
      <c r="C457" s="17" t="s">
        <v>521</v>
      </c>
      <c r="D457" s="16" t="s">
        <v>957</v>
      </c>
      <c r="E457" s="27">
        <v>2</v>
      </c>
      <c r="F457" s="26" t="s">
        <v>1314</v>
      </c>
      <c r="G457" s="28">
        <v>0.125</v>
      </c>
      <c r="H457" s="28">
        <f>G457/E457</f>
        <v>0.0625</v>
      </c>
      <c r="I457" s="16" t="s">
        <v>555</v>
      </c>
      <c r="J457" s="29">
        <v>2.46</v>
      </c>
      <c r="K457" s="58">
        <f>J457*H457</f>
        <v>0.15375</v>
      </c>
      <c r="L457" s="30">
        <f>H457*DEMANDA!$B$9</f>
        <v>8.1875</v>
      </c>
      <c r="M457" s="29">
        <f>L457*J457</f>
        <v>20.14125</v>
      </c>
    </row>
    <row r="458" spans="1:13" ht="15.75" customHeight="1" outlineLevel="2">
      <c r="A458" s="25">
        <v>3</v>
      </c>
      <c r="B458" s="26" t="s">
        <v>556</v>
      </c>
      <c r="C458" s="17" t="s">
        <v>521</v>
      </c>
      <c r="D458" s="26" t="s">
        <v>955</v>
      </c>
      <c r="E458" s="27">
        <v>4</v>
      </c>
      <c r="F458" s="26" t="s">
        <v>1314</v>
      </c>
      <c r="G458" s="28">
        <v>0.125</v>
      </c>
      <c r="H458" s="28">
        <f>G458/E458</f>
        <v>0.03125</v>
      </c>
      <c r="I458" s="16" t="s">
        <v>555</v>
      </c>
      <c r="J458" s="29">
        <v>2.46</v>
      </c>
      <c r="K458" s="58">
        <f>J458*H458</f>
        <v>0.076875</v>
      </c>
      <c r="L458" s="30">
        <f>H458*DEMANDA!$B$9</f>
        <v>4.09375</v>
      </c>
      <c r="M458" s="29">
        <f>L458*J458</f>
        <v>10.070625</v>
      </c>
    </row>
    <row r="459" spans="1:13" ht="15.75" customHeight="1" outlineLevel="1">
      <c r="A459" s="25"/>
      <c r="B459" s="26"/>
      <c r="C459" s="17"/>
      <c r="D459" s="26"/>
      <c r="E459" s="27"/>
      <c r="F459" s="52" t="s">
        <v>18</v>
      </c>
      <c r="G459" s="28"/>
      <c r="H459" s="28"/>
      <c r="I459" s="16"/>
      <c r="J459" s="29"/>
      <c r="K459" s="58">
        <f>SUBTOTAL(9,K456:K458)</f>
        <v>0.538125</v>
      </c>
      <c r="L459" s="30"/>
      <c r="M459" s="29"/>
    </row>
    <row r="460" spans="1:13" ht="15.75" customHeight="1" outlineLevel="2">
      <c r="A460" s="25">
        <v>5</v>
      </c>
      <c r="B460" s="26" t="s">
        <v>559</v>
      </c>
      <c r="C460" s="17" t="s">
        <v>510</v>
      </c>
      <c r="D460" s="26" t="s">
        <v>958</v>
      </c>
      <c r="E460" s="27">
        <v>4</v>
      </c>
      <c r="F460" s="26" t="s">
        <v>1394</v>
      </c>
      <c r="G460" s="28">
        <v>0.03</v>
      </c>
      <c r="H460" s="28">
        <f>G460/E460</f>
        <v>0.0075</v>
      </c>
      <c r="I460" s="16" t="s">
        <v>555</v>
      </c>
      <c r="J460" s="29">
        <v>2.72</v>
      </c>
      <c r="K460" s="58">
        <f>J460*H460</f>
        <v>0.0204</v>
      </c>
      <c r="L460" s="30">
        <f>H460*DEMANDA!$B$9</f>
        <v>0.9824999999999999</v>
      </c>
      <c r="M460" s="29">
        <f>L460*J460</f>
        <v>2.6724</v>
      </c>
    </row>
    <row r="461" spans="1:13" ht="15.75" customHeight="1" outlineLevel="2">
      <c r="A461" s="25">
        <v>14</v>
      </c>
      <c r="B461" s="26" t="s">
        <v>755</v>
      </c>
      <c r="C461" s="17" t="s">
        <v>514</v>
      </c>
      <c r="D461" s="26" t="s">
        <v>959</v>
      </c>
      <c r="E461" s="27">
        <v>4</v>
      </c>
      <c r="F461" s="26" t="s">
        <v>1394</v>
      </c>
      <c r="G461" s="28">
        <v>0.09</v>
      </c>
      <c r="H461" s="28">
        <f>G461/E461</f>
        <v>0.0225</v>
      </c>
      <c r="I461" s="16" t="s">
        <v>555</v>
      </c>
      <c r="J461" s="29">
        <v>2.72</v>
      </c>
      <c r="K461" s="58">
        <f>J461*H461</f>
        <v>0.061200000000000004</v>
      </c>
      <c r="L461" s="30">
        <f>H461*DEMANDA!$B$9</f>
        <v>2.9475</v>
      </c>
      <c r="M461" s="29">
        <f>L461*J461</f>
        <v>8.0172</v>
      </c>
    </row>
    <row r="462" spans="1:13" ht="15.75" customHeight="1" outlineLevel="2">
      <c r="A462" s="25">
        <v>28</v>
      </c>
      <c r="B462" s="26" t="s">
        <v>572</v>
      </c>
      <c r="C462" s="17" t="s">
        <v>521</v>
      </c>
      <c r="D462" s="26" t="s">
        <v>958</v>
      </c>
      <c r="E462" s="27">
        <v>6</v>
      </c>
      <c r="F462" s="26" t="s">
        <v>1394</v>
      </c>
      <c r="G462" s="28">
        <v>0.03</v>
      </c>
      <c r="H462" s="28">
        <f>G462/E462</f>
        <v>0.005</v>
      </c>
      <c r="I462" s="16" t="s">
        <v>555</v>
      </c>
      <c r="J462" s="29">
        <v>2.72</v>
      </c>
      <c r="K462" s="58">
        <f>J462*H462</f>
        <v>0.013600000000000001</v>
      </c>
      <c r="L462" s="30">
        <f>H462*DEMANDA!$B$9</f>
        <v>0.655</v>
      </c>
      <c r="M462" s="29">
        <f>L462*J462</f>
        <v>1.7816000000000003</v>
      </c>
    </row>
    <row r="463" spans="1:13" ht="15.75" customHeight="1" outlineLevel="2">
      <c r="A463" s="25">
        <v>17</v>
      </c>
      <c r="B463" s="26" t="s">
        <v>822</v>
      </c>
      <c r="C463" s="17" t="s">
        <v>521</v>
      </c>
      <c r="D463" s="26" t="s">
        <v>960</v>
      </c>
      <c r="E463" s="27">
        <v>4</v>
      </c>
      <c r="F463" s="26" t="s">
        <v>1394</v>
      </c>
      <c r="G463" s="28">
        <v>0.03</v>
      </c>
      <c r="H463" s="28">
        <f>G463/E463</f>
        <v>0.0075</v>
      </c>
      <c r="I463" s="16" t="s">
        <v>555</v>
      </c>
      <c r="J463" s="29">
        <v>2.72</v>
      </c>
      <c r="K463" s="58">
        <f>J463*H463</f>
        <v>0.0204</v>
      </c>
      <c r="L463" s="30">
        <f>H463*DEMANDA!$B$9</f>
        <v>0.9824999999999999</v>
      </c>
      <c r="M463" s="29">
        <f>L463*J463</f>
        <v>2.6724</v>
      </c>
    </row>
    <row r="464" spans="1:13" ht="15.75" customHeight="1" outlineLevel="2">
      <c r="A464" s="25">
        <v>16</v>
      </c>
      <c r="B464" s="26" t="s">
        <v>821</v>
      </c>
      <c r="C464" s="17" t="s">
        <v>521</v>
      </c>
      <c r="D464" s="26" t="s">
        <v>960</v>
      </c>
      <c r="E464" s="27">
        <v>4</v>
      </c>
      <c r="F464" s="26" t="s">
        <v>1394</v>
      </c>
      <c r="G464" s="28">
        <v>0.03</v>
      </c>
      <c r="H464" s="28">
        <f>G464/E464</f>
        <v>0.0075</v>
      </c>
      <c r="I464" s="16" t="s">
        <v>555</v>
      </c>
      <c r="J464" s="29">
        <v>2.72</v>
      </c>
      <c r="K464" s="58">
        <f>J464*H464</f>
        <v>0.0204</v>
      </c>
      <c r="L464" s="30">
        <f>H464*DEMANDA!$B$9</f>
        <v>0.9824999999999999</v>
      </c>
      <c r="M464" s="29">
        <f>L464*J464</f>
        <v>2.6724</v>
      </c>
    </row>
    <row r="465" spans="1:13" ht="15.75" customHeight="1" outlineLevel="1">
      <c r="A465" s="25"/>
      <c r="B465" s="26"/>
      <c r="C465" s="17"/>
      <c r="D465" s="26"/>
      <c r="E465" s="27"/>
      <c r="F465" s="52" t="s">
        <v>19</v>
      </c>
      <c r="G465" s="28"/>
      <c r="H465" s="28"/>
      <c r="I465" s="16"/>
      <c r="J465" s="29"/>
      <c r="K465" s="58">
        <f>SUBTOTAL(9,K460:K464)</f>
        <v>0.136</v>
      </c>
      <c r="L465" s="30"/>
      <c r="M465" s="29"/>
    </row>
    <row r="466" spans="1:13" ht="15.75" customHeight="1" outlineLevel="2">
      <c r="A466" s="25">
        <v>15</v>
      </c>
      <c r="B466" s="26" t="s">
        <v>759</v>
      </c>
      <c r="C466" s="17" t="s">
        <v>510</v>
      </c>
      <c r="D466" s="26" t="s">
        <v>961</v>
      </c>
      <c r="E466" s="27">
        <v>4</v>
      </c>
      <c r="F466" s="26" t="s">
        <v>1315</v>
      </c>
      <c r="G466" s="28">
        <v>0.1</v>
      </c>
      <c r="H466" s="28">
        <f>G466/E466</f>
        <v>0.025</v>
      </c>
      <c r="I466" s="16" t="s">
        <v>555</v>
      </c>
      <c r="J466" s="29">
        <v>5.25</v>
      </c>
      <c r="K466" s="58">
        <f>J466*H466</f>
        <v>0.13125</v>
      </c>
      <c r="L466" s="30">
        <f>H466*DEMANDA!$B$9</f>
        <v>3.2750000000000004</v>
      </c>
      <c r="M466" s="29">
        <f>L466*J466</f>
        <v>17.19375</v>
      </c>
    </row>
    <row r="467" spans="1:13" ht="15.75" customHeight="1" outlineLevel="2">
      <c r="A467" s="25">
        <v>16</v>
      </c>
      <c r="B467" s="26" t="s">
        <v>842</v>
      </c>
      <c r="C467" s="17" t="s">
        <v>510</v>
      </c>
      <c r="D467" s="26" t="s">
        <v>962</v>
      </c>
      <c r="E467" s="27">
        <v>4</v>
      </c>
      <c r="F467" s="26" t="s">
        <v>1315</v>
      </c>
      <c r="G467" s="28">
        <v>0.03</v>
      </c>
      <c r="H467" s="28">
        <f>G467/E467</f>
        <v>0.0075</v>
      </c>
      <c r="I467" s="16" t="s">
        <v>555</v>
      </c>
      <c r="J467" s="29">
        <v>5.25</v>
      </c>
      <c r="K467" s="58">
        <f>J467*H467</f>
        <v>0.039375</v>
      </c>
      <c r="L467" s="30">
        <f>H467*DEMANDA!$B$9</f>
        <v>0.9824999999999999</v>
      </c>
      <c r="M467" s="29">
        <f>L467*J467</f>
        <v>5.158125</v>
      </c>
    </row>
    <row r="468" spans="1:13" ht="15.75" customHeight="1" outlineLevel="2">
      <c r="A468" s="25">
        <v>18</v>
      </c>
      <c r="B468" s="26" t="s">
        <v>626</v>
      </c>
      <c r="C468" s="17" t="s">
        <v>514</v>
      </c>
      <c r="D468" s="26" t="s">
        <v>963</v>
      </c>
      <c r="E468" s="27">
        <v>4</v>
      </c>
      <c r="F468" s="26" t="s">
        <v>1315</v>
      </c>
      <c r="G468" s="28">
        <v>0.06</v>
      </c>
      <c r="H468" s="28">
        <f>G468/E468</f>
        <v>0.015</v>
      </c>
      <c r="I468" s="16" t="s">
        <v>555</v>
      </c>
      <c r="J468" s="29">
        <v>5.25</v>
      </c>
      <c r="K468" s="58">
        <f>J468*H468</f>
        <v>0.07875</v>
      </c>
      <c r="L468" s="30">
        <f>H468*DEMANDA!$B$9</f>
        <v>1.9649999999999999</v>
      </c>
      <c r="M468" s="29">
        <f>L468*J468</f>
        <v>10.31625</v>
      </c>
    </row>
    <row r="469" spans="1:13" ht="15.75" customHeight="1" outlineLevel="2">
      <c r="A469" s="25">
        <v>19</v>
      </c>
      <c r="B469" s="26" t="s">
        <v>651</v>
      </c>
      <c r="C469" s="17" t="s">
        <v>510</v>
      </c>
      <c r="D469" s="26" t="s">
        <v>964</v>
      </c>
      <c r="E469" s="27">
        <v>4</v>
      </c>
      <c r="F469" s="26" t="s">
        <v>1315</v>
      </c>
      <c r="G469" s="28">
        <v>0.18</v>
      </c>
      <c r="H469" s="28">
        <f>G469/E469</f>
        <v>0.045</v>
      </c>
      <c r="I469" s="16" t="s">
        <v>555</v>
      </c>
      <c r="J469" s="29">
        <v>5.25</v>
      </c>
      <c r="K469" s="58">
        <f>J469*H469</f>
        <v>0.23625</v>
      </c>
      <c r="L469" s="30">
        <f>H469*DEMANDA!$B$9</f>
        <v>5.895</v>
      </c>
      <c r="M469" s="29">
        <f>L469*J469</f>
        <v>30.948749999999997</v>
      </c>
    </row>
    <row r="470" spans="1:13" ht="15.75" customHeight="1" outlineLevel="1">
      <c r="A470" s="25"/>
      <c r="B470" s="26"/>
      <c r="C470" s="17"/>
      <c r="D470" s="26"/>
      <c r="E470" s="27"/>
      <c r="F470" s="52" t="s">
        <v>20</v>
      </c>
      <c r="G470" s="28"/>
      <c r="H470" s="28"/>
      <c r="I470" s="16"/>
      <c r="J470" s="29"/>
      <c r="K470" s="58">
        <f>SUBTOTAL(9,K466:K469)</f>
        <v>0.485625</v>
      </c>
      <c r="L470" s="30"/>
      <c r="M470" s="29"/>
    </row>
    <row r="471" spans="1:13" ht="15.75" customHeight="1" outlineLevel="2">
      <c r="A471" s="25">
        <v>22</v>
      </c>
      <c r="B471" s="26" t="s">
        <v>688</v>
      </c>
      <c r="C471" s="17" t="s">
        <v>521</v>
      </c>
      <c r="D471" s="16" t="s">
        <v>966</v>
      </c>
      <c r="E471" s="27">
        <v>2</v>
      </c>
      <c r="F471" s="26" t="s">
        <v>1316</v>
      </c>
      <c r="G471" s="28">
        <v>0.5</v>
      </c>
      <c r="H471" s="28">
        <f>G471/E471</f>
        <v>0.25</v>
      </c>
      <c r="I471" s="16" t="s">
        <v>555</v>
      </c>
      <c r="J471" s="29">
        <v>2.06</v>
      </c>
      <c r="K471" s="58">
        <f>J471*H471</f>
        <v>0.515</v>
      </c>
      <c r="L471" s="30">
        <f>H471*DEMANDA!$B$9</f>
        <v>32.75</v>
      </c>
      <c r="M471" s="29">
        <f>L471*J471</f>
        <v>67.465</v>
      </c>
    </row>
    <row r="472" spans="1:13" ht="15.75" customHeight="1" outlineLevel="2">
      <c r="A472" s="32">
        <v>30</v>
      </c>
      <c r="B472" s="33" t="s">
        <v>643</v>
      </c>
      <c r="C472" s="34" t="s">
        <v>521</v>
      </c>
      <c r="D472" s="33" t="s">
        <v>967</v>
      </c>
      <c r="E472" s="35">
        <v>4</v>
      </c>
      <c r="F472" s="26" t="s">
        <v>1316</v>
      </c>
      <c r="G472" s="36">
        <v>0.334</v>
      </c>
      <c r="H472" s="28">
        <f>G472/E472</f>
        <v>0.0835</v>
      </c>
      <c r="I472" s="16" t="s">
        <v>555</v>
      </c>
      <c r="J472" s="29">
        <v>2.06</v>
      </c>
      <c r="K472" s="58">
        <f>J472*H472</f>
        <v>0.17201000000000002</v>
      </c>
      <c r="L472" s="30">
        <f>H472*DEMANDA!$B$9</f>
        <v>10.938500000000001</v>
      </c>
      <c r="M472" s="29">
        <f>L472*J472</f>
        <v>22.533310000000004</v>
      </c>
    </row>
    <row r="473" spans="1:13" ht="15.75" customHeight="1" outlineLevel="2">
      <c r="A473" s="25">
        <v>20</v>
      </c>
      <c r="B473" s="26" t="s">
        <v>794</v>
      </c>
      <c r="C473" s="17" t="s">
        <v>521</v>
      </c>
      <c r="D473" s="26" t="s">
        <v>965</v>
      </c>
      <c r="E473" s="27">
        <v>6</v>
      </c>
      <c r="F473" s="26" t="s">
        <v>1316</v>
      </c>
      <c r="G473" s="28">
        <v>0.5</v>
      </c>
      <c r="H473" s="28">
        <f>G473/E473</f>
        <v>0.08333333333333333</v>
      </c>
      <c r="I473" s="16" t="s">
        <v>555</v>
      </c>
      <c r="J473" s="29">
        <v>2.06</v>
      </c>
      <c r="K473" s="58">
        <f>J473*H473</f>
        <v>0.17166666666666666</v>
      </c>
      <c r="L473" s="30">
        <f>H473*DEMANDA!$B$9</f>
        <v>10.916666666666666</v>
      </c>
      <c r="M473" s="29">
        <f>L473*J473</f>
        <v>22.488333333333333</v>
      </c>
    </row>
    <row r="474" spans="1:13" ht="15.75" customHeight="1" outlineLevel="2">
      <c r="A474" s="32">
        <v>25</v>
      </c>
      <c r="B474" s="33" t="s">
        <v>643</v>
      </c>
      <c r="C474" s="34" t="s">
        <v>510</v>
      </c>
      <c r="D474" s="33" t="s">
        <v>967</v>
      </c>
      <c r="E474" s="35">
        <v>4</v>
      </c>
      <c r="F474" s="26" t="s">
        <v>1316</v>
      </c>
      <c r="G474" s="36">
        <v>0.334</v>
      </c>
      <c r="H474" s="28">
        <f>G474/E474</f>
        <v>0.0835</v>
      </c>
      <c r="I474" s="16" t="s">
        <v>555</v>
      </c>
      <c r="J474" s="29">
        <v>2.06</v>
      </c>
      <c r="K474" s="58">
        <f>J474*H474</f>
        <v>0.17201000000000002</v>
      </c>
      <c r="L474" s="30">
        <f>H474*DEMANDA!$B$9</f>
        <v>10.938500000000001</v>
      </c>
      <c r="M474" s="29">
        <f>L474*J474</f>
        <v>22.533310000000004</v>
      </c>
    </row>
    <row r="475" spans="1:13" ht="15.75" customHeight="1" outlineLevel="1">
      <c r="A475" s="32"/>
      <c r="B475" s="33"/>
      <c r="C475" s="34"/>
      <c r="D475" s="33"/>
      <c r="E475" s="35"/>
      <c r="F475" s="52" t="s">
        <v>21</v>
      </c>
      <c r="G475" s="36"/>
      <c r="H475" s="28"/>
      <c r="I475" s="16"/>
      <c r="J475" s="29"/>
      <c r="K475" s="58">
        <f>SUBTOTAL(9,K471:K474)</f>
        <v>1.0306866666666668</v>
      </c>
      <c r="L475" s="30"/>
      <c r="M475" s="29"/>
    </row>
    <row r="476" spans="1:13" ht="15.75" customHeight="1" outlineLevel="2">
      <c r="A476" s="25">
        <v>17</v>
      </c>
      <c r="B476" s="26" t="s">
        <v>543</v>
      </c>
      <c r="C476" s="17" t="s">
        <v>510</v>
      </c>
      <c r="D476" s="26" t="s">
        <v>969</v>
      </c>
      <c r="E476" s="27">
        <v>4</v>
      </c>
      <c r="F476" s="26" t="s">
        <v>1317</v>
      </c>
      <c r="G476" s="28">
        <v>0.01</v>
      </c>
      <c r="H476" s="28">
        <f>G476/E476</f>
        <v>0.0025</v>
      </c>
      <c r="I476" s="16" t="s">
        <v>632</v>
      </c>
      <c r="J476" s="29">
        <v>0.3</v>
      </c>
      <c r="K476" s="58">
        <f>J476*H476</f>
        <v>0.00075</v>
      </c>
      <c r="L476" s="30">
        <f>H476*DEMANDA!$B$9</f>
        <v>0.3275</v>
      </c>
      <c r="M476" s="29">
        <f>L476*J476</f>
        <v>0.09825</v>
      </c>
    </row>
    <row r="477" spans="1:13" ht="15.75" customHeight="1" outlineLevel="2">
      <c r="A477" s="25">
        <v>26</v>
      </c>
      <c r="B477" s="26" t="s">
        <v>692</v>
      </c>
      <c r="C477" s="17" t="s">
        <v>521</v>
      </c>
      <c r="D477" s="16" t="s">
        <v>971</v>
      </c>
      <c r="E477" s="27">
        <v>4</v>
      </c>
      <c r="F477" s="26" t="s">
        <v>1317</v>
      </c>
      <c r="G477" s="28">
        <v>0.02</v>
      </c>
      <c r="H477" s="28">
        <f>G477/E477</f>
        <v>0.005</v>
      </c>
      <c r="I477" s="16" t="s">
        <v>632</v>
      </c>
      <c r="J477" s="29">
        <v>0.3</v>
      </c>
      <c r="K477" s="58">
        <f>J477*H477</f>
        <v>0.0015</v>
      </c>
      <c r="L477" s="30">
        <f>H477*DEMANDA!$B$9</f>
        <v>0.655</v>
      </c>
      <c r="M477" s="29">
        <f>L477*J477</f>
        <v>0.1965</v>
      </c>
    </row>
    <row r="478" spans="1:13" ht="15.75" customHeight="1" outlineLevel="2">
      <c r="A478" s="25">
        <v>9</v>
      </c>
      <c r="B478" s="26" t="s">
        <v>930</v>
      </c>
      <c r="C478" s="17" t="s">
        <v>521</v>
      </c>
      <c r="D478" s="26" t="s">
        <v>968</v>
      </c>
      <c r="E478" s="27">
        <v>4</v>
      </c>
      <c r="F478" s="26" t="s">
        <v>1317</v>
      </c>
      <c r="G478" s="28">
        <v>0.02</v>
      </c>
      <c r="H478" s="28">
        <f>G478/E478</f>
        <v>0.005</v>
      </c>
      <c r="I478" s="16" t="s">
        <v>632</v>
      </c>
      <c r="J478" s="29">
        <v>0.3</v>
      </c>
      <c r="K478" s="58">
        <f>J478*H478</f>
        <v>0.0015</v>
      </c>
      <c r="L478" s="30">
        <f>H478*DEMANDA!$B$9</f>
        <v>0.655</v>
      </c>
      <c r="M478" s="29">
        <f>L478*J478</f>
        <v>0.1965</v>
      </c>
    </row>
    <row r="479" spans="1:13" ht="15.75" customHeight="1" outlineLevel="2">
      <c r="A479" s="25">
        <v>20</v>
      </c>
      <c r="B479" s="26" t="s">
        <v>794</v>
      </c>
      <c r="C479" s="17" t="s">
        <v>521</v>
      </c>
      <c r="D479" s="26" t="s">
        <v>970</v>
      </c>
      <c r="E479" s="27">
        <v>6</v>
      </c>
      <c r="F479" s="26" t="s">
        <v>1317</v>
      </c>
      <c r="G479" s="28">
        <v>0.005</v>
      </c>
      <c r="H479" s="28">
        <f>G479/E479</f>
        <v>0.0008333333333333334</v>
      </c>
      <c r="I479" s="16" t="s">
        <v>632</v>
      </c>
      <c r="J479" s="29">
        <v>0.3</v>
      </c>
      <c r="K479" s="58">
        <f>J479*H479</f>
        <v>0.00025</v>
      </c>
      <c r="L479" s="30">
        <f>H479*DEMANDA!$B$9</f>
        <v>0.10916666666666668</v>
      </c>
      <c r="M479" s="29">
        <f>L479*J479</f>
        <v>0.03275</v>
      </c>
    </row>
    <row r="480" spans="1:13" ht="15.75" customHeight="1" outlineLevel="2">
      <c r="A480" s="25">
        <v>27</v>
      </c>
      <c r="B480" s="26" t="s">
        <v>930</v>
      </c>
      <c r="C480" s="17" t="s">
        <v>510</v>
      </c>
      <c r="D480" s="26" t="s">
        <v>968</v>
      </c>
      <c r="E480" s="27">
        <v>4</v>
      </c>
      <c r="F480" s="26" t="s">
        <v>1317</v>
      </c>
      <c r="G480" s="28">
        <v>0.02</v>
      </c>
      <c r="H480" s="28">
        <f>G480/E480</f>
        <v>0.005</v>
      </c>
      <c r="I480" s="16" t="s">
        <v>632</v>
      </c>
      <c r="J480" s="29">
        <v>0.3</v>
      </c>
      <c r="K480" s="58">
        <f>J480*H480</f>
        <v>0.0015</v>
      </c>
      <c r="L480" s="30">
        <f>H480*DEMANDA!$B$9</f>
        <v>0.655</v>
      </c>
      <c r="M480" s="29">
        <f>L480*J480</f>
        <v>0.1965</v>
      </c>
    </row>
    <row r="481" spans="1:13" ht="15.75" customHeight="1" outlineLevel="1">
      <c r="A481" s="25"/>
      <c r="B481" s="26"/>
      <c r="C481" s="17"/>
      <c r="D481" s="26"/>
      <c r="E481" s="27"/>
      <c r="F481" s="52" t="s">
        <v>22</v>
      </c>
      <c r="G481" s="28"/>
      <c r="H481" s="28"/>
      <c r="I481" s="16"/>
      <c r="J481" s="29"/>
      <c r="K481" s="58">
        <f>SUBTOTAL(9,K476:K480)</f>
        <v>0.0055</v>
      </c>
      <c r="L481" s="30"/>
      <c r="M481" s="29"/>
    </row>
    <row r="482" spans="1:13" ht="15.75" customHeight="1" outlineLevel="2">
      <c r="A482" s="25">
        <v>24</v>
      </c>
      <c r="B482" s="26" t="s">
        <v>547</v>
      </c>
      <c r="C482" s="17" t="s">
        <v>514</v>
      </c>
      <c r="D482" s="26" t="s">
        <v>972</v>
      </c>
      <c r="E482" s="27">
        <v>4</v>
      </c>
      <c r="F482" s="26" t="s">
        <v>1318</v>
      </c>
      <c r="G482" s="28">
        <v>0.12</v>
      </c>
      <c r="H482" s="28">
        <f>G482/E482</f>
        <v>0.03</v>
      </c>
      <c r="I482" s="16" t="s">
        <v>555</v>
      </c>
      <c r="J482" s="29">
        <v>3.73</v>
      </c>
      <c r="K482" s="58">
        <f>J482*H482</f>
        <v>0.1119</v>
      </c>
      <c r="L482" s="30">
        <f>H482*DEMANDA!$B$9</f>
        <v>3.9299999999999997</v>
      </c>
      <c r="M482" s="29">
        <f>L482*J482</f>
        <v>14.6589</v>
      </c>
    </row>
    <row r="483" spans="1:13" ht="15.75" customHeight="1" outlineLevel="1">
      <c r="A483" s="25"/>
      <c r="B483" s="26"/>
      <c r="C483" s="17"/>
      <c r="D483" s="26"/>
      <c r="E483" s="27"/>
      <c r="F483" s="52" t="s">
        <v>23</v>
      </c>
      <c r="G483" s="28"/>
      <c r="H483" s="28"/>
      <c r="I483" s="16"/>
      <c r="J483" s="29"/>
      <c r="K483" s="58">
        <f>SUBTOTAL(9,K482:K482)</f>
        <v>0.1119</v>
      </c>
      <c r="L483" s="30"/>
      <c r="M483" s="29"/>
    </row>
    <row r="484" spans="1:13" ht="15.75" customHeight="1" outlineLevel="2">
      <c r="A484" s="25">
        <v>8</v>
      </c>
      <c r="B484" s="26" t="s">
        <v>685</v>
      </c>
      <c r="C484" s="17" t="s">
        <v>521</v>
      </c>
      <c r="D484" s="26" t="s">
        <v>973</v>
      </c>
      <c r="E484" s="27">
        <v>4</v>
      </c>
      <c r="F484" s="26" t="s">
        <v>1395</v>
      </c>
      <c r="G484" s="28">
        <v>0.12</v>
      </c>
      <c r="H484" s="28">
        <f>G484/E484</f>
        <v>0.03</v>
      </c>
      <c r="I484" s="16" t="s">
        <v>555</v>
      </c>
      <c r="J484" s="29">
        <v>3.73</v>
      </c>
      <c r="K484" s="58">
        <f>J484*H484</f>
        <v>0.1119</v>
      </c>
      <c r="L484" s="30">
        <f>H484*DEMANDA!$B$9</f>
        <v>3.9299999999999997</v>
      </c>
      <c r="M484" s="29">
        <f>L484*J484</f>
        <v>14.6589</v>
      </c>
    </row>
    <row r="485" spans="1:13" ht="15.75" customHeight="1" outlineLevel="2">
      <c r="A485" s="25">
        <v>21</v>
      </c>
      <c r="B485" s="26" t="s">
        <v>797</v>
      </c>
      <c r="C485" s="17" t="s">
        <v>521</v>
      </c>
      <c r="D485" s="26" t="s">
        <v>974</v>
      </c>
      <c r="E485" s="27">
        <v>4</v>
      </c>
      <c r="F485" s="26" t="s">
        <v>1395</v>
      </c>
      <c r="G485" s="28">
        <v>0.175</v>
      </c>
      <c r="H485" s="28">
        <f>G485/E485</f>
        <v>0.04375</v>
      </c>
      <c r="I485" s="16" t="s">
        <v>555</v>
      </c>
      <c r="J485" s="29">
        <v>3.73</v>
      </c>
      <c r="K485" s="58">
        <f>J485*H485</f>
        <v>0.16318749999999999</v>
      </c>
      <c r="L485" s="30">
        <f>H485*DEMANDA!$B$9</f>
        <v>5.731249999999999</v>
      </c>
      <c r="M485" s="29">
        <f>L485*J485</f>
        <v>21.377562499999996</v>
      </c>
    </row>
    <row r="486" spans="1:13" ht="15.75" customHeight="1" outlineLevel="1">
      <c r="A486" s="25"/>
      <c r="B486" s="26"/>
      <c r="C486" s="17"/>
      <c r="D486" s="26"/>
      <c r="E486" s="27"/>
      <c r="F486" s="52" t="s">
        <v>24</v>
      </c>
      <c r="G486" s="28"/>
      <c r="H486" s="28"/>
      <c r="I486" s="16"/>
      <c r="J486" s="29"/>
      <c r="K486" s="58">
        <f>SUBTOTAL(9,K484:K485)</f>
        <v>0.2750875</v>
      </c>
      <c r="L486" s="30"/>
      <c r="M486" s="29"/>
    </row>
    <row r="487" spans="1:13" ht="15.75" customHeight="1" outlineLevel="2">
      <c r="A487" s="25">
        <v>7</v>
      </c>
      <c r="B487" s="26" t="s">
        <v>563</v>
      </c>
      <c r="C487" s="17" t="s">
        <v>514</v>
      </c>
      <c r="D487" s="26" t="s">
        <v>976</v>
      </c>
      <c r="E487" s="27">
        <v>4</v>
      </c>
      <c r="F487" s="26" t="s">
        <v>1319</v>
      </c>
      <c r="G487" s="28">
        <v>0.05</v>
      </c>
      <c r="H487" s="28">
        <f aca="true" t="shared" si="60" ref="H487:H494">G487/E487</f>
        <v>0.0125</v>
      </c>
      <c r="I487" s="16" t="s">
        <v>555</v>
      </c>
      <c r="J487" s="29">
        <v>10.5</v>
      </c>
      <c r="K487" s="58">
        <f aca="true" t="shared" si="61" ref="K487:K494">J487*H487</f>
        <v>0.13125</v>
      </c>
      <c r="L487" s="30">
        <f>H487*DEMANDA!$B$9</f>
        <v>1.6375000000000002</v>
      </c>
      <c r="M487" s="29">
        <f aca="true" t="shared" si="62" ref="M487:M494">L487*J487</f>
        <v>17.19375</v>
      </c>
    </row>
    <row r="488" spans="1:13" ht="15.75" customHeight="1" outlineLevel="2">
      <c r="A488" s="25">
        <v>20</v>
      </c>
      <c r="B488" s="26" t="s">
        <v>600</v>
      </c>
      <c r="C488" s="17" t="s">
        <v>510</v>
      </c>
      <c r="D488" s="26" t="s">
        <v>978</v>
      </c>
      <c r="E488" s="27">
        <v>6</v>
      </c>
      <c r="F488" s="26" t="s">
        <v>1319</v>
      </c>
      <c r="G488" s="28">
        <v>0.0125</v>
      </c>
      <c r="H488" s="28">
        <f t="shared" si="60"/>
        <v>0.0020833333333333333</v>
      </c>
      <c r="I488" s="16" t="s">
        <v>555</v>
      </c>
      <c r="J488" s="29">
        <v>10.5</v>
      </c>
      <c r="K488" s="58">
        <f t="shared" si="61"/>
        <v>0.021875</v>
      </c>
      <c r="L488" s="30">
        <f>H488*DEMANDA!$B$9</f>
        <v>0.27291666666666664</v>
      </c>
      <c r="M488" s="29">
        <f t="shared" si="62"/>
        <v>2.8656249999999996</v>
      </c>
    </row>
    <row r="489" spans="1:13" ht="15.75" customHeight="1" outlineLevel="2">
      <c r="A489" s="25">
        <v>26</v>
      </c>
      <c r="B489" s="26" t="s">
        <v>692</v>
      </c>
      <c r="C489" s="17" t="s">
        <v>521</v>
      </c>
      <c r="D489" s="16" t="s">
        <v>980</v>
      </c>
      <c r="E489" s="27">
        <v>4</v>
      </c>
      <c r="F489" s="26" t="s">
        <v>1319</v>
      </c>
      <c r="G489" s="28">
        <v>0.025</v>
      </c>
      <c r="H489" s="28">
        <f t="shared" si="60"/>
        <v>0.00625</v>
      </c>
      <c r="I489" s="16" t="s">
        <v>555</v>
      </c>
      <c r="J489" s="29">
        <v>10.5</v>
      </c>
      <c r="K489" s="58">
        <f t="shared" si="61"/>
        <v>0.065625</v>
      </c>
      <c r="L489" s="30">
        <f>H489*DEMANDA!$B$9</f>
        <v>0.8187500000000001</v>
      </c>
      <c r="M489" s="29">
        <f t="shared" si="62"/>
        <v>8.596875</v>
      </c>
    </row>
    <row r="490" spans="1:13" ht="15.75" customHeight="1" outlineLevel="2">
      <c r="A490" s="25">
        <v>13</v>
      </c>
      <c r="B490" s="26" t="s">
        <v>819</v>
      </c>
      <c r="C490" s="17" t="s">
        <v>521</v>
      </c>
      <c r="D490" s="26" t="s">
        <v>977</v>
      </c>
      <c r="E490" s="27">
        <v>4</v>
      </c>
      <c r="F490" s="26" t="s">
        <v>1319</v>
      </c>
      <c r="G490" s="28">
        <v>0.1</v>
      </c>
      <c r="H490" s="28">
        <f t="shared" si="60"/>
        <v>0.025</v>
      </c>
      <c r="I490" s="16" t="s">
        <v>555</v>
      </c>
      <c r="J490" s="29">
        <v>10.5</v>
      </c>
      <c r="K490" s="58">
        <f t="shared" si="61"/>
        <v>0.2625</v>
      </c>
      <c r="L490" s="30">
        <f>H490*DEMANDA!$B$9</f>
        <v>3.2750000000000004</v>
      </c>
      <c r="M490" s="29">
        <f t="shared" si="62"/>
        <v>34.3875</v>
      </c>
    </row>
    <row r="491" spans="1:13" ht="15.75" customHeight="1" outlineLevel="2">
      <c r="A491" s="25">
        <v>9</v>
      </c>
      <c r="B491" s="26" t="s">
        <v>930</v>
      </c>
      <c r="C491" s="17" t="s">
        <v>521</v>
      </c>
      <c r="D491" s="26" t="s">
        <v>975</v>
      </c>
      <c r="E491" s="27">
        <v>4</v>
      </c>
      <c r="F491" s="26" t="s">
        <v>1319</v>
      </c>
      <c r="G491" s="28">
        <v>0.05</v>
      </c>
      <c r="H491" s="28">
        <f t="shared" si="60"/>
        <v>0.0125</v>
      </c>
      <c r="I491" s="16" t="s">
        <v>555</v>
      </c>
      <c r="J491" s="29">
        <v>10.5</v>
      </c>
      <c r="K491" s="58">
        <f t="shared" si="61"/>
        <v>0.13125</v>
      </c>
      <c r="L491" s="30">
        <f>H491*DEMANDA!$B$9</f>
        <v>1.6375000000000002</v>
      </c>
      <c r="M491" s="29">
        <f t="shared" si="62"/>
        <v>17.19375</v>
      </c>
    </row>
    <row r="492" spans="1:13" ht="15.75" customHeight="1" outlineLevel="2">
      <c r="A492" s="25">
        <v>20</v>
      </c>
      <c r="B492" s="26" t="s">
        <v>794</v>
      </c>
      <c r="C492" s="17" t="s">
        <v>521</v>
      </c>
      <c r="D492" s="26" t="s">
        <v>979</v>
      </c>
      <c r="E492" s="27">
        <v>6</v>
      </c>
      <c r="F492" s="26" t="s">
        <v>1319</v>
      </c>
      <c r="G492" s="28">
        <v>0.05</v>
      </c>
      <c r="H492" s="28">
        <f t="shared" si="60"/>
        <v>0.008333333333333333</v>
      </c>
      <c r="I492" s="16" t="s">
        <v>555</v>
      </c>
      <c r="J492" s="29">
        <v>10.5</v>
      </c>
      <c r="K492" s="58">
        <f t="shared" si="61"/>
        <v>0.0875</v>
      </c>
      <c r="L492" s="30">
        <f>H492*DEMANDA!$B$9</f>
        <v>1.0916666666666666</v>
      </c>
      <c r="M492" s="29">
        <f t="shared" si="62"/>
        <v>11.462499999999999</v>
      </c>
    </row>
    <row r="493" spans="1:13" ht="15.75" customHeight="1" outlineLevel="2">
      <c r="A493" s="25">
        <v>2</v>
      </c>
      <c r="B493" s="26" t="s">
        <v>520</v>
      </c>
      <c r="C493" s="17" t="s">
        <v>521</v>
      </c>
      <c r="D493" s="26" t="s">
        <v>975</v>
      </c>
      <c r="E493" s="27">
        <v>4</v>
      </c>
      <c r="F493" s="26" t="s">
        <v>1319</v>
      </c>
      <c r="G493" s="28">
        <v>0.05</v>
      </c>
      <c r="H493" s="28">
        <f t="shared" si="60"/>
        <v>0.0125</v>
      </c>
      <c r="I493" s="16" t="s">
        <v>555</v>
      </c>
      <c r="J493" s="29">
        <v>10.5</v>
      </c>
      <c r="K493" s="58">
        <f t="shared" si="61"/>
        <v>0.13125</v>
      </c>
      <c r="L493" s="30">
        <f>H493*DEMANDA!$B$9</f>
        <v>1.6375000000000002</v>
      </c>
      <c r="M493" s="29">
        <f t="shared" si="62"/>
        <v>17.19375</v>
      </c>
    </row>
    <row r="494" spans="1:13" ht="15.75" customHeight="1" outlineLevel="2">
      <c r="A494" s="25">
        <v>27</v>
      </c>
      <c r="B494" s="26" t="s">
        <v>930</v>
      </c>
      <c r="C494" s="17" t="s">
        <v>510</v>
      </c>
      <c r="D494" s="26" t="s">
        <v>975</v>
      </c>
      <c r="E494" s="27">
        <v>4</v>
      </c>
      <c r="F494" s="26" t="s">
        <v>1319</v>
      </c>
      <c r="G494" s="28">
        <v>0.05</v>
      </c>
      <c r="H494" s="28">
        <f t="shared" si="60"/>
        <v>0.0125</v>
      </c>
      <c r="I494" s="16" t="s">
        <v>555</v>
      </c>
      <c r="J494" s="29">
        <v>10.5</v>
      </c>
      <c r="K494" s="58">
        <f t="shared" si="61"/>
        <v>0.13125</v>
      </c>
      <c r="L494" s="30">
        <f>H494*DEMANDA!$B$9</f>
        <v>1.6375000000000002</v>
      </c>
      <c r="M494" s="29">
        <f t="shared" si="62"/>
        <v>17.19375</v>
      </c>
    </row>
    <row r="495" spans="1:13" ht="15.75" customHeight="1" outlineLevel="1">
      <c r="A495" s="25"/>
      <c r="B495" s="26"/>
      <c r="C495" s="17"/>
      <c r="D495" s="26"/>
      <c r="E495" s="27"/>
      <c r="F495" s="52" t="s">
        <v>25</v>
      </c>
      <c r="G495" s="28"/>
      <c r="H495" s="28"/>
      <c r="I495" s="16"/>
      <c r="J495" s="29"/>
      <c r="K495" s="58">
        <f>SUBTOTAL(9,K487:K494)</f>
        <v>0.9625</v>
      </c>
      <c r="L495" s="30"/>
      <c r="M495" s="29"/>
    </row>
    <row r="496" spans="1:13" ht="15.75" customHeight="1" outlineLevel="2">
      <c r="A496" s="25">
        <v>25</v>
      </c>
      <c r="B496" s="26" t="s">
        <v>690</v>
      </c>
      <c r="C496" s="17" t="s">
        <v>521</v>
      </c>
      <c r="D496" s="26" t="s">
        <v>981</v>
      </c>
      <c r="E496" s="27">
        <v>4</v>
      </c>
      <c r="F496" s="26" t="s">
        <v>1320</v>
      </c>
      <c r="G496" s="28">
        <v>0.075</v>
      </c>
      <c r="H496" s="28">
        <f>G496/E496</f>
        <v>0.01875</v>
      </c>
      <c r="I496" s="16" t="s">
        <v>555</v>
      </c>
      <c r="J496" s="29">
        <v>5.6</v>
      </c>
      <c r="K496" s="58">
        <f>J496*H496</f>
        <v>0.105</v>
      </c>
      <c r="L496" s="30">
        <f>H496*DEMANDA!$B$9</f>
        <v>2.45625</v>
      </c>
      <c r="M496" s="29">
        <f>L496*J496</f>
        <v>13.754999999999999</v>
      </c>
    </row>
    <row r="497" spans="1:13" ht="15.75" customHeight="1" outlineLevel="1">
      <c r="A497" s="25"/>
      <c r="B497" s="26"/>
      <c r="C497" s="17"/>
      <c r="D497" s="26"/>
      <c r="E497" s="27"/>
      <c r="F497" s="52" t="s">
        <v>26</v>
      </c>
      <c r="G497" s="28"/>
      <c r="H497" s="28"/>
      <c r="I497" s="16"/>
      <c r="J497" s="29"/>
      <c r="K497" s="58">
        <f>SUBTOTAL(9,K496:K496)</f>
        <v>0.105</v>
      </c>
      <c r="L497" s="30"/>
      <c r="M497" s="29"/>
    </row>
    <row r="498" spans="1:13" ht="15.75" customHeight="1" outlineLevel="2">
      <c r="A498" s="25">
        <v>19</v>
      </c>
      <c r="B498" s="26" t="s">
        <v>651</v>
      </c>
      <c r="C498" s="17" t="s">
        <v>510</v>
      </c>
      <c r="D498" s="26" t="s">
        <v>982</v>
      </c>
      <c r="E498" s="27">
        <v>4</v>
      </c>
      <c r="F498" s="26" t="s">
        <v>1321</v>
      </c>
      <c r="G498" s="28">
        <v>0.03</v>
      </c>
      <c r="H498" s="28">
        <f>G498/E498</f>
        <v>0.0075</v>
      </c>
      <c r="I498" s="16" t="s">
        <v>555</v>
      </c>
      <c r="J498" s="29">
        <v>3.36</v>
      </c>
      <c r="K498" s="58">
        <f>J498*H498</f>
        <v>0.025199999999999997</v>
      </c>
      <c r="L498" s="30">
        <f>H498*DEMANDA!$B$9</f>
        <v>0.9824999999999999</v>
      </c>
      <c r="M498" s="29">
        <f>L498*J498</f>
        <v>3.3011999999999997</v>
      </c>
    </row>
    <row r="499" spans="1:13" ht="15.75" customHeight="1" outlineLevel="2">
      <c r="A499" s="25">
        <v>5</v>
      </c>
      <c r="B499" s="26" t="s">
        <v>559</v>
      </c>
      <c r="C499" s="17" t="s">
        <v>510</v>
      </c>
      <c r="D499" s="26" t="s">
        <v>983</v>
      </c>
      <c r="E499" s="27">
        <v>4</v>
      </c>
      <c r="F499" s="26" t="s">
        <v>1321</v>
      </c>
      <c r="G499" s="28">
        <v>0.03</v>
      </c>
      <c r="H499" s="28">
        <f>G499/E499</f>
        <v>0.0075</v>
      </c>
      <c r="I499" s="16" t="s">
        <v>555</v>
      </c>
      <c r="J499" s="29">
        <v>10.09</v>
      </c>
      <c r="K499" s="58">
        <f>J499*H499</f>
        <v>0.07567499999999999</v>
      </c>
      <c r="L499" s="30">
        <f>H499*DEMANDA!$B$9</f>
        <v>0.9824999999999999</v>
      </c>
      <c r="M499" s="29">
        <f>L499*J499</f>
        <v>9.913424999999998</v>
      </c>
    </row>
    <row r="500" spans="1:13" ht="15.75" customHeight="1" outlineLevel="2">
      <c r="A500" s="25">
        <v>14</v>
      </c>
      <c r="B500" s="26" t="s">
        <v>755</v>
      </c>
      <c r="C500" s="17" t="s">
        <v>514</v>
      </c>
      <c r="D500" s="26" t="s">
        <v>1384</v>
      </c>
      <c r="E500" s="27">
        <v>4</v>
      </c>
      <c r="F500" s="26" t="s">
        <v>1321</v>
      </c>
      <c r="G500" s="28">
        <v>0.03</v>
      </c>
      <c r="H500" s="28">
        <f>G500/E500</f>
        <v>0.0075</v>
      </c>
      <c r="I500" s="16" t="s">
        <v>555</v>
      </c>
      <c r="J500" s="29">
        <v>10.09</v>
      </c>
      <c r="K500" s="58">
        <f>J500*H500</f>
        <v>0.07567499999999999</v>
      </c>
      <c r="L500" s="30">
        <f>H500*DEMANDA!$B$9</f>
        <v>0.9824999999999999</v>
      </c>
      <c r="M500" s="29">
        <f>L500*J500</f>
        <v>9.913424999999998</v>
      </c>
    </row>
    <row r="501" spans="1:13" ht="15.75" customHeight="1" outlineLevel="2">
      <c r="A501" s="25">
        <v>18</v>
      </c>
      <c r="B501" s="26" t="s">
        <v>626</v>
      </c>
      <c r="C501" s="17" t="s">
        <v>514</v>
      </c>
      <c r="D501" s="26" t="s">
        <v>984</v>
      </c>
      <c r="E501" s="27">
        <v>4</v>
      </c>
      <c r="F501" s="26" t="s">
        <v>1321</v>
      </c>
      <c r="G501" s="28">
        <v>0.03</v>
      </c>
      <c r="H501" s="28">
        <f>G501/E501</f>
        <v>0.0075</v>
      </c>
      <c r="I501" s="16" t="s">
        <v>555</v>
      </c>
      <c r="J501" s="29">
        <v>10.09</v>
      </c>
      <c r="K501" s="58">
        <f>J501*H501</f>
        <v>0.07567499999999999</v>
      </c>
      <c r="L501" s="30">
        <f>H501*DEMANDA!$B$9</f>
        <v>0.9824999999999999</v>
      </c>
      <c r="M501" s="29">
        <f>L501*J501</f>
        <v>9.913424999999998</v>
      </c>
    </row>
    <row r="502" spans="1:13" ht="15.75" customHeight="1" outlineLevel="2">
      <c r="A502" s="25">
        <v>21</v>
      </c>
      <c r="B502" s="26" t="s">
        <v>515</v>
      </c>
      <c r="C502" s="17" t="s">
        <v>514</v>
      </c>
      <c r="D502" s="26" t="s">
        <v>985</v>
      </c>
      <c r="E502" s="27">
        <v>4</v>
      </c>
      <c r="F502" s="26" t="s">
        <v>1321</v>
      </c>
      <c r="G502" s="28">
        <v>0.03</v>
      </c>
      <c r="H502" s="28">
        <f>G502/E502</f>
        <v>0.0075</v>
      </c>
      <c r="I502" s="16" t="s">
        <v>555</v>
      </c>
      <c r="J502" s="29">
        <v>10.09</v>
      </c>
      <c r="K502" s="58">
        <f>J502*H502</f>
        <v>0.07567499999999999</v>
      </c>
      <c r="L502" s="30">
        <f>H502*DEMANDA!$B$9</f>
        <v>0.9824999999999999</v>
      </c>
      <c r="M502" s="29">
        <f>L502*J502</f>
        <v>9.913424999999998</v>
      </c>
    </row>
    <row r="503" spans="1:13" ht="15.75" customHeight="1" outlineLevel="1">
      <c r="A503" s="25"/>
      <c r="B503" s="26"/>
      <c r="C503" s="17"/>
      <c r="D503" s="26"/>
      <c r="E503" s="27"/>
      <c r="F503" s="52" t="s">
        <v>27</v>
      </c>
      <c r="G503" s="28"/>
      <c r="H503" s="28"/>
      <c r="I503" s="16"/>
      <c r="J503" s="29"/>
      <c r="K503" s="58">
        <f>SUBTOTAL(9,K498:K502)</f>
        <v>0.32789999999999997</v>
      </c>
      <c r="L503" s="30"/>
      <c r="M503" s="29"/>
    </row>
    <row r="504" spans="1:13" ht="15.75" customHeight="1" outlineLevel="2">
      <c r="A504" s="25">
        <v>13</v>
      </c>
      <c r="B504" s="26" t="s">
        <v>775</v>
      </c>
      <c r="C504" s="17" t="s">
        <v>510</v>
      </c>
      <c r="D504" s="26" t="s">
        <v>986</v>
      </c>
      <c r="E504" s="27">
        <v>4</v>
      </c>
      <c r="F504" s="26" t="s">
        <v>1322</v>
      </c>
      <c r="G504" s="28">
        <v>0.13</v>
      </c>
      <c r="H504" s="28">
        <f>G504/E504</f>
        <v>0.0325</v>
      </c>
      <c r="I504" s="16" t="s">
        <v>555</v>
      </c>
      <c r="J504" s="29">
        <v>1.28</v>
      </c>
      <c r="K504" s="58">
        <f>J504*H504</f>
        <v>0.041600000000000005</v>
      </c>
      <c r="L504" s="30">
        <f>H504*DEMANDA!$B$9</f>
        <v>4.2575</v>
      </c>
      <c r="M504" s="29">
        <f>L504*J504</f>
        <v>5.4496</v>
      </c>
    </row>
    <row r="505" spans="1:13" ht="15.75" customHeight="1" outlineLevel="2">
      <c r="A505" s="25">
        <v>13</v>
      </c>
      <c r="B505" s="26" t="s">
        <v>775</v>
      </c>
      <c r="C505" s="17" t="s">
        <v>510</v>
      </c>
      <c r="D505" s="26" t="s">
        <v>987</v>
      </c>
      <c r="E505" s="27">
        <v>4</v>
      </c>
      <c r="F505" s="26" t="s">
        <v>1322</v>
      </c>
      <c r="G505" s="28">
        <v>0.26</v>
      </c>
      <c r="H505" s="28">
        <f>G505/E505</f>
        <v>0.065</v>
      </c>
      <c r="I505" s="16" t="s">
        <v>555</v>
      </c>
      <c r="J505" s="29">
        <v>1.28</v>
      </c>
      <c r="K505" s="58">
        <f>J505*H505</f>
        <v>0.08320000000000001</v>
      </c>
      <c r="L505" s="30">
        <f>H505*DEMANDA!$B$9</f>
        <v>8.515</v>
      </c>
      <c r="M505" s="29">
        <f>L505*J505</f>
        <v>10.8992</v>
      </c>
    </row>
    <row r="506" spans="1:13" ht="15.75" customHeight="1" outlineLevel="2">
      <c r="A506" s="25">
        <v>22</v>
      </c>
      <c r="B506" s="26" t="s">
        <v>688</v>
      </c>
      <c r="C506" s="17" t="s">
        <v>521</v>
      </c>
      <c r="D506" s="16" t="s">
        <v>988</v>
      </c>
      <c r="E506" s="27">
        <v>2</v>
      </c>
      <c r="F506" s="26" t="s">
        <v>1322</v>
      </c>
      <c r="G506" s="28">
        <v>0.13</v>
      </c>
      <c r="H506" s="28">
        <f>G506/E506</f>
        <v>0.065</v>
      </c>
      <c r="I506" s="16" t="s">
        <v>555</v>
      </c>
      <c r="J506" s="29">
        <v>1.28</v>
      </c>
      <c r="K506" s="58">
        <f>J506*H506</f>
        <v>0.08320000000000001</v>
      </c>
      <c r="L506" s="30">
        <f>H506*DEMANDA!$B$9</f>
        <v>8.515</v>
      </c>
      <c r="M506" s="29">
        <f>L506*J506</f>
        <v>10.8992</v>
      </c>
    </row>
    <row r="507" spans="1:13" ht="15.75" customHeight="1" outlineLevel="2">
      <c r="A507" s="25">
        <v>26</v>
      </c>
      <c r="B507" s="26" t="s">
        <v>692</v>
      </c>
      <c r="C507" s="17" t="s">
        <v>521</v>
      </c>
      <c r="D507" s="16" t="s">
        <v>990</v>
      </c>
      <c r="E507" s="27">
        <v>4</v>
      </c>
      <c r="F507" s="26" t="s">
        <v>1322</v>
      </c>
      <c r="G507" s="28">
        <v>0.065</v>
      </c>
      <c r="H507" s="28">
        <f>G507/E507</f>
        <v>0.01625</v>
      </c>
      <c r="I507" s="16" t="s">
        <v>555</v>
      </c>
      <c r="J507" s="29">
        <v>1.28</v>
      </c>
      <c r="K507" s="58">
        <f>J507*H507</f>
        <v>0.020800000000000003</v>
      </c>
      <c r="L507" s="30">
        <f>H507*DEMANDA!$B$9</f>
        <v>2.12875</v>
      </c>
      <c r="M507" s="29">
        <f>L507*J507</f>
        <v>2.7248</v>
      </c>
    </row>
    <row r="508" spans="1:13" ht="15.75" customHeight="1" outlineLevel="2">
      <c r="A508" s="25">
        <v>26</v>
      </c>
      <c r="B508" s="26" t="s">
        <v>791</v>
      </c>
      <c r="C508" s="17" t="s">
        <v>514</v>
      </c>
      <c r="D508" s="26" t="s">
        <v>989</v>
      </c>
      <c r="E508" s="27">
        <v>4</v>
      </c>
      <c r="F508" s="26" t="s">
        <v>1322</v>
      </c>
      <c r="G508" s="28">
        <v>0.089</v>
      </c>
      <c r="H508" s="28">
        <f>G508/E508</f>
        <v>0.02225</v>
      </c>
      <c r="I508" s="16" t="s">
        <v>555</v>
      </c>
      <c r="J508" s="29">
        <v>1.28</v>
      </c>
      <c r="K508" s="58">
        <f>J508*H508</f>
        <v>0.02848</v>
      </c>
      <c r="L508" s="30">
        <f>H508*DEMANDA!$B$9</f>
        <v>2.9147499999999997</v>
      </c>
      <c r="M508" s="29">
        <f>L508*J508</f>
        <v>3.7308799999999995</v>
      </c>
    </row>
    <row r="509" spans="1:13" ht="15.75" customHeight="1" outlineLevel="1">
      <c r="A509" s="25"/>
      <c r="B509" s="26"/>
      <c r="C509" s="17"/>
      <c r="D509" s="26"/>
      <c r="E509" s="27"/>
      <c r="F509" s="52" t="s">
        <v>28</v>
      </c>
      <c r="G509" s="28"/>
      <c r="H509" s="28"/>
      <c r="I509" s="16"/>
      <c r="J509" s="29"/>
      <c r="K509" s="58">
        <f>SUBTOTAL(9,K504:K508)</f>
        <v>0.25728</v>
      </c>
      <c r="L509" s="30"/>
      <c r="M509" s="29"/>
    </row>
    <row r="510" spans="1:13" ht="15.75" customHeight="1" outlineLevel="2">
      <c r="A510" s="25">
        <v>24</v>
      </c>
      <c r="B510" s="26" t="s">
        <v>668</v>
      </c>
      <c r="C510" s="17" t="s">
        <v>510</v>
      </c>
      <c r="D510" s="26" t="s">
        <v>991</v>
      </c>
      <c r="E510" s="27">
        <v>10</v>
      </c>
      <c r="F510" s="26" t="s">
        <v>1323</v>
      </c>
      <c r="G510" s="28">
        <v>0.125</v>
      </c>
      <c r="H510" s="28">
        <f>G510/E510</f>
        <v>0.0125</v>
      </c>
      <c r="I510" s="16" t="s">
        <v>555</v>
      </c>
      <c r="J510" s="29">
        <v>25</v>
      </c>
      <c r="K510" s="58">
        <f>J510*H510</f>
        <v>0.3125</v>
      </c>
      <c r="L510" s="30">
        <f>H510*DEMANDA!$B$9</f>
        <v>1.6375000000000002</v>
      </c>
      <c r="M510" s="29">
        <f>L510*J510</f>
        <v>40.93750000000001</v>
      </c>
    </row>
    <row r="511" spans="1:13" ht="15.75" customHeight="1" outlineLevel="1">
      <c r="A511" s="25"/>
      <c r="B511" s="26"/>
      <c r="C511" s="17"/>
      <c r="D511" s="26"/>
      <c r="E511" s="27"/>
      <c r="F511" s="52" t="s">
        <v>29</v>
      </c>
      <c r="G511" s="28"/>
      <c r="H511" s="28"/>
      <c r="I511" s="16"/>
      <c r="J511" s="29"/>
      <c r="K511" s="58">
        <f>SUBTOTAL(9,K510:K510)</f>
        <v>0.3125</v>
      </c>
      <c r="L511" s="30"/>
      <c r="M511" s="29"/>
    </row>
    <row r="512" spans="1:13" ht="15.75" customHeight="1" outlineLevel="2">
      <c r="A512" s="25">
        <v>5</v>
      </c>
      <c r="B512" s="26" t="s">
        <v>559</v>
      </c>
      <c r="C512" s="17" t="s">
        <v>510</v>
      </c>
      <c r="D512" s="26" t="s">
        <v>992</v>
      </c>
      <c r="E512" s="27">
        <v>4</v>
      </c>
      <c r="F512" s="26" t="s">
        <v>1324</v>
      </c>
      <c r="G512" s="28">
        <v>0.0025</v>
      </c>
      <c r="H512" s="28">
        <f>G512/E512</f>
        <v>0.000625</v>
      </c>
      <c r="I512" s="16" t="s">
        <v>555</v>
      </c>
      <c r="J512" s="29">
        <v>6.4</v>
      </c>
      <c r="K512" s="58">
        <f>J512*H512</f>
        <v>0.004</v>
      </c>
      <c r="L512" s="30">
        <f>H512*DEMANDA!$B$9</f>
        <v>0.081875</v>
      </c>
      <c r="M512" s="29">
        <f>L512*J512</f>
        <v>0.524</v>
      </c>
    </row>
    <row r="513" spans="1:13" ht="15.75" customHeight="1" outlineLevel="1">
      <c r="A513" s="25"/>
      <c r="B513" s="26"/>
      <c r="C513" s="17"/>
      <c r="D513" s="26"/>
      <c r="E513" s="27"/>
      <c r="F513" s="52" t="s">
        <v>30</v>
      </c>
      <c r="G513" s="28"/>
      <c r="H513" s="28"/>
      <c r="I513" s="16"/>
      <c r="J513" s="29"/>
      <c r="K513" s="58">
        <f>SUBTOTAL(9,K512:K512)</f>
        <v>0.004</v>
      </c>
      <c r="L513" s="30"/>
      <c r="M513" s="29"/>
    </row>
    <row r="514" spans="1:13" ht="15.75" customHeight="1" outlineLevel="2">
      <c r="A514" s="25">
        <v>5</v>
      </c>
      <c r="B514" s="26" t="s">
        <v>559</v>
      </c>
      <c r="C514" s="17" t="s">
        <v>510</v>
      </c>
      <c r="D514" s="26" t="s">
        <v>993</v>
      </c>
      <c r="E514" s="27">
        <v>4</v>
      </c>
      <c r="F514" s="26" t="s">
        <v>1325</v>
      </c>
      <c r="G514" s="28">
        <v>0.005</v>
      </c>
      <c r="H514" s="28">
        <f aca="true" t="shared" si="63" ref="H514:H521">G514/E514</f>
        <v>0.00125</v>
      </c>
      <c r="I514" s="16" t="s">
        <v>555</v>
      </c>
      <c r="J514" s="29">
        <v>5.3</v>
      </c>
      <c r="K514" s="58">
        <f aca="true" t="shared" si="64" ref="K514:K521">J514*H514</f>
        <v>0.006625</v>
      </c>
      <c r="L514" s="30">
        <f>H514*DEMANDA!$B$9</f>
        <v>0.16375</v>
      </c>
      <c r="M514" s="29">
        <f aca="true" t="shared" si="65" ref="M514:M521">L514*J514</f>
        <v>0.867875</v>
      </c>
    </row>
    <row r="515" spans="1:13" ht="15.75" customHeight="1" outlineLevel="2">
      <c r="A515" s="32">
        <v>6</v>
      </c>
      <c r="B515" s="33" t="s">
        <v>527</v>
      </c>
      <c r="C515" s="34" t="s">
        <v>514</v>
      </c>
      <c r="D515" s="33" t="s">
        <v>994</v>
      </c>
      <c r="E515" s="35">
        <v>12</v>
      </c>
      <c r="F515" s="26" t="s">
        <v>1325</v>
      </c>
      <c r="G515" s="36">
        <v>0.01</v>
      </c>
      <c r="H515" s="28">
        <f t="shared" si="63"/>
        <v>0.0008333333333333334</v>
      </c>
      <c r="I515" s="16" t="s">
        <v>555</v>
      </c>
      <c r="J515" s="29">
        <v>5.3</v>
      </c>
      <c r="K515" s="58">
        <f t="shared" si="64"/>
        <v>0.004416666666666667</v>
      </c>
      <c r="L515" s="30">
        <f>H515*DEMANDA!$B$9</f>
        <v>0.10916666666666668</v>
      </c>
      <c r="M515" s="29">
        <f t="shared" si="65"/>
        <v>0.5785833333333333</v>
      </c>
    </row>
    <row r="516" spans="1:13" ht="15.75" customHeight="1" outlineLevel="2">
      <c r="A516" s="32">
        <v>8</v>
      </c>
      <c r="B516" s="33" t="s">
        <v>634</v>
      </c>
      <c r="C516" s="34" t="s">
        <v>514</v>
      </c>
      <c r="D516" s="33" t="s">
        <v>995</v>
      </c>
      <c r="E516" s="35">
        <v>4</v>
      </c>
      <c r="F516" s="26" t="s">
        <v>1325</v>
      </c>
      <c r="G516" s="36">
        <v>0.005</v>
      </c>
      <c r="H516" s="28">
        <f t="shared" si="63"/>
        <v>0.00125</v>
      </c>
      <c r="I516" s="16" t="s">
        <v>555</v>
      </c>
      <c r="J516" s="29">
        <v>5.3</v>
      </c>
      <c r="K516" s="58">
        <f t="shared" si="64"/>
        <v>0.006625</v>
      </c>
      <c r="L516" s="30">
        <f>H516*DEMANDA!$B$9</f>
        <v>0.16375</v>
      </c>
      <c r="M516" s="29">
        <f t="shared" si="65"/>
        <v>0.867875</v>
      </c>
    </row>
    <row r="517" spans="1:13" ht="15.75" customHeight="1" outlineLevel="2">
      <c r="A517" s="25">
        <v>15</v>
      </c>
      <c r="B517" s="26" t="s">
        <v>513</v>
      </c>
      <c r="C517" s="17" t="s">
        <v>514</v>
      </c>
      <c r="D517" s="26" t="s">
        <v>996</v>
      </c>
      <c r="E517" s="27">
        <v>4</v>
      </c>
      <c r="F517" s="26" t="s">
        <v>1325</v>
      </c>
      <c r="G517" s="28">
        <v>0.005</v>
      </c>
      <c r="H517" s="28">
        <f t="shared" si="63"/>
        <v>0.00125</v>
      </c>
      <c r="I517" s="16" t="s">
        <v>555</v>
      </c>
      <c r="J517" s="29">
        <v>5.3</v>
      </c>
      <c r="K517" s="58">
        <f t="shared" si="64"/>
        <v>0.006625</v>
      </c>
      <c r="L517" s="30">
        <f>H517*DEMANDA!$B$9</f>
        <v>0.16375</v>
      </c>
      <c r="M517" s="29">
        <f t="shared" si="65"/>
        <v>0.867875</v>
      </c>
    </row>
    <row r="518" spans="1:13" ht="15.75" customHeight="1" outlineLevel="2">
      <c r="A518" s="25">
        <v>17</v>
      </c>
      <c r="B518" s="26" t="s">
        <v>569</v>
      </c>
      <c r="C518" s="17" t="s">
        <v>514</v>
      </c>
      <c r="D518" s="26" t="s">
        <v>997</v>
      </c>
      <c r="E518" s="27">
        <v>4</v>
      </c>
      <c r="F518" s="26" t="s">
        <v>1325</v>
      </c>
      <c r="G518" s="28">
        <v>0.0033</v>
      </c>
      <c r="H518" s="28">
        <f t="shared" si="63"/>
        <v>0.000825</v>
      </c>
      <c r="I518" s="16" t="s">
        <v>555</v>
      </c>
      <c r="J518" s="29">
        <v>5.3</v>
      </c>
      <c r="K518" s="58">
        <f t="shared" si="64"/>
        <v>0.0043725</v>
      </c>
      <c r="L518" s="30">
        <f>H518*DEMANDA!$B$9</f>
        <v>0.108075</v>
      </c>
      <c r="M518" s="29">
        <f t="shared" si="65"/>
        <v>0.5727975</v>
      </c>
    </row>
    <row r="519" spans="1:13" ht="15.75" customHeight="1" outlineLevel="2">
      <c r="A519" s="25">
        <v>21</v>
      </c>
      <c r="B519" s="26" t="s">
        <v>515</v>
      </c>
      <c r="C519" s="17" t="s">
        <v>514</v>
      </c>
      <c r="D519" s="26" t="s">
        <v>998</v>
      </c>
      <c r="E519" s="27">
        <v>4</v>
      </c>
      <c r="F519" s="26" t="s">
        <v>1325</v>
      </c>
      <c r="G519" s="28">
        <v>0.005</v>
      </c>
      <c r="H519" s="28">
        <f t="shared" si="63"/>
        <v>0.00125</v>
      </c>
      <c r="I519" s="16" t="s">
        <v>555</v>
      </c>
      <c r="J519" s="29">
        <v>5.3</v>
      </c>
      <c r="K519" s="58">
        <f t="shared" si="64"/>
        <v>0.006625</v>
      </c>
      <c r="L519" s="30">
        <f>H519*DEMANDA!$B$9</f>
        <v>0.16375</v>
      </c>
      <c r="M519" s="29">
        <f t="shared" si="65"/>
        <v>0.867875</v>
      </c>
    </row>
    <row r="520" spans="1:13" ht="15.75" customHeight="1" outlineLevel="2">
      <c r="A520" s="25">
        <v>22</v>
      </c>
      <c r="B520" s="26" t="s">
        <v>581</v>
      </c>
      <c r="C520" s="17" t="s">
        <v>514</v>
      </c>
      <c r="D520" s="26" t="s">
        <v>999</v>
      </c>
      <c r="E520" s="27">
        <v>4</v>
      </c>
      <c r="F520" s="26" t="s">
        <v>1325</v>
      </c>
      <c r="G520" s="28">
        <v>0.0025</v>
      </c>
      <c r="H520" s="28">
        <f t="shared" si="63"/>
        <v>0.000625</v>
      </c>
      <c r="I520" s="16" t="s">
        <v>555</v>
      </c>
      <c r="J520" s="29">
        <v>5.3</v>
      </c>
      <c r="K520" s="58">
        <f t="shared" si="64"/>
        <v>0.0033125</v>
      </c>
      <c r="L520" s="30">
        <f>H520*DEMANDA!$B$9</f>
        <v>0.081875</v>
      </c>
      <c r="M520" s="29">
        <f t="shared" si="65"/>
        <v>0.4339375</v>
      </c>
    </row>
    <row r="521" spans="1:13" ht="15.75" customHeight="1" outlineLevel="2">
      <c r="A521" s="25">
        <v>23</v>
      </c>
      <c r="B521" s="26" t="s">
        <v>517</v>
      </c>
      <c r="C521" s="17" t="s">
        <v>514</v>
      </c>
      <c r="D521" s="26" t="s">
        <v>1000</v>
      </c>
      <c r="E521" s="27">
        <v>4</v>
      </c>
      <c r="F521" s="26" t="s">
        <v>1325</v>
      </c>
      <c r="G521" s="28">
        <v>0.005</v>
      </c>
      <c r="H521" s="28">
        <f t="shared" si="63"/>
        <v>0.00125</v>
      </c>
      <c r="I521" s="16" t="s">
        <v>555</v>
      </c>
      <c r="J521" s="29">
        <v>5.3</v>
      </c>
      <c r="K521" s="58">
        <f t="shared" si="64"/>
        <v>0.006625</v>
      </c>
      <c r="L521" s="30">
        <f>H521*DEMANDA!$B$9</f>
        <v>0.16375</v>
      </c>
      <c r="M521" s="29">
        <f t="shared" si="65"/>
        <v>0.867875</v>
      </c>
    </row>
    <row r="522" spans="1:13" ht="15.75" customHeight="1" outlineLevel="1">
      <c r="A522" s="25"/>
      <c r="B522" s="26"/>
      <c r="C522" s="17"/>
      <c r="D522" s="26"/>
      <c r="E522" s="27"/>
      <c r="F522" s="52" t="s">
        <v>31</v>
      </c>
      <c r="G522" s="28"/>
      <c r="H522" s="28"/>
      <c r="I522" s="16"/>
      <c r="J522" s="29"/>
      <c r="K522" s="58">
        <f>SUBTOTAL(9,K514:K521)</f>
        <v>0.045226666666666665</v>
      </c>
      <c r="L522" s="30"/>
      <c r="M522" s="29"/>
    </row>
    <row r="523" spans="1:13" ht="15.75" customHeight="1" outlineLevel="2">
      <c r="A523" s="25">
        <v>5</v>
      </c>
      <c r="B523" s="26" t="s">
        <v>526</v>
      </c>
      <c r="C523" s="17" t="s">
        <v>514</v>
      </c>
      <c r="D523" s="26" t="s">
        <v>1001</v>
      </c>
      <c r="E523" s="27">
        <v>4</v>
      </c>
      <c r="F523" s="26" t="s">
        <v>1326</v>
      </c>
      <c r="G523" s="28">
        <v>1</v>
      </c>
      <c r="H523" s="28">
        <f>G523/E523</f>
        <v>0.25</v>
      </c>
      <c r="I523" s="16" t="s">
        <v>632</v>
      </c>
      <c r="J523" s="29">
        <v>0.91</v>
      </c>
      <c r="K523" s="58">
        <f>J523*H523</f>
        <v>0.2275</v>
      </c>
      <c r="L523" s="30">
        <f>H523*DEMANDA!$B$9</f>
        <v>32.75</v>
      </c>
      <c r="M523" s="29">
        <f>L523*J523</f>
        <v>29.802500000000002</v>
      </c>
    </row>
    <row r="524" spans="1:13" ht="15.75" customHeight="1" outlineLevel="2">
      <c r="A524" s="25">
        <v>6</v>
      </c>
      <c r="B524" s="26" t="s">
        <v>561</v>
      </c>
      <c r="C524" s="17" t="s">
        <v>521</v>
      </c>
      <c r="D524" s="26" t="s">
        <v>1002</v>
      </c>
      <c r="E524" s="27">
        <v>6</v>
      </c>
      <c r="F524" s="26" t="s">
        <v>1326</v>
      </c>
      <c r="G524" s="28">
        <v>1</v>
      </c>
      <c r="H524" s="28">
        <f>G524/E524</f>
        <v>0.16666666666666666</v>
      </c>
      <c r="I524" s="16" t="s">
        <v>632</v>
      </c>
      <c r="J524" s="29">
        <v>0.91</v>
      </c>
      <c r="K524" s="58">
        <f>J524*H524</f>
        <v>0.15166666666666667</v>
      </c>
      <c r="L524" s="30">
        <f>H524*DEMANDA!$B$9</f>
        <v>21.833333333333332</v>
      </c>
      <c r="M524" s="29">
        <f>L524*J524</f>
        <v>19.868333333333332</v>
      </c>
    </row>
    <row r="525" spans="1:13" ht="15.75" customHeight="1" outlineLevel="1">
      <c r="A525" s="25"/>
      <c r="B525" s="26"/>
      <c r="C525" s="17"/>
      <c r="D525" s="26"/>
      <c r="E525" s="27"/>
      <c r="F525" s="52" t="s">
        <v>32</v>
      </c>
      <c r="G525" s="28"/>
      <c r="H525" s="28"/>
      <c r="I525" s="16"/>
      <c r="J525" s="29"/>
      <c r="K525" s="58">
        <f>SUBTOTAL(9,K523:K524)</f>
        <v>0.37916666666666665</v>
      </c>
      <c r="L525" s="30"/>
      <c r="M525" s="29"/>
    </row>
    <row r="526" spans="1:13" ht="15.75" customHeight="1" outlineLevel="2">
      <c r="A526" s="25">
        <v>11</v>
      </c>
      <c r="B526" s="26" t="s">
        <v>535</v>
      </c>
      <c r="C526" s="17" t="s">
        <v>510</v>
      </c>
      <c r="D526" s="26" t="s">
        <v>1003</v>
      </c>
      <c r="E526" s="27">
        <v>4</v>
      </c>
      <c r="F526" s="26" t="s">
        <v>1327</v>
      </c>
      <c r="G526" s="28">
        <v>4</v>
      </c>
      <c r="H526" s="28">
        <f>G526/E526</f>
        <v>1</v>
      </c>
      <c r="I526" s="16" t="s">
        <v>632</v>
      </c>
      <c r="J526" s="29">
        <v>0.26</v>
      </c>
      <c r="K526" s="58">
        <f>J526*H526</f>
        <v>0.26</v>
      </c>
      <c r="L526" s="30">
        <f>H526*DEMANDA!$B$9</f>
        <v>131</v>
      </c>
      <c r="M526" s="29">
        <f>L526*J526</f>
        <v>34.06</v>
      </c>
    </row>
    <row r="527" spans="1:13" ht="15.75" customHeight="1" outlineLevel="1">
      <c r="A527" s="25"/>
      <c r="B527" s="26"/>
      <c r="C527" s="17"/>
      <c r="D527" s="26"/>
      <c r="E527" s="27"/>
      <c r="F527" s="52" t="s">
        <v>33</v>
      </c>
      <c r="G527" s="28"/>
      <c r="H527" s="28"/>
      <c r="I527" s="16"/>
      <c r="J527" s="29"/>
      <c r="K527" s="58">
        <f>SUBTOTAL(9,K526:K526)</f>
        <v>0.26</v>
      </c>
      <c r="L527" s="30"/>
      <c r="M527" s="29"/>
    </row>
    <row r="528" spans="1:13" ht="15.75" customHeight="1" outlineLevel="2">
      <c r="A528" s="25">
        <v>8</v>
      </c>
      <c r="B528" s="26" t="s">
        <v>685</v>
      </c>
      <c r="C528" s="17" t="s">
        <v>521</v>
      </c>
      <c r="D528" s="26" t="s">
        <v>1004</v>
      </c>
      <c r="E528" s="27">
        <v>4</v>
      </c>
      <c r="F528" s="26" t="s">
        <v>1328</v>
      </c>
      <c r="G528" s="28">
        <v>4</v>
      </c>
      <c r="H528" s="28">
        <f>G528/E528</f>
        <v>1</v>
      </c>
      <c r="I528" s="16" t="s">
        <v>632</v>
      </c>
      <c r="J528" s="29">
        <v>0.19</v>
      </c>
      <c r="K528" s="58">
        <f>J528*H528</f>
        <v>0.19</v>
      </c>
      <c r="L528" s="30">
        <f>H528*DEMANDA!$B$9</f>
        <v>131</v>
      </c>
      <c r="M528" s="29">
        <f>L528*J528</f>
        <v>24.89</v>
      </c>
    </row>
    <row r="529" spans="1:13" ht="15.75" customHeight="1" outlineLevel="1">
      <c r="A529" s="25"/>
      <c r="B529" s="26"/>
      <c r="C529" s="17"/>
      <c r="D529" s="26"/>
      <c r="E529" s="27"/>
      <c r="F529" s="52" t="s">
        <v>34</v>
      </c>
      <c r="G529" s="28"/>
      <c r="H529" s="28"/>
      <c r="I529" s="16"/>
      <c r="J529" s="29"/>
      <c r="K529" s="58">
        <f>SUBTOTAL(9,K528:K528)</f>
        <v>0.19</v>
      </c>
      <c r="L529" s="30"/>
      <c r="M529" s="29"/>
    </row>
    <row r="530" spans="1:13" ht="15.75" customHeight="1" outlineLevel="2">
      <c r="A530" s="25">
        <v>17</v>
      </c>
      <c r="B530" s="26" t="s">
        <v>822</v>
      </c>
      <c r="C530" s="17" t="s">
        <v>521</v>
      </c>
      <c r="D530" s="26" t="s">
        <v>1005</v>
      </c>
      <c r="E530" s="27">
        <v>4</v>
      </c>
      <c r="F530" s="26" t="s">
        <v>1329</v>
      </c>
      <c r="G530" s="28">
        <v>0.2</v>
      </c>
      <c r="H530" s="28">
        <f>G530/E530</f>
        <v>0.05</v>
      </c>
      <c r="I530" s="16" t="s">
        <v>632</v>
      </c>
      <c r="J530" s="29">
        <v>0.14</v>
      </c>
      <c r="K530" s="58">
        <f>J530*H530</f>
        <v>0.007000000000000001</v>
      </c>
      <c r="L530" s="30">
        <f>H530*DEMANDA!$B$9</f>
        <v>6.550000000000001</v>
      </c>
      <c r="M530" s="29">
        <f>L530*J530</f>
        <v>0.9170000000000001</v>
      </c>
    </row>
    <row r="531" spans="1:13" ht="15.75" customHeight="1" outlineLevel="2">
      <c r="A531" s="25">
        <v>16</v>
      </c>
      <c r="B531" s="26" t="s">
        <v>821</v>
      </c>
      <c r="C531" s="17" t="s">
        <v>521</v>
      </c>
      <c r="D531" s="26" t="s">
        <v>1005</v>
      </c>
      <c r="E531" s="27">
        <v>4</v>
      </c>
      <c r="F531" s="26" t="s">
        <v>1329</v>
      </c>
      <c r="G531" s="28">
        <v>0.2</v>
      </c>
      <c r="H531" s="28">
        <f>G531/E531</f>
        <v>0.05</v>
      </c>
      <c r="I531" s="16" t="s">
        <v>632</v>
      </c>
      <c r="J531" s="29">
        <v>0.14</v>
      </c>
      <c r="K531" s="58">
        <f>J531*H531</f>
        <v>0.007000000000000001</v>
      </c>
      <c r="L531" s="30">
        <f>H531*DEMANDA!$B$9</f>
        <v>6.550000000000001</v>
      </c>
      <c r="M531" s="29">
        <f>L531*J531</f>
        <v>0.9170000000000001</v>
      </c>
    </row>
    <row r="532" spans="1:13" ht="15.75" customHeight="1" outlineLevel="1">
      <c r="A532" s="25"/>
      <c r="B532" s="26"/>
      <c r="C532" s="17"/>
      <c r="D532" s="26"/>
      <c r="E532" s="27"/>
      <c r="F532" s="52" t="s">
        <v>35</v>
      </c>
      <c r="G532" s="28"/>
      <c r="H532" s="28"/>
      <c r="I532" s="16"/>
      <c r="J532" s="29"/>
      <c r="K532" s="58">
        <f>SUBTOTAL(9,K530:K531)</f>
        <v>0.014000000000000002</v>
      </c>
      <c r="L532" s="30"/>
      <c r="M532" s="29"/>
    </row>
    <row r="533" spans="1:13" ht="15.75" customHeight="1" outlineLevel="2">
      <c r="A533" s="25">
        <v>9</v>
      </c>
      <c r="B533" s="26" t="s">
        <v>564</v>
      </c>
      <c r="C533" s="17" t="s">
        <v>514</v>
      </c>
      <c r="D533" s="26" t="s">
        <v>1006</v>
      </c>
      <c r="E533" s="27">
        <v>8</v>
      </c>
      <c r="F533" s="26" t="s">
        <v>1330</v>
      </c>
      <c r="G533" s="28">
        <v>0.4</v>
      </c>
      <c r="H533" s="28">
        <f>G533/E533</f>
        <v>0.05</v>
      </c>
      <c r="I533" s="16" t="s">
        <v>632</v>
      </c>
      <c r="J533" s="29">
        <v>0.054</v>
      </c>
      <c r="K533" s="58">
        <f>J533*H533</f>
        <v>0.0027</v>
      </c>
      <c r="L533" s="30">
        <f>H533*DEMANDA!$B$9</f>
        <v>6.550000000000001</v>
      </c>
      <c r="M533" s="29">
        <f>L533*J533</f>
        <v>0.3537</v>
      </c>
    </row>
    <row r="534" spans="1:13" ht="15.75" customHeight="1" outlineLevel="2">
      <c r="A534" s="25">
        <v>10</v>
      </c>
      <c r="B534" s="26" t="s">
        <v>646</v>
      </c>
      <c r="C534" s="17" t="s">
        <v>510</v>
      </c>
      <c r="D534" s="26" t="s">
        <v>1007</v>
      </c>
      <c r="E534" s="27">
        <v>6</v>
      </c>
      <c r="F534" s="26" t="s">
        <v>1330</v>
      </c>
      <c r="G534" s="28">
        <v>0.3</v>
      </c>
      <c r="H534" s="28">
        <f>G534/E534</f>
        <v>0.049999999999999996</v>
      </c>
      <c r="I534" s="16" t="s">
        <v>632</v>
      </c>
      <c r="J534" s="29">
        <v>0.054</v>
      </c>
      <c r="K534" s="58">
        <f>J534*H534</f>
        <v>0.0026999999999999997</v>
      </c>
      <c r="L534" s="30">
        <f>H534*DEMANDA!$B$9</f>
        <v>6.55</v>
      </c>
      <c r="M534" s="29">
        <f>L534*J534</f>
        <v>0.35369999999999996</v>
      </c>
    </row>
    <row r="535" spans="1:13" ht="15.75" customHeight="1" outlineLevel="2">
      <c r="A535" s="25">
        <v>23</v>
      </c>
      <c r="B535" s="26" t="s">
        <v>517</v>
      </c>
      <c r="C535" s="17" t="s">
        <v>514</v>
      </c>
      <c r="D535" s="26" t="s">
        <v>1008</v>
      </c>
      <c r="E535" s="27">
        <v>4</v>
      </c>
      <c r="F535" s="26" t="s">
        <v>1330</v>
      </c>
      <c r="G535" s="28">
        <v>0.2</v>
      </c>
      <c r="H535" s="28">
        <f>G535/E535</f>
        <v>0.05</v>
      </c>
      <c r="I535" s="16" t="s">
        <v>632</v>
      </c>
      <c r="J535" s="29">
        <v>0.054</v>
      </c>
      <c r="K535" s="58">
        <f>J535*H535</f>
        <v>0.0027</v>
      </c>
      <c r="L535" s="30">
        <f>H535*DEMANDA!$B$9</f>
        <v>6.550000000000001</v>
      </c>
      <c r="M535" s="29">
        <f>L535*J535</f>
        <v>0.3537</v>
      </c>
    </row>
    <row r="536" spans="1:13" ht="15.75" customHeight="1" outlineLevel="1">
      <c r="A536" s="25"/>
      <c r="B536" s="26"/>
      <c r="C536" s="17"/>
      <c r="D536" s="26"/>
      <c r="E536" s="27"/>
      <c r="F536" s="52" t="s">
        <v>36</v>
      </c>
      <c r="G536" s="28"/>
      <c r="H536" s="28"/>
      <c r="I536" s="16"/>
      <c r="J536" s="29"/>
      <c r="K536" s="58">
        <f>SUBTOTAL(9,K533:K535)</f>
        <v>0.0081</v>
      </c>
      <c r="L536" s="30"/>
      <c r="M536" s="29"/>
    </row>
    <row r="537" spans="1:13" ht="15.75" customHeight="1" outlineLevel="2">
      <c r="A537" s="25">
        <v>4</v>
      </c>
      <c r="B537" s="26" t="s">
        <v>792</v>
      </c>
      <c r="C537" s="17" t="s">
        <v>521</v>
      </c>
      <c r="D537" s="26" t="s">
        <v>1009</v>
      </c>
      <c r="E537" s="27">
        <v>4</v>
      </c>
      <c r="F537" s="26" t="s">
        <v>1331</v>
      </c>
      <c r="G537" s="28">
        <v>4</v>
      </c>
      <c r="H537" s="28">
        <f>G537/E537</f>
        <v>1</v>
      </c>
      <c r="I537" s="16" t="s">
        <v>632</v>
      </c>
      <c r="J537" s="29">
        <v>0.3</v>
      </c>
      <c r="K537" s="58">
        <f>J537*H537</f>
        <v>0.3</v>
      </c>
      <c r="L537" s="30">
        <f>H537*DEMANDA!$B$9</f>
        <v>131</v>
      </c>
      <c r="M537" s="29">
        <f>L537*J537</f>
        <v>39.3</v>
      </c>
    </row>
    <row r="538" spans="1:13" ht="15.75" customHeight="1" outlineLevel="1">
      <c r="A538" s="25"/>
      <c r="B538" s="26"/>
      <c r="C538" s="17"/>
      <c r="D538" s="26"/>
      <c r="E538" s="27"/>
      <c r="F538" s="52" t="s">
        <v>37</v>
      </c>
      <c r="G538" s="28"/>
      <c r="H538" s="28"/>
      <c r="I538" s="16"/>
      <c r="J538" s="29"/>
      <c r="K538" s="58">
        <f>SUBTOTAL(9,K537:K537)</f>
        <v>0.3</v>
      </c>
      <c r="L538" s="30"/>
      <c r="M538" s="29"/>
    </row>
    <row r="539" spans="1:13" ht="15.75" customHeight="1" outlineLevel="2">
      <c r="A539" s="25">
        <v>2</v>
      </c>
      <c r="B539" s="26" t="s">
        <v>700</v>
      </c>
      <c r="C539" s="17" t="s">
        <v>510</v>
      </c>
      <c r="D539" s="26" t="s">
        <v>1010</v>
      </c>
      <c r="E539" s="27">
        <v>4</v>
      </c>
      <c r="F539" s="26" t="s">
        <v>1332</v>
      </c>
      <c r="G539" s="28">
        <v>0.8</v>
      </c>
      <c r="H539" s="28">
        <f>G539/E539</f>
        <v>0.2</v>
      </c>
      <c r="I539" s="16" t="s">
        <v>555</v>
      </c>
      <c r="J539" s="29">
        <v>0.59</v>
      </c>
      <c r="K539" s="58">
        <f>J539*H539</f>
        <v>0.118</v>
      </c>
      <c r="L539" s="30">
        <f>H539*DEMANDA!$B$9</f>
        <v>26.200000000000003</v>
      </c>
      <c r="M539" s="29">
        <f>L539*J539</f>
        <v>15.458</v>
      </c>
    </row>
    <row r="540" spans="1:13" ht="15.75" customHeight="1" outlineLevel="2">
      <c r="A540" s="25">
        <v>18</v>
      </c>
      <c r="B540" s="26" t="s">
        <v>626</v>
      </c>
      <c r="C540" s="17" t="s">
        <v>514</v>
      </c>
      <c r="D540" s="26" t="s">
        <v>1011</v>
      </c>
      <c r="E540" s="27">
        <v>4</v>
      </c>
      <c r="F540" s="26" t="s">
        <v>1332</v>
      </c>
      <c r="G540" s="28">
        <v>0.2</v>
      </c>
      <c r="H540" s="28">
        <f>G540/E540</f>
        <v>0.05</v>
      </c>
      <c r="I540" s="16" t="s">
        <v>555</v>
      </c>
      <c r="J540" s="29">
        <v>0.59</v>
      </c>
      <c r="K540" s="58">
        <f>J540*H540</f>
        <v>0.0295</v>
      </c>
      <c r="L540" s="30">
        <f>H540*DEMANDA!$B$9</f>
        <v>6.550000000000001</v>
      </c>
      <c r="M540" s="29">
        <f>L540*J540</f>
        <v>3.8645</v>
      </c>
    </row>
    <row r="541" spans="1:13" ht="15.75" customHeight="1" outlineLevel="2">
      <c r="A541" s="25">
        <v>28</v>
      </c>
      <c r="B541" s="26" t="s">
        <v>550</v>
      </c>
      <c r="C541" s="17" t="s">
        <v>514</v>
      </c>
      <c r="D541" s="26" t="s">
        <v>1012</v>
      </c>
      <c r="E541" s="27">
        <v>4</v>
      </c>
      <c r="F541" s="26" t="s">
        <v>1332</v>
      </c>
      <c r="G541" s="28">
        <v>0.8</v>
      </c>
      <c r="H541" s="28">
        <f>G541/E541</f>
        <v>0.2</v>
      </c>
      <c r="I541" s="16" t="s">
        <v>555</v>
      </c>
      <c r="J541" s="29">
        <v>0.59</v>
      </c>
      <c r="K541" s="58">
        <f>J541*H541</f>
        <v>0.118</v>
      </c>
      <c r="L541" s="30">
        <f>H541*DEMANDA!$B$9</f>
        <v>26.200000000000003</v>
      </c>
      <c r="M541" s="29">
        <f>L541*J541</f>
        <v>15.458</v>
      </c>
    </row>
    <row r="542" spans="1:13" ht="15.75" customHeight="1" outlineLevel="1">
      <c r="A542" s="25"/>
      <c r="B542" s="26"/>
      <c r="C542" s="17"/>
      <c r="D542" s="26"/>
      <c r="E542" s="27"/>
      <c r="F542" s="52" t="s">
        <v>38</v>
      </c>
      <c r="G542" s="28"/>
      <c r="H542" s="28"/>
      <c r="I542" s="16"/>
      <c r="J542" s="29"/>
      <c r="K542" s="58">
        <f>SUBTOTAL(9,K539:K541)</f>
        <v>0.26549999999999996</v>
      </c>
      <c r="L542" s="30"/>
      <c r="M542" s="29"/>
    </row>
    <row r="543" spans="1:13" ht="15.75" customHeight="1" outlineLevel="2">
      <c r="A543" s="25">
        <v>26</v>
      </c>
      <c r="B543" s="26" t="s">
        <v>692</v>
      </c>
      <c r="C543" s="17" t="s">
        <v>521</v>
      </c>
      <c r="D543" s="16" t="s">
        <v>1016</v>
      </c>
      <c r="E543" s="27">
        <v>4</v>
      </c>
      <c r="F543" s="26" t="s">
        <v>1333</v>
      </c>
      <c r="G543" s="28">
        <v>1</v>
      </c>
      <c r="H543" s="28">
        <f aca="true" t="shared" si="66" ref="H543:H548">G543/E543</f>
        <v>0.25</v>
      </c>
      <c r="I543" s="16" t="s">
        <v>555</v>
      </c>
      <c r="J543" s="29">
        <v>1.32</v>
      </c>
      <c r="K543" s="58">
        <f aca="true" t="shared" si="67" ref="K543:K548">J543*H543</f>
        <v>0.33</v>
      </c>
      <c r="L543" s="30">
        <f>H543*DEMANDA!$B$9</f>
        <v>32.75</v>
      </c>
      <c r="M543" s="29">
        <f aca="true" t="shared" si="68" ref="M543:M548">L543*J543</f>
        <v>43.230000000000004</v>
      </c>
    </row>
    <row r="544" spans="1:13" ht="15.75" customHeight="1" outlineLevel="2">
      <c r="A544" s="25">
        <v>13</v>
      </c>
      <c r="B544" s="26" t="s">
        <v>819</v>
      </c>
      <c r="C544" s="17" t="s">
        <v>521</v>
      </c>
      <c r="D544" s="26" t="s">
        <v>1014</v>
      </c>
      <c r="E544" s="27">
        <v>4</v>
      </c>
      <c r="F544" s="26" t="s">
        <v>1333</v>
      </c>
      <c r="G544" s="28">
        <v>0.4</v>
      </c>
      <c r="H544" s="28">
        <f t="shared" si="66"/>
        <v>0.1</v>
      </c>
      <c r="I544" s="16" t="s">
        <v>555</v>
      </c>
      <c r="J544" s="29">
        <v>1.32</v>
      </c>
      <c r="K544" s="58">
        <f t="shared" si="67"/>
        <v>0.132</v>
      </c>
      <c r="L544" s="30">
        <f>H544*DEMANDA!$B$9</f>
        <v>13.100000000000001</v>
      </c>
      <c r="M544" s="29">
        <f t="shared" si="68"/>
        <v>17.292</v>
      </c>
    </row>
    <row r="545" spans="1:13" ht="15.75" customHeight="1" outlineLevel="2">
      <c r="A545" s="25">
        <v>9</v>
      </c>
      <c r="B545" s="26" t="s">
        <v>930</v>
      </c>
      <c r="C545" s="17" t="s">
        <v>521</v>
      </c>
      <c r="D545" s="26" t="s">
        <v>1013</v>
      </c>
      <c r="E545" s="27">
        <v>4</v>
      </c>
      <c r="F545" s="26" t="s">
        <v>1333</v>
      </c>
      <c r="G545" s="28">
        <v>1.5</v>
      </c>
      <c r="H545" s="28">
        <f t="shared" si="66"/>
        <v>0.375</v>
      </c>
      <c r="I545" s="16" t="s">
        <v>555</v>
      </c>
      <c r="J545" s="29">
        <v>1.32</v>
      </c>
      <c r="K545" s="58">
        <f t="shared" si="67"/>
        <v>0.495</v>
      </c>
      <c r="L545" s="30">
        <f>H545*DEMANDA!$B$9</f>
        <v>49.125</v>
      </c>
      <c r="M545" s="29">
        <f t="shared" si="68"/>
        <v>64.845</v>
      </c>
    </row>
    <row r="546" spans="1:13" ht="15.75" customHeight="1" outlineLevel="2">
      <c r="A546" s="25">
        <v>20</v>
      </c>
      <c r="B546" s="26" t="s">
        <v>794</v>
      </c>
      <c r="C546" s="17" t="s">
        <v>521</v>
      </c>
      <c r="D546" s="26" t="s">
        <v>1015</v>
      </c>
      <c r="E546" s="27">
        <v>6</v>
      </c>
      <c r="F546" s="26" t="s">
        <v>1333</v>
      </c>
      <c r="G546" s="28">
        <v>0.2</v>
      </c>
      <c r="H546" s="28">
        <f t="shared" si="66"/>
        <v>0.03333333333333333</v>
      </c>
      <c r="I546" s="16" t="s">
        <v>555</v>
      </c>
      <c r="J546" s="29">
        <v>1.32</v>
      </c>
      <c r="K546" s="58">
        <f t="shared" si="67"/>
        <v>0.044000000000000004</v>
      </c>
      <c r="L546" s="30">
        <f>H546*DEMANDA!$B$9</f>
        <v>4.366666666666666</v>
      </c>
      <c r="M546" s="29">
        <f t="shared" si="68"/>
        <v>5.763999999999999</v>
      </c>
    </row>
    <row r="547" spans="1:13" ht="15.75" customHeight="1" outlineLevel="2">
      <c r="A547" s="25">
        <v>27</v>
      </c>
      <c r="B547" s="26" t="s">
        <v>930</v>
      </c>
      <c r="C547" s="17" t="s">
        <v>510</v>
      </c>
      <c r="D547" s="26" t="s">
        <v>1013</v>
      </c>
      <c r="E547" s="27">
        <v>4</v>
      </c>
      <c r="F547" s="26" t="s">
        <v>1333</v>
      </c>
      <c r="G547" s="28">
        <v>1.5</v>
      </c>
      <c r="H547" s="28">
        <f t="shared" si="66"/>
        <v>0.375</v>
      </c>
      <c r="I547" s="16" t="s">
        <v>555</v>
      </c>
      <c r="J547" s="29">
        <v>1.32</v>
      </c>
      <c r="K547" s="58">
        <f t="shared" si="67"/>
        <v>0.495</v>
      </c>
      <c r="L547" s="30">
        <f>H547*DEMANDA!$B$9</f>
        <v>49.125</v>
      </c>
      <c r="M547" s="29">
        <f t="shared" si="68"/>
        <v>64.845</v>
      </c>
    </row>
    <row r="548" spans="1:13" ht="15.75" customHeight="1" outlineLevel="2">
      <c r="A548" s="25">
        <v>27</v>
      </c>
      <c r="B548" s="26" t="s">
        <v>549</v>
      </c>
      <c r="C548" s="17" t="s">
        <v>514</v>
      </c>
      <c r="D548" s="26" t="s">
        <v>1017</v>
      </c>
      <c r="E548" s="27">
        <v>4</v>
      </c>
      <c r="F548" s="26" t="s">
        <v>1333</v>
      </c>
      <c r="G548" s="28">
        <v>1.5</v>
      </c>
      <c r="H548" s="28">
        <f t="shared" si="66"/>
        <v>0.375</v>
      </c>
      <c r="I548" s="16" t="s">
        <v>555</v>
      </c>
      <c r="J548" s="29">
        <v>1.32</v>
      </c>
      <c r="K548" s="58">
        <f t="shared" si="67"/>
        <v>0.495</v>
      </c>
      <c r="L548" s="30">
        <f>H548*DEMANDA!$B$9</f>
        <v>49.125</v>
      </c>
      <c r="M548" s="29">
        <f t="shared" si="68"/>
        <v>64.845</v>
      </c>
    </row>
    <row r="549" spans="1:13" ht="15.75" customHeight="1" outlineLevel="1">
      <c r="A549" s="25"/>
      <c r="B549" s="26"/>
      <c r="C549" s="17"/>
      <c r="D549" s="26"/>
      <c r="E549" s="27"/>
      <c r="F549" s="52" t="s">
        <v>39</v>
      </c>
      <c r="G549" s="28"/>
      <c r="H549" s="28"/>
      <c r="I549" s="16"/>
      <c r="J549" s="29"/>
      <c r="K549" s="58">
        <f>SUBTOTAL(9,K543:K548)</f>
        <v>1.991</v>
      </c>
      <c r="L549" s="30"/>
      <c r="M549" s="29"/>
    </row>
    <row r="550" spans="1:13" ht="15.75" customHeight="1" outlineLevel="2">
      <c r="A550" s="25">
        <v>1</v>
      </c>
      <c r="B550" s="26" t="s">
        <v>518</v>
      </c>
      <c r="C550" s="17" t="s">
        <v>514</v>
      </c>
      <c r="D550" s="26" t="s">
        <v>1018</v>
      </c>
      <c r="E550" s="27">
        <v>4</v>
      </c>
      <c r="F550" s="26" t="s">
        <v>1334</v>
      </c>
      <c r="G550" s="28">
        <v>0.005</v>
      </c>
      <c r="H550" s="28">
        <f>G550/E550</f>
        <v>0.00125</v>
      </c>
      <c r="I550" s="16" t="s">
        <v>555</v>
      </c>
      <c r="J550" s="29">
        <v>8.2</v>
      </c>
      <c r="K550" s="58">
        <f>J550*H550</f>
        <v>0.010249999999999999</v>
      </c>
      <c r="L550" s="30">
        <f>H550*DEMANDA!$B$9</f>
        <v>0.16375</v>
      </c>
      <c r="M550" s="29">
        <f>L550*J550</f>
        <v>1.3427499999999999</v>
      </c>
    </row>
    <row r="551" spans="1:13" ht="15.75" customHeight="1" outlineLevel="2">
      <c r="A551" s="25">
        <v>5</v>
      </c>
      <c r="B551" s="26" t="s">
        <v>559</v>
      </c>
      <c r="C551" s="17" t="s">
        <v>510</v>
      </c>
      <c r="D551" s="26" t="s">
        <v>1019</v>
      </c>
      <c r="E551" s="27">
        <v>4</v>
      </c>
      <c r="F551" s="26" t="s">
        <v>1334</v>
      </c>
      <c r="G551" s="28">
        <v>0.0003125</v>
      </c>
      <c r="H551" s="28">
        <f>G551/E551</f>
        <v>7.8125E-05</v>
      </c>
      <c r="I551" s="16" t="s">
        <v>555</v>
      </c>
      <c r="J551" s="29">
        <v>8.2</v>
      </c>
      <c r="K551" s="58">
        <f>J551*H551</f>
        <v>0.0006406249999999999</v>
      </c>
      <c r="L551" s="30">
        <f>H551*DEMANDA!$B$9</f>
        <v>0.010234375</v>
      </c>
      <c r="M551" s="29">
        <f>L551*J551</f>
        <v>0.08392187499999999</v>
      </c>
    </row>
    <row r="552" spans="1:13" ht="15.75" customHeight="1" outlineLevel="1">
      <c r="A552" s="25"/>
      <c r="B552" s="26"/>
      <c r="C552" s="17"/>
      <c r="D552" s="26"/>
      <c r="E552" s="27"/>
      <c r="F552" s="52" t="s">
        <v>40</v>
      </c>
      <c r="G552" s="28"/>
      <c r="H552" s="28"/>
      <c r="I552" s="16"/>
      <c r="J552" s="29"/>
      <c r="K552" s="58">
        <f>SUBTOTAL(9,K550:K551)</f>
        <v>0.010890625</v>
      </c>
      <c r="L552" s="30"/>
      <c r="M552" s="29"/>
    </row>
    <row r="553" spans="1:13" ht="15.75" customHeight="1" outlineLevel="2">
      <c r="A553" s="25">
        <v>1</v>
      </c>
      <c r="B553" s="26" t="s">
        <v>590</v>
      </c>
      <c r="C553" s="17" t="s">
        <v>521</v>
      </c>
      <c r="D553" s="26" t="s">
        <v>1020</v>
      </c>
      <c r="E553" s="27">
        <v>4</v>
      </c>
      <c r="F553" s="26" t="s">
        <v>1335</v>
      </c>
      <c r="G553" s="28">
        <v>0.0375</v>
      </c>
      <c r="H553" s="28">
        <f>G553/E553</f>
        <v>0.009375</v>
      </c>
      <c r="I553" s="16" t="s">
        <v>555</v>
      </c>
      <c r="J553" s="29">
        <v>2.56</v>
      </c>
      <c r="K553" s="58">
        <f>J553*H553</f>
        <v>0.024</v>
      </c>
      <c r="L553" s="30">
        <f>H553*DEMANDA!$B$9</f>
        <v>1.228125</v>
      </c>
      <c r="M553" s="29">
        <f>L553*J553</f>
        <v>3.1439999999999997</v>
      </c>
    </row>
    <row r="554" spans="1:13" ht="15.75" customHeight="1" outlineLevel="2">
      <c r="A554" s="25">
        <v>29</v>
      </c>
      <c r="B554" s="26" t="s">
        <v>670</v>
      </c>
      <c r="C554" s="17" t="s">
        <v>521</v>
      </c>
      <c r="D554" s="26" t="s">
        <v>1022</v>
      </c>
      <c r="E554" s="27">
        <v>4</v>
      </c>
      <c r="F554" s="26" t="s">
        <v>1335</v>
      </c>
      <c r="G554" s="28">
        <v>0.08</v>
      </c>
      <c r="H554" s="28">
        <f>G554/E554</f>
        <v>0.02</v>
      </c>
      <c r="I554" s="16" t="s">
        <v>555</v>
      </c>
      <c r="J554" s="29">
        <v>2.56</v>
      </c>
      <c r="K554" s="58">
        <f>J554*H554</f>
        <v>0.0512</v>
      </c>
      <c r="L554" s="30">
        <f>H554*DEMANDA!$B$9</f>
        <v>2.62</v>
      </c>
      <c r="M554" s="29">
        <f>L554*J554</f>
        <v>6.7072</v>
      </c>
    </row>
    <row r="555" spans="1:13" ht="15.75" customHeight="1" outlineLevel="2">
      <c r="A555" s="25">
        <v>14</v>
      </c>
      <c r="B555" s="26" t="s">
        <v>567</v>
      </c>
      <c r="C555" s="17" t="s">
        <v>521</v>
      </c>
      <c r="D555" s="26" t="s">
        <v>1021</v>
      </c>
      <c r="E555" s="27">
        <v>2</v>
      </c>
      <c r="F555" s="26" t="s">
        <v>1335</v>
      </c>
      <c r="G555" s="28">
        <v>0.02</v>
      </c>
      <c r="H555" s="28">
        <f>G555/E555</f>
        <v>0.01</v>
      </c>
      <c r="I555" s="16" t="s">
        <v>555</v>
      </c>
      <c r="J555" s="29">
        <v>2.56</v>
      </c>
      <c r="K555" s="58">
        <f>J555*H555</f>
        <v>0.0256</v>
      </c>
      <c r="L555" s="30">
        <f>H555*DEMANDA!$B$9</f>
        <v>1.31</v>
      </c>
      <c r="M555" s="29">
        <f>L555*J555</f>
        <v>3.3536</v>
      </c>
    </row>
    <row r="556" spans="1:13" ht="15.75" customHeight="1" outlineLevel="2">
      <c r="A556" s="25">
        <v>26</v>
      </c>
      <c r="B556" s="26" t="s">
        <v>590</v>
      </c>
      <c r="C556" s="17" t="s">
        <v>510</v>
      </c>
      <c r="D556" s="26" t="s">
        <v>1020</v>
      </c>
      <c r="E556" s="27">
        <v>4</v>
      </c>
      <c r="F556" s="26" t="s">
        <v>1335</v>
      </c>
      <c r="G556" s="28">
        <v>0.0375</v>
      </c>
      <c r="H556" s="28">
        <f>G556/E556</f>
        <v>0.009375</v>
      </c>
      <c r="I556" s="16" t="s">
        <v>555</v>
      </c>
      <c r="J556" s="29">
        <v>2.56</v>
      </c>
      <c r="K556" s="58">
        <f>J556*H556</f>
        <v>0.024</v>
      </c>
      <c r="L556" s="30">
        <f>H556*DEMANDA!$B$9</f>
        <v>1.228125</v>
      </c>
      <c r="M556" s="29">
        <f>L556*J556</f>
        <v>3.1439999999999997</v>
      </c>
    </row>
    <row r="557" spans="1:13" ht="15.75" customHeight="1" outlineLevel="2">
      <c r="A557" s="25">
        <v>29</v>
      </c>
      <c r="B557" s="26" t="s">
        <v>670</v>
      </c>
      <c r="C557" s="17" t="s">
        <v>510</v>
      </c>
      <c r="D557" s="26" t="s">
        <v>1022</v>
      </c>
      <c r="E557" s="27">
        <v>4</v>
      </c>
      <c r="F557" s="26" t="s">
        <v>1335</v>
      </c>
      <c r="G557" s="28">
        <v>0.08</v>
      </c>
      <c r="H557" s="28">
        <f>G557/E557</f>
        <v>0.02</v>
      </c>
      <c r="I557" s="16" t="s">
        <v>555</v>
      </c>
      <c r="J557" s="29">
        <v>2.56</v>
      </c>
      <c r="K557" s="58">
        <f>J557*H557</f>
        <v>0.0512</v>
      </c>
      <c r="L557" s="30">
        <f>H557*DEMANDA!$B$9</f>
        <v>2.62</v>
      </c>
      <c r="M557" s="29">
        <f>L557*J557</f>
        <v>6.7072</v>
      </c>
    </row>
    <row r="558" spans="1:13" ht="15.75" customHeight="1" outlineLevel="1">
      <c r="A558" s="25"/>
      <c r="B558" s="26"/>
      <c r="C558" s="17"/>
      <c r="D558" s="26"/>
      <c r="E558" s="27"/>
      <c r="F558" s="52" t="s">
        <v>41</v>
      </c>
      <c r="G558" s="28"/>
      <c r="H558" s="28"/>
      <c r="I558" s="16"/>
      <c r="J558" s="29"/>
      <c r="K558" s="58">
        <f>SUBTOTAL(9,K553:K557)</f>
        <v>0.176</v>
      </c>
      <c r="L558" s="30"/>
      <c r="M558" s="29"/>
    </row>
    <row r="559" spans="1:13" ht="15.75" customHeight="1" outlineLevel="2">
      <c r="A559" s="25">
        <v>17</v>
      </c>
      <c r="B559" s="26" t="s">
        <v>569</v>
      </c>
      <c r="C559" s="17" t="s">
        <v>514</v>
      </c>
      <c r="D559" s="26" t="s">
        <v>1023</v>
      </c>
      <c r="E559" s="27">
        <v>4</v>
      </c>
      <c r="F559" s="26" t="s">
        <v>1336</v>
      </c>
      <c r="G559" s="28">
        <v>0.12</v>
      </c>
      <c r="H559" s="28">
        <f>G559/E559</f>
        <v>0.03</v>
      </c>
      <c r="I559" s="16" t="s">
        <v>555</v>
      </c>
      <c r="J559" s="29">
        <v>5.86</v>
      </c>
      <c r="K559" s="58">
        <f>J559*H559</f>
        <v>0.1758</v>
      </c>
      <c r="L559" s="30">
        <f>H559*DEMANDA!$B$9</f>
        <v>3.9299999999999997</v>
      </c>
      <c r="M559" s="29">
        <f>L559*J559</f>
        <v>23.029799999999998</v>
      </c>
    </row>
    <row r="560" spans="1:13" ht="15.75" customHeight="1" outlineLevel="2">
      <c r="A560" s="25">
        <v>22</v>
      </c>
      <c r="B560" s="26" t="s">
        <v>581</v>
      </c>
      <c r="C560" s="17" t="s">
        <v>514</v>
      </c>
      <c r="D560" s="26" t="s">
        <v>1024</v>
      </c>
      <c r="E560" s="27">
        <v>4</v>
      </c>
      <c r="F560" s="26" t="s">
        <v>1336</v>
      </c>
      <c r="G560" s="28">
        <v>0.18</v>
      </c>
      <c r="H560" s="28">
        <f>G560/E560</f>
        <v>0.045</v>
      </c>
      <c r="I560" s="16" t="s">
        <v>555</v>
      </c>
      <c r="J560" s="29">
        <v>5.86</v>
      </c>
      <c r="K560" s="58">
        <f>J560*H560</f>
        <v>0.2637</v>
      </c>
      <c r="L560" s="30">
        <f>H560*DEMANDA!$B$9</f>
        <v>5.895</v>
      </c>
      <c r="M560" s="29">
        <f>L560*J560</f>
        <v>34.5447</v>
      </c>
    </row>
    <row r="561" spans="1:13" ht="15.75" customHeight="1" outlineLevel="2">
      <c r="A561" s="25">
        <v>25</v>
      </c>
      <c r="B561" s="26" t="s">
        <v>607</v>
      </c>
      <c r="C561" s="17" t="s">
        <v>514</v>
      </c>
      <c r="D561" s="26" t="s">
        <v>1025</v>
      </c>
      <c r="E561" s="27">
        <v>4</v>
      </c>
      <c r="F561" s="26" t="s">
        <v>1336</v>
      </c>
      <c r="G561" s="28">
        <v>0.24</v>
      </c>
      <c r="H561" s="28">
        <f>G561/E561</f>
        <v>0.06</v>
      </c>
      <c r="I561" s="16" t="s">
        <v>555</v>
      </c>
      <c r="J561" s="29">
        <v>5.86</v>
      </c>
      <c r="K561" s="58">
        <f>J561*H561</f>
        <v>0.3516</v>
      </c>
      <c r="L561" s="30">
        <f>H561*DEMANDA!$B$9</f>
        <v>7.859999999999999</v>
      </c>
      <c r="M561" s="29">
        <f>L561*J561</f>
        <v>46.059599999999996</v>
      </c>
    </row>
    <row r="562" spans="1:13" ht="15.75" customHeight="1" outlineLevel="2">
      <c r="A562" s="25">
        <v>29</v>
      </c>
      <c r="B562" s="26" t="s">
        <v>551</v>
      </c>
      <c r="C562" s="17" t="s">
        <v>514</v>
      </c>
      <c r="D562" s="26" t="s">
        <v>1026</v>
      </c>
      <c r="E562" s="27">
        <v>4</v>
      </c>
      <c r="F562" s="26" t="s">
        <v>1336</v>
      </c>
      <c r="G562" s="28">
        <v>0.12</v>
      </c>
      <c r="H562" s="28">
        <f>G562/E562</f>
        <v>0.03</v>
      </c>
      <c r="I562" s="16" t="s">
        <v>555</v>
      </c>
      <c r="J562" s="29">
        <v>5.86</v>
      </c>
      <c r="K562" s="58">
        <f>J562*H562</f>
        <v>0.1758</v>
      </c>
      <c r="L562" s="30">
        <f>H562*DEMANDA!$B$9</f>
        <v>3.9299999999999997</v>
      </c>
      <c r="M562" s="29">
        <f>L562*J562</f>
        <v>23.029799999999998</v>
      </c>
    </row>
    <row r="563" spans="1:13" ht="15.75" customHeight="1" outlineLevel="1">
      <c r="A563" s="25"/>
      <c r="B563" s="26"/>
      <c r="C563" s="17"/>
      <c r="D563" s="26"/>
      <c r="E563" s="27"/>
      <c r="F563" s="52" t="s">
        <v>42</v>
      </c>
      <c r="G563" s="28"/>
      <c r="H563" s="28"/>
      <c r="I563" s="16"/>
      <c r="J563" s="29"/>
      <c r="K563" s="58">
        <f>SUBTOTAL(9,K559:K562)</f>
        <v>0.9669000000000001</v>
      </c>
      <c r="L563" s="30"/>
      <c r="M563" s="29"/>
    </row>
    <row r="564" spans="1:13" ht="15.75" customHeight="1" outlineLevel="2">
      <c r="A564" s="25">
        <v>16</v>
      </c>
      <c r="B564" s="26" t="s">
        <v>842</v>
      </c>
      <c r="C564" s="17" t="s">
        <v>510</v>
      </c>
      <c r="D564" s="26" t="s">
        <v>1027</v>
      </c>
      <c r="E564" s="27">
        <v>4</v>
      </c>
      <c r="F564" s="26" t="s">
        <v>1337</v>
      </c>
      <c r="G564" s="28">
        <v>0.5</v>
      </c>
      <c r="H564" s="28">
        <f>G564/E564</f>
        <v>0.125</v>
      </c>
      <c r="I564" s="16" t="s">
        <v>555</v>
      </c>
      <c r="J564" s="29">
        <v>1.87</v>
      </c>
      <c r="K564" s="58">
        <f>J564*H564</f>
        <v>0.23375</v>
      </c>
      <c r="L564" s="30">
        <f>H564*DEMANDA!$B$9</f>
        <v>16.375</v>
      </c>
      <c r="M564" s="29">
        <f>L564*J564</f>
        <v>30.621250000000003</v>
      </c>
    </row>
    <row r="565" spans="1:13" ht="15.75" customHeight="1" outlineLevel="2">
      <c r="A565" s="25">
        <v>17</v>
      </c>
      <c r="B565" s="26" t="s">
        <v>569</v>
      </c>
      <c r="C565" s="17" t="s">
        <v>514</v>
      </c>
      <c r="D565" s="26" t="s">
        <v>1028</v>
      </c>
      <c r="E565" s="27">
        <v>4</v>
      </c>
      <c r="F565" s="26" t="s">
        <v>1337</v>
      </c>
      <c r="G565" s="28">
        <v>0.5</v>
      </c>
      <c r="H565" s="28">
        <f>G565/E565</f>
        <v>0.125</v>
      </c>
      <c r="I565" s="16" t="s">
        <v>555</v>
      </c>
      <c r="J565" s="29">
        <v>1.87</v>
      </c>
      <c r="K565" s="58">
        <f>J565*H565</f>
        <v>0.23375</v>
      </c>
      <c r="L565" s="30">
        <f>H565*DEMANDA!$B$9</f>
        <v>16.375</v>
      </c>
      <c r="M565" s="29">
        <f>L565*J565</f>
        <v>30.621250000000003</v>
      </c>
    </row>
    <row r="566" spans="1:13" ht="15.75" customHeight="1" outlineLevel="1">
      <c r="A566" s="25"/>
      <c r="B566" s="26"/>
      <c r="C566" s="17"/>
      <c r="D566" s="26"/>
      <c r="E566" s="27"/>
      <c r="F566" s="52" t="s">
        <v>43</v>
      </c>
      <c r="G566" s="28"/>
      <c r="H566" s="28"/>
      <c r="I566" s="16"/>
      <c r="J566" s="29"/>
      <c r="K566" s="58">
        <f>SUBTOTAL(9,K564:K565)</f>
        <v>0.4675</v>
      </c>
      <c r="L566" s="30"/>
      <c r="M566" s="29"/>
    </row>
    <row r="567" spans="1:13" ht="15.75" customHeight="1" outlineLevel="2">
      <c r="A567" s="32">
        <v>6</v>
      </c>
      <c r="B567" s="33" t="s">
        <v>527</v>
      </c>
      <c r="C567" s="34" t="s">
        <v>514</v>
      </c>
      <c r="D567" s="33" t="s">
        <v>1029</v>
      </c>
      <c r="E567" s="35">
        <v>12</v>
      </c>
      <c r="F567" s="33" t="s">
        <v>1338</v>
      </c>
      <c r="G567" s="36">
        <v>6.366</v>
      </c>
      <c r="H567" s="28">
        <f>G567/E567</f>
        <v>0.5305</v>
      </c>
      <c r="I567" s="16" t="s">
        <v>555</v>
      </c>
      <c r="J567" s="29">
        <v>3.5</v>
      </c>
      <c r="K567" s="58">
        <f>J567*H567</f>
        <v>1.85675</v>
      </c>
      <c r="L567" s="30">
        <f>H567*DEMANDA!$B$9</f>
        <v>69.49549999999999</v>
      </c>
      <c r="M567" s="29">
        <f>L567*J567</f>
        <v>243.23424999999997</v>
      </c>
    </row>
    <row r="568" spans="1:13" ht="15.75" customHeight="1" outlineLevel="1">
      <c r="A568" s="32"/>
      <c r="B568" s="33"/>
      <c r="C568" s="34"/>
      <c r="D568" s="33"/>
      <c r="E568" s="35"/>
      <c r="F568" s="43" t="s">
        <v>44</v>
      </c>
      <c r="G568" s="36"/>
      <c r="H568" s="28"/>
      <c r="I568" s="16"/>
      <c r="J568" s="29"/>
      <c r="K568" s="58">
        <f>SUBTOTAL(9,K567:K567)</f>
        <v>1.85675</v>
      </c>
      <c r="L568" s="30"/>
      <c r="M568" s="29"/>
    </row>
    <row r="569" spans="1:13" ht="15.75" customHeight="1" outlineLevel="2">
      <c r="A569" s="25">
        <v>9</v>
      </c>
      <c r="B569" s="26" t="s">
        <v>564</v>
      </c>
      <c r="C569" s="17" t="s">
        <v>514</v>
      </c>
      <c r="D569" s="26" t="s">
        <v>1030</v>
      </c>
      <c r="E569" s="27">
        <v>8</v>
      </c>
      <c r="F569" s="26" t="s">
        <v>1339</v>
      </c>
      <c r="G569" s="28">
        <v>1.15</v>
      </c>
      <c r="H569" s="28">
        <f>G569/E569</f>
        <v>0.14375</v>
      </c>
      <c r="I569" s="16" t="s">
        <v>555</v>
      </c>
      <c r="J569" s="29">
        <v>15.22</v>
      </c>
      <c r="K569" s="58">
        <f>J569*H569</f>
        <v>2.187875</v>
      </c>
      <c r="L569" s="30">
        <f>H569*DEMANDA!$B$9</f>
        <v>18.831249999999997</v>
      </c>
      <c r="M569" s="29">
        <f>L569*J569</f>
        <v>286.61162499999995</v>
      </c>
    </row>
    <row r="570" spans="1:13" ht="15.75" customHeight="1" outlineLevel="2">
      <c r="A570" s="25">
        <v>10</v>
      </c>
      <c r="B570" s="26" t="s">
        <v>533</v>
      </c>
      <c r="C570" s="17" t="s">
        <v>514</v>
      </c>
      <c r="D570" s="26" t="s">
        <v>1031</v>
      </c>
      <c r="E570" s="27">
        <v>4</v>
      </c>
      <c r="F570" s="26" t="s">
        <v>1339</v>
      </c>
      <c r="G570" s="28">
        <v>0.48</v>
      </c>
      <c r="H570" s="28">
        <f>G570/E570</f>
        <v>0.12</v>
      </c>
      <c r="I570" s="16" t="s">
        <v>555</v>
      </c>
      <c r="J570" s="29">
        <v>15.22</v>
      </c>
      <c r="K570" s="58">
        <f>J570*H570</f>
        <v>1.8264</v>
      </c>
      <c r="L570" s="30">
        <f>H570*DEMANDA!$B$9</f>
        <v>15.719999999999999</v>
      </c>
      <c r="M570" s="29">
        <f>L570*J570</f>
        <v>239.2584</v>
      </c>
    </row>
    <row r="571" spans="1:13" ht="15.75" customHeight="1" outlineLevel="2">
      <c r="A571" s="25">
        <v>13</v>
      </c>
      <c r="B571" s="26" t="s">
        <v>775</v>
      </c>
      <c r="C571" s="17" t="s">
        <v>510</v>
      </c>
      <c r="D571" s="26" t="s">
        <v>1032</v>
      </c>
      <c r="E571" s="27">
        <v>4</v>
      </c>
      <c r="F571" s="26" t="s">
        <v>1339</v>
      </c>
      <c r="G571" s="28">
        <v>0.036</v>
      </c>
      <c r="H571" s="28">
        <f>G571/E571</f>
        <v>0.009</v>
      </c>
      <c r="I571" s="16" t="s">
        <v>555</v>
      </c>
      <c r="J571" s="29">
        <v>15.22</v>
      </c>
      <c r="K571" s="58">
        <f>J571*H571</f>
        <v>0.13698</v>
      </c>
      <c r="L571" s="30">
        <f>H571*DEMANDA!$B$9</f>
        <v>1.1789999999999998</v>
      </c>
      <c r="M571" s="29">
        <f>L571*J571</f>
        <v>17.94438</v>
      </c>
    </row>
    <row r="572" spans="1:13" ht="15.75" customHeight="1" outlineLevel="1">
      <c r="A572" s="25"/>
      <c r="B572" s="26"/>
      <c r="C572" s="17"/>
      <c r="D572" s="26"/>
      <c r="E572" s="27"/>
      <c r="F572" s="52" t="s">
        <v>45</v>
      </c>
      <c r="G572" s="28"/>
      <c r="H572" s="28"/>
      <c r="I572" s="16"/>
      <c r="J572" s="29"/>
      <c r="K572" s="58">
        <f>SUBTOTAL(9,K569:K571)</f>
        <v>4.151255</v>
      </c>
      <c r="L572" s="30"/>
      <c r="M572" s="29"/>
    </row>
    <row r="573" spans="1:13" ht="15.75" customHeight="1" outlineLevel="2">
      <c r="A573" s="25">
        <v>17</v>
      </c>
      <c r="B573" s="26" t="s">
        <v>543</v>
      </c>
      <c r="C573" s="17" t="s">
        <v>510</v>
      </c>
      <c r="D573" s="26" t="s">
        <v>1033</v>
      </c>
      <c r="E573" s="27">
        <v>4</v>
      </c>
      <c r="F573" s="26" t="s">
        <v>1340</v>
      </c>
      <c r="G573" s="28">
        <v>0.2</v>
      </c>
      <c r="H573" s="28">
        <f>G573/E573</f>
        <v>0.05</v>
      </c>
      <c r="I573" s="16" t="s">
        <v>555</v>
      </c>
      <c r="J573" s="29">
        <v>0.92</v>
      </c>
      <c r="K573" s="58">
        <f>J573*H573</f>
        <v>0.046000000000000006</v>
      </c>
      <c r="L573" s="30">
        <f>H573*DEMANDA!$B$9</f>
        <v>6.550000000000001</v>
      </c>
      <c r="M573" s="29">
        <f>L573*J573</f>
        <v>6.026000000000001</v>
      </c>
    </row>
    <row r="574" spans="1:13" ht="15.75" customHeight="1" outlineLevel="2">
      <c r="A574" s="25">
        <v>20</v>
      </c>
      <c r="B574" s="26" t="s">
        <v>600</v>
      </c>
      <c r="C574" s="17" t="s">
        <v>510</v>
      </c>
      <c r="D574" s="26" t="s">
        <v>1034</v>
      </c>
      <c r="E574" s="27">
        <v>6</v>
      </c>
      <c r="F574" s="26" t="s">
        <v>1340</v>
      </c>
      <c r="G574" s="28">
        <v>0.2</v>
      </c>
      <c r="H574" s="28">
        <f>G574/E574</f>
        <v>0.03333333333333333</v>
      </c>
      <c r="I574" s="16" t="s">
        <v>555</v>
      </c>
      <c r="J574" s="29">
        <v>0.92</v>
      </c>
      <c r="K574" s="58">
        <f>J574*H574</f>
        <v>0.03066666666666667</v>
      </c>
      <c r="L574" s="30">
        <f>H574*DEMANDA!$B$9</f>
        <v>4.366666666666666</v>
      </c>
      <c r="M574" s="29">
        <f>L574*J574</f>
        <v>4.017333333333333</v>
      </c>
    </row>
    <row r="575" spans="1:13" ht="15.75" customHeight="1" outlineLevel="2">
      <c r="A575" s="25">
        <v>23</v>
      </c>
      <c r="B575" s="26" t="s">
        <v>602</v>
      </c>
      <c r="C575" s="17" t="s">
        <v>510</v>
      </c>
      <c r="D575" s="26" t="s">
        <v>1035</v>
      </c>
      <c r="E575" s="27">
        <v>6</v>
      </c>
      <c r="F575" s="26" t="s">
        <v>1340</v>
      </c>
      <c r="G575" s="28">
        <v>0.2</v>
      </c>
      <c r="H575" s="28">
        <f>G575/E575</f>
        <v>0.03333333333333333</v>
      </c>
      <c r="I575" s="16" t="s">
        <v>555</v>
      </c>
      <c r="J575" s="29">
        <v>0.92</v>
      </c>
      <c r="K575" s="58">
        <f>J575*H575</f>
        <v>0.03066666666666667</v>
      </c>
      <c r="L575" s="30">
        <f>H575*DEMANDA!$B$9</f>
        <v>4.366666666666666</v>
      </c>
      <c r="M575" s="29">
        <f>L575*J575</f>
        <v>4.017333333333333</v>
      </c>
    </row>
    <row r="576" spans="1:13" ht="15.75" customHeight="1" outlineLevel="1">
      <c r="A576" s="25"/>
      <c r="B576" s="26"/>
      <c r="C576" s="17"/>
      <c r="D576" s="26"/>
      <c r="E576" s="27"/>
      <c r="F576" s="52" t="s">
        <v>46</v>
      </c>
      <c r="G576" s="28"/>
      <c r="H576" s="28"/>
      <c r="I576" s="16"/>
      <c r="J576" s="29"/>
      <c r="K576" s="58">
        <f>SUBTOTAL(9,K573:K575)</f>
        <v>0.10733333333333334</v>
      </c>
      <c r="L576" s="30"/>
      <c r="M576" s="29"/>
    </row>
    <row r="577" spans="1:13" ht="15.75" customHeight="1" outlineLevel="2">
      <c r="A577" s="25">
        <v>2</v>
      </c>
      <c r="B577" s="26" t="s">
        <v>520</v>
      </c>
      <c r="C577" s="17" t="s">
        <v>521</v>
      </c>
      <c r="D577" s="26" t="s">
        <v>1036</v>
      </c>
      <c r="E577" s="27">
        <v>4</v>
      </c>
      <c r="F577" s="26" t="s">
        <v>1341</v>
      </c>
      <c r="G577" s="28">
        <v>0.3</v>
      </c>
      <c r="H577" s="28">
        <f>G577/E577</f>
        <v>0.075</v>
      </c>
      <c r="I577" s="16" t="s">
        <v>555</v>
      </c>
      <c r="J577" s="29">
        <v>3.43</v>
      </c>
      <c r="K577" s="58">
        <f>J577*H577</f>
        <v>0.25725</v>
      </c>
      <c r="L577" s="30">
        <f>H577*DEMANDA!$B$9</f>
        <v>9.825</v>
      </c>
      <c r="M577" s="29">
        <f>L577*J577</f>
        <v>33.69975</v>
      </c>
    </row>
    <row r="578" spans="1:13" ht="15.75" customHeight="1" outlineLevel="1">
      <c r="A578" s="25"/>
      <c r="B578" s="26"/>
      <c r="C578" s="17"/>
      <c r="D578" s="26"/>
      <c r="E578" s="27"/>
      <c r="F578" s="52" t="s">
        <v>47</v>
      </c>
      <c r="G578" s="28"/>
      <c r="H578" s="28"/>
      <c r="I578" s="16"/>
      <c r="J578" s="29"/>
      <c r="K578" s="58">
        <f>SUBTOTAL(9,K577:K577)</f>
        <v>0.25725</v>
      </c>
      <c r="L578" s="30"/>
      <c r="M578" s="29"/>
    </row>
    <row r="579" spans="1:13" ht="15.75" customHeight="1" outlineLevel="2">
      <c r="A579" s="25">
        <v>1</v>
      </c>
      <c r="B579" s="26" t="s">
        <v>518</v>
      </c>
      <c r="C579" s="17" t="s">
        <v>514</v>
      </c>
      <c r="D579" s="26" t="s">
        <v>1037</v>
      </c>
      <c r="E579" s="27">
        <v>4</v>
      </c>
      <c r="F579" s="26" t="s">
        <v>1396</v>
      </c>
      <c r="G579" s="28">
        <v>0.25</v>
      </c>
      <c r="H579" s="28">
        <f aca="true" t="shared" si="69" ref="H579:H588">G579/E579</f>
        <v>0.0625</v>
      </c>
      <c r="I579" s="16" t="s">
        <v>632</v>
      </c>
      <c r="J579" s="29">
        <v>0.3</v>
      </c>
      <c r="K579" s="58">
        <f aca="true" t="shared" si="70" ref="K579:K588">J579*H579</f>
        <v>0.01875</v>
      </c>
      <c r="L579" s="30">
        <f>H579*DEMANDA!$B$9</f>
        <v>8.1875</v>
      </c>
      <c r="M579" s="29">
        <f aca="true" t="shared" si="71" ref="M579:M588">L579*J579</f>
        <v>2.45625</v>
      </c>
    </row>
    <row r="580" spans="1:13" ht="15.75" customHeight="1" outlineLevel="2">
      <c r="A580" s="25">
        <v>2</v>
      </c>
      <c r="B580" s="26" t="s">
        <v>923</v>
      </c>
      <c r="C580" s="17" t="s">
        <v>514</v>
      </c>
      <c r="D580" s="26" t="s">
        <v>1038</v>
      </c>
      <c r="E580" s="27">
        <v>4</v>
      </c>
      <c r="F580" s="26" t="s">
        <v>1396</v>
      </c>
      <c r="G580" s="28">
        <v>0.125</v>
      </c>
      <c r="H580" s="28">
        <f t="shared" si="69"/>
        <v>0.03125</v>
      </c>
      <c r="I580" s="16" t="s">
        <v>632</v>
      </c>
      <c r="J580" s="29">
        <v>0.3</v>
      </c>
      <c r="K580" s="58">
        <f t="shared" si="70"/>
        <v>0.009375</v>
      </c>
      <c r="L580" s="30">
        <f>H580*DEMANDA!$B$9</f>
        <v>4.09375</v>
      </c>
      <c r="M580" s="29">
        <f t="shared" si="71"/>
        <v>1.228125</v>
      </c>
    </row>
    <row r="581" spans="1:13" ht="15.75" customHeight="1" outlineLevel="2">
      <c r="A581" s="32">
        <v>6</v>
      </c>
      <c r="B581" s="33" t="s">
        <v>527</v>
      </c>
      <c r="C581" s="34" t="s">
        <v>514</v>
      </c>
      <c r="D581" s="33" t="s">
        <v>1039</v>
      </c>
      <c r="E581" s="35">
        <v>12</v>
      </c>
      <c r="F581" s="26" t="s">
        <v>1396</v>
      </c>
      <c r="G581" s="36">
        <v>0.005</v>
      </c>
      <c r="H581" s="28">
        <f t="shared" si="69"/>
        <v>0.0004166666666666667</v>
      </c>
      <c r="I581" s="16" t="s">
        <v>632</v>
      </c>
      <c r="J581" s="29">
        <v>0.3</v>
      </c>
      <c r="K581" s="58">
        <f t="shared" si="70"/>
        <v>0.000125</v>
      </c>
      <c r="L581" s="30">
        <f>H581*DEMANDA!$B$9</f>
        <v>0.05458333333333334</v>
      </c>
      <c r="M581" s="29">
        <f t="shared" si="71"/>
        <v>0.016375</v>
      </c>
    </row>
    <row r="582" spans="1:13" ht="15.75" customHeight="1" outlineLevel="2">
      <c r="A582" s="32">
        <v>6</v>
      </c>
      <c r="B582" s="33" t="s">
        <v>527</v>
      </c>
      <c r="C582" s="34" t="s">
        <v>514</v>
      </c>
      <c r="D582" s="33" t="s">
        <v>1040</v>
      </c>
      <c r="E582" s="35">
        <v>12</v>
      </c>
      <c r="F582" s="26" t="s">
        <v>1396</v>
      </c>
      <c r="G582" s="36">
        <v>0.01</v>
      </c>
      <c r="H582" s="28">
        <f t="shared" si="69"/>
        <v>0.0008333333333333334</v>
      </c>
      <c r="I582" s="16" t="s">
        <v>632</v>
      </c>
      <c r="J582" s="29">
        <v>0.3</v>
      </c>
      <c r="K582" s="58">
        <f t="shared" si="70"/>
        <v>0.00025</v>
      </c>
      <c r="L582" s="30">
        <f>H582*DEMANDA!$B$9</f>
        <v>0.10916666666666668</v>
      </c>
      <c r="M582" s="29">
        <f t="shared" si="71"/>
        <v>0.03275</v>
      </c>
    </row>
    <row r="583" spans="1:13" ht="15.75" customHeight="1" outlineLevel="2">
      <c r="A583" s="25">
        <v>7</v>
      </c>
      <c r="B583" s="26" t="s">
        <v>529</v>
      </c>
      <c r="C583" s="17" t="s">
        <v>510</v>
      </c>
      <c r="D583" s="26" t="s">
        <v>1041</v>
      </c>
      <c r="E583" s="27">
        <v>4</v>
      </c>
      <c r="F583" s="26" t="s">
        <v>1396</v>
      </c>
      <c r="G583" s="28">
        <v>0.005</v>
      </c>
      <c r="H583" s="28">
        <f t="shared" si="69"/>
        <v>0.00125</v>
      </c>
      <c r="I583" s="16" t="s">
        <v>632</v>
      </c>
      <c r="J583" s="29">
        <v>0.3</v>
      </c>
      <c r="K583" s="58">
        <f t="shared" si="70"/>
        <v>0.000375</v>
      </c>
      <c r="L583" s="30">
        <f>H583*DEMANDA!$B$9</f>
        <v>0.16375</v>
      </c>
      <c r="M583" s="29">
        <f t="shared" si="71"/>
        <v>0.049125</v>
      </c>
    </row>
    <row r="584" spans="1:13" ht="15.75" customHeight="1" outlineLevel="2">
      <c r="A584" s="25">
        <v>10</v>
      </c>
      <c r="B584" s="26" t="s">
        <v>533</v>
      </c>
      <c r="C584" s="17" t="s">
        <v>514</v>
      </c>
      <c r="D584" s="26" t="s">
        <v>1042</v>
      </c>
      <c r="E584" s="27">
        <v>4</v>
      </c>
      <c r="F584" s="26" t="s">
        <v>1396</v>
      </c>
      <c r="G584" s="28">
        <v>0.005</v>
      </c>
      <c r="H584" s="28">
        <f t="shared" si="69"/>
        <v>0.00125</v>
      </c>
      <c r="I584" s="16" t="s">
        <v>632</v>
      </c>
      <c r="J584" s="29">
        <v>0.3</v>
      </c>
      <c r="K584" s="58">
        <f t="shared" si="70"/>
        <v>0.000375</v>
      </c>
      <c r="L584" s="30">
        <f>H584*DEMANDA!$B$9</f>
        <v>0.16375</v>
      </c>
      <c r="M584" s="29">
        <f t="shared" si="71"/>
        <v>0.049125</v>
      </c>
    </row>
    <row r="585" spans="1:13" ht="15.75" customHeight="1" outlineLevel="2">
      <c r="A585" s="25">
        <v>14</v>
      </c>
      <c r="B585" s="26" t="s">
        <v>578</v>
      </c>
      <c r="C585" s="17" t="s">
        <v>510</v>
      </c>
      <c r="D585" s="26" t="s">
        <v>1043</v>
      </c>
      <c r="E585" s="27">
        <v>4</v>
      </c>
      <c r="F585" s="26" t="s">
        <v>1396</v>
      </c>
      <c r="G585" s="28">
        <v>0.01</v>
      </c>
      <c r="H585" s="28">
        <f t="shared" si="69"/>
        <v>0.0025</v>
      </c>
      <c r="I585" s="16" t="s">
        <v>632</v>
      </c>
      <c r="J585" s="29">
        <v>0.3</v>
      </c>
      <c r="K585" s="58">
        <f t="shared" si="70"/>
        <v>0.00075</v>
      </c>
      <c r="L585" s="30">
        <f>H585*DEMANDA!$B$9</f>
        <v>0.3275</v>
      </c>
      <c r="M585" s="29">
        <f t="shared" si="71"/>
        <v>0.09825</v>
      </c>
    </row>
    <row r="586" spans="1:13" ht="15.75" customHeight="1" outlineLevel="2">
      <c r="A586" s="25">
        <v>17</v>
      </c>
      <c r="B586" s="26" t="s">
        <v>543</v>
      </c>
      <c r="C586" s="17" t="s">
        <v>510</v>
      </c>
      <c r="D586" s="26" t="s">
        <v>1044</v>
      </c>
      <c r="E586" s="27">
        <v>4</v>
      </c>
      <c r="F586" s="26" t="s">
        <v>1396</v>
      </c>
      <c r="G586" s="28">
        <v>0.005</v>
      </c>
      <c r="H586" s="28">
        <f t="shared" si="69"/>
        <v>0.00125</v>
      </c>
      <c r="I586" s="16" t="s">
        <v>632</v>
      </c>
      <c r="J586" s="29">
        <v>0.3</v>
      </c>
      <c r="K586" s="58">
        <f t="shared" si="70"/>
        <v>0.000375</v>
      </c>
      <c r="L586" s="30">
        <f>H586*DEMANDA!$B$9</f>
        <v>0.16375</v>
      </c>
      <c r="M586" s="29">
        <f t="shared" si="71"/>
        <v>0.049125</v>
      </c>
    </row>
    <row r="587" spans="1:13" ht="15.75" customHeight="1" outlineLevel="2">
      <c r="A587" s="25">
        <v>18</v>
      </c>
      <c r="B587" s="26" t="s">
        <v>626</v>
      </c>
      <c r="C587" s="17" t="s">
        <v>514</v>
      </c>
      <c r="D587" s="26" t="s">
        <v>1045</v>
      </c>
      <c r="E587" s="27">
        <v>4</v>
      </c>
      <c r="F587" s="26" t="s">
        <v>1396</v>
      </c>
      <c r="G587" s="28">
        <v>0.005</v>
      </c>
      <c r="H587" s="28">
        <f t="shared" si="69"/>
        <v>0.00125</v>
      </c>
      <c r="I587" s="16" t="s">
        <v>632</v>
      </c>
      <c r="J587" s="29">
        <v>0.3</v>
      </c>
      <c r="K587" s="58">
        <f t="shared" si="70"/>
        <v>0.000375</v>
      </c>
      <c r="L587" s="30">
        <f>H587*DEMANDA!$B$9</f>
        <v>0.16375</v>
      </c>
      <c r="M587" s="29">
        <f t="shared" si="71"/>
        <v>0.049125</v>
      </c>
    </row>
    <row r="588" spans="1:13" ht="15.75" customHeight="1" outlineLevel="2">
      <c r="A588" s="25">
        <v>21</v>
      </c>
      <c r="B588" s="26" t="s">
        <v>515</v>
      </c>
      <c r="C588" s="17" t="s">
        <v>514</v>
      </c>
      <c r="D588" s="26" t="s">
        <v>1046</v>
      </c>
      <c r="E588" s="27">
        <v>4</v>
      </c>
      <c r="F588" s="26" t="s">
        <v>1396</v>
      </c>
      <c r="G588" s="28">
        <v>0.015</v>
      </c>
      <c r="H588" s="28">
        <f t="shared" si="69"/>
        <v>0.00375</v>
      </c>
      <c r="I588" s="16" t="s">
        <v>632</v>
      </c>
      <c r="J588" s="29">
        <v>0.3</v>
      </c>
      <c r="K588" s="58">
        <f t="shared" si="70"/>
        <v>0.001125</v>
      </c>
      <c r="L588" s="30">
        <f>H588*DEMANDA!$B$9</f>
        <v>0.49124999999999996</v>
      </c>
      <c r="M588" s="29">
        <f t="shared" si="71"/>
        <v>0.14737499999999998</v>
      </c>
    </row>
    <row r="589" spans="1:13" ht="15.75" customHeight="1" outlineLevel="1">
      <c r="A589" s="25"/>
      <c r="B589" s="26"/>
      <c r="C589" s="17"/>
      <c r="D589" s="26"/>
      <c r="E589" s="27"/>
      <c r="F589" s="52" t="s">
        <v>48</v>
      </c>
      <c r="G589" s="28"/>
      <c r="H589" s="28"/>
      <c r="I589" s="16"/>
      <c r="J589" s="29"/>
      <c r="K589" s="58">
        <f>SUBTOTAL(9,K579:K588)</f>
        <v>0.031875</v>
      </c>
      <c r="L589" s="30"/>
      <c r="M589" s="29"/>
    </row>
    <row r="590" spans="1:13" ht="15.75" customHeight="1" outlineLevel="2">
      <c r="A590" s="25">
        <v>1</v>
      </c>
      <c r="B590" s="26" t="s">
        <v>509</v>
      </c>
      <c r="C590" s="17" t="s">
        <v>510</v>
      </c>
      <c r="D590" s="26" t="s">
        <v>1047</v>
      </c>
      <c r="E590" s="27">
        <v>4</v>
      </c>
      <c r="F590" s="26" t="s">
        <v>1342</v>
      </c>
      <c r="G590" s="28">
        <v>0.0025</v>
      </c>
      <c r="H590" s="28">
        <f aca="true" t="shared" si="72" ref="H590:H624">G590/E590</f>
        <v>0.000625</v>
      </c>
      <c r="I590" s="39" t="s">
        <v>555</v>
      </c>
      <c r="J590" s="29">
        <v>4.88</v>
      </c>
      <c r="K590" s="58">
        <f aca="true" t="shared" si="73" ref="K590:K624">J590*H590</f>
        <v>0.00305</v>
      </c>
      <c r="L590" s="30">
        <f>H590*DEMANDA!$B$9</f>
        <v>0.081875</v>
      </c>
      <c r="M590" s="29">
        <f aca="true" t="shared" si="74" ref="M590:M624">L590*J590</f>
        <v>0.39955</v>
      </c>
    </row>
    <row r="591" spans="1:13" ht="15.75" customHeight="1" outlineLevel="2">
      <c r="A591" s="25">
        <v>2</v>
      </c>
      <c r="B591" s="26" t="s">
        <v>700</v>
      </c>
      <c r="C591" s="17" t="s">
        <v>510</v>
      </c>
      <c r="D591" s="26" t="s">
        <v>1049</v>
      </c>
      <c r="E591" s="27">
        <v>4</v>
      </c>
      <c r="F591" s="26" t="s">
        <v>1342</v>
      </c>
      <c r="G591" s="28">
        <v>0.000125</v>
      </c>
      <c r="H591" s="28">
        <f t="shared" si="72"/>
        <v>3.125E-05</v>
      </c>
      <c r="I591" s="39" t="s">
        <v>555</v>
      </c>
      <c r="J591" s="29">
        <v>4.88</v>
      </c>
      <c r="K591" s="58">
        <f t="shared" si="73"/>
        <v>0.0001525</v>
      </c>
      <c r="L591" s="30">
        <f>H591*DEMANDA!$B$9</f>
        <v>0.00409375</v>
      </c>
      <c r="M591" s="29">
        <f t="shared" si="74"/>
        <v>0.0199775</v>
      </c>
    </row>
    <row r="592" spans="1:13" ht="15.75" customHeight="1" outlineLevel="2">
      <c r="A592" s="25">
        <v>2</v>
      </c>
      <c r="B592" s="26" t="s">
        <v>923</v>
      </c>
      <c r="C592" s="17" t="s">
        <v>514</v>
      </c>
      <c r="D592" s="26" t="s">
        <v>1048</v>
      </c>
      <c r="E592" s="27">
        <v>4</v>
      </c>
      <c r="F592" s="26" t="s">
        <v>1342</v>
      </c>
      <c r="G592" s="28">
        <v>0.0025</v>
      </c>
      <c r="H592" s="28">
        <f t="shared" si="72"/>
        <v>0.000625</v>
      </c>
      <c r="I592" s="39" t="s">
        <v>555</v>
      </c>
      <c r="J592" s="29">
        <v>4.88</v>
      </c>
      <c r="K592" s="58">
        <f t="shared" si="73"/>
        <v>0.00305</v>
      </c>
      <c r="L592" s="30">
        <f>H592*DEMANDA!$B$9</f>
        <v>0.081875</v>
      </c>
      <c r="M592" s="29">
        <f t="shared" si="74"/>
        <v>0.39955</v>
      </c>
    </row>
    <row r="593" spans="1:13" ht="15.75" customHeight="1" outlineLevel="2">
      <c r="A593" s="25">
        <v>3</v>
      </c>
      <c r="B593" s="26" t="s">
        <v>524</v>
      </c>
      <c r="C593" s="17" t="s">
        <v>510</v>
      </c>
      <c r="D593" s="26" t="s">
        <v>1050</v>
      </c>
      <c r="E593" s="27">
        <v>4</v>
      </c>
      <c r="F593" s="26" t="s">
        <v>1342</v>
      </c>
      <c r="G593" s="28">
        <v>0.0025</v>
      </c>
      <c r="H593" s="28">
        <f t="shared" si="72"/>
        <v>0.000625</v>
      </c>
      <c r="I593" s="39" t="s">
        <v>555</v>
      </c>
      <c r="J593" s="29">
        <v>4.88</v>
      </c>
      <c r="K593" s="58">
        <f t="shared" si="73"/>
        <v>0.00305</v>
      </c>
      <c r="L593" s="30">
        <f>H593*DEMANDA!$B$9</f>
        <v>0.081875</v>
      </c>
      <c r="M593" s="29">
        <f t="shared" si="74"/>
        <v>0.39955</v>
      </c>
    </row>
    <row r="594" spans="1:13" ht="15.75" customHeight="1" outlineLevel="2">
      <c r="A594" s="25">
        <v>3</v>
      </c>
      <c r="B594" s="26" t="s">
        <v>523</v>
      </c>
      <c r="C594" s="17" t="s">
        <v>514</v>
      </c>
      <c r="D594" s="26" t="s">
        <v>1048</v>
      </c>
      <c r="E594" s="27">
        <v>4</v>
      </c>
      <c r="F594" s="26" t="s">
        <v>1342</v>
      </c>
      <c r="G594" s="28">
        <v>0.0025</v>
      </c>
      <c r="H594" s="28">
        <f t="shared" si="72"/>
        <v>0.000625</v>
      </c>
      <c r="I594" s="39" t="s">
        <v>555</v>
      </c>
      <c r="J594" s="29">
        <v>4.88</v>
      </c>
      <c r="K594" s="58">
        <f t="shared" si="73"/>
        <v>0.00305</v>
      </c>
      <c r="L594" s="30">
        <f>H594*DEMANDA!$B$9</f>
        <v>0.081875</v>
      </c>
      <c r="M594" s="29">
        <f t="shared" si="74"/>
        <v>0.39955</v>
      </c>
    </row>
    <row r="595" spans="1:13" ht="15.75" customHeight="1" outlineLevel="2">
      <c r="A595" s="25">
        <v>5</v>
      </c>
      <c r="B595" s="26" t="s">
        <v>526</v>
      </c>
      <c r="C595" s="17" t="s">
        <v>514</v>
      </c>
      <c r="D595" s="26" t="s">
        <v>1048</v>
      </c>
      <c r="E595" s="27">
        <v>4</v>
      </c>
      <c r="F595" s="26" t="s">
        <v>1342</v>
      </c>
      <c r="G595" s="28">
        <v>0.0025</v>
      </c>
      <c r="H595" s="28">
        <f t="shared" si="72"/>
        <v>0.000625</v>
      </c>
      <c r="I595" s="39" t="s">
        <v>555</v>
      </c>
      <c r="J595" s="29">
        <v>4.88</v>
      </c>
      <c r="K595" s="58">
        <f t="shared" si="73"/>
        <v>0.00305</v>
      </c>
      <c r="L595" s="30">
        <f>H595*DEMANDA!$B$9</f>
        <v>0.081875</v>
      </c>
      <c r="M595" s="29">
        <f t="shared" si="74"/>
        <v>0.39955</v>
      </c>
    </row>
    <row r="596" spans="1:13" ht="15.75" customHeight="1" outlineLevel="2">
      <c r="A596" s="32">
        <v>6</v>
      </c>
      <c r="B596" s="33" t="s">
        <v>527</v>
      </c>
      <c r="C596" s="34" t="s">
        <v>514</v>
      </c>
      <c r="D596" s="33" t="s">
        <v>1052</v>
      </c>
      <c r="E596" s="35">
        <v>12</v>
      </c>
      <c r="F596" s="26" t="s">
        <v>1342</v>
      </c>
      <c r="G596" s="36">
        <v>0.00125</v>
      </c>
      <c r="H596" s="28">
        <f t="shared" si="72"/>
        <v>0.00010416666666666667</v>
      </c>
      <c r="I596" s="39" t="s">
        <v>555</v>
      </c>
      <c r="J596" s="29">
        <v>4.88</v>
      </c>
      <c r="K596" s="58">
        <f t="shared" si="73"/>
        <v>0.0005083333333333334</v>
      </c>
      <c r="L596" s="30">
        <f>H596*DEMANDA!$B$9</f>
        <v>0.013645833333333334</v>
      </c>
      <c r="M596" s="29">
        <f t="shared" si="74"/>
        <v>0.06659166666666667</v>
      </c>
    </row>
    <row r="597" spans="1:13" ht="15.75" customHeight="1" outlineLevel="2">
      <c r="A597" s="25">
        <v>7</v>
      </c>
      <c r="B597" s="26" t="s">
        <v>563</v>
      </c>
      <c r="C597" s="17" t="s">
        <v>514</v>
      </c>
      <c r="D597" s="26" t="s">
        <v>1048</v>
      </c>
      <c r="E597" s="27">
        <v>4</v>
      </c>
      <c r="F597" s="26" t="s">
        <v>1342</v>
      </c>
      <c r="G597" s="28">
        <v>0.0025</v>
      </c>
      <c r="H597" s="28">
        <f t="shared" si="72"/>
        <v>0.000625</v>
      </c>
      <c r="I597" s="39" t="s">
        <v>555</v>
      </c>
      <c r="J597" s="29">
        <v>4.88</v>
      </c>
      <c r="K597" s="58">
        <f t="shared" si="73"/>
        <v>0.00305</v>
      </c>
      <c r="L597" s="30">
        <f>H597*DEMANDA!$B$9</f>
        <v>0.081875</v>
      </c>
      <c r="M597" s="29">
        <f t="shared" si="74"/>
        <v>0.39955</v>
      </c>
    </row>
    <row r="598" spans="1:13" ht="15.75" customHeight="1" outlineLevel="2">
      <c r="A598" s="25">
        <v>7</v>
      </c>
      <c r="B598" s="26" t="s">
        <v>529</v>
      </c>
      <c r="C598" s="17" t="s">
        <v>510</v>
      </c>
      <c r="D598" s="26" t="s">
        <v>1053</v>
      </c>
      <c r="E598" s="27">
        <v>4</v>
      </c>
      <c r="F598" s="26" t="s">
        <v>1342</v>
      </c>
      <c r="G598" s="28">
        <v>0.0025</v>
      </c>
      <c r="H598" s="28">
        <f t="shared" si="72"/>
        <v>0.000625</v>
      </c>
      <c r="I598" s="39" t="s">
        <v>555</v>
      </c>
      <c r="J598" s="29">
        <v>4.88</v>
      </c>
      <c r="K598" s="58">
        <f t="shared" si="73"/>
        <v>0.00305</v>
      </c>
      <c r="L598" s="30">
        <f>H598*DEMANDA!$B$9</f>
        <v>0.081875</v>
      </c>
      <c r="M598" s="29">
        <f t="shared" si="74"/>
        <v>0.39955</v>
      </c>
    </row>
    <row r="599" spans="1:13" ht="15.75" customHeight="1" outlineLevel="2">
      <c r="A599" s="25">
        <v>9</v>
      </c>
      <c r="B599" s="26" t="s">
        <v>531</v>
      </c>
      <c r="C599" s="17" t="s">
        <v>510</v>
      </c>
      <c r="D599" s="26" t="s">
        <v>1055</v>
      </c>
      <c r="E599" s="27">
        <v>4</v>
      </c>
      <c r="F599" s="26" t="s">
        <v>1342</v>
      </c>
      <c r="G599" s="28">
        <v>0.0025</v>
      </c>
      <c r="H599" s="28">
        <f t="shared" si="72"/>
        <v>0.000625</v>
      </c>
      <c r="I599" s="39" t="s">
        <v>555</v>
      </c>
      <c r="J599" s="29">
        <v>4.88</v>
      </c>
      <c r="K599" s="58">
        <f t="shared" si="73"/>
        <v>0.00305</v>
      </c>
      <c r="L599" s="30">
        <f>H599*DEMANDA!$B$9</f>
        <v>0.081875</v>
      </c>
      <c r="M599" s="29">
        <f t="shared" si="74"/>
        <v>0.39955</v>
      </c>
    </row>
    <row r="600" spans="1:13" ht="15.75" customHeight="1" outlineLevel="2">
      <c r="A600" s="25">
        <v>9</v>
      </c>
      <c r="B600" s="26" t="s">
        <v>564</v>
      </c>
      <c r="C600" s="17" t="s">
        <v>514</v>
      </c>
      <c r="D600" s="26" t="s">
        <v>1054</v>
      </c>
      <c r="E600" s="27">
        <v>8</v>
      </c>
      <c r="F600" s="26" t="s">
        <v>1342</v>
      </c>
      <c r="G600" s="28">
        <v>0.0025</v>
      </c>
      <c r="H600" s="28">
        <f t="shared" si="72"/>
        <v>0.0003125</v>
      </c>
      <c r="I600" s="39" t="s">
        <v>555</v>
      </c>
      <c r="J600" s="29">
        <v>4.88</v>
      </c>
      <c r="K600" s="58">
        <f t="shared" si="73"/>
        <v>0.001525</v>
      </c>
      <c r="L600" s="30">
        <f>H600*DEMANDA!$B$9</f>
        <v>0.0409375</v>
      </c>
      <c r="M600" s="29">
        <f t="shared" si="74"/>
        <v>0.199775</v>
      </c>
    </row>
    <row r="601" spans="1:13" ht="15.75" customHeight="1" outlineLevel="2">
      <c r="A601" s="25">
        <v>10</v>
      </c>
      <c r="B601" s="26" t="s">
        <v>533</v>
      </c>
      <c r="C601" s="17" t="s">
        <v>514</v>
      </c>
      <c r="D601" s="26" t="s">
        <v>1056</v>
      </c>
      <c r="E601" s="27">
        <v>4</v>
      </c>
      <c r="F601" s="26" t="s">
        <v>1342</v>
      </c>
      <c r="G601" s="28">
        <v>0.0025</v>
      </c>
      <c r="H601" s="28">
        <f t="shared" si="72"/>
        <v>0.000625</v>
      </c>
      <c r="I601" s="39" t="s">
        <v>555</v>
      </c>
      <c r="J601" s="29">
        <v>4.88</v>
      </c>
      <c r="K601" s="58">
        <f t="shared" si="73"/>
        <v>0.00305</v>
      </c>
      <c r="L601" s="30">
        <f>H601*DEMANDA!$B$9</f>
        <v>0.081875</v>
      </c>
      <c r="M601" s="29">
        <f t="shared" si="74"/>
        <v>0.39955</v>
      </c>
    </row>
    <row r="602" spans="1:13" ht="15.75" customHeight="1" outlineLevel="2">
      <c r="A602" s="25">
        <v>11</v>
      </c>
      <c r="B602" s="26" t="s">
        <v>535</v>
      </c>
      <c r="C602" s="17" t="s">
        <v>510</v>
      </c>
      <c r="D602" s="26" t="s">
        <v>1053</v>
      </c>
      <c r="E602" s="27">
        <v>4</v>
      </c>
      <c r="F602" s="26" t="s">
        <v>1342</v>
      </c>
      <c r="G602" s="28">
        <v>0.0025</v>
      </c>
      <c r="H602" s="28">
        <f t="shared" si="72"/>
        <v>0.000625</v>
      </c>
      <c r="I602" s="39" t="s">
        <v>555</v>
      </c>
      <c r="J602" s="29">
        <v>4.88</v>
      </c>
      <c r="K602" s="58">
        <f t="shared" si="73"/>
        <v>0.00305</v>
      </c>
      <c r="L602" s="30">
        <f>H602*DEMANDA!$B$9</f>
        <v>0.081875</v>
      </c>
      <c r="M602" s="29">
        <f t="shared" si="74"/>
        <v>0.39955</v>
      </c>
    </row>
    <row r="603" spans="1:13" ht="15.75" customHeight="1" outlineLevel="2">
      <c r="A603" s="25">
        <v>12</v>
      </c>
      <c r="B603" s="26" t="s">
        <v>537</v>
      </c>
      <c r="C603" s="17" t="s">
        <v>514</v>
      </c>
      <c r="D603" s="26" t="s">
        <v>1057</v>
      </c>
      <c r="E603" s="27">
        <v>4</v>
      </c>
      <c r="F603" s="26" t="s">
        <v>1342</v>
      </c>
      <c r="G603" s="28">
        <v>0.0025</v>
      </c>
      <c r="H603" s="28">
        <f t="shared" si="72"/>
        <v>0.000625</v>
      </c>
      <c r="I603" s="39" t="s">
        <v>555</v>
      </c>
      <c r="J603" s="29">
        <v>4.88</v>
      </c>
      <c r="K603" s="58">
        <f t="shared" si="73"/>
        <v>0.00305</v>
      </c>
      <c r="L603" s="30">
        <f>H603*DEMANDA!$B$9</f>
        <v>0.081875</v>
      </c>
      <c r="M603" s="29">
        <f t="shared" si="74"/>
        <v>0.39955</v>
      </c>
    </row>
    <row r="604" spans="1:13" ht="15.75" customHeight="1" outlineLevel="2">
      <c r="A604" s="25">
        <v>13</v>
      </c>
      <c r="B604" s="26" t="s">
        <v>775</v>
      </c>
      <c r="C604" s="17" t="s">
        <v>510</v>
      </c>
      <c r="D604" s="26" t="s">
        <v>1058</v>
      </c>
      <c r="E604" s="27">
        <v>4</v>
      </c>
      <c r="F604" s="26" t="s">
        <v>1342</v>
      </c>
      <c r="G604" s="28">
        <v>0.000625</v>
      </c>
      <c r="H604" s="28">
        <f t="shared" si="72"/>
        <v>0.00015625</v>
      </c>
      <c r="I604" s="39" t="s">
        <v>555</v>
      </c>
      <c r="J604" s="29">
        <v>4.88</v>
      </c>
      <c r="K604" s="58">
        <f t="shared" si="73"/>
        <v>0.0007625</v>
      </c>
      <c r="L604" s="30">
        <f>H604*DEMANDA!$B$9</f>
        <v>0.02046875</v>
      </c>
      <c r="M604" s="29">
        <f t="shared" si="74"/>
        <v>0.0998875</v>
      </c>
    </row>
    <row r="605" spans="1:13" ht="15.75" customHeight="1" outlineLevel="2">
      <c r="A605" s="25">
        <v>15</v>
      </c>
      <c r="B605" s="26" t="s">
        <v>513</v>
      </c>
      <c r="C605" s="17" t="s">
        <v>514</v>
      </c>
      <c r="D605" s="26" t="s">
        <v>1048</v>
      </c>
      <c r="E605" s="27">
        <v>4</v>
      </c>
      <c r="F605" s="26" t="s">
        <v>1342</v>
      </c>
      <c r="G605" s="28">
        <v>0.0025</v>
      </c>
      <c r="H605" s="28">
        <f t="shared" si="72"/>
        <v>0.000625</v>
      </c>
      <c r="I605" s="39" t="s">
        <v>555</v>
      </c>
      <c r="J605" s="29">
        <v>4.88</v>
      </c>
      <c r="K605" s="58">
        <f t="shared" si="73"/>
        <v>0.00305</v>
      </c>
      <c r="L605" s="30">
        <f>H605*DEMANDA!$B$9</f>
        <v>0.081875</v>
      </c>
      <c r="M605" s="29">
        <f t="shared" si="74"/>
        <v>0.39955</v>
      </c>
    </row>
    <row r="606" spans="1:13" ht="15.75" customHeight="1" outlineLevel="2">
      <c r="A606" s="25">
        <v>15</v>
      </c>
      <c r="B606" s="26" t="s">
        <v>759</v>
      </c>
      <c r="C606" s="17" t="s">
        <v>510</v>
      </c>
      <c r="D606" s="26" t="s">
        <v>1048</v>
      </c>
      <c r="E606" s="27">
        <v>4</v>
      </c>
      <c r="F606" s="26" t="s">
        <v>1342</v>
      </c>
      <c r="G606" s="28">
        <v>0.0025</v>
      </c>
      <c r="H606" s="28">
        <f t="shared" si="72"/>
        <v>0.000625</v>
      </c>
      <c r="I606" s="39" t="s">
        <v>555</v>
      </c>
      <c r="J606" s="29">
        <v>4.88</v>
      </c>
      <c r="K606" s="58">
        <f t="shared" si="73"/>
        <v>0.00305</v>
      </c>
      <c r="L606" s="30">
        <f>H606*DEMANDA!$B$9</f>
        <v>0.081875</v>
      </c>
      <c r="M606" s="29">
        <f t="shared" si="74"/>
        <v>0.39955</v>
      </c>
    </row>
    <row r="607" spans="1:13" ht="15.75" customHeight="1" outlineLevel="2">
      <c r="A607" s="25">
        <v>16</v>
      </c>
      <c r="B607" s="26" t="s">
        <v>842</v>
      </c>
      <c r="C607" s="17" t="s">
        <v>510</v>
      </c>
      <c r="D607" s="26" t="s">
        <v>1053</v>
      </c>
      <c r="E607" s="27">
        <v>4</v>
      </c>
      <c r="F607" s="26" t="s">
        <v>1342</v>
      </c>
      <c r="G607" s="28">
        <v>0.0025</v>
      </c>
      <c r="H607" s="28">
        <f t="shared" si="72"/>
        <v>0.000625</v>
      </c>
      <c r="I607" s="39" t="s">
        <v>555</v>
      </c>
      <c r="J607" s="29">
        <v>4.88</v>
      </c>
      <c r="K607" s="58">
        <f t="shared" si="73"/>
        <v>0.00305</v>
      </c>
      <c r="L607" s="30">
        <f>H607*DEMANDA!$B$9</f>
        <v>0.081875</v>
      </c>
      <c r="M607" s="29">
        <f t="shared" si="74"/>
        <v>0.39955</v>
      </c>
    </row>
    <row r="608" spans="1:13" ht="15.75" customHeight="1" outlineLevel="2">
      <c r="A608" s="25">
        <v>17</v>
      </c>
      <c r="B608" s="26" t="s">
        <v>543</v>
      </c>
      <c r="C608" s="17" t="s">
        <v>510</v>
      </c>
      <c r="D608" s="26" t="s">
        <v>1053</v>
      </c>
      <c r="E608" s="27">
        <v>4</v>
      </c>
      <c r="F608" s="26" t="s">
        <v>1342</v>
      </c>
      <c r="G608" s="28">
        <v>0.0025</v>
      </c>
      <c r="H608" s="28">
        <f t="shared" si="72"/>
        <v>0.000625</v>
      </c>
      <c r="I608" s="39" t="s">
        <v>555</v>
      </c>
      <c r="J608" s="29">
        <v>4.88</v>
      </c>
      <c r="K608" s="58">
        <f t="shared" si="73"/>
        <v>0.00305</v>
      </c>
      <c r="L608" s="30">
        <f>H608*DEMANDA!$B$9</f>
        <v>0.081875</v>
      </c>
      <c r="M608" s="29">
        <f t="shared" si="74"/>
        <v>0.39955</v>
      </c>
    </row>
    <row r="609" spans="1:13" ht="15.75" customHeight="1" outlineLevel="2">
      <c r="A609" s="25">
        <v>17</v>
      </c>
      <c r="B609" s="26" t="s">
        <v>569</v>
      </c>
      <c r="C609" s="17" t="s">
        <v>514</v>
      </c>
      <c r="D609" s="26" t="s">
        <v>1058</v>
      </c>
      <c r="E609" s="27">
        <v>4</v>
      </c>
      <c r="F609" s="26" t="s">
        <v>1342</v>
      </c>
      <c r="G609" s="28">
        <v>0.000625</v>
      </c>
      <c r="H609" s="28">
        <f t="shared" si="72"/>
        <v>0.00015625</v>
      </c>
      <c r="I609" s="39" t="s">
        <v>555</v>
      </c>
      <c r="J609" s="29">
        <v>4.88</v>
      </c>
      <c r="K609" s="58">
        <f t="shared" si="73"/>
        <v>0.0007625</v>
      </c>
      <c r="L609" s="30">
        <f>H609*DEMANDA!$B$9</f>
        <v>0.02046875</v>
      </c>
      <c r="M609" s="29">
        <f t="shared" si="74"/>
        <v>0.0998875</v>
      </c>
    </row>
    <row r="610" spans="1:13" ht="15.75" customHeight="1" outlineLevel="2">
      <c r="A610" s="25">
        <v>18</v>
      </c>
      <c r="B610" s="26" t="s">
        <v>626</v>
      </c>
      <c r="C610" s="17" t="s">
        <v>514</v>
      </c>
      <c r="D610" s="26" t="s">
        <v>1048</v>
      </c>
      <c r="E610" s="27">
        <v>4</v>
      </c>
      <c r="F610" s="26" t="s">
        <v>1342</v>
      </c>
      <c r="G610" s="28">
        <v>0.0025</v>
      </c>
      <c r="H610" s="28">
        <f t="shared" si="72"/>
        <v>0.000625</v>
      </c>
      <c r="I610" s="39" t="s">
        <v>555</v>
      </c>
      <c r="J610" s="29">
        <v>4.88</v>
      </c>
      <c r="K610" s="58">
        <f t="shared" si="73"/>
        <v>0.00305</v>
      </c>
      <c r="L610" s="30">
        <f>H610*DEMANDA!$B$9</f>
        <v>0.081875</v>
      </c>
      <c r="M610" s="29">
        <f t="shared" si="74"/>
        <v>0.39955</v>
      </c>
    </row>
    <row r="611" spans="1:13" ht="15.75" customHeight="1" outlineLevel="2">
      <c r="A611" s="25">
        <v>20</v>
      </c>
      <c r="B611" s="26" t="s">
        <v>576</v>
      </c>
      <c r="C611" s="17" t="s">
        <v>514</v>
      </c>
      <c r="D611" s="26" t="s">
        <v>1048</v>
      </c>
      <c r="E611" s="27">
        <v>4</v>
      </c>
      <c r="F611" s="26" t="s">
        <v>1342</v>
      </c>
      <c r="G611" s="28">
        <v>0.0025</v>
      </c>
      <c r="H611" s="28">
        <f t="shared" si="72"/>
        <v>0.000625</v>
      </c>
      <c r="I611" s="39" t="s">
        <v>555</v>
      </c>
      <c r="J611" s="29">
        <v>4.88</v>
      </c>
      <c r="K611" s="58">
        <f t="shared" si="73"/>
        <v>0.00305</v>
      </c>
      <c r="L611" s="30">
        <f>H611*DEMANDA!$B$9</f>
        <v>0.081875</v>
      </c>
      <c r="M611" s="29">
        <f t="shared" si="74"/>
        <v>0.39955</v>
      </c>
    </row>
    <row r="612" spans="1:13" ht="15.75" customHeight="1" outlineLevel="2">
      <c r="A612" s="25">
        <v>21</v>
      </c>
      <c r="B612" s="26" t="s">
        <v>515</v>
      </c>
      <c r="C612" s="17" t="s">
        <v>514</v>
      </c>
      <c r="D612" s="26" t="s">
        <v>1048</v>
      </c>
      <c r="E612" s="27">
        <v>4</v>
      </c>
      <c r="F612" s="26" t="s">
        <v>1342</v>
      </c>
      <c r="G612" s="28">
        <v>0.0025</v>
      </c>
      <c r="H612" s="28">
        <f t="shared" si="72"/>
        <v>0.000625</v>
      </c>
      <c r="I612" s="39" t="s">
        <v>555</v>
      </c>
      <c r="J612" s="29">
        <v>4.88</v>
      </c>
      <c r="K612" s="58">
        <f t="shared" si="73"/>
        <v>0.00305</v>
      </c>
      <c r="L612" s="30">
        <f>H612*DEMANDA!$B$9</f>
        <v>0.081875</v>
      </c>
      <c r="M612" s="29">
        <f t="shared" si="74"/>
        <v>0.39955</v>
      </c>
    </row>
    <row r="613" spans="1:13" ht="15.75" customHeight="1" outlineLevel="2">
      <c r="A613" s="25">
        <v>21</v>
      </c>
      <c r="B613" s="26" t="s">
        <v>546</v>
      </c>
      <c r="C613" s="17" t="s">
        <v>510</v>
      </c>
      <c r="D613" s="16" t="s">
        <v>1059</v>
      </c>
      <c r="E613" s="27">
        <v>4</v>
      </c>
      <c r="F613" s="26" t="s">
        <v>1342</v>
      </c>
      <c r="G613" s="28">
        <v>0.0025</v>
      </c>
      <c r="H613" s="28">
        <f t="shared" si="72"/>
        <v>0.000625</v>
      </c>
      <c r="I613" s="39" t="s">
        <v>555</v>
      </c>
      <c r="J613" s="29">
        <v>4.88</v>
      </c>
      <c r="K613" s="58">
        <f t="shared" si="73"/>
        <v>0.00305</v>
      </c>
      <c r="L613" s="30">
        <f>H613*DEMANDA!$B$9</f>
        <v>0.081875</v>
      </c>
      <c r="M613" s="29">
        <f t="shared" si="74"/>
        <v>0.39955</v>
      </c>
    </row>
    <row r="614" spans="1:13" ht="15.75" customHeight="1" outlineLevel="2">
      <c r="A614" s="25">
        <v>22</v>
      </c>
      <c r="B614" s="26" t="s">
        <v>581</v>
      </c>
      <c r="C614" s="17" t="s">
        <v>514</v>
      </c>
      <c r="D614" s="26" t="s">
        <v>1048</v>
      </c>
      <c r="E614" s="27">
        <v>4</v>
      </c>
      <c r="F614" s="26" t="s">
        <v>1342</v>
      </c>
      <c r="G614" s="28">
        <v>0.0025</v>
      </c>
      <c r="H614" s="28">
        <f t="shared" si="72"/>
        <v>0.000625</v>
      </c>
      <c r="I614" s="39" t="s">
        <v>555</v>
      </c>
      <c r="J614" s="29">
        <v>4.88</v>
      </c>
      <c r="K614" s="58">
        <f t="shared" si="73"/>
        <v>0.00305</v>
      </c>
      <c r="L614" s="30">
        <f>H614*DEMANDA!$B$9</f>
        <v>0.081875</v>
      </c>
      <c r="M614" s="29">
        <f t="shared" si="74"/>
        <v>0.39955</v>
      </c>
    </row>
    <row r="615" spans="1:13" ht="15.75" customHeight="1" outlineLevel="2">
      <c r="A615" s="25">
        <v>23</v>
      </c>
      <c r="B615" s="26" t="s">
        <v>517</v>
      </c>
      <c r="C615" s="17" t="s">
        <v>514</v>
      </c>
      <c r="D615" s="26" t="s">
        <v>1060</v>
      </c>
      <c r="E615" s="27">
        <v>4</v>
      </c>
      <c r="F615" s="26" t="s">
        <v>1342</v>
      </c>
      <c r="G615" s="28">
        <v>0.0025</v>
      </c>
      <c r="H615" s="28">
        <f t="shared" si="72"/>
        <v>0.000625</v>
      </c>
      <c r="I615" s="39" t="s">
        <v>555</v>
      </c>
      <c r="J615" s="29">
        <v>4.88</v>
      </c>
      <c r="K615" s="58">
        <f t="shared" si="73"/>
        <v>0.00305</v>
      </c>
      <c r="L615" s="30">
        <f>H615*DEMANDA!$B$9</f>
        <v>0.081875</v>
      </c>
      <c r="M615" s="29">
        <f t="shared" si="74"/>
        <v>0.39955</v>
      </c>
    </row>
    <row r="616" spans="1:13" ht="15.75" customHeight="1" outlineLevel="2">
      <c r="A616" s="25">
        <v>15</v>
      </c>
      <c r="B616" s="26" t="s">
        <v>539</v>
      </c>
      <c r="C616" s="17" t="s">
        <v>521</v>
      </c>
      <c r="D616" s="26" t="s">
        <v>1053</v>
      </c>
      <c r="E616" s="27">
        <v>4</v>
      </c>
      <c r="F616" s="26" t="s">
        <v>1342</v>
      </c>
      <c r="G616" s="28">
        <v>0.0025</v>
      </c>
      <c r="H616" s="28">
        <f t="shared" si="72"/>
        <v>0.000625</v>
      </c>
      <c r="I616" s="39" t="s">
        <v>555</v>
      </c>
      <c r="J616" s="29">
        <v>4.88</v>
      </c>
      <c r="K616" s="58">
        <f t="shared" si="73"/>
        <v>0.00305</v>
      </c>
      <c r="L616" s="30">
        <f>H616*DEMANDA!$B$9</f>
        <v>0.081875</v>
      </c>
      <c r="M616" s="29">
        <f t="shared" si="74"/>
        <v>0.39955</v>
      </c>
    </row>
    <row r="617" spans="1:13" ht="15.75" customHeight="1" outlineLevel="2">
      <c r="A617" s="25">
        <v>18</v>
      </c>
      <c r="B617" s="26" t="s">
        <v>570</v>
      </c>
      <c r="C617" s="17" t="s">
        <v>521</v>
      </c>
      <c r="D617" s="26" t="s">
        <v>1053</v>
      </c>
      <c r="E617" s="27">
        <v>4</v>
      </c>
      <c r="F617" s="26" t="s">
        <v>1342</v>
      </c>
      <c r="G617" s="28">
        <v>0.0025</v>
      </c>
      <c r="H617" s="28">
        <f t="shared" si="72"/>
        <v>0.000625</v>
      </c>
      <c r="I617" s="39" t="s">
        <v>555</v>
      </c>
      <c r="J617" s="29">
        <v>4.88</v>
      </c>
      <c r="K617" s="58">
        <f t="shared" si="73"/>
        <v>0.00305</v>
      </c>
      <c r="L617" s="30">
        <f>H617*DEMANDA!$B$9</f>
        <v>0.081875</v>
      </c>
      <c r="M617" s="29">
        <f t="shared" si="74"/>
        <v>0.39955</v>
      </c>
    </row>
    <row r="618" spans="1:13" ht="15.75" customHeight="1" outlineLevel="2">
      <c r="A618" s="25">
        <v>5</v>
      </c>
      <c r="B618" s="26" t="s">
        <v>729</v>
      </c>
      <c r="C618" s="17" t="s">
        <v>521</v>
      </c>
      <c r="D618" s="26" t="s">
        <v>1051</v>
      </c>
      <c r="E618" s="27">
        <v>2</v>
      </c>
      <c r="F618" s="26" t="s">
        <v>1342</v>
      </c>
      <c r="G618" s="28">
        <v>0.000125</v>
      </c>
      <c r="H618" s="28">
        <f t="shared" si="72"/>
        <v>6.25E-05</v>
      </c>
      <c r="I618" s="39" t="s">
        <v>555</v>
      </c>
      <c r="J618" s="29">
        <v>4.88</v>
      </c>
      <c r="K618" s="58">
        <f t="shared" si="73"/>
        <v>0.000305</v>
      </c>
      <c r="L618" s="30">
        <f>H618*DEMANDA!$B$9</f>
        <v>0.0081875</v>
      </c>
      <c r="M618" s="29">
        <f t="shared" si="74"/>
        <v>0.039955</v>
      </c>
    </row>
    <row r="619" spans="1:13" ht="15.75" customHeight="1" outlineLevel="2">
      <c r="A619" s="25">
        <v>24</v>
      </c>
      <c r="B619" s="26" t="s">
        <v>548</v>
      </c>
      <c r="C619" s="17" t="s">
        <v>521</v>
      </c>
      <c r="D619" s="26" t="s">
        <v>1061</v>
      </c>
      <c r="E619" s="27">
        <v>2</v>
      </c>
      <c r="F619" s="26" t="s">
        <v>1342</v>
      </c>
      <c r="G619" s="28">
        <v>0.0025</v>
      </c>
      <c r="H619" s="28">
        <f t="shared" si="72"/>
        <v>0.00125</v>
      </c>
      <c r="I619" s="39" t="s">
        <v>555</v>
      </c>
      <c r="J619" s="29">
        <v>4.88</v>
      </c>
      <c r="K619" s="58">
        <f t="shared" si="73"/>
        <v>0.0061</v>
      </c>
      <c r="L619" s="30">
        <f>H619*DEMANDA!$B$9</f>
        <v>0.16375</v>
      </c>
      <c r="M619" s="29">
        <f t="shared" si="74"/>
        <v>0.7991</v>
      </c>
    </row>
    <row r="620" spans="1:13" ht="15.75" customHeight="1" outlineLevel="2">
      <c r="A620" s="25">
        <v>2</v>
      </c>
      <c r="B620" s="26" t="s">
        <v>520</v>
      </c>
      <c r="C620" s="17" t="s">
        <v>521</v>
      </c>
      <c r="D620" s="26" t="s">
        <v>1048</v>
      </c>
      <c r="E620" s="27">
        <v>4</v>
      </c>
      <c r="F620" s="26" t="s">
        <v>1342</v>
      </c>
      <c r="G620" s="28">
        <v>0.0025</v>
      </c>
      <c r="H620" s="28">
        <f t="shared" si="72"/>
        <v>0.000625</v>
      </c>
      <c r="I620" s="39" t="s">
        <v>555</v>
      </c>
      <c r="J620" s="29">
        <v>4.88</v>
      </c>
      <c r="K620" s="58">
        <f t="shared" si="73"/>
        <v>0.00305</v>
      </c>
      <c r="L620" s="30">
        <f>H620*DEMANDA!$B$9</f>
        <v>0.081875</v>
      </c>
      <c r="M620" s="29">
        <f t="shared" si="74"/>
        <v>0.39955</v>
      </c>
    </row>
    <row r="621" spans="1:13" ht="15.75" customHeight="1" outlineLevel="2">
      <c r="A621" s="25">
        <v>25</v>
      </c>
      <c r="B621" s="26" t="s">
        <v>607</v>
      </c>
      <c r="C621" s="17" t="s">
        <v>514</v>
      </c>
      <c r="D621" s="26" t="s">
        <v>1048</v>
      </c>
      <c r="E621" s="27">
        <v>4</v>
      </c>
      <c r="F621" s="26" t="s">
        <v>1342</v>
      </c>
      <c r="G621" s="28">
        <v>0.0025</v>
      </c>
      <c r="H621" s="28">
        <f t="shared" si="72"/>
        <v>0.000625</v>
      </c>
      <c r="I621" s="39" t="s">
        <v>555</v>
      </c>
      <c r="J621" s="29">
        <v>4.88</v>
      </c>
      <c r="K621" s="58">
        <f t="shared" si="73"/>
        <v>0.00305</v>
      </c>
      <c r="L621" s="30">
        <f>H621*DEMANDA!$B$9</f>
        <v>0.081875</v>
      </c>
      <c r="M621" s="29">
        <f t="shared" si="74"/>
        <v>0.39955</v>
      </c>
    </row>
    <row r="622" spans="1:13" ht="15.75" customHeight="1" outlineLevel="2">
      <c r="A622" s="25">
        <v>26</v>
      </c>
      <c r="B622" s="26" t="s">
        <v>791</v>
      </c>
      <c r="C622" s="17" t="s">
        <v>514</v>
      </c>
      <c r="D622" s="26" t="s">
        <v>1048</v>
      </c>
      <c r="E622" s="27">
        <v>4</v>
      </c>
      <c r="F622" s="26" t="s">
        <v>1342</v>
      </c>
      <c r="G622" s="28">
        <v>0.0025</v>
      </c>
      <c r="H622" s="28">
        <f t="shared" si="72"/>
        <v>0.000625</v>
      </c>
      <c r="I622" s="39" t="s">
        <v>555</v>
      </c>
      <c r="J622" s="29">
        <v>4.88</v>
      </c>
      <c r="K622" s="58">
        <f t="shared" si="73"/>
        <v>0.00305</v>
      </c>
      <c r="L622" s="30">
        <f>H622*DEMANDA!$B$9</f>
        <v>0.081875</v>
      </c>
      <c r="M622" s="29">
        <f t="shared" si="74"/>
        <v>0.39955</v>
      </c>
    </row>
    <row r="623" spans="1:13" ht="15.75" customHeight="1" outlineLevel="2">
      <c r="A623" s="25">
        <v>28</v>
      </c>
      <c r="B623" s="26" t="s">
        <v>550</v>
      </c>
      <c r="C623" s="17" t="s">
        <v>514</v>
      </c>
      <c r="D623" s="26" t="s">
        <v>1048</v>
      </c>
      <c r="E623" s="27">
        <v>4</v>
      </c>
      <c r="F623" s="26" t="s">
        <v>1342</v>
      </c>
      <c r="G623" s="28">
        <v>0.0025</v>
      </c>
      <c r="H623" s="28">
        <f t="shared" si="72"/>
        <v>0.000625</v>
      </c>
      <c r="I623" s="39" t="s">
        <v>555</v>
      </c>
      <c r="J623" s="29">
        <v>4.88</v>
      </c>
      <c r="K623" s="58">
        <f t="shared" si="73"/>
        <v>0.00305</v>
      </c>
      <c r="L623" s="30">
        <f>H623*DEMANDA!$B$9</f>
        <v>0.081875</v>
      </c>
      <c r="M623" s="29">
        <f t="shared" si="74"/>
        <v>0.39955</v>
      </c>
    </row>
    <row r="624" spans="1:13" ht="15.75" customHeight="1" outlineLevel="2">
      <c r="A624" s="25">
        <v>29</v>
      </c>
      <c r="B624" s="26" t="s">
        <v>551</v>
      </c>
      <c r="C624" s="17" t="s">
        <v>514</v>
      </c>
      <c r="D624" s="26" t="s">
        <v>1048</v>
      </c>
      <c r="E624" s="27">
        <v>4</v>
      </c>
      <c r="F624" s="26" t="s">
        <v>1342</v>
      </c>
      <c r="G624" s="28">
        <v>0.0025</v>
      </c>
      <c r="H624" s="28">
        <f t="shared" si="72"/>
        <v>0.000625</v>
      </c>
      <c r="I624" s="39" t="s">
        <v>555</v>
      </c>
      <c r="J624" s="29">
        <v>4.88</v>
      </c>
      <c r="K624" s="58">
        <f t="shared" si="73"/>
        <v>0.00305</v>
      </c>
      <c r="L624" s="30">
        <f>H624*DEMANDA!$B$9</f>
        <v>0.081875</v>
      </c>
      <c r="M624" s="29">
        <f t="shared" si="74"/>
        <v>0.39955</v>
      </c>
    </row>
    <row r="625" spans="1:13" ht="15.75" customHeight="1" outlineLevel="1">
      <c r="A625" s="25"/>
      <c r="B625" s="26"/>
      <c r="C625" s="17"/>
      <c r="D625" s="26"/>
      <c r="E625" s="27"/>
      <c r="F625" s="52" t="s">
        <v>49</v>
      </c>
      <c r="G625" s="28"/>
      <c r="H625" s="28"/>
      <c r="I625" s="39"/>
      <c r="J625" s="29"/>
      <c r="K625" s="58">
        <f>SUBTOTAL(9,K590:K624)</f>
        <v>0.09551583333333329</v>
      </c>
      <c r="L625" s="30"/>
      <c r="M625" s="29"/>
    </row>
    <row r="626" spans="1:13" ht="15.75" customHeight="1" outlineLevel="2">
      <c r="A626" s="25">
        <v>24</v>
      </c>
      <c r="B626" s="26" t="s">
        <v>548</v>
      </c>
      <c r="C626" s="17" t="s">
        <v>521</v>
      </c>
      <c r="D626" s="26" t="s">
        <v>1062</v>
      </c>
      <c r="E626" s="27">
        <v>2</v>
      </c>
      <c r="F626" s="26" t="s">
        <v>1343</v>
      </c>
      <c r="G626" s="28">
        <v>0.2</v>
      </c>
      <c r="H626" s="28">
        <f>G626/E626</f>
        <v>0.1</v>
      </c>
      <c r="I626" s="16" t="s">
        <v>555</v>
      </c>
      <c r="J626" s="29">
        <v>1.86</v>
      </c>
      <c r="K626" s="58">
        <f>J626*H626</f>
        <v>0.18600000000000003</v>
      </c>
      <c r="L626" s="30">
        <f>H626*DEMANDA!$B$9</f>
        <v>13.100000000000001</v>
      </c>
      <c r="M626" s="29">
        <f>L626*J626</f>
        <v>24.366000000000003</v>
      </c>
    </row>
    <row r="627" spans="1:13" ht="15.75" customHeight="1" outlineLevel="1">
      <c r="A627" s="25"/>
      <c r="B627" s="26"/>
      <c r="C627" s="17"/>
      <c r="D627" s="26"/>
      <c r="E627" s="27"/>
      <c r="F627" s="52" t="s">
        <v>50</v>
      </c>
      <c r="G627" s="28"/>
      <c r="H627" s="28"/>
      <c r="I627" s="16"/>
      <c r="J627" s="29"/>
      <c r="K627" s="58">
        <f>SUBTOTAL(9,K626:K626)</f>
        <v>0.18600000000000003</v>
      </c>
      <c r="L627" s="30"/>
      <c r="M627" s="29"/>
    </row>
    <row r="628" spans="1:13" ht="15.75" customHeight="1" outlineLevel="2">
      <c r="A628" s="25">
        <v>1</v>
      </c>
      <c r="B628" s="26" t="s">
        <v>509</v>
      </c>
      <c r="C628" s="17" t="s">
        <v>510</v>
      </c>
      <c r="D628" s="26" t="s">
        <v>1063</v>
      </c>
      <c r="E628" s="27">
        <v>4</v>
      </c>
      <c r="F628" s="26" t="s">
        <v>1344</v>
      </c>
      <c r="G628" s="28">
        <v>0.2</v>
      </c>
      <c r="H628" s="28">
        <f aca="true" t="shared" si="75" ref="H628:H636">G628/E628</f>
        <v>0.05</v>
      </c>
      <c r="I628" s="16" t="s">
        <v>555</v>
      </c>
      <c r="J628" s="29">
        <v>1.53</v>
      </c>
      <c r="K628" s="58">
        <f aca="true" t="shared" si="76" ref="K628:K636">J628*H628</f>
        <v>0.07650000000000001</v>
      </c>
      <c r="L628" s="30">
        <f>H628*DEMANDA!$B$9</f>
        <v>6.550000000000001</v>
      </c>
      <c r="M628" s="29">
        <f aca="true" t="shared" si="77" ref="M628:M636">L628*J628</f>
        <v>10.021500000000001</v>
      </c>
    </row>
    <row r="629" spans="1:13" ht="15.75" customHeight="1" outlineLevel="2">
      <c r="A629" s="25">
        <v>17</v>
      </c>
      <c r="B629" s="26" t="s">
        <v>569</v>
      </c>
      <c r="C629" s="17" t="s">
        <v>514</v>
      </c>
      <c r="D629" s="26" t="s">
        <v>1064</v>
      </c>
      <c r="E629" s="27">
        <v>4</v>
      </c>
      <c r="F629" s="26" t="s">
        <v>1344</v>
      </c>
      <c r="G629" s="28">
        <v>0.2</v>
      </c>
      <c r="H629" s="28">
        <f t="shared" si="75"/>
        <v>0.05</v>
      </c>
      <c r="I629" s="16" t="s">
        <v>555</v>
      </c>
      <c r="J629" s="29">
        <v>1.53</v>
      </c>
      <c r="K629" s="58">
        <f t="shared" si="76"/>
        <v>0.07650000000000001</v>
      </c>
      <c r="L629" s="30">
        <f>H629*DEMANDA!$B$9</f>
        <v>6.550000000000001</v>
      </c>
      <c r="M629" s="29">
        <f t="shared" si="77"/>
        <v>10.021500000000001</v>
      </c>
    </row>
    <row r="630" spans="1:13" ht="15.75" customHeight="1" outlineLevel="2">
      <c r="A630" s="25">
        <v>18</v>
      </c>
      <c r="B630" s="26" t="s">
        <v>639</v>
      </c>
      <c r="C630" s="17" t="s">
        <v>510</v>
      </c>
      <c r="D630" s="26" t="s">
        <v>1065</v>
      </c>
      <c r="E630" s="27">
        <v>4</v>
      </c>
      <c r="F630" s="26" t="s">
        <v>1344</v>
      </c>
      <c r="G630" s="28">
        <v>0.2</v>
      </c>
      <c r="H630" s="28">
        <f t="shared" si="75"/>
        <v>0.05</v>
      </c>
      <c r="I630" s="16" t="s">
        <v>555</v>
      </c>
      <c r="J630" s="29">
        <v>1.53</v>
      </c>
      <c r="K630" s="58">
        <f t="shared" si="76"/>
        <v>0.07650000000000001</v>
      </c>
      <c r="L630" s="30">
        <f>H630*DEMANDA!$B$9</f>
        <v>6.550000000000001</v>
      </c>
      <c r="M630" s="29">
        <f t="shared" si="77"/>
        <v>10.021500000000001</v>
      </c>
    </row>
    <row r="631" spans="1:13" ht="15.75" customHeight="1" outlineLevel="2">
      <c r="A631" s="25">
        <v>19</v>
      </c>
      <c r="B631" s="26" t="s">
        <v>544</v>
      </c>
      <c r="C631" s="17" t="s">
        <v>514</v>
      </c>
      <c r="D631" s="26" t="s">
        <v>1066</v>
      </c>
      <c r="E631" s="27">
        <v>4</v>
      </c>
      <c r="F631" s="26" t="s">
        <v>1344</v>
      </c>
      <c r="G631" s="28">
        <v>0.4</v>
      </c>
      <c r="H631" s="28">
        <f t="shared" si="75"/>
        <v>0.1</v>
      </c>
      <c r="I631" s="16" t="s">
        <v>555</v>
      </c>
      <c r="J631" s="29">
        <v>1.53</v>
      </c>
      <c r="K631" s="58">
        <f t="shared" si="76"/>
        <v>0.15300000000000002</v>
      </c>
      <c r="L631" s="30">
        <f>H631*DEMANDA!$B$9</f>
        <v>13.100000000000001</v>
      </c>
      <c r="M631" s="29">
        <f t="shared" si="77"/>
        <v>20.043000000000003</v>
      </c>
    </row>
    <row r="632" spans="1:13" ht="15.75" customHeight="1" outlineLevel="2">
      <c r="A632" s="25">
        <v>27</v>
      </c>
      <c r="B632" s="26" t="s">
        <v>584</v>
      </c>
      <c r="C632" s="17" t="s">
        <v>521</v>
      </c>
      <c r="D632" s="26" t="s">
        <v>1070</v>
      </c>
      <c r="E632" s="27">
        <v>4</v>
      </c>
      <c r="F632" s="26" t="s">
        <v>1344</v>
      </c>
      <c r="G632" s="28">
        <v>0.1</v>
      </c>
      <c r="H632" s="28">
        <f t="shared" si="75"/>
        <v>0.025</v>
      </c>
      <c r="I632" s="16" t="s">
        <v>555</v>
      </c>
      <c r="J632" s="29">
        <v>1.53</v>
      </c>
      <c r="K632" s="58">
        <f t="shared" si="76"/>
        <v>0.038250000000000006</v>
      </c>
      <c r="L632" s="30">
        <f>H632*DEMANDA!$B$9</f>
        <v>3.2750000000000004</v>
      </c>
      <c r="M632" s="29">
        <f t="shared" si="77"/>
        <v>5.010750000000001</v>
      </c>
    </row>
    <row r="633" spans="1:13" ht="15.75" customHeight="1" outlineLevel="2">
      <c r="A633" s="25">
        <v>24</v>
      </c>
      <c r="B633" s="26" t="s">
        <v>548</v>
      </c>
      <c r="C633" s="17" t="s">
        <v>521</v>
      </c>
      <c r="D633" s="26" t="s">
        <v>1067</v>
      </c>
      <c r="E633" s="27">
        <v>2</v>
      </c>
      <c r="F633" s="26" t="s">
        <v>1344</v>
      </c>
      <c r="G633" s="28">
        <v>0.2</v>
      </c>
      <c r="H633" s="28">
        <f t="shared" si="75"/>
        <v>0.1</v>
      </c>
      <c r="I633" s="16" t="s">
        <v>555</v>
      </c>
      <c r="J633" s="29">
        <v>1.53</v>
      </c>
      <c r="K633" s="58">
        <f t="shared" si="76"/>
        <v>0.15300000000000002</v>
      </c>
      <c r="L633" s="30">
        <f>H633*DEMANDA!$B$9</f>
        <v>13.100000000000001</v>
      </c>
      <c r="M633" s="29">
        <f t="shared" si="77"/>
        <v>20.043000000000003</v>
      </c>
    </row>
    <row r="634" spans="1:13" ht="15.75" customHeight="1" outlineLevel="2">
      <c r="A634" s="25">
        <v>26</v>
      </c>
      <c r="B634" s="26" t="s">
        <v>791</v>
      </c>
      <c r="C634" s="17" t="s">
        <v>514</v>
      </c>
      <c r="D634" s="26" t="s">
        <v>1068</v>
      </c>
      <c r="E634" s="27">
        <v>4</v>
      </c>
      <c r="F634" s="26" t="s">
        <v>1344</v>
      </c>
      <c r="G634" s="28">
        <v>0.2</v>
      </c>
      <c r="H634" s="28">
        <f t="shared" si="75"/>
        <v>0.05</v>
      </c>
      <c r="I634" s="16" t="s">
        <v>555</v>
      </c>
      <c r="J634" s="29">
        <v>1.53</v>
      </c>
      <c r="K634" s="58">
        <f t="shared" si="76"/>
        <v>0.07650000000000001</v>
      </c>
      <c r="L634" s="30">
        <f>H634*DEMANDA!$B$9</f>
        <v>6.550000000000001</v>
      </c>
      <c r="M634" s="29">
        <f t="shared" si="77"/>
        <v>10.021500000000001</v>
      </c>
    </row>
    <row r="635" spans="1:13" ht="15.75" customHeight="1" outlineLevel="2">
      <c r="A635" s="25">
        <v>27</v>
      </c>
      <c r="B635" s="26" t="s">
        <v>549</v>
      </c>
      <c r="C635" s="17" t="s">
        <v>514</v>
      </c>
      <c r="D635" s="26" t="s">
        <v>1069</v>
      </c>
      <c r="E635" s="27">
        <v>4</v>
      </c>
      <c r="F635" s="26" t="s">
        <v>1344</v>
      </c>
      <c r="G635" s="28">
        <v>0.2</v>
      </c>
      <c r="H635" s="28">
        <f t="shared" si="75"/>
        <v>0.05</v>
      </c>
      <c r="I635" s="16" t="s">
        <v>555</v>
      </c>
      <c r="J635" s="29">
        <v>1.53</v>
      </c>
      <c r="K635" s="58">
        <f t="shared" si="76"/>
        <v>0.07650000000000001</v>
      </c>
      <c r="L635" s="30">
        <f>H635*DEMANDA!$B$9</f>
        <v>6.550000000000001</v>
      </c>
      <c r="M635" s="29">
        <f t="shared" si="77"/>
        <v>10.021500000000001</v>
      </c>
    </row>
    <row r="636" spans="1:13" ht="15.75" customHeight="1" outlineLevel="2">
      <c r="A636" s="25">
        <v>30</v>
      </c>
      <c r="B636" s="26" t="s">
        <v>552</v>
      </c>
      <c r="C636" s="17" t="s">
        <v>514</v>
      </c>
      <c r="D636" s="26" t="s">
        <v>1071</v>
      </c>
      <c r="E636" s="27">
        <v>4</v>
      </c>
      <c r="F636" s="26" t="s">
        <v>1344</v>
      </c>
      <c r="G636" s="28">
        <v>0.4</v>
      </c>
      <c r="H636" s="28">
        <f t="shared" si="75"/>
        <v>0.1</v>
      </c>
      <c r="I636" s="16" t="s">
        <v>555</v>
      </c>
      <c r="J636" s="29">
        <v>1.53</v>
      </c>
      <c r="K636" s="58">
        <f t="shared" si="76"/>
        <v>0.15300000000000002</v>
      </c>
      <c r="L636" s="30">
        <f>H636*DEMANDA!$B$9</f>
        <v>13.100000000000001</v>
      </c>
      <c r="M636" s="29">
        <f t="shared" si="77"/>
        <v>20.043000000000003</v>
      </c>
    </row>
    <row r="637" spans="1:13" ht="15.75" customHeight="1" outlineLevel="1">
      <c r="A637" s="25"/>
      <c r="B637" s="26"/>
      <c r="C637" s="17"/>
      <c r="D637" s="26"/>
      <c r="E637" s="27"/>
      <c r="F637" s="52" t="s">
        <v>51</v>
      </c>
      <c r="G637" s="28"/>
      <c r="H637" s="28"/>
      <c r="I637" s="16"/>
      <c r="J637" s="29"/>
      <c r="K637" s="58">
        <f>SUBTOTAL(9,K628:K636)</f>
        <v>0.8797500000000001</v>
      </c>
      <c r="L637" s="30"/>
      <c r="M637" s="29"/>
    </row>
    <row r="638" spans="1:13" ht="15.75" customHeight="1" outlineLevel="2">
      <c r="A638" s="25">
        <v>4</v>
      </c>
      <c r="B638" s="26" t="s">
        <v>573</v>
      </c>
      <c r="C638" s="17" t="s">
        <v>514</v>
      </c>
      <c r="D638" s="26" t="s">
        <v>1072</v>
      </c>
      <c r="E638" s="27">
        <v>4</v>
      </c>
      <c r="F638" s="26" t="s">
        <v>1345</v>
      </c>
      <c r="G638" s="28">
        <v>0.2</v>
      </c>
      <c r="H638" s="28">
        <f>G638/E638</f>
        <v>0.05</v>
      </c>
      <c r="I638" s="16" t="s">
        <v>555</v>
      </c>
      <c r="J638" s="29">
        <v>1.46</v>
      </c>
      <c r="K638" s="58">
        <f>J638*H638</f>
        <v>0.073</v>
      </c>
      <c r="L638" s="30">
        <f>H638*DEMANDA!$B$9</f>
        <v>6.550000000000001</v>
      </c>
      <c r="M638" s="29">
        <f>L638*J638</f>
        <v>9.563</v>
      </c>
    </row>
    <row r="639" spans="1:13" ht="15.75" customHeight="1" outlineLevel="2">
      <c r="A639" s="25">
        <v>5</v>
      </c>
      <c r="B639" s="26" t="s">
        <v>526</v>
      </c>
      <c r="C639" s="17" t="s">
        <v>514</v>
      </c>
      <c r="D639" s="26" t="s">
        <v>1073</v>
      </c>
      <c r="E639" s="27">
        <v>4</v>
      </c>
      <c r="F639" s="26" t="s">
        <v>1345</v>
      </c>
      <c r="G639" s="28">
        <v>0.2</v>
      </c>
      <c r="H639" s="28">
        <f>G639/E639</f>
        <v>0.05</v>
      </c>
      <c r="I639" s="16" t="s">
        <v>555</v>
      </c>
      <c r="J639" s="29">
        <v>1.46</v>
      </c>
      <c r="K639" s="58">
        <f>J639*H639</f>
        <v>0.073</v>
      </c>
      <c r="L639" s="30">
        <f>H639*DEMANDA!$B$9</f>
        <v>6.550000000000001</v>
      </c>
      <c r="M639" s="29">
        <f>L639*J639</f>
        <v>9.563</v>
      </c>
    </row>
    <row r="640" spans="1:13" ht="15.75" customHeight="1" outlineLevel="2">
      <c r="A640" s="25">
        <v>22</v>
      </c>
      <c r="B640" s="26" t="s">
        <v>581</v>
      </c>
      <c r="C640" s="17" t="s">
        <v>514</v>
      </c>
      <c r="D640" s="26" t="s">
        <v>1074</v>
      </c>
      <c r="E640" s="27">
        <v>4</v>
      </c>
      <c r="F640" s="26" t="s">
        <v>1345</v>
      </c>
      <c r="G640" s="28">
        <v>0.1</v>
      </c>
      <c r="H640" s="28">
        <f>G640/E640</f>
        <v>0.025</v>
      </c>
      <c r="I640" s="16" t="s">
        <v>555</v>
      </c>
      <c r="J640" s="29">
        <v>1.46</v>
      </c>
      <c r="K640" s="58">
        <f>J640*H640</f>
        <v>0.0365</v>
      </c>
      <c r="L640" s="30">
        <f>H640*DEMANDA!$B$9</f>
        <v>3.2750000000000004</v>
      </c>
      <c r="M640" s="29">
        <f>L640*J640</f>
        <v>4.7815</v>
      </c>
    </row>
    <row r="641" spans="1:13" ht="15.75" customHeight="1" outlineLevel="1">
      <c r="A641" s="25"/>
      <c r="B641" s="26"/>
      <c r="C641" s="17"/>
      <c r="D641" s="26"/>
      <c r="E641" s="27"/>
      <c r="F641" s="52" t="s">
        <v>52</v>
      </c>
      <c r="G641" s="28"/>
      <c r="H641" s="28"/>
      <c r="I641" s="16"/>
      <c r="J641" s="29"/>
      <c r="K641" s="58">
        <f>SUBTOTAL(9,K638:K640)</f>
        <v>0.1825</v>
      </c>
      <c r="L641" s="30"/>
      <c r="M641" s="29"/>
    </row>
    <row r="642" spans="1:13" ht="15.75" customHeight="1" outlineLevel="2">
      <c r="A642" s="25">
        <v>3</v>
      </c>
      <c r="B642" s="26" t="s">
        <v>523</v>
      </c>
      <c r="C642" s="17" t="s">
        <v>514</v>
      </c>
      <c r="D642" s="26" t="s">
        <v>1075</v>
      </c>
      <c r="E642" s="27">
        <v>4</v>
      </c>
      <c r="F642" s="26" t="s">
        <v>1346</v>
      </c>
      <c r="G642" s="28">
        <v>4</v>
      </c>
      <c r="H642" s="28">
        <f>G642/E642</f>
        <v>1</v>
      </c>
      <c r="I642" s="16" t="s">
        <v>632</v>
      </c>
      <c r="J642" s="38">
        <v>0.04</v>
      </c>
      <c r="K642" s="58">
        <f>J642*H642</f>
        <v>0.04</v>
      </c>
      <c r="L642" s="30">
        <f>H642*DEMANDA!$B$9</f>
        <v>131</v>
      </c>
      <c r="M642" s="29">
        <f>L642*J642</f>
        <v>5.24</v>
      </c>
    </row>
    <row r="643" spans="1:13" ht="15.75" customHeight="1" outlineLevel="2">
      <c r="A643" s="25">
        <v>22</v>
      </c>
      <c r="B643" s="26" t="s">
        <v>688</v>
      </c>
      <c r="C643" s="17" t="s">
        <v>521</v>
      </c>
      <c r="D643" s="16" t="s">
        <v>1076</v>
      </c>
      <c r="E643" s="27">
        <v>2</v>
      </c>
      <c r="F643" s="26" t="s">
        <v>1346</v>
      </c>
      <c r="G643" s="28">
        <v>2</v>
      </c>
      <c r="H643" s="28">
        <f>G643/E643</f>
        <v>1</v>
      </c>
      <c r="I643" s="16" t="s">
        <v>632</v>
      </c>
      <c r="J643" s="38">
        <v>0.04</v>
      </c>
      <c r="K643" s="58">
        <f>J643*H643</f>
        <v>0.04</v>
      </c>
      <c r="L643" s="30">
        <f>H643*DEMANDA!$B$9</f>
        <v>131</v>
      </c>
      <c r="M643" s="29">
        <f>L643*J643</f>
        <v>5.24</v>
      </c>
    </row>
    <row r="644" spans="1:13" ht="15.75" customHeight="1" outlineLevel="1">
      <c r="A644" s="25"/>
      <c r="B644" s="26"/>
      <c r="C644" s="17"/>
      <c r="D644" s="16"/>
      <c r="E644" s="27"/>
      <c r="F644" s="52" t="s">
        <v>55</v>
      </c>
      <c r="G644" s="28"/>
      <c r="H644" s="28"/>
      <c r="I644" s="16"/>
      <c r="J644" s="38"/>
      <c r="K644" s="58">
        <f>SUBTOTAL(9,K642:K643)</f>
        <v>0.08</v>
      </c>
      <c r="L644" s="30"/>
      <c r="M644" s="29"/>
    </row>
    <row r="645" spans="1:13" ht="15.75" customHeight="1" outlineLevel="2">
      <c r="A645" s="25">
        <v>14</v>
      </c>
      <c r="B645" s="26" t="s">
        <v>578</v>
      </c>
      <c r="C645" s="17" t="s">
        <v>510</v>
      </c>
      <c r="D645" s="26" t="s">
        <v>1079</v>
      </c>
      <c r="E645" s="27">
        <v>4</v>
      </c>
      <c r="F645" s="26" t="s">
        <v>1347</v>
      </c>
      <c r="G645" s="28">
        <v>1</v>
      </c>
      <c r="H645" s="28">
        <f aca="true" t="shared" si="78" ref="H645:H653">G645/E645</f>
        <v>0.25</v>
      </c>
      <c r="I645" s="16" t="s">
        <v>555</v>
      </c>
      <c r="J645" s="29">
        <v>0.69</v>
      </c>
      <c r="K645" s="58">
        <f aca="true" t="shared" si="79" ref="K645:K653">J645*H645</f>
        <v>0.1725</v>
      </c>
      <c r="L645" s="30">
        <f>H645*DEMANDA!$B$9</f>
        <v>32.75</v>
      </c>
      <c r="M645" s="29">
        <f aca="true" t="shared" si="80" ref="M645:M653">L645*J645</f>
        <v>22.597499999999997</v>
      </c>
    </row>
    <row r="646" spans="1:13" ht="15.75" customHeight="1" outlineLevel="2">
      <c r="A646" s="25">
        <v>18</v>
      </c>
      <c r="B646" s="26" t="s">
        <v>626</v>
      </c>
      <c r="C646" s="17" t="s">
        <v>514</v>
      </c>
      <c r="D646" s="26" t="s">
        <v>1080</v>
      </c>
      <c r="E646" s="27">
        <v>4</v>
      </c>
      <c r="F646" s="26" t="s">
        <v>1347</v>
      </c>
      <c r="G646" s="28">
        <v>1</v>
      </c>
      <c r="H646" s="28">
        <f t="shared" si="78"/>
        <v>0.25</v>
      </c>
      <c r="I646" s="16" t="s">
        <v>555</v>
      </c>
      <c r="J646" s="29">
        <v>0.69</v>
      </c>
      <c r="K646" s="58">
        <f t="shared" si="79"/>
        <v>0.1725</v>
      </c>
      <c r="L646" s="30">
        <f>H646*DEMANDA!$B$9</f>
        <v>32.75</v>
      </c>
      <c r="M646" s="29">
        <f t="shared" si="80"/>
        <v>22.597499999999997</v>
      </c>
    </row>
    <row r="647" spans="1:13" ht="15.75" customHeight="1" outlineLevel="2">
      <c r="A647" s="25">
        <v>22</v>
      </c>
      <c r="B647" s="26" t="s">
        <v>688</v>
      </c>
      <c r="C647" s="17" t="s">
        <v>521</v>
      </c>
      <c r="D647" s="16" t="s">
        <v>1082</v>
      </c>
      <c r="E647" s="27">
        <v>2</v>
      </c>
      <c r="F647" s="26" t="s">
        <v>1347</v>
      </c>
      <c r="G647" s="28">
        <v>0.1</v>
      </c>
      <c r="H647" s="28">
        <f t="shared" si="78"/>
        <v>0.05</v>
      </c>
      <c r="I647" s="16" t="s">
        <v>555</v>
      </c>
      <c r="J647" s="29">
        <v>0.69</v>
      </c>
      <c r="K647" s="58">
        <f t="shared" si="79"/>
        <v>0.034499999999999996</v>
      </c>
      <c r="L647" s="30">
        <f>H647*DEMANDA!$B$9</f>
        <v>6.550000000000001</v>
      </c>
      <c r="M647" s="29">
        <f t="shared" si="80"/>
        <v>4.5195</v>
      </c>
    </row>
    <row r="648" spans="1:13" ht="15.75" customHeight="1" outlineLevel="2">
      <c r="A648" s="25">
        <v>9</v>
      </c>
      <c r="B648" s="26" t="s">
        <v>930</v>
      </c>
      <c r="C648" s="17" t="s">
        <v>521</v>
      </c>
      <c r="D648" s="26" t="s">
        <v>1078</v>
      </c>
      <c r="E648" s="27">
        <v>4</v>
      </c>
      <c r="F648" s="26" t="s">
        <v>1347</v>
      </c>
      <c r="G648" s="28">
        <v>0.5</v>
      </c>
      <c r="H648" s="28">
        <f t="shared" si="78"/>
        <v>0.125</v>
      </c>
      <c r="I648" s="16" t="s">
        <v>555</v>
      </c>
      <c r="J648" s="29">
        <v>0.69</v>
      </c>
      <c r="K648" s="58">
        <f t="shared" si="79"/>
        <v>0.08625</v>
      </c>
      <c r="L648" s="30">
        <f>H648*DEMANDA!$B$9</f>
        <v>16.375</v>
      </c>
      <c r="M648" s="29">
        <f t="shared" si="80"/>
        <v>11.298749999999998</v>
      </c>
    </row>
    <row r="649" spans="1:13" ht="15.75" customHeight="1" outlineLevel="2">
      <c r="A649" s="25">
        <v>20</v>
      </c>
      <c r="B649" s="26" t="s">
        <v>794</v>
      </c>
      <c r="C649" s="17" t="s">
        <v>521</v>
      </c>
      <c r="D649" s="26" t="s">
        <v>1081</v>
      </c>
      <c r="E649" s="27">
        <v>6</v>
      </c>
      <c r="F649" s="26" t="s">
        <v>1347</v>
      </c>
      <c r="G649" s="28">
        <v>0.75</v>
      </c>
      <c r="H649" s="28">
        <f t="shared" si="78"/>
        <v>0.125</v>
      </c>
      <c r="I649" s="16" t="s">
        <v>555</v>
      </c>
      <c r="J649" s="29">
        <v>0.69</v>
      </c>
      <c r="K649" s="58">
        <f t="shared" si="79"/>
        <v>0.08625</v>
      </c>
      <c r="L649" s="30">
        <f>H649*DEMANDA!$B$9</f>
        <v>16.375</v>
      </c>
      <c r="M649" s="29">
        <f t="shared" si="80"/>
        <v>11.298749999999998</v>
      </c>
    </row>
    <row r="650" spans="1:13" ht="15.75" customHeight="1" outlineLevel="2">
      <c r="A650" s="25">
        <v>4</v>
      </c>
      <c r="B650" s="26" t="s">
        <v>792</v>
      </c>
      <c r="C650" s="17" t="s">
        <v>521</v>
      </c>
      <c r="D650" s="26" t="s">
        <v>1077</v>
      </c>
      <c r="E650" s="27">
        <v>4</v>
      </c>
      <c r="F650" s="26" t="s">
        <v>1347</v>
      </c>
      <c r="G650" s="28">
        <v>0.5</v>
      </c>
      <c r="H650" s="28">
        <f t="shared" si="78"/>
        <v>0.125</v>
      </c>
      <c r="I650" s="16" t="s">
        <v>555</v>
      </c>
      <c r="J650" s="29">
        <v>0.69</v>
      </c>
      <c r="K650" s="58">
        <f t="shared" si="79"/>
        <v>0.08625</v>
      </c>
      <c r="L650" s="30">
        <f>H650*DEMANDA!$B$9</f>
        <v>16.375</v>
      </c>
      <c r="M650" s="29">
        <f t="shared" si="80"/>
        <v>11.298749999999998</v>
      </c>
    </row>
    <row r="651" spans="1:13" ht="15.75" customHeight="1" outlineLevel="2">
      <c r="A651" s="25">
        <v>27</v>
      </c>
      <c r="B651" s="26" t="s">
        <v>930</v>
      </c>
      <c r="C651" s="17" t="s">
        <v>510</v>
      </c>
      <c r="D651" s="26" t="s">
        <v>1078</v>
      </c>
      <c r="E651" s="27">
        <v>4</v>
      </c>
      <c r="F651" s="26" t="s">
        <v>1347</v>
      </c>
      <c r="G651" s="28">
        <v>0.125</v>
      </c>
      <c r="H651" s="28">
        <f t="shared" si="78"/>
        <v>0.03125</v>
      </c>
      <c r="I651" s="16" t="s">
        <v>555</v>
      </c>
      <c r="J651" s="29">
        <v>0.69</v>
      </c>
      <c r="K651" s="58">
        <f t="shared" si="79"/>
        <v>0.0215625</v>
      </c>
      <c r="L651" s="30">
        <f>H651*DEMANDA!$B$9</f>
        <v>4.09375</v>
      </c>
      <c r="M651" s="29">
        <f t="shared" si="80"/>
        <v>2.8246874999999996</v>
      </c>
    </row>
    <row r="652" spans="1:22" ht="15.75" customHeight="1" outlineLevel="2">
      <c r="A652" s="25">
        <v>28</v>
      </c>
      <c r="B652" s="26" t="s">
        <v>781</v>
      </c>
      <c r="C652" s="17" t="s">
        <v>510</v>
      </c>
      <c r="D652" s="26" t="s">
        <v>946</v>
      </c>
      <c r="E652" s="27">
        <v>4</v>
      </c>
      <c r="F652" s="26" t="s">
        <v>1347</v>
      </c>
      <c r="G652" s="28">
        <v>0.5</v>
      </c>
      <c r="H652" s="28">
        <f t="shared" si="78"/>
        <v>0.125</v>
      </c>
      <c r="I652" s="16" t="s">
        <v>555</v>
      </c>
      <c r="J652" s="29">
        <v>0.69</v>
      </c>
      <c r="K652" s="58">
        <f t="shared" si="79"/>
        <v>0.08625</v>
      </c>
      <c r="L652" s="30">
        <f>H652*DEMANDA!$B$9</f>
        <v>16.375</v>
      </c>
      <c r="M652" s="29">
        <f t="shared" si="80"/>
        <v>11.298749999999998</v>
      </c>
      <c r="V652" s="41"/>
    </row>
    <row r="653" spans="1:22" ht="15.75" customHeight="1" outlineLevel="2">
      <c r="A653" s="25">
        <v>30</v>
      </c>
      <c r="B653" s="26" t="s">
        <v>598</v>
      </c>
      <c r="C653" s="17" t="s">
        <v>510</v>
      </c>
      <c r="D653" s="26" t="s">
        <v>1083</v>
      </c>
      <c r="E653" s="27">
        <v>8</v>
      </c>
      <c r="F653" s="26" t="s">
        <v>1347</v>
      </c>
      <c r="G653" s="28">
        <v>2</v>
      </c>
      <c r="H653" s="28">
        <f t="shared" si="78"/>
        <v>0.25</v>
      </c>
      <c r="I653" s="16" t="s">
        <v>555</v>
      </c>
      <c r="J653" s="29">
        <v>0.69</v>
      </c>
      <c r="K653" s="58">
        <f t="shared" si="79"/>
        <v>0.1725</v>
      </c>
      <c r="L653" s="30">
        <f>H653*DEMANDA!$B$9</f>
        <v>32.75</v>
      </c>
      <c r="M653" s="29">
        <f t="shared" si="80"/>
        <v>22.597499999999997</v>
      </c>
      <c r="V653" s="41"/>
    </row>
    <row r="654" spans="1:22" ht="15.75" customHeight="1" outlineLevel="1">
      <c r="A654" s="25"/>
      <c r="B654" s="26"/>
      <c r="C654" s="17"/>
      <c r="D654" s="26"/>
      <c r="E654" s="27"/>
      <c r="F654" s="52" t="s">
        <v>56</v>
      </c>
      <c r="G654" s="28"/>
      <c r="H654" s="28"/>
      <c r="I654" s="16"/>
      <c r="J654" s="29"/>
      <c r="K654" s="58">
        <f>SUBTOTAL(9,K645:K653)</f>
        <v>0.9185625000000001</v>
      </c>
      <c r="L654" s="30"/>
      <c r="M654" s="29"/>
      <c r="V654" s="41"/>
    </row>
    <row r="655" spans="1:22" ht="15.75" customHeight="1" outlineLevel="2">
      <c r="A655" s="25">
        <v>7</v>
      </c>
      <c r="B655" s="26" t="s">
        <v>563</v>
      </c>
      <c r="C655" s="17" t="s">
        <v>514</v>
      </c>
      <c r="D655" s="26" t="s">
        <v>1084</v>
      </c>
      <c r="E655" s="27">
        <v>4</v>
      </c>
      <c r="F655" s="26" t="s">
        <v>1348</v>
      </c>
      <c r="G655" s="28">
        <v>0.03</v>
      </c>
      <c r="H655" s="28">
        <f>G655/E655</f>
        <v>0.0075</v>
      </c>
      <c r="I655" s="16" t="s">
        <v>555</v>
      </c>
      <c r="J655" s="29">
        <v>28</v>
      </c>
      <c r="K655" s="58">
        <f>J655*H655</f>
        <v>0.21</v>
      </c>
      <c r="L655" s="30">
        <f>H655*DEMANDA!$B$9</f>
        <v>0.9824999999999999</v>
      </c>
      <c r="M655" s="29">
        <f>L655*J655</f>
        <v>27.509999999999998</v>
      </c>
      <c r="V655" s="41"/>
    </row>
    <row r="656" spans="1:22" ht="15.75" customHeight="1" outlineLevel="1">
      <c r="A656" s="25"/>
      <c r="B656" s="26"/>
      <c r="C656" s="17"/>
      <c r="D656" s="26"/>
      <c r="E656" s="27"/>
      <c r="F656" s="52" t="s">
        <v>57</v>
      </c>
      <c r="G656" s="28"/>
      <c r="H656" s="28"/>
      <c r="I656" s="16"/>
      <c r="J656" s="29"/>
      <c r="K656" s="58">
        <f>SUBTOTAL(9,K655:K655)</f>
        <v>0.21</v>
      </c>
      <c r="L656" s="30"/>
      <c r="M656" s="29"/>
      <c r="V656" s="41"/>
    </row>
    <row r="657" spans="1:22" ht="15.75" customHeight="1" outlineLevel="2">
      <c r="A657" s="25">
        <v>2</v>
      </c>
      <c r="B657" s="26" t="s">
        <v>923</v>
      </c>
      <c r="C657" s="17" t="s">
        <v>514</v>
      </c>
      <c r="D657" s="26" t="s">
        <v>1085</v>
      </c>
      <c r="E657" s="27">
        <v>4</v>
      </c>
      <c r="F657" s="26" t="s">
        <v>1349</v>
      </c>
      <c r="G657" s="28">
        <v>0.454</v>
      </c>
      <c r="H657" s="28">
        <f aca="true" t="shared" si="81" ref="H657:H664">G657/E657</f>
        <v>0.1135</v>
      </c>
      <c r="I657" s="16" t="s">
        <v>555</v>
      </c>
      <c r="J657" s="29">
        <v>12.6</v>
      </c>
      <c r="K657" s="58">
        <f aca="true" t="shared" si="82" ref="K657:K664">J657*H657</f>
        <v>1.4301</v>
      </c>
      <c r="L657" s="30">
        <f>H657*DEMANDA!$B$9</f>
        <v>14.868500000000001</v>
      </c>
      <c r="M657" s="29">
        <f aca="true" t="shared" si="83" ref="M657:M664">L657*J657</f>
        <v>187.3431</v>
      </c>
      <c r="V657" s="41"/>
    </row>
    <row r="658" spans="1:21" s="41" customFormat="1" ht="15.75" customHeight="1" outlineLevel="2">
      <c r="A658" s="25">
        <v>3</v>
      </c>
      <c r="B658" s="26" t="s">
        <v>523</v>
      </c>
      <c r="C658" s="17" t="s">
        <v>514</v>
      </c>
      <c r="D658" s="26" t="s">
        <v>1086</v>
      </c>
      <c r="E658" s="27">
        <v>4</v>
      </c>
      <c r="F658" s="26" t="s">
        <v>1349</v>
      </c>
      <c r="G658" s="28">
        <v>0.39</v>
      </c>
      <c r="H658" s="28">
        <f t="shared" si="81"/>
        <v>0.0975</v>
      </c>
      <c r="I658" s="16" t="s">
        <v>555</v>
      </c>
      <c r="J658" s="29">
        <v>12.6</v>
      </c>
      <c r="K658" s="58">
        <f t="shared" si="82"/>
        <v>1.2285</v>
      </c>
      <c r="L658" s="30">
        <f>H658*DEMANDA!$B$9</f>
        <v>12.7725</v>
      </c>
      <c r="M658" s="29">
        <f t="shared" si="83"/>
        <v>160.9335</v>
      </c>
      <c r="O658" s="31"/>
      <c r="P658" s="31"/>
      <c r="Q658" s="31"/>
      <c r="R658" s="31"/>
      <c r="S658" s="31"/>
      <c r="T658" s="31"/>
      <c r="U658" s="31"/>
    </row>
    <row r="659" spans="1:13" s="41" customFormat="1" ht="15.75" customHeight="1" outlineLevel="2">
      <c r="A659" s="25">
        <v>15</v>
      </c>
      <c r="B659" s="26" t="s">
        <v>513</v>
      </c>
      <c r="C659" s="17" t="s">
        <v>514</v>
      </c>
      <c r="D659" s="26" t="s">
        <v>1087</v>
      </c>
      <c r="E659" s="27">
        <v>4</v>
      </c>
      <c r="F659" s="26" t="s">
        <v>1349</v>
      </c>
      <c r="G659" s="28">
        <v>0.454</v>
      </c>
      <c r="H659" s="28">
        <f t="shared" si="81"/>
        <v>0.1135</v>
      </c>
      <c r="I659" s="16" t="s">
        <v>555</v>
      </c>
      <c r="J659" s="29">
        <v>12.6</v>
      </c>
      <c r="K659" s="58">
        <f t="shared" si="82"/>
        <v>1.4301</v>
      </c>
      <c r="L659" s="30">
        <f>H659*DEMANDA!$B$9</f>
        <v>14.868500000000001</v>
      </c>
      <c r="M659" s="29">
        <f t="shared" si="83"/>
        <v>187.3431</v>
      </c>
    </row>
    <row r="660" spans="1:13" s="41" customFormat="1" ht="15.75" customHeight="1" outlineLevel="2">
      <c r="A660" s="25">
        <v>17</v>
      </c>
      <c r="B660" s="26" t="s">
        <v>569</v>
      </c>
      <c r="C660" s="17" t="s">
        <v>514</v>
      </c>
      <c r="D660" s="26" t="s">
        <v>1088</v>
      </c>
      <c r="E660" s="27">
        <v>4</v>
      </c>
      <c r="F660" s="26" t="s">
        <v>1349</v>
      </c>
      <c r="G660" s="28">
        <v>0.227</v>
      </c>
      <c r="H660" s="28">
        <f t="shared" si="81"/>
        <v>0.05675</v>
      </c>
      <c r="I660" s="16" t="s">
        <v>555</v>
      </c>
      <c r="J660" s="29">
        <v>12.6</v>
      </c>
      <c r="K660" s="58">
        <f t="shared" si="82"/>
        <v>0.71505</v>
      </c>
      <c r="L660" s="30">
        <f>H660*DEMANDA!$B$9</f>
        <v>7.4342500000000005</v>
      </c>
      <c r="M660" s="29">
        <f t="shared" si="83"/>
        <v>93.67155</v>
      </c>
    </row>
    <row r="661" spans="1:13" s="41" customFormat="1" ht="15.75" customHeight="1" outlineLevel="2">
      <c r="A661" s="25">
        <v>20</v>
      </c>
      <c r="B661" s="26" t="s">
        <v>576</v>
      </c>
      <c r="C661" s="17" t="s">
        <v>514</v>
      </c>
      <c r="D661" s="26" t="s">
        <v>1089</v>
      </c>
      <c r="E661" s="27">
        <v>4</v>
      </c>
      <c r="F661" s="26" t="s">
        <v>1349</v>
      </c>
      <c r="G661" s="28">
        <v>0.454</v>
      </c>
      <c r="H661" s="28">
        <f t="shared" si="81"/>
        <v>0.1135</v>
      </c>
      <c r="I661" s="16" t="s">
        <v>555</v>
      </c>
      <c r="J661" s="29">
        <v>12.6</v>
      </c>
      <c r="K661" s="58">
        <f t="shared" si="82"/>
        <v>1.4301</v>
      </c>
      <c r="L661" s="30">
        <f>H661*DEMANDA!$B$9</f>
        <v>14.868500000000001</v>
      </c>
      <c r="M661" s="29">
        <f t="shared" si="83"/>
        <v>187.3431</v>
      </c>
    </row>
    <row r="662" spans="1:13" s="41" customFormat="1" ht="15.75" customHeight="1" outlineLevel="2">
      <c r="A662" s="25">
        <v>24</v>
      </c>
      <c r="B662" s="26" t="s">
        <v>547</v>
      </c>
      <c r="C662" s="17" t="s">
        <v>514</v>
      </c>
      <c r="D662" s="26" t="s">
        <v>1090</v>
      </c>
      <c r="E662" s="27">
        <v>4</v>
      </c>
      <c r="F662" s="26" t="s">
        <v>1349</v>
      </c>
      <c r="G662" s="28">
        <v>0.454</v>
      </c>
      <c r="H662" s="28">
        <f t="shared" si="81"/>
        <v>0.1135</v>
      </c>
      <c r="I662" s="16" t="s">
        <v>555</v>
      </c>
      <c r="J662" s="29">
        <v>12.6</v>
      </c>
      <c r="K662" s="58">
        <f t="shared" si="82"/>
        <v>1.4301</v>
      </c>
      <c r="L662" s="30">
        <f>H662*DEMANDA!$B$9</f>
        <v>14.868500000000001</v>
      </c>
      <c r="M662" s="29">
        <f t="shared" si="83"/>
        <v>187.3431</v>
      </c>
    </row>
    <row r="663" spans="1:13" s="41" customFormat="1" ht="15.75" customHeight="1" outlineLevel="2">
      <c r="A663" s="25">
        <v>26</v>
      </c>
      <c r="B663" s="26" t="s">
        <v>791</v>
      </c>
      <c r="C663" s="17" t="s">
        <v>514</v>
      </c>
      <c r="D663" s="26" t="s">
        <v>1091</v>
      </c>
      <c r="E663" s="27">
        <v>4</v>
      </c>
      <c r="F663" s="26" t="s">
        <v>1349</v>
      </c>
      <c r="G663" s="28">
        <v>0.227</v>
      </c>
      <c r="H663" s="28">
        <f t="shared" si="81"/>
        <v>0.05675</v>
      </c>
      <c r="I663" s="16" t="s">
        <v>555</v>
      </c>
      <c r="J663" s="29">
        <v>12.6</v>
      </c>
      <c r="K663" s="58">
        <f t="shared" si="82"/>
        <v>0.71505</v>
      </c>
      <c r="L663" s="30">
        <f>H663*DEMANDA!$B$9</f>
        <v>7.4342500000000005</v>
      </c>
      <c r="M663" s="29">
        <f t="shared" si="83"/>
        <v>93.67155</v>
      </c>
    </row>
    <row r="664" spans="1:13" s="41" customFormat="1" ht="15.75" customHeight="1" outlineLevel="2">
      <c r="A664" s="25">
        <v>28</v>
      </c>
      <c r="B664" s="26" t="s">
        <v>550</v>
      </c>
      <c r="C664" s="17" t="s">
        <v>514</v>
      </c>
      <c r="D664" s="26" t="s">
        <v>1092</v>
      </c>
      <c r="E664" s="27">
        <v>4</v>
      </c>
      <c r="F664" s="26" t="s">
        <v>1349</v>
      </c>
      <c r="G664" s="28">
        <v>0.454</v>
      </c>
      <c r="H664" s="28">
        <f t="shared" si="81"/>
        <v>0.1135</v>
      </c>
      <c r="I664" s="16" t="s">
        <v>555</v>
      </c>
      <c r="J664" s="29">
        <v>12.6</v>
      </c>
      <c r="K664" s="58">
        <f t="shared" si="82"/>
        <v>1.4301</v>
      </c>
      <c r="L664" s="30">
        <f>H664*DEMANDA!$B$9</f>
        <v>14.868500000000001</v>
      </c>
      <c r="M664" s="29">
        <f t="shared" si="83"/>
        <v>187.3431</v>
      </c>
    </row>
    <row r="665" spans="1:13" s="41" customFormat="1" ht="15.75" customHeight="1" outlineLevel="1">
      <c r="A665" s="25"/>
      <c r="B665" s="26"/>
      <c r="C665" s="17"/>
      <c r="D665" s="26"/>
      <c r="E665" s="27"/>
      <c r="F665" s="52" t="s">
        <v>58</v>
      </c>
      <c r="G665" s="28"/>
      <c r="H665" s="28"/>
      <c r="I665" s="16"/>
      <c r="J665" s="29"/>
      <c r="K665" s="58">
        <f>SUBTOTAL(9,K657:K664)</f>
        <v>9.809099999999997</v>
      </c>
      <c r="L665" s="30"/>
      <c r="M665" s="29"/>
    </row>
    <row r="666" spans="1:13" s="41" customFormat="1" ht="15.75" customHeight="1" outlineLevel="2">
      <c r="A666" s="25">
        <v>24</v>
      </c>
      <c r="B666" s="26" t="s">
        <v>668</v>
      </c>
      <c r="C666" s="17" t="s">
        <v>510</v>
      </c>
      <c r="D666" s="26" t="s">
        <v>1093</v>
      </c>
      <c r="E666" s="27">
        <v>10</v>
      </c>
      <c r="F666" s="26" t="s">
        <v>1350</v>
      </c>
      <c r="G666" s="28">
        <v>0.0025</v>
      </c>
      <c r="H666" s="28">
        <f>G666/E666</f>
        <v>0.00025</v>
      </c>
      <c r="I666" s="39" t="s">
        <v>555</v>
      </c>
      <c r="J666" s="40">
        <v>10.6</v>
      </c>
      <c r="K666" s="58">
        <f>J666*H666</f>
        <v>0.00265</v>
      </c>
      <c r="L666" s="30">
        <f>H666*DEMANDA!$B$9</f>
        <v>0.03275</v>
      </c>
      <c r="M666" s="29">
        <f>L666*J666</f>
        <v>0.34715</v>
      </c>
    </row>
    <row r="667" spans="1:13" s="41" customFormat="1" ht="15.75" customHeight="1" outlineLevel="1">
      <c r="A667" s="25"/>
      <c r="B667" s="26"/>
      <c r="C667" s="17"/>
      <c r="D667" s="26"/>
      <c r="E667" s="27"/>
      <c r="F667" s="52" t="s">
        <v>59</v>
      </c>
      <c r="G667" s="28"/>
      <c r="H667" s="28"/>
      <c r="I667" s="39"/>
      <c r="J667" s="40"/>
      <c r="K667" s="58">
        <f>SUBTOTAL(9,K666:K666)</f>
        <v>0.00265</v>
      </c>
      <c r="L667" s="30"/>
      <c r="M667" s="29"/>
    </row>
    <row r="668" spans="1:13" s="41" customFormat="1" ht="15.75" customHeight="1" outlineLevel="2">
      <c r="A668" s="25">
        <v>2</v>
      </c>
      <c r="B668" s="26" t="s">
        <v>700</v>
      </c>
      <c r="C668" s="17" t="s">
        <v>510</v>
      </c>
      <c r="D668" s="26" t="s">
        <v>1094</v>
      </c>
      <c r="E668" s="27">
        <v>4</v>
      </c>
      <c r="F668" s="26" t="s">
        <v>1351</v>
      </c>
      <c r="G668" s="28">
        <v>0.15</v>
      </c>
      <c r="H668" s="28">
        <f>G668/E668</f>
        <v>0.0375</v>
      </c>
      <c r="I668" s="39" t="s">
        <v>555</v>
      </c>
      <c r="J668" s="40">
        <v>8.9</v>
      </c>
      <c r="K668" s="58">
        <f>J668*H668</f>
        <v>0.33375</v>
      </c>
      <c r="L668" s="30">
        <f>H668*DEMANDA!$B$9</f>
        <v>4.9125</v>
      </c>
      <c r="M668" s="29">
        <f>L668*J668</f>
        <v>43.72125</v>
      </c>
    </row>
    <row r="669" spans="1:13" s="41" customFormat="1" ht="15.75" customHeight="1" outlineLevel="2">
      <c r="A669" s="25">
        <v>19</v>
      </c>
      <c r="B669" s="26" t="s">
        <v>651</v>
      </c>
      <c r="C669" s="17" t="s">
        <v>510</v>
      </c>
      <c r="D669" s="26" t="s">
        <v>1385</v>
      </c>
      <c r="E669" s="27">
        <v>4</v>
      </c>
      <c r="F669" s="26" t="s">
        <v>1351</v>
      </c>
      <c r="G669" s="28">
        <v>0.1</v>
      </c>
      <c r="H669" s="28">
        <f>G669/E669</f>
        <v>0.025</v>
      </c>
      <c r="I669" s="39" t="s">
        <v>555</v>
      </c>
      <c r="J669" s="40">
        <v>8.9</v>
      </c>
      <c r="K669" s="58">
        <f>J669*H669</f>
        <v>0.22250000000000003</v>
      </c>
      <c r="L669" s="30">
        <f>H669*DEMANDA!$B$9</f>
        <v>3.2750000000000004</v>
      </c>
      <c r="M669" s="29">
        <f>L669*J669</f>
        <v>29.147500000000004</v>
      </c>
    </row>
    <row r="670" spans="1:13" s="41" customFormat="1" ht="15.75" customHeight="1" outlineLevel="2">
      <c r="A670" s="25">
        <v>18</v>
      </c>
      <c r="B670" s="26" t="s">
        <v>570</v>
      </c>
      <c r="C670" s="17" t="s">
        <v>521</v>
      </c>
      <c r="D670" s="26" t="s">
        <v>1096</v>
      </c>
      <c r="E670" s="27">
        <v>4</v>
      </c>
      <c r="F670" s="26" t="s">
        <v>1351</v>
      </c>
      <c r="G670" s="28">
        <v>0.07</v>
      </c>
      <c r="H670" s="28">
        <f>G670/E670</f>
        <v>0.0175</v>
      </c>
      <c r="I670" s="39" t="s">
        <v>555</v>
      </c>
      <c r="J670" s="40">
        <v>8.9</v>
      </c>
      <c r="K670" s="58">
        <f>J670*H670</f>
        <v>0.15575000000000003</v>
      </c>
      <c r="L670" s="30">
        <f>H670*DEMANDA!$B$9</f>
        <v>2.2925000000000004</v>
      </c>
      <c r="M670" s="29">
        <f>L670*J670</f>
        <v>20.403250000000003</v>
      </c>
    </row>
    <row r="671" spans="1:13" s="41" customFormat="1" ht="15.75" customHeight="1" outlineLevel="2">
      <c r="A671" s="25">
        <v>3</v>
      </c>
      <c r="B671" s="26" t="s">
        <v>556</v>
      </c>
      <c r="C671" s="17" t="s">
        <v>521</v>
      </c>
      <c r="D671" s="26" t="s">
        <v>1095</v>
      </c>
      <c r="E671" s="27">
        <v>4</v>
      </c>
      <c r="F671" s="26" t="s">
        <v>1351</v>
      </c>
      <c r="G671" s="28">
        <v>0.14</v>
      </c>
      <c r="H671" s="28">
        <f>G671/E671</f>
        <v>0.035</v>
      </c>
      <c r="I671" s="39" t="s">
        <v>555</v>
      </c>
      <c r="J671" s="40">
        <v>8.9</v>
      </c>
      <c r="K671" s="58">
        <f>J671*H671</f>
        <v>0.31150000000000005</v>
      </c>
      <c r="L671" s="30">
        <f>H671*DEMANDA!$B$9</f>
        <v>4.585000000000001</v>
      </c>
      <c r="M671" s="29">
        <f>L671*J671</f>
        <v>40.80650000000001</v>
      </c>
    </row>
    <row r="672" spans="1:13" s="41" customFormat="1" ht="15.75" customHeight="1" outlineLevel="1">
      <c r="A672" s="25"/>
      <c r="B672" s="26"/>
      <c r="C672" s="17"/>
      <c r="D672" s="26"/>
      <c r="E672" s="27"/>
      <c r="F672" s="52" t="s">
        <v>60</v>
      </c>
      <c r="G672" s="28"/>
      <c r="H672" s="28"/>
      <c r="I672" s="39"/>
      <c r="J672" s="40"/>
      <c r="K672" s="58">
        <f>SUBTOTAL(9,K668:K671)</f>
        <v>1.0235</v>
      </c>
      <c r="L672" s="30"/>
      <c r="M672" s="29"/>
    </row>
    <row r="673" spans="1:13" s="41" customFormat="1" ht="15.75" customHeight="1" outlineLevel="2">
      <c r="A673" s="25">
        <v>8</v>
      </c>
      <c r="B673" s="26" t="s">
        <v>675</v>
      </c>
      <c r="C673" s="17" t="s">
        <v>510</v>
      </c>
      <c r="D673" s="26" t="s">
        <v>1097</v>
      </c>
      <c r="E673" s="27">
        <v>4</v>
      </c>
      <c r="F673" s="26" t="s">
        <v>1352</v>
      </c>
      <c r="G673" s="28">
        <v>0.2</v>
      </c>
      <c r="H673" s="28">
        <f>G673/E673</f>
        <v>0.05</v>
      </c>
      <c r="I673" s="39" t="s">
        <v>555</v>
      </c>
      <c r="J673" s="40">
        <v>5.2</v>
      </c>
      <c r="K673" s="58">
        <f>J673*H673</f>
        <v>0.26</v>
      </c>
      <c r="L673" s="30">
        <f>H673*DEMANDA!$B$9</f>
        <v>6.550000000000001</v>
      </c>
      <c r="M673" s="29">
        <f>L673*J673</f>
        <v>34.06</v>
      </c>
    </row>
    <row r="674" spans="1:13" s="41" customFormat="1" ht="15.75" customHeight="1" outlineLevel="2">
      <c r="A674" s="25">
        <v>23</v>
      </c>
      <c r="B674" s="26" t="s">
        <v>753</v>
      </c>
      <c r="C674" s="17" t="s">
        <v>521</v>
      </c>
      <c r="D674" s="26" t="s">
        <v>1098</v>
      </c>
      <c r="E674" s="27">
        <v>4</v>
      </c>
      <c r="F674" s="26" t="s">
        <v>1352</v>
      </c>
      <c r="G674" s="28">
        <v>0.12</v>
      </c>
      <c r="H674" s="28">
        <f>G674/E674</f>
        <v>0.03</v>
      </c>
      <c r="I674" s="39" t="s">
        <v>555</v>
      </c>
      <c r="J674" s="40">
        <v>5.2</v>
      </c>
      <c r="K674" s="58">
        <f>J674*H674</f>
        <v>0.156</v>
      </c>
      <c r="L674" s="30">
        <f>H674*DEMANDA!$B$9</f>
        <v>3.9299999999999997</v>
      </c>
      <c r="M674" s="29">
        <f>L674*J674</f>
        <v>20.436</v>
      </c>
    </row>
    <row r="675" spans="1:13" s="41" customFormat="1" ht="15.75" customHeight="1" outlineLevel="1">
      <c r="A675" s="25"/>
      <c r="B675" s="26"/>
      <c r="C675" s="17"/>
      <c r="D675" s="26"/>
      <c r="E675" s="27"/>
      <c r="F675" s="52" t="s">
        <v>61</v>
      </c>
      <c r="G675" s="28"/>
      <c r="H675" s="28"/>
      <c r="I675" s="39"/>
      <c r="J675" s="40"/>
      <c r="K675" s="58">
        <f>SUBTOTAL(9,K673:K674)</f>
        <v>0.41600000000000004</v>
      </c>
      <c r="L675" s="30"/>
      <c r="M675" s="29"/>
    </row>
    <row r="676" spans="1:22" s="41" customFormat="1" ht="15.75" customHeight="1" outlineLevel="2">
      <c r="A676" s="25">
        <v>2</v>
      </c>
      <c r="B676" s="26" t="s">
        <v>923</v>
      </c>
      <c r="C676" s="17" t="s">
        <v>514</v>
      </c>
      <c r="D676" s="26" t="s">
        <v>1099</v>
      </c>
      <c r="E676" s="27">
        <v>4</v>
      </c>
      <c r="F676" s="26" t="s">
        <v>1353</v>
      </c>
      <c r="G676" s="28">
        <v>0.115</v>
      </c>
      <c r="H676" s="28">
        <f aca="true" t="shared" si="84" ref="H676:H684">G676/E676</f>
        <v>0.02875</v>
      </c>
      <c r="I676" s="39" t="s">
        <v>555</v>
      </c>
      <c r="J676" s="40">
        <v>5.76</v>
      </c>
      <c r="K676" s="58">
        <f aca="true" t="shared" si="85" ref="K676:K684">J676*H676</f>
        <v>0.1656</v>
      </c>
      <c r="L676" s="30">
        <f>H676*DEMANDA!$B$9</f>
        <v>3.7662500000000003</v>
      </c>
      <c r="M676" s="29">
        <f aca="true" t="shared" si="86" ref="M676:M684">L676*J676</f>
        <v>21.6936</v>
      </c>
      <c r="V676" s="31"/>
    </row>
    <row r="677" spans="1:22" s="41" customFormat="1" ht="15.75" customHeight="1" outlineLevel="2">
      <c r="A677" s="25">
        <v>4</v>
      </c>
      <c r="B677" s="26" t="s">
        <v>558</v>
      </c>
      <c r="C677" s="17" t="s">
        <v>510</v>
      </c>
      <c r="D677" s="26" t="s">
        <v>1100</v>
      </c>
      <c r="E677" s="27">
        <v>2</v>
      </c>
      <c r="F677" s="26" t="s">
        <v>1353</v>
      </c>
      <c r="G677" s="28">
        <v>0.14</v>
      </c>
      <c r="H677" s="28">
        <f t="shared" si="84"/>
        <v>0.07</v>
      </c>
      <c r="I677" s="39" t="s">
        <v>555</v>
      </c>
      <c r="J677" s="40">
        <v>5.76</v>
      </c>
      <c r="K677" s="58">
        <f t="shared" si="85"/>
        <v>0.4032</v>
      </c>
      <c r="L677" s="30">
        <f>H677*DEMANDA!$B$9</f>
        <v>9.170000000000002</v>
      </c>
      <c r="M677" s="29">
        <f t="shared" si="86"/>
        <v>52.81920000000001</v>
      </c>
      <c r="V677" s="31"/>
    </row>
    <row r="678" spans="1:22" s="41" customFormat="1" ht="15.75" customHeight="1" outlineLevel="2">
      <c r="A678" s="25">
        <v>17</v>
      </c>
      <c r="B678" s="26" t="s">
        <v>543</v>
      </c>
      <c r="C678" s="17" t="s">
        <v>510</v>
      </c>
      <c r="D678" s="26" t="s">
        <v>1103</v>
      </c>
      <c r="E678" s="27">
        <v>4</v>
      </c>
      <c r="F678" s="26" t="s">
        <v>1353</v>
      </c>
      <c r="G678" s="28">
        <v>0.1</v>
      </c>
      <c r="H678" s="28">
        <f t="shared" si="84"/>
        <v>0.025</v>
      </c>
      <c r="I678" s="39" t="s">
        <v>555</v>
      </c>
      <c r="J678" s="40">
        <v>5.76</v>
      </c>
      <c r="K678" s="58">
        <f t="shared" si="85"/>
        <v>0.144</v>
      </c>
      <c r="L678" s="30">
        <f>H678*DEMANDA!$B$9</f>
        <v>3.2750000000000004</v>
      </c>
      <c r="M678" s="29">
        <f t="shared" si="86"/>
        <v>18.864</v>
      </c>
      <c r="V678" s="31"/>
    </row>
    <row r="679" spans="1:22" s="41" customFormat="1" ht="15.75" customHeight="1" outlineLevel="2">
      <c r="A679" s="25">
        <v>22</v>
      </c>
      <c r="B679" s="26" t="s">
        <v>688</v>
      </c>
      <c r="C679" s="17" t="s">
        <v>521</v>
      </c>
      <c r="D679" s="16" t="s">
        <v>1104</v>
      </c>
      <c r="E679" s="27">
        <v>2</v>
      </c>
      <c r="F679" s="26" t="s">
        <v>1353</v>
      </c>
      <c r="G679" s="28">
        <v>0.25</v>
      </c>
      <c r="H679" s="28">
        <f t="shared" si="84"/>
        <v>0.125</v>
      </c>
      <c r="I679" s="39" t="s">
        <v>555</v>
      </c>
      <c r="J679" s="40">
        <v>5.76</v>
      </c>
      <c r="K679" s="58">
        <f t="shared" si="85"/>
        <v>0.72</v>
      </c>
      <c r="L679" s="30">
        <f>H679*DEMANDA!$B$9</f>
        <v>16.375</v>
      </c>
      <c r="M679" s="29">
        <f t="shared" si="86"/>
        <v>94.32</v>
      </c>
      <c r="V679" s="31"/>
    </row>
    <row r="680" spans="1:21" ht="15.75" customHeight="1" outlineLevel="2">
      <c r="A680" s="25">
        <v>9</v>
      </c>
      <c r="B680" s="26" t="s">
        <v>930</v>
      </c>
      <c r="C680" s="17" t="s">
        <v>521</v>
      </c>
      <c r="D680" s="26" t="s">
        <v>1102</v>
      </c>
      <c r="E680" s="27">
        <v>4</v>
      </c>
      <c r="F680" s="26" t="s">
        <v>1353</v>
      </c>
      <c r="G680" s="28">
        <v>0.23</v>
      </c>
      <c r="H680" s="28">
        <f t="shared" si="84"/>
        <v>0.0575</v>
      </c>
      <c r="I680" s="39" t="s">
        <v>555</v>
      </c>
      <c r="J680" s="40">
        <v>5.76</v>
      </c>
      <c r="K680" s="58">
        <f t="shared" si="85"/>
        <v>0.3312</v>
      </c>
      <c r="L680" s="30">
        <f>H680*DEMANDA!$B$9</f>
        <v>7.532500000000001</v>
      </c>
      <c r="M680" s="29">
        <f t="shared" si="86"/>
        <v>43.3872</v>
      </c>
      <c r="O680" s="41"/>
      <c r="P680" s="41"/>
      <c r="Q680" s="41"/>
      <c r="R680" s="41"/>
      <c r="S680" s="41"/>
      <c r="T680" s="41"/>
      <c r="U680" s="41"/>
    </row>
    <row r="681" spans="1:13" ht="15.75" customHeight="1" outlineLevel="2">
      <c r="A681" s="25">
        <v>5</v>
      </c>
      <c r="B681" s="26" t="s">
        <v>729</v>
      </c>
      <c r="C681" s="17" t="s">
        <v>521</v>
      </c>
      <c r="D681" s="26" t="s">
        <v>1101</v>
      </c>
      <c r="E681" s="27">
        <v>2</v>
      </c>
      <c r="F681" s="26" t="s">
        <v>1353</v>
      </c>
      <c r="G681" s="28">
        <v>0.035</v>
      </c>
      <c r="H681" s="28">
        <f t="shared" si="84"/>
        <v>0.0175</v>
      </c>
      <c r="I681" s="39" t="s">
        <v>555</v>
      </c>
      <c r="J681" s="40">
        <v>5.76</v>
      </c>
      <c r="K681" s="58">
        <f t="shared" si="85"/>
        <v>0.1008</v>
      </c>
      <c r="L681" s="30">
        <f>H681*DEMANDA!$B$9</f>
        <v>2.2925000000000004</v>
      </c>
      <c r="M681" s="29">
        <f t="shared" si="86"/>
        <v>13.204800000000002</v>
      </c>
    </row>
    <row r="682" spans="1:13" ht="15.75" customHeight="1" outlineLevel="2">
      <c r="A682" s="25">
        <v>24</v>
      </c>
      <c r="B682" s="26" t="s">
        <v>548</v>
      </c>
      <c r="C682" s="17" t="s">
        <v>521</v>
      </c>
      <c r="D682" s="26" t="s">
        <v>1105</v>
      </c>
      <c r="E682" s="27">
        <v>2</v>
      </c>
      <c r="F682" s="26" t="s">
        <v>1353</v>
      </c>
      <c r="G682" s="28">
        <v>0.02</v>
      </c>
      <c r="H682" s="28">
        <f t="shared" si="84"/>
        <v>0.01</v>
      </c>
      <c r="I682" s="39" t="s">
        <v>555</v>
      </c>
      <c r="J682" s="40">
        <v>5.76</v>
      </c>
      <c r="K682" s="58">
        <f t="shared" si="85"/>
        <v>0.0576</v>
      </c>
      <c r="L682" s="30">
        <f>H682*DEMANDA!$B$9</f>
        <v>1.31</v>
      </c>
      <c r="M682" s="29">
        <f t="shared" si="86"/>
        <v>7.5456</v>
      </c>
    </row>
    <row r="683" spans="1:13" ht="15.75" customHeight="1" outlineLevel="2">
      <c r="A683" s="25">
        <v>2</v>
      </c>
      <c r="B683" s="26" t="s">
        <v>520</v>
      </c>
      <c r="C683" s="17" t="s">
        <v>521</v>
      </c>
      <c r="D683" s="26" t="s">
        <v>1099</v>
      </c>
      <c r="E683" s="27">
        <v>4</v>
      </c>
      <c r="F683" s="26" t="s">
        <v>1353</v>
      </c>
      <c r="G683" s="28">
        <v>0.115</v>
      </c>
      <c r="H683" s="28">
        <f t="shared" si="84"/>
        <v>0.02875</v>
      </c>
      <c r="I683" s="39" t="s">
        <v>555</v>
      </c>
      <c r="J683" s="40">
        <v>5.76</v>
      </c>
      <c r="K683" s="58">
        <f t="shared" si="85"/>
        <v>0.1656</v>
      </c>
      <c r="L683" s="30">
        <f>H683*DEMANDA!$B$9</f>
        <v>3.7662500000000003</v>
      </c>
      <c r="M683" s="29">
        <f t="shared" si="86"/>
        <v>21.6936</v>
      </c>
    </row>
    <row r="684" spans="1:13" ht="15.75" customHeight="1" outlineLevel="2">
      <c r="A684" s="25">
        <v>27</v>
      </c>
      <c r="B684" s="26" t="s">
        <v>930</v>
      </c>
      <c r="C684" s="17" t="s">
        <v>510</v>
      </c>
      <c r="D684" s="26" t="s">
        <v>1102</v>
      </c>
      <c r="E684" s="27">
        <v>4</v>
      </c>
      <c r="F684" s="26" t="s">
        <v>1353</v>
      </c>
      <c r="G684" s="28">
        <v>0.23</v>
      </c>
      <c r="H684" s="28">
        <f t="shared" si="84"/>
        <v>0.0575</v>
      </c>
      <c r="I684" s="39" t="s">
        <v>555</v>
      </c>
      <c r="J684" s="40">
        <v>5.76</v>
      </c>
      <c r="K684" s="58">
        <f t="shared" si="85"/>
        <v>0.3312</v>
      </c>
      <c r="L684" s="30">
        <f>H684*DEMANDA!$B$9</f>
        <v>7.532500000000001</v>
      </c>
      <c r="M684" s="29">
        <f t="shared" si="86"/>
        <v>43.3872</v>
      </c>
    </row>
    <row r="685" spans="1:13" ht="15.75" customHeight="1" outlineLevel="1">
      <c r="A685" s="25"/>
      <c r="B685" s="26"/>
      <c r="C685" s="17"/>
      <c r="D685" s="26"/>
      <c r="E685" s="27"/>
      <c r="F685" s="52" t="s">
        <v>62</v>
      </c>
      <c r="G685" s="28"/>
      <c r="H685" s="28"/>
      <c r="I685" s="39"/>
      <c r="J685" s="40"/>
      <c r="K685" s="58">
        <f>SUBTOTAL(9,K676:K684)</f>
        <v>2.4192</v>
      </c>
      <c r="L685" s="30"/>
      <c r="M685" s="29"/>
    </row>
    <row r="686" spans="1:13" ht="15.75" customHeight="1" outlineLevel="2">
      <c r="A686" s="25">
        <v>15</v>
      </c>
      <c r="B686" s="26" t="s">
        <v>539</v>
      </c>
      <c r="C686" s="17" t="s">
        <v>521</v>
      </c>
      <c r="D686" s="26" t="s">
        <v>1106</v>
      </c>
      <c r="E686" s="27">
        <v>4</v>
      </c>
      <c r="F686" s="26" t="s">
        <v>1397</v>
      </c>
      <c r="G686" s="28">
        <v>0.12</v>
      </c>
      <c r="H686" s="28">
        <f>G686/E686</f>
        <v>0.03</v>
      </c>
      <c r="I686" s="16" t="s">
        <v>555</v>
      </c>
      <c r="J686" s="38">
        <v>11</v>
      </c>
      <c r="K686" s="58">
        <f>J686*H686</f>
        <v>0.32999999999999996</v>
      </c>
      <c r="L686" s="30">
        <f>H686*DEMANDA!$B$9</f>
        <v>3.9299999999999997</v>
      </c>
      <c r="M686" s="29">
        <f>L686*J686</f>
        <v>43.23</v>
      </c>
    </row>
    <row r="687" spans="1:13" ht="15.75" customHeight="1" outlineLevel="1">
      <c r="A687" s="25"/>
      <c r="B687" s="26"/>
      <c r="C687" s="17"/>
      <c r="D687" s="26"/>
      <c r="E687" s="27"/>
      <c r="F687" s="52" t="s">
        <v>63</v>
      </c>
      <c r="G687" s="28"/>
      <c r="H687" s="28"/>
      <c r="I687" s="16"/>
      <c r="J687" s="38"/>
      <c r="K687" s="58">
        <f>SUBTOTAL(9,K686:K686)</f>
        <v>0.32999999999999996</v>
      </c>
      <c r="L687" s="30"/>
      <c r="M687" s="29"/>
    </row>
    <row r="688" spans="1:13" ht="15.75" customHeight="1" outlineLevel="2">
      <c r="A688" s="25">
        <v>1</v>
      </c>
      <c r="B688" s="26" t="s">
        <v>509</v>
      </c>
      <c r="C688" s="17" t="s">
        <v>510</v>
      </c>
      <c r="D688" s="26" t="s">
        <v>1107</v>
      </c>
      <c r="E688" s="27">
        <v>4</v>
      </c>
      <c r="F688" s="26" t="s">
        <v>1354</v>
      </c>
      <c r="G688" s="28">
        <v>0.228</v>
      </c>
      <c r="H688" s="28">
        <f>G688/E688</f>
        <v>0.057</v>
      </c>
      <c r="I688" s="16" t="s">
        <v>555</v>
      </c>
      <c r="J688" s="29">
        <v>7.28</v>
      </c>
      <c r="K688" s="58">
        <f>J688*H688</f>
        <v>0.41496000000000005</v>
      </c>
      <c r="L688" s="30">
        <f>H688*DEMANDA!$B$9</f>
        <v>7.4670000000000005</v>
      </c>
      <c r="M688" s="29">
        <f>L688*J688</f>
        <v>54.35976000000001</v>
      </c>
    </row>
    <row r="689" spans="1:13" ht="15.75" customHeight="1" outlineLevel="2">
      <c r="A689" s="25">
        <v>5</v>
      </c>
      <c r="B689" s="26" t="s">
        <v>526</v>
      </c>
      <c r="C689" s="17" t="s">
        <v>514</v>
      </c>
      <c r="D689" s="26" t="s">
        <v>1108</v>
      </c>
      <c r="E689" s="27">
        <v>4</v>
      </c>
      <c r="F689" s="26" t="s">
        <v>1354</v>
      </c>
      <c r="G689" s="28">
        <v>0.14</v>
      </c>
      <c r="H689" s="28">
        <f>G689/E689</f>
        <v>0.035</v>
      </c>
      <c r="I689" s="16" t="s">
        <v>555</v>
      </c>
      <c r="J689" s="29">
        <v>7.28</v>
      </c>
      <c r="K689" s="58">
        <f>J689*H689</f>
        <v>0.2548</v>
      </c>
      <c r="L689" s="30">
        <f>H689*DEMANDA!$B$9</f>
        <v>4.585000000000001</v>
      </c>
      <c r="M689" s="29">
        <f>L689*J689</f>
        <v>33.378800000000005</v>
      </c>
    </row>
    <row r="690" spans="1:13" ht="15.75" customHeight="1" outlineLevel="2">
      <c r="A690" s="25">
        <v>11</v>
      </c>
      <c r="B690" s="26" t="s">
        <v>535</v>
      </c>
      <c r="C690" s="17" t="s">
        <v>510</v>
      </c>
      <c r="D690" s="26" t="s">
        <v>1386</v>
      </c>
      <c r="E690" s="27">
        <v>4</v>
      </c>
      <c r="F690" s="26" t="s">
        <v>1354</v>
      </c>
      <c r="G690" s="28">
        <v>0.228</v>
      </c>
      <c r="H690" s="28">
        <f>G690/E690</f>
        <v>0.057</v>
      </c>
      <c r="I690" s="16" t="s">
        <v>555</v>
      </c>
      <c r="J690" s="29">
        <v>7.28</v>
      </c>
      <c r="K690" s="58">
        <f>J690*H690</f>
        <v>0.41496000000000005</v>
      </c>
      <c r="L690" s="30">
        <f>H690*DEMANDA!$B$9</f>
        <v>7.4670000000000005</v>
      </c>
      <c r="M690" s="29">
        <f>L690*J690</f>
        <v>54.35976000000001</v>
      </c>
    </row>
    <row r="691" spans="1:13" ht="15.75" customHeight="1" outlineLevel="2">
      <c r="A691" s="25">
        <v>21</v>
      </c>
      <c r="B691" s="26" t="s">
        <v>546</v>
      </c>
      <c r="C691" s="17" t="s">
        <v>510</v>
      </c>
      <c r="D691" s="16" t="s">
        <v>1109</v>
      </c>
      <c r="E691" s="27">
        <v>4</v>
      </c>
      <c r="F691" s="26" t="s">
        <v>1354</v>
      </c>
      <c r="G691" s="28">
        <v>0.15</v>
      </c>
      <c r="H691" s="28">
        <f>G691/E691</f>
        <v>0.0375</v>
      </c>
      <c r="I691" s="16" t="s">
        <v>555</v>
      </c>
      <c r="J691" s="29">
        <v>7.28</v>
      </c>
      <c r="K691" s="58">
        <f>J691*H691</f>
        <v>0.273</v>
      </c>
      <c r="L691" s="30">
        <f>H691*DEMANDA!$B$9</f>
        <v>4.9125</v>
      </c>
      <c r="M691" s="29">
        <f>L691*J691</f>
        <v>35.763</v>
      </c>
    </row>
    <row r="692" spans="1:13" ht="15.75" customHeight="1" outlineLevel="1">
      <c r="A692" s="25"/>
      <c r="B692" s="26"/>
      <c r="C692" s="17"/>
      <c r="D692" s="16"/>
      <c r="E692" s="27"/>
      <c r="F692" s="52" t="s">
        <v>64</v>
      </c>
      <c r="G692" s="28"/>
      <c r="H692" s="28"/>
      <c r="I692" s="16"/>
      <c r="J692" s="29"/>
      <c r="K692" s="58">
        <f>SUBTOTAL(9,K688:K691)</f>
        <v>1.35772</v>
      </c>
      <c r="L692" s="30"/>
      <c r="M692" s="29"/>
    </row>
    <row r="693" spans="1:13" ht="15.75" customHeight="1" outlineLevel="2">
      <c r="A693" s="25">
        <v>5</v>
      </c>
      <c r="B693" s="26" t="s">
        <v>559</v>
      </c>
      <c r="C693" s="17" t="s">
        <v>510</v>
      </c>
      <c r="D693" s="26" t="s">
        <v>1110</v>
      </c>
      <c r="E693" s="27">
        <v>4</v>
      </c>
      <c r="F693" s="26" t="s">
        <v>1355</v>
      </c>
      <c r="G693" s="28">
        <v>0.1</v>
      </c>
      <c r="H693" s="28">
        <f aca="true" t="shared" si="87" ref="H693:H700">G693/E693</f>
        <v>0.025</v>
      </c>
      <c r="I693" s="16" t="s">
        <v>555</v>
      </c>
      <c r="J693" s="29">
        <v>17.4</v>
      </c>
      <c r="K693" s="58">
        <f aca="true" t="shared" si="88" ref="K693:K700">J693*H693</f>
        <v>0.435</v>
      </c>
      <c r="L693" s="30">
        <f>H693*DEMANDA!$B$9</f>
        <v>3.2750000000000004</v>
      </c>
      <c r="M693" s="29">
        <f aca="true" t="shared" si="89" ref="M693:M700">L693*J693</f>
        <v>56.985</v>
      </c>
    </row>
    <row r="694" spans="1:13" ht="15.75" customHeight="1" outlineLevel="2">
      <c r="A694" s="25">
        <v>6</v>
      </c>
      <c r="B694" s="26" t="s">
        <v>615</v>
      </c>
      <c r="C694" s="17" t="s">
        <v>510</v>
      </c>
      <c r="D694" s="26" t="s">
        <v>1111</v>
      </c>
      <c r="E694" s="27">
        <v>2</v>
      </c>
      <c r="F694" s="26" t="s">
        <v>1355</v>
      </c>
      <c r="G694" s="28">
        <v>0.03</v>
      </c>
      <c r="H694" s="28">
        <f t="shared" si="87"/>
        <v>0.015</v>
      </c>
      <c r="I694" s="16" t="s">
        <v>555</v>
      </c>
      <c r="J694" s="29">
        <v>17.4</v>
      </c>
      <c r="K694" s="58">
        <f t="shared" si="88"/>
        <v>0.26099999999999995</v>
      </c>
      <c r="L694" s="30">
        <f>H694*DEMANDA!$B$9</f>
        <v>1.9649999999999999</v>
      </c>
      <c r="M694" s="29">
        <f t="shared" si="89"/>
        <v>34.190999999999995</v>
      </c>
    </row>
    <row r="695" spans="1:13" ht="15.75" customHeight="1" outlineLevel="2">
      <c r="A695" s="25">
        <v>7</v>
      </c>
      <c r="B695" s="26" t="s">
        <v>529</v>
      </c>
      <c r="C695" s="17" t="s">
        <v>510</v>
      </c>
      <c r="D695" s="26" t="s">
        <v>1112</v>
      </c>
      <c r="E695" s="27">
        <v>4</v>
      </c>
      <c r="F695" s="26" t="s">
        <v>1355</v>
      </c>
      <c r="G695" s="28">
        <v>0.06</v>
      </c>
      <c r="H695" s="28">
        <f t="shared" si="87"/>
        <v>0.015</v>
      </c>
      <c r="I695" s="16" t="s">
        <v>555</v>
      </c>
      <c r="J695" s="29">
        <v>17.4</v>
      </c>
      <c r="K695" s="58">
        <f t="shared" si="88"/>
        <v>0.26099999999999995</v>
      </c>
      <c r="L695" s="30">
        <f>H695*DEMANDA!$B$9</f>
        <v>1.9649999999999999</v>
      </c>
      <c r="M695" s="29">
        <f t="shared" si="89"/>
        <v>34.190999999999995</v>
      </c>
    </row>
    <row r="696" spans="1:13" ht="15.75" customHeight="1" outlineLevel="2">
      <c r="A696" s="25">
        <v>13</v>
      </c>
      <c r="B696" s="26" t="s">
        <v>655</v>
      </c>
      <c r="C696" s="17" t="s">
        <v>514</v>
      </c>
      <c r="D696" s="26" t="s">
        <v>1113</v>
      </c>
      <c r="E696" s="27">
        <v>4</v>
      </c>
      <c r="F696" s="26" t="s">
        <v>1355</v>
      </c>
      <c r="G696" s="28">
        <v>0.05</v>
      </c>
      <c r="H696" s="28">
        <f t="shared" si="87"/>
        <v>0.0125</v>
      </c>
      <c r="I696" s="16" t="s">
        <v>555</v>
      </c>
      <c r="J696" s="29">
        <v>17.4</v>
      </c>
      <c r="K696" s="58">
        <f t="shared" si="88"/>
        <v>0.2175</v>
      </c>
      <c r="L696" s="30">
        <f>H696*DEMANDA!$B$9</f>
        <v>1.6375000000000002</v>
      </c>
      <c r="M696" s="29">
        <f t="shared" si="89"/>
        <v>28.4925</v>
      </c>
    </row>
    <row r="697" spans="1:13" ht="15.75" customHeight="1" outlineLevel="2">
      <c r="A697" s="25">
        <v>16</v>
      </c>
      <c r="B697" s="26" t="s">
        <v>541</v>
      </c>
      <c r="C697" s="17" t="s">
        <v>514</v>
      </c>
      <c r="D697" s="26" t="s">
        <v>1114</v>
      </c>
      <c r="E697" s="27">
        <v>4</v>
      </c>
      <c r="F697" s="26" t="s">
        <v>1355</v>
      </c>
      <c r="G697" s="28">
        <v>0.06</v>
      </c>
      <c r="H697" s="28">
        <f t="shared" si="87"/>
        <v>0.015</v>
      </c>
      <c r="I697" s="16" t="s">
        <v>555</v>
      </c>
      <c r="J697" s="29">
        <v>17.4</v>
      </c>
      <c r="K697" s="58">
        <f t="shared" si="88"/>
        <v>0.26099999999999995</v>
      </c>
      <c r="L697" s="30">
        <f>H697*DEMANDA!$B$9</f>
        <v>1.9649999999999999</v>
      </c>
      <c r="M697" s="29">
        <f t="shared" si="89"/>
        <v>34.190999999999995</v>
      </c>
    </row>
    <row r="698" spans="1:13" ht="15.75" customHeight="1" outlineLevel="2">
      <c r="A698" s="25">
        <v>17</v>
      </c>
      <c r="B698" s="26" t="s">
        <v>569</v>
      </c>
      <c r="C698" s="17" t="s">
        <v>514</v>
      </c>
      <c r="D698" s="26" t="s">
        <v>1115</v>
      </c>
      <c r="E698" s="27">
        <v>4</v>
      </c>
      <c r="F698" s="26" t="s">
        <v>1355</v>
      </c>
      <c r="G698" s="28">
        <v>0.03</v>
      </c>
      <c r="H698" s="28">
        <f t="shared" si="87"/>
        <v>0.0075</v>
      </c>
      <c r="I698" s="16" t="s">
        <v>555</v>
      </c>
      <c r="J698" s="29">
        <v>17.4</v>
      </c>
      <c r="K698" s="58">
        <f t="shared" si="88"/>
        <v>0.13049999999999998</v>
      </c>
      <c r="L698" s="30">
        <f>H698*DEMANDA!$B$9</f>
        <v>0.9824999999999999</v>
      </c>
      <c r="M698" s="29">
        <f t="shared" si="89"/>
        <v>17.095499999999998</v>
      </c>
    </row>
    <row r="699" spans="1:13" ht="15.75" customHeight="1" outlineLevel="2">
      <c r="A699" s="25">
        <v>20</v>
      </c>
      <c r="B699" s="26" t="s">
        <v>576</v>
      </c>
      <c r="C699" s="17" t="s">
        <v>514</v>
      </c>
      <c r="D699" s="26" t="s">
        <v>1116</v>
      </c>
      <c r="E699" s="27">
        <v>4</v>
      </c>
      <c r="F699" s="26" t="s">
        <v>1355</v>
      </c>
      <c r="G699" s="28">
        <v>0.05</v>
      </c>
      <c r="H699" s="28">
        <f t="shared" si="87"/>
        <v>0.0125</v>
      </c>
      <c r="I699" s="16" t="s">
        <v>555</v>
      </c>
      <c r="J699" s="29">
        <v>17.4</v>
      </c>
      <c r="K699" s="58">
        <f t="shared" si="88"/>
        <v>0.2175</v>
      </c>
      <c r="L699" s="30">
        <f>H699*DEMANDA!$B$9</f>
        <v>1.6375000000000002</v>
      </c>
      <c r="M699" s="29">
        <f t="shared" si="89"/>
        <v>28.4925</v>
      </c>
    </row>
    <row r="700" spans="1:13" ht="15.75" customHeight="1" outlineLevel="2">
      <c r="A700" s="25">
        <v>24</v>
      </c>
      <c r="B700" s="26" t="s">
        <v>548</v>
      </c>
      <c r="C700" s="17" t="s">
        <v>521</v>
      </c>
      <c r="D700" s="26" t="s">
        <v>1117</v>
      </c>
      <c r="E700" s="27">
        <v>2</v>
      </c>
      <c r="F700" s="26" t="s">
        <v>1355</v>
      </c>
      <c r="G700" s="28">
        <v>0.01</v>
      </c>
      <c r="H700" s="28">
        <f t="shared" si="87"/>
        <v>0.005</v>
      </c>
      <c r="I700" s="16" t="s">
        <v>555</v>
      </c>
      <c r="J700" s="29">
        <v>17.4</v>
      </c>
      <c r="K700" s="58">
        <f t="shared" si="88"/>
        <v>0.087</v>
      </c>
      <c r="L700" s="30">
        <f>H700*DEMANDA!$B$9</f>
        <v>0.655</v>
      </c>
      <c r="M700" s="29">
        <f t="shared" si="89"/>
        <v>11.397</v>
      </c>
    </row>
    <row r="701" spans="1:13" ht="15.75" customHeight="1" outlineLevel="1">
      <c r="A701" s="25"/>
      <c r="B701" s="26"/>
      <c r="C701" s="17"/>
      <c r="D701" s="26"/>
      <c r="E701" s="27"/>
      <c r="F701" s="52" t="s">
        <v>65</v>
      </c>
      <c r="G701" s="28"/>
      <c r="H701" s="28"/>
      <c r="I701" s="16"/>
      <c r="J701" s="29"/>
      <c r="K701" s="58">
        <f>SUBTOTAL(9,K693:K700)</f>
        <v>1.8704999999999998</v>
      </c>
      <c r="L701" s="30"/>
      <c r="M701" s="29"/>
    </row>
    <row r="702" spans="1:13" ht="15.75" customHeight="1" outlineLevel="2">
      <c r="A702" s="32">
        <v>8</v>
      </c>
      <c r="B702" s="33" t="s">
        <v>634</v>
      </c>
      <c r="C702" s="34" t="s">
        <v>514</v>
      </c>
      <c r="D702" s="33" t="s">
        <v>1119</v>
      </c>
      <c r="E702" s="35">
        <v>4</v>
      </c>
      <c r="F702" s="33" t="s">
        <v>1356</v>
      </c>
      <c r="G702" s="36">
        <v>0.4</v>
      </c>
      <c r="H702" s="28">
        <f>G702/E702</f>
        <v>0.1</v>
      </c>
      <c r="I702" s="39" t="s">
        <v>555</v>
      </c>
      <c r="J702" s="40">
        <v>5.44</v>
      </c>
      <c r="K702" s="58">
        <f>J702*H702</f>
        <v>0.544</v>
      </c>
      <c r="L702" s="30">
        <f>H702*DEMANDA!$B$9</f>
        <v>13.100000000000001</v>
      </c>
      <c r="M702" s="29">
        <f>L702*J702</f>
        <v>71.26400000000001</v>
      </c>
    </row>
    <row r="703" spans="1:13" ht="15.75" customHeight="1" outlineLevel="2">
      <c r="A703" s="25">
        <v>6</v>
      </c>
      <c r="B703" s="26" t="s">
        <v>561</v>
      </c>
      <c r="C703" s="17" t="s">
        <v>521</v>
      </c>
      <c r="D703" s="26" t="s">
        <v>1118</v>
      </c>
      <c r="E703" s="27">
        <v>6</v>
      </c>
      <c r="F703" s="33" t="s">
        <v>1356</v>
      </c>
      <c r="G703" s="28">
        <v>0.1</v>
      </c>
      <c r="H703" s="28">
        <f>G703/E703</f>
        <v>0.016666666666666666</v>
      </c>
      <c r="I703" s="16" t="s">
        <v>555</v>
      </c>
      <c r="J703" s="29">
        <v>5.44</v>
      </c>
      <c r="K703" s="58">
        <f>J703*H703</f>
        <v>0.09066666666666667</v>
      </c>
      <c r="L703" s="30">
        <f>H703*DEMANDA!$B$9</f>
        <v>2.183333333333333</v>
      </c>
      <c r="M703" s="29">
        <f>L703*J703</f>
        <v>11.877333333333333</v>
      </c>
    </row>
    <row r="704" spans="1:13" ht="15.75" customHeight="1" outlineLevel="1">
      <c r="A704" s="25"/>
      <c r="B704" s="26"/>
      <c r="C704" s="17"/>
      <c r="D704" s="26"/>
      <c r="E704" s="27"/>
      <c r="F704" s="43" t="s">
        <v>66</v>
      </c>
      <c r="G704" s="28"/>
      <c r="H704" s="28"/>
      <c r="I704" s="16"/>
      <c r="J704" s="29"/>
      <c r="K704" s="58">
        <f>SUBTOTAL(9,K702:K703)</f>
        <v>0.6346666666666667</v>
      </c>
      <c r="L704" s="30"/>
      <c r="M704" s="29"/>
    </row>
    <row r="705" spans="1:13" ht="15.75" customHeight="1" outlineLevel="2">
      <c r="A705" s="25">
        <v>23</v>
      </c>
      <c r="B705" s="26" t="s">
        <v>602</v>
      </c>
      <c r="C705" s="17" t="s">
        <v>510</v>
      </c>
      <c r="D705" s="26" t="s">
        <v>1120</v>
      </c>
      <c r="E705" s="27">
        <v>6</v>
      </c>
      <c r="F705" s="26" t="s">
        <v>1357</v>
      </c>
      <c r="G705" s="28">
        <v>1</v>
      </c>
      <c r="H705" s="28">
        <f>G705/E705</f>
        <v>0.16666666666666666</v>
      </c>
      <c r="I705" s="16" t="s">
        <v>632</v>
      </c>
      <c r="J705" s="29">
        <v>0.96</v>
      </c>
      <c r="K705" s="58">
        <f>J705*H705</f>
        <v>0.15999999999999998</v>
      </c>
      <c r="L705" s="30">
        <f>H705*DEMANDA!$B$9</f>
        <v>21.833333333333332</v>
      </c>
      <c r="M705" s="29">
        <f>L705*J705</f>
        <v>20.959999999999997</v>
      </c>
    </row>
    <row r="706" spans="1:13" ht="15.75" customHeight="1" outlineLevel="1">
      <c r="A706" s="25"/>
      <c r="B706" s="26"/>
      <c r="C706" s="17"/>
      <c r="D706" s="26"/>
      <c r="E706" s="27"/>
      <c r="F706" s="52" t="s">
        <v>67</v>
      </c>
      <c r="G706" s="28"/>
      <c r="H706" s="28"/>
      <c r="I706" s="16"/>
      <c r="J706" s="29"/>
      <c r="K706" s="58">
        <f>SUBTOTAL(9,K705:K705)</f>
        <v>0.15999999999999998</v>
      </c>
      <c r="L706" s="30"/>
      <c r="M706" s="29"/>
    </row>
    <row r="707" spans="1:13" ht="15.75" customHeight="1" outlineLevel="2">
      <c r="A707" s="25">
        <v>23</v>
      </c>
      <c r="B707" s="26" t="s">
        <v>602</v>
      </c>
      <c r="C707" s="17" t="s">
        <v>510</v>
      </c>
      <c r="D707" s="26" t="s">
        <v>1121</v>
      </c>
      <c r="E707" s="27">
        <v>6</v>
      </c>
      <c r="F707" s="26" t="s">
        <v>1358</v>
      </c>
      <c r="G707" s="28">
        <v>0.15</v>
      </c>
      <c r="H707" s="28">
        <f>G707/E707</f>
        <v>0.024999999999999998</v>
      </c>
      <c r="I707" s="16" t="s">
        <v>555</v>
      </c>
      <c r="J707" s="29">
        <v>0.72</v>
      </c>
      <c r="K707" s="58">
        <f>J707*H707</f>
        <v>0.018</v>
      </c>
      <c r="L707" s="30">
        <f>H707*DEMANDA!$B$9</f>
        <v>3.275</v>
      </c>
      <c r="M707" s="29">
        <f>L707*J707</f>
        <v>2.3579999999999997</v>
      </c>
    </row>
    <row r="708" spans="1:13" ht="15.75" customHeight="1" outlineLevel="1">
      <c r="A708" s="25"/>
      <c r="B708" s="26"/>
      <c r="C708" s="17"/>
      <c r="D708" s="26"/>
      <c r="E708" s="27"/>
      <c r="F708" s="52" t="s">
        <v>68</v>
      </c>
      <c r="G708" s="28"/>
      <c r="H708" s="28"/>
      <c r="I708" s="16"/>
      <c r="J708" s="29"/>
      <c r="K708" s="58">
        <f>SUBTOTAL(9,K707:K707)</f>
        <v>0.018</v>
      </c>
      <c r="L708" s="30"/>
      <c r="M708" s="29"/>
    </row>
    <row r="709" spans="1:13" ht="15.75" customHeight="1" outlineLevel="2">
      <c r="A709" s="25">
        <v>5</v>
      </c>
      <c r="B709" s="26" t="s">
        <v>559</v>
      </c>
      <c r="C709" s="17" t="s">
        <v>510</v>
      </c>
      <c r="D709" s="26" t="s">
        <v>1123</v>
      </c>
      <c r="E709" s="27">
        <v>4</v>
      </c>
      <c r="F709" s="26" t="s">
        <v>1359</v>
      </c>
      <c r="G709" s="28">
        <v>0.4</v>
      </c>
      <c r="H709" s="28">
        <f aca="true" t="shared" si="90" ref="H709:H715">G709/E709</f>
        <v>0.1</v>
      </c>
      <c r="I709" s="16" t="s">
        <v>555</v>
      </c>
      <c r="J709" s="38">
        <v>5.44</v>
      </c>
      <c r="K709" s="58">
        <f aca="true" t="shared" si="91" ref="K709:K715">J709*H709</f>
        <v>0.544</v>
      </c>
      <c r="L709" s="30">
        <f>H709*DEMANDA!$B$9</f>
        <v>13.100000000000001</v>
      </c>
      <c r="M709" s="29">
        <f aca="true" t="shared" si="92" ref="M709:M715">L709*J709</f>
        <v>71.26400000000001</v>
      </c>
    </row>
    <row r="710" spans="1:13" ht="15.75" customHeight="1" outlineLevel="2">
      <c r="A710" s="32">
        <v>8</v>
      </c>
      <c r="B710" s="33" t="s">
        <v>634</v>
      </c>
      <c r="C710" s="34" t="s">
        <v>514</v>
      </c>
      <c r="D710" s="33" t="s">
        <v>1125</v>
      </c>
      <c r="E710" s="35">
        <v>4</v>
      </c>
      <c r="F710" s="26" t="s">
        <v>1359</v>
      </c>
      <c r="G710" s="36">
        <v>0.2</v>
      </c>
      <c r="H710" s="28">
        <f t="shared" si="90"/>
        <v>0.05</v>
      </c>
      <c r="I710" s="16" t="s">
        <v>555</v>
      </c>
      <c r="J710" s="38">
        <v>5.44</v>
      </c>
      <c r="K710" s="58">
        <f t="shared" si="91"/>
        <v>0.272</v>
      </c>
      <c r="L710" s="30">
        <f>H710*DEMANDA!$B$9</f>
        <v>6.550000000000001</v>
      </c>
      <c r="M710" s="29">
        <f t="shared" si="92"/>
        <v>35.632000000000005</v>
      </c>
    </row>
    <row r="711" spans="1:13" ht="15.75" customHeight="1" outlineLevel="2">
      <c r="A711" s="25">
        <v>10</v>
      </c>
      <c r="B711" s="26" t="s">
        <v>646</v>
      </c>
      <c r="C711" s="17" t="s">
        <v>510</v>
      </c>
      <c r="D711" s="26" t="s">
        <v>1387</v>
      </c>
      <c r="E711" s="27">
        <v>6</v>
      </c>
      <c r="F711" s="26" t="s">
        <v>1359</v>
      </c>
      <c r="G711" s="28">
        <v>0.4</v>
      </c>
      <c r="H711" s="28">
        <f t="shared" si="90"/>
        <v>0.06666666666666667</v>
      </c>
      <c r="I711" s="16" t="s">
        <v>555</v>
      </c>
      <c r="J711" s="38">
        <v>5.44</v>
      </c>
      <c r="K711" s="58">
        <f t="shared" si="91"/>
        <v>0.3626666666666667</v>
      </c>
      <c r="L711" s="30">
        <f>H711*DEMANDA!$B$9</f>
        <v>8.733333333333333</v>
      </c>
      <c r="M711" s="29">
        <f t="shared" si="92"/>
        <v>47.50933333333333</v>
      </c>
    </row>
    <row r="712" spans="1:13" ht="15.75" customHeight="1" outlineLevel="2">
      <c r="A712" s="25">
        <v>15</v>
      </c>
      <c r="B712" s="26" t="s">
        <v>759</v>
      </c>
      <c r="C712" s="17" t="s">
        <v>510</v>
      </c>
      <c r="D712" s="26" t="s">
        <v>1126</v>
      </c>
      <c r="E712" s="27">
        <v>4</v>
      </c>
      <c r="F712" s="26" t="s">
        <v>1359</v>
      </c>
      <c r="G712" s="28">
        <v>0.1</v>
      </c>
      <c r="H712" s="28">
        <f t="shared" si="90"/>
        <v>0.025</v>
      </c>
      <c r="I712" s="16" t="s">
        <v>555</v>
      </c>
      <c r="J712" s="38">
        <v>5.44</v>
      </c>
      <c r="K712" s="58">
        <f t="shared" si="91"/>
        <v>0.136</v>
      </c>
      <c r="L712" s="30">
        <f>H712*DEMANDA!$B$9</f>
        <v>3.2750000000000004</v>
      </c>
      <c r="M712" s="29">
        <f t="shared" si="92"/>
        <v>17.816000000000003</v>
      </c>
    </row>
    <row r="713" spans="1:13" ht="15.75" customHeight="1" outlineLevel="2">
      <c r="A713" s="25">
        <v>22</v>
      </c>
      <c r="B713" s="26" t="s">
        <v>663</v>
      </c>
      <c r="C713" s="17" t="s">
        <v>510</v>
      </c>
      <c r="D713" s="26" t="s">
        <v>1127</v>
      </c>
      <c r="E713" s="27">
        <v>4</v>
      </c>
      <c r="F713" s="26" t="s">
        <v>1359</v>
      </c>
      <c r="G713" s="28">
        <v>0.6</v>
      </c>
      <c r="H713" s="28">
        <f t="shared" si="90"/>
        <v>0.15</v>
      </c>
      <c r="I713" s="16" t="s">
        <v>555</v>
      </c>
      <c r="J713" s="38">
        <v>5.44</v>
      </c>
      <c r="K713" s="58">
        <f t="shared" si="91"/>
        <v>0.8160000000000001</v>
      </c>
      <c r="L713" s="30">
        <f>H713*DEMANDA!$B$9</f>
        <v>19.65</v>
      </c>
      <c r="M713" s="29">
        <f t="shared" si="92"/>
        <v>106.896</v>
      </c>
    </row>
    <row r="714" spans="1:13" ht="15.75" customHeight="1" outlineLevel="2">
      <c r="A714" s="25">
        <v>4</v>
      </c>
      <c r="B714" s="26" t="s">
        <v>792</v>
      </c>
      <c r="C714" s="17" t="s">
        <v>521</v>
      </c>
      <c r="D714" s="26" t="s">
        <v>1122</v>
      </c>
      <c r="E714" s="27">
        <v>4</v>
      </c>
      <c r="F714" s="26" t="s">
        <v>1359</v>
      </c>
      <c r="G714" s="28">
        <v>0.14</v>
      </c>
      <c r="H714" s="28">
        <f t="shared" si="90"/>
        <v>0.035</v>
      </c>
      <c r="I714" s="16" t="s">
        <v>555</v>
      </c>
      <c r="J714" s="38">
        <v>5.44</v>
      </c>
      <c r="K714" s="58">
        <f t="shared" si="91"/>
        <v>0.19040000000000004</v>
      </c>
      <c r="L714" s="30">
        <f>H714*DEMANDA!$B$9</f>
        <v>4.585000000000001</v>
      </c>
      <c r="M714" s="29">
        <f t="shared" si="92"/>
        <v>24.942400000000006</v>
      </c>
    </row>
    <row r="715" spans="1:13" ht="15.75" customHeight="1" outlineLevel="2">
      <c r="A715" s="25">
        <v>6</v>
      </c>
      <c r="B715" s="26" t="s">
        <v>561</v>
      </c>
      <c r="C715" s="17" t="s">
        <v>521</v>
      </c>
      <c r="D715" s="26" t="s">
        <v>1124</v>
      </c>
      <c r="E715" s="27">
        <v>6</v>
      </c>
      <c r="F715" s="26" t="s">
        <v>1359</v>
      </c>
      <c r="G715" s="28">
        <v>0.1</v>
      </c>
      <c r="H715" s="28">
        <f t="shared" si="90"/>
        <v>0.016666666666666666</v>
      </c>
      <c r="I715" s="16" t="s">
        <v>555</v>
      </c>
      <c r="J715" s="38">
        <v>5.44</v>
      </c>
      <c r="K715" s="58">
        <f t="shared" si="91"/>
        <v>0.09066666666666667</v>
      </c>
      <c r="L715" s="30">
        <f>H715*DEMANDA!$B$9</f>
        <v>2.183333333333333</v>
      </c>
      <c r="M715" s="29">
        <f t="shared" si="92"/>
        <v>11.877333333333333</v>
      </c>
    </row>
    <row r="716" spans="1:13" ht="15.75" customHeight="1" outlineLevel="1">
      <c r="A716" s="25"/>
      <c r="B716" s="26"/>
      <c r="C716" s="17"/>
      <c r="D716" s="26"/>
      <c r="E716" s="27"/>
      <c r="F716" s="52" t="s">
        <v>69</v>
      </c>
      <c r="G716" s="28"/>
      <c r="H716" s="28"/>
      <c r="I716" s="16"/>
      <c r="J716" s="38"/>
      <c r="K716" s="58">
        <f>SUBTOTAL(9,K709:K715)</f>
        <v>2.4117333333333333</v>
      </c>
      <c r="L716" s="30"/>
      <c r="M716" s="29"/>
    </row>
    <row r="717" spans="1:13" ht="15.75" customHeight="1" outlineLevel="2">
      <c r="A717" s="25">
        <v>30</v>
      </c>
      <c r="B717" s="26" t="s">
        <v>552</v>
      </c>
      <c r="C717" s="17" t="s">
        <v>514</v>
      </c>
      <c r="D717" s="26" t="s">
        <v>1128</v>
      </c>
      <c r="E717" s="27">
        <v>4</v>
      </c>
      <c r="F717" s="26" t="s">
        <v>1360</v>
      </c>
      <c r="G717" s="28">
        <v>0.45</v>
      </c>
      <c r="H717" s="28">
        <f>G717/E717</f>
        <v>0.1125</v>
      </c>
      <c r="I717" s="16" t="s">
        <v>555</v>
      </c>
      <c r="J717" s="38">
        <v>25</v>
      </c>
      <c r="K717" s="58">
        <f>J717*H717</f>
        <v>2.8125</v>
      </c>
      <c r="L717" s="30">
        <f>H717*DEMANDA!$B$9</f>
        <v>14.7375</v>
      </c>
      <c r="M717" s="29">
        <f>L717*J717</f>
        <v>368.4375</v>
      </c>
    </row>
    <row r="718" spans="1:13" ht="15.75" customHeight="1" outlineLevel="1">
      <c r="A718" s="25"/>
      <c r="B718" s="26"/>
      <c r="C718" s="17"/>
      <c r="D718" s="26"/>
      <c r="E718" s="27"/>
      <c r="F718" s="52" t="s">
        <v>70</v>
      </c>
      <c r="G718" s="28"/>
      <c r="H718" s="28"/>
      <c r="I718" s="16"/>
      <c r="J718" s="38"/>
      <c r="K718" s="58">
        <f>SUBTOTAL(9,K717:K717)</f>
        <v>2.8125</v>
      </c>
      <c r="L718" s="30"/>
      <c r="M718" s="29"/>
    </row>
    <row r="719" spans="1:13" ht="15.75" customHeight="1" outlineLevel="2">
      <c r="A719" s="32">
        <v>6</v>
      </c>
      <c r="B719" s="33" t="s">
        <v>527</v>
      </c>
      <c r="C719" s="34" t="s">
        <v>514</v>
      </c>
      <c r="D719" s="33" t="s">
        <v>1129</v>
      </c>
      <c r="E719" s="35">
        <v>12</v>
      </c>
      <c r="F719" s="33" t="s">
        <v>1361</v>
      </c>
      <c r="G719" s="36">
        <v>0.01</v>
      </c>
      <c r="H719" s="28">
        <f>G719/E719</f>
        <v>0.0008333333333333334</v>
      </c>
      <c r="I719" s="16" t="s">
        <v>632</v>
      </c>
      <c r="J719" s="29">
        <v>0.3</v>
      </c>
      <c r="K719" s="58">
        <f>J719*H719</f>
        <v>0.00025</v>
      </c>
      <c r="L719" s="30">
        <f>H719*DEMANDA!$B$9</f>
        <v>0.10916666666666668</v>
      </c>
      <c r="M719" s="29">
        <f>L719*J719</f>
        <v>0.03275</v>
      </c>
    </row>
    <row r="720" spans="1:13" ht="15.75" customHeight="1" outlineLevel="2">
      <c r="A720" s="32">
        <v>6</v>
      </c>
      <c r="B720" s="33" t="s">
        <v>527</v>
      </c>
      <c r="C720" s="34" t="s">
        <v>514</v>
      </c>
      <c r="D720" s="33" t="s">
        <v>1130</v>
      </c>
      <c r="E720" s="35">
        <v>12</v>
      </c>
      <c r="F720" s="33" t="s">
        <v>1361</v>
      </c>
      <c r="G720" s="36">
        <v>0.005</v>
      </c>
      <c r="H720" s="28">
        <f>G720/E720</f>
        <v>0.0004166666666666667</v>
      </c>
      <c r="I720" s="16" t="s">
        <v>632</v>
      </c>
      <c r="J720" s="29">
        <v>0.3</v>
      </c>
      <c r="K720" s="58">
        <f>J720*H720</f>
        <v>0.000125</v>
      </c>
      <c r="L720" s="30">
        <f>H720*DEMANDA!$B$9</f>
        <v>0.05458333333333334</v>
      </c>
      <c r="M720" s="29">
        <f>L720*J720</f>
        <v>0.016375</v>
      </c>
    </row>
    <row r="721" spans="1:13" ht="15.75" customHeight="1" outlineLevel="2">
      <c r="A721" s="25">
        <v>10</v>
      </c>
      <c r="B721" s="26" t="s">
        <v>533</v>
      </c>
      <c r="C721" s="17" t="s">
        <v>514</v>
      </c>
      <c r="D721" s="26" t="s">
        <v>1131</v>
      </c>
      <c r="E721" s="27">
        <v>4</v>
      </c>
      <c r="F721" s="33" t="s">
        <v>1361</v>
      </c>
      <c r="G721" s="28">
        <v>0.01</v>
      </c>
      <c r="H721" s="28">
        <f>G721/E721</f>
        <v>0.0025</v>
      </c>
      <c r="I721" s="16" t="s">
        <v>632</v>
      </c>
      <c r="J721" s="29">
        <v>0.3</v>
      </c>
      <c r="K721" s="58">
        <f>J721*H721</f>
        <v>0.00075</v>
      </c>
      <c r="L721" s="30">
        <f>H721*DEMANDA!$B$9</f>
        <v>0.3275</v>
      </c>
      <c r="M721" s="29">
        <f>L721*J721</f>
        <v>0.09825</v>
      </c>
    </row>
    <row r="722" spans="1:13" ht="15.75" customHeight="1" outlineLevel="1">
      <c r="A722" s="25"/>
      <c r="B722" s="26"/>
      <c r="C722" s="17"/>
      <c r="D722" s="26"/>
      <c r="E722" s="27"/>
      <c r="F722" s="43" t="s">
        <v>71</v>
      </c>
      <c r="G722" s="28"/>
      <c r="H722" s="28"/>
      <c r="I722" s="16"/>
      <c r="J722" s="29"/>
      <c r="K722" s="58">
        <f>SUBTOTAL(9,K719:K721)</f>
        <v>0.0011250000000000001</v>
      </c>
      <c r="L722" s="30"/>
      <c r="M722" s="29"/>
    </row>
    <row r="723" spans="1:13" ht="15.75" customHeight="1" outlineLevel="2">
      <c r="A723" s="25">
        <v>15</v>
      </c>
      <c r="B723" s="26" t="s">
        <v>513</v>
      </c>
      <c r="C723" s="17" t="s">
        <v>514</v>
      </c>
      <c r="D723" s="26" t="s">
        <v>1132</v>
      </c>
      <c r="E723" s="27">
        <v>4</v>
      </c>
      <c r="F723" s="26" t="s">
        <v>1362</v>
      </c>
      <c r="G723" s="28">
        <v>0.05</v>
      </c>
      <c r="H723" s="28">
        <f>G723/E723</f>
        <v>0.0125</v>
      </c>
      <c r="I723" s="16" t="s">
        <v>512</v>
      </c>
      <c r="J723" s="29">
        <v>8</v>
      </c>
      <c r="K723" s="58">
        <f>J723*H723</f>
        <v>0.1</v>
      </c>
      <c r="L723" s="30">
        <f>H723*DEMANDA!$B$9</f>
        <v>1.6375000000000002</v>
      </c>
      <c r="M723" s="29">
        <f>L723*J723</f>
        <v>13.100000000000001</v>
      </c>
    </row>
    <row r="724" spans="1:13" ht="15.75" customHeight="1" outlineLevel="2">
      <c r="A724" s="25">
        <v>24</v>
      </c>
      <c r="B724" s="26" t="s">
        <v>547</v>
      </c>
      <c r="C724" s="17" t="s">
        <v>514</v>
      </c>
      <c r="D724" s="26" t="s">
        <v>1133</v>
      </c>
      <c r="E724" s="27">
        <v>4</v>
      </c>
      <c r="F724" s="26" t="s">
        <v>1362</v>
      </c>
      <c r="G724" s="28">
        <v>0.114</v>
      </c>
      <c r="H724" s="28">
        <f>G724/E724</f>
        <v>0.0285</v>
      </c>
      <c r="I724" s="16" t="s">
        <v>512</v>
      </c>
      <c r="J724" s="29">
        <v>8</v>
      </c>
      <c r="K724" s="58">
        <f>J724*H724</f>
        <v>0.228</v>
      </c>
      <c r="L724" s="30">
        <f>H724*DEMANDA!$B$9</f>
        <v>3.7335000000000003</v>
      </c>
      <c r="M724" s="29">
        <f>L724*J724</f>
        <v>29.868000000000002</v>
      </c>
    </row>
    <row r="725" spans="1:13" ht="15.75" customHeight="1" outlineLevel="2">
      <c r="A725" s="25">
        <v>27</v>
      </c>
      <c r="B725" s="26" t="s">
        <v>549</v>
      </c>
      <c r="C725" s="17" t="s">
        <v>514</v>
      </c>
      <c r="D725" s="26" t="s">
        <v>1134</v>
      </c>
      <c r="E725" s="27">
        <v>4</v>
      </c>
      <c r="F725" s="26" t="s">
        <v>1362</v>
      </c>
      <c r="G725" s="28">
        <v>0.06</v>
      </c>
      <c r="H725" s="28">
        <f>G725/E725</f>
        <v>0.015</v>
      </c>
      <c r="I725" s="16" t="s">
        <v>512</v>
      </c>
      <c r="J725" s="29">
        <v>8</v>
      </c>
      <c r="K725" s="58">
        <f>J725*H725</f>
        <v>0.12</v>
      </c>
      <c r="L725" s="30">
        <f>H725*DEMANDA!$B$9</f>
        <v>1.9649999999999999</v>
      </c>
      <c r="M725" s="29">
        <f>L725*J725</f>
        <v>15.719999999999999</v>
      </c>
    </row>
    <row r="726" spans="1:13" ht="15.75" customHeight="1" outlineLevel="1">
      <c r="A726" s="25"/>
      <c r="B726" s="26"/>
      <c r="C726" s="17"/>
      <c r="D726" s="26"/>
      <c r="E726" s="27"/>
      <c r="F726" s="52" t="s">
        <v>72</v>
      </c>
      <c r="G726" s="28"/>
      <c r="H726" s="28"/>
      <c r="I726" s="16"/>
      <c r="J726" s="29"/>
      <c r="K726" s="58">
        <f>SUBTOTAL(9,K723:K725)</f>
        <v>0.448</v>
      </c>
      <c r="L726" s="30"/>
      <c r="M726" s="29"/>
    </row>
    <row r="727" spans="1:13" ht="15.75" customHeight="1" outlineLevel="2">
      <c r="A727" s="25">
        <v>22</v>
      </c>
      <c r="B727" s="26" t="s">
        <v>688</v>
      </c>
      <c r="C727" s="17" t="s">
        <v>521</v>
      </c>
      <c r="D727" s="16" t="s">
        <v>799</v>
      </c>
      <c r="E727" s="27">
        <v>2</v>
      </c>
      <c r="F727" s="26" t="s">
        <v>231</v>
      </c>
      <c r="G727" s="28">
        <v>0.15</v>
      </c>
      <c r="H727" s="28">
        <f aca="true" t="shared" si="93" ref="H727:H734">G727/E727</f>
        <v>0.075</v>
      </c>
      <c r="I727" s="16" t="s">
        <v>555</v>
      </c>
      <c r="J727" s="29">
        <v>2.77</v>
      </c>
      <c r="K727" s="58">
        <f aca="true" t="shared" si="94" ref="K727:K734">J727*H727</f>
        <v>0.20775</v>
      </c>
      <c r="L727" s="30">
        <f>H727*DEMANDA!$B$9</f>
        <v>9.825</v>
      </c>
      <c r="M727" s="29">
        <f aca="true" t="shared" si="95" ref="M727:M734">L727*J727</f>
        <v>27.215249999999997</v>
      </c>
    </row>
    <row r="728" spans="1:13" ht="15.75" customHeight="1" outlineLevel="2">
      <c r="A728" s="25">
        <v>26</v>
      </c>
      <c r="B728" s="26" t="s">
        <v>692</v>
      </c>
      <c r="C728" s="17" t="s">
        <v>521</v>
      </c>
      <c r="D728" s="16" t="s">
        <v>801</v>
      </c>
      <c r="E728" s="27">
        <v>4</v>
      </c>
      <c r="F728" s="26" t="s">
        <v>231</v>
      </c>
      <c r="G728" s="28">
        <v>0.17</v>
      </c>
      <c r="H728" s="28">
        <f t="shared" si="93"/>
        <v>0.0425</v>
      </c>
      <c r="I728" s="16" t="s">
        <v>555</v>
      </c>
      <c r="J728" s="29">
        <v>2.77</v>
      </c>
      <c r="K728" s="58">
        <f t="shared" si="94"/>
        <v>0.11772500000000001</v>
      </c>
      <c r="L728" s="30">
        <f>H728*DEMANDA!$B$9</f>
        <v>5.567500000000001</v>
      </c>
      <c r="M728" s="29">
        <f t="shared" si="95"/>
        <v>15.421975000000002</v>
      </c>
    </row>
    <row r="729" spans="1:13" ht="15.75" customHeight="1" outlineLevel="2">
      <c r="A729" s="32">
        <v>30</v>
      </c>
      <c r="B729" s="33" t="s">
        <v>643</v>
      </c>
      <c r="C729" s="34" t="s">
        <v>521</v>
      </c>
      <c r="D729" s="33" t="s">
        <v>800</v>
      </c>
      <c r="E729" s="35">
        <v>4</v>
      </c>
      <c r="F729" s="26" t="s">
        <v>231</v>
      </c>
      <c r="G729" s="36">
        <v>0.114</v>
      </c>
      <c r="H729" s="28">
        <f t="shared" si="93"/>
        <v>0.0285</v>
      </c>
      <c r="I729" s="16" t="s">
        <v>555</v>
      </c>
      <c r="J729" s="29">
        <v>2.77</v>
      </c>
      <c r="K729" s="58">
        <f t="shared" si="94"/>
        <v>0.078945</v>
      </c>
      <c r="L729" s="30">
        <f>H729*DEMANDA!$B$9</f>
        <v>3.7335000000000003</v>
      </c>
      <c r="M729" s="29">
        <f t="shared" si="95"/>
        <v>10.341795000000001</v>
      </c>
    </row>
    <row r="730" spans="1:13" ht="15.75" customHeight="1" outlineLevel="2">
      <c r="A730" s="25">
        <v>20</v>
      </c>
      <c r="B730" s="26" t="s">
        <v>794</v>
      </c>
      <c r="C730" s="17" t="s">
        <v>521</v>
      </c>
      <c r="D730" s="26" t="s">
        <v>795</v>
      </c>
      <c r="E730" s="27">
        <v>6</v>
      </c>
      <c r="F730" s="26" t="s">
        <v>231</v>
      </c>
      <c r="G730" s="28">
        <v>0.17</v>
      </c>
      <c r="H730" s="28">
        <f t="shared" si="93"/>
        <v>0.028333333333333335</v>
      </c>
      <c r="I730" s="16" t="s">
        <v>555</v>
      </c>
      <c r="J730" s="29">
        <v>2.77</v>
      </c>
      <c r="K730" s="58">
        <f t="shared" si="94"/>
        <v>0.07848333333333334</v>
      </c>
      <c r="L730" s="30">
        <f>H730*DEMANDA!$B$9</f>
        <v>3.711666666666667</v>
      </c>
      <c r="M730" s="29">
        <f t="shared" si="95"/>
        <v>10.281316666666667</v>
      </c>
    </row>
    <row r="731" spans="1:13" ht="15.75" customHeight="1" outlineLevel="2">
      <c r="A731" s="25">
        <v>4</v>
      </c>
      <c r="B731" s="26" t="s">
        <v>792</v>
      </c>
      <c r="C731" s="17" t="s">
        <v>521</v>
      </c>
      <c r="D731" s="26" t="s">
        <v>793</v>
      </c>
      <c r="E731" s="27">
        <v>4</v>
      </c>
      <c r="F731" s="26" t="s">
        <v>231</v>
      </c>
      <c r="G731" s="28">
        <v>0.1</v>
      </c>
      <c r="H731" s="28">
        <f t="shared" si="93"/>
        <v>0.025</v>
      </c>
      <c r="I731" s="16" t="s">
        <v>555</v>
      </c>
      <c r="J731" s="29">
        <v>2.77</v>
      </c>
      <c r="K731" s="58">
        <f t="shared" si="94"/>
        <v>0.06925</v>
      </c>
      <c r="L731" s="30">
        <f>H731*DEMANDA!$B$9</f>
        <v>3.2750000000000004</v>
      </c>
      <c r="M731" s="29">
        <f t="shared" si="95"/>
        <v>9.071750000000002</v>
      </c>
    </row>
    <row r="732" spans="1:13" ht="15.75" customHeight="1" outlineLevel="2">
      <c r="A732" s="25">
        <v>21</v>
      </c>
      <c r="B732" s="26" t="s">
        <v>797</v>
      </c>
      <c r="C732" s="17" t="s">
        <v>521</v>
      </c>
      <c r="D732" s="26" t="s">
        <v>798</v>
      </c>
      <c r="E732" s="27">
        <v>4</v>
      </c>
      <c r="F732" s="26" t="s">
        <v>231</v>
      </c>
      <c r="G732" s="28">
        <v>0.51</v>
      </c>
      <c r="H732" s="28">
        <f t="shared" si="93"/>
        <v>0.1275</v>
      </c>
      <c r="I732" s="16" t="s">
        <v>555</v>
      </c>
      <c r="J732" s="29">
        <v>2.77</v>
      </c>
      <c r="K732" s="58">
        <f t="shared" si="94"/>
        <v>0.353175</v>
      </c>
      <c r="L732" s="30">
        <f>H732*DEMANDA!$B$9</f>
        <v>16.7025</v>
      </c>
      <c r="M732" s="29">
        <f t="shared" si="95"/>
        <v>46.265925</v>
      </c>
    </row>
    <row r="733" spans="1:13" ht="15.75" customHeight="1" outlineLevel="2">
      <c r="A733" s="25">
        <v>21</v>
      </c>
      <c r="B733" s="26" t="s">
        <v>546</v>
      </c>
      <c r="C733" s="17" t="s">
        <v>510</v>
      </c>
      <c r="D733" s="16" t="s">
        <v>796</v>
      </c>
      <c r="E733" s="27">
        <v>4</v>
      </c>
      <c r="F733" s="26" t="s">
        <v>231</v>
      </c>
      <c r="G733" s="28">
        <v>0.17</v>
      </c>
      <c r="H733" s="28">
        <f t="shared" si="93"/>
        <v>0.0425</v>
      </c>
      <c r="I733" s="16" t="s">
        <v>555</v>
      </c>
      <c r="J733" s="29">
        <v>2.77</v>
      </c>
      <c r="K733" s="58">
        <f t="shared" si="94"/>
        <v>0.11772500000000001</v>
      </c>
      <c r="L733" s="30">
        <f>H733*DEMANDA!$B$9</f>
        <v>5.567500000000001</v>
      </c>
      <c r="M733" s="29">
        <f t="shared" si="95"/>
        <v>15.421975000000002</v>
      </c>
    </row>
    <row r="734" spans="1:13" ht="15.75" customHeight="1" outlineLevel="2">
      <c r="A734" s="32">
        <v>25</v>
      </c>
      <c r="B734" s="33" t="s">
        <v>643</v>
      </c>
      <c r="C734" s="34" t="s">
        <v>510</v>
      </c>
      <c r="D734" s="33" t="s">
        <v>800</v>
      </c>
      <c r="E734" s="35">
        <v>4</v>
      </c>
      <c r="F734" s="26" t="s">
        <v>231</v>
      </c>
      <c r="G734" s="36">
        <v>0.114</v>
      </c>
      <c r="H734" s="28">
        <f t="shared" si="93"/>
        <v>0.0285</v>
      </c>
      <c r="I734" s="16" t="s">
        <v>555</v>
      </c>
      <c r="J734" s="29">
        <v>2.77</v>
      </c>
      <c r="K734" s="58">
        <f t="shared" si="94"/>
        <v>0.078945</v>
      </c>
      <c r="L734" s="30">
        <f>H734*DEMANDA!$B$9</f>
        <v>3.7335000000000003</v>
      </c>
      <c r="M734" s="29">
        <f t="shared" si="95"/>
        <v>10.341795000000001</v>
      </c>
    </row>
    <row r="735" spans="1:13" ht="15.75" customHeight="1" outlineLevel="1">
      <c r="A735" s="32"/>
      <c r="B735" s="33"/>
      <c r="C735" s="34"/>
      <c r="D735" s="33"/>
      <c r="E735" s="35"/>
      <c r="F735" s="52" t="s">
        <v>232</v>
      </c>
      <c r="G735" s="36"/>
      <c r="H735" s="28"/>
      <c r="I735" s="16"/>
      <c r="J735" s="29"/>
      <c r="K735" s="58">
        <f>SUBTOTAL(9,K727:K734)</f>
        <v>1.1019983333333334</v>
      </c>
      <c r="L735" s="30"/>
      <c r="M735" s="29"/>
    </row>
    <row r="736" spans="1:13" ht="15.75" customHeight="1" outlineLevel="2">
      <c r="A736" s="25">
        <v>1</v>
      </c>
      <c r="B736" s="26" t="s">
        <v>518</v>
      </c>
      <c r="C736" s="17" t="s">
        <v>514</v>
      </c>
      <c r="D736" s="26" t="s">
        <v>1135</v>
      </c>
      <c r="E736" s="27">
        <v>4</v>
      </c>
      <c r="F736" s="26" t="s">
        <v>1363</v>
      </c>
      <c r="G736" s="28">
        <v>0.002</v>
      </c>
      <c r="H736" s="28">
        <f aca="true" t="shared" si="96" ref="H736:H771">G736/E736</f>
        <v>0.0005</v>
      </c>
      <c r="I736" s="16" t="s">
        <v>555</v>
      </c>
      <c r="J736" s="29">
        <v>0.26</v>
      </c>
      <c r="K736" s="58">
        <f aca="true" t="shared" si="97" ref="K736:K771">J736*H736</f>
        <v>0.00013000000000000002</v>
      </c>
      <c r="L736" s="30">
        <f>H736*DEMANDA!$B$9</f>
        <v>0.0655</v>
      </c>
      <c r="M736" s="29">
        <f aca="true" t="shared" si="98" ref="M736:M771">L736*J736</f>
        <v>0.01703</v>
      </c>
    </row>
    <row r="737" spans="1:13" ht="15.75" customHeight="1" outlineLevel="2">
      <c r="A737" s="25">
        <v>2</v>
      </c>
      <c r="B737" s="26" t="s">
        <v>923</v>
      </c>
      <c r="C737" s="17" t="s">
        <v>514</v>
      </c>
      <c r="D737" s="26" t="s">
        <v>1135</v>
      </c>
      <c r="E737" s="27">
        <v>4</v>
      </c>
      <c r="F737" s="26" t="s">
        <v>1363</v>
      </c>
      <c r="G737" s="28">
        <v>0.002</v>
      </c>
      <c r="H737" s="28">
        <f t="shared" si="96"/>
        <v>0.0005</v>
      </c>
      <c r="I737" s="16" t="s">
        <v>555</v>
      </c>
      <c r="J737" s="29">
        <v>0.26</v>
      </c>
      <c r="K737" s="58">
        <f t="shared" si="97"/>
        <v>0.00013000000000000002</v>
      </c>
      <c r="L737" s="30">
        <f>H737*DEMANDA!$B$9</f>
        <v>0.0655</v>
      </c>
      <c r="M737" s="29">
        <f t="shared" si="98"/>
        <v>0.01703</v>
      </c>
    </row>
    <row r="738" spans="1:13" ht="15.75" customHeight="1" outlineLevel="2">
      <c r="A738" s="25">
        <v>3</v>
      </c>
      <c r="B738" s="26" t="s">
        <v>524</v>
      </c>
      <c r="C738" s="17" t="s">
        <v>510</v>
      </c>
      <c r="D738" s="26" t="s">
        <v>1137</v>
      </c>
      <c r="E738" s="27">
        <v>4</v>
      </c>
      <c r="F738" s="26" t="s">
        <v>1363</v>
      </c>
      <c r="G738" s="28">
        <v>0.002</v>
      </c>
      <c r="H738" s="28">
        <f t="shared" si="96"/>
        <v>0.0005</v>
      </c>
      <c r="I738" s="16" t="s">
        <v>555</v>
      </c>
      <c r="J738" s="29">
        <v>0.26</v>
      </c>
      <c r="K738" s="58">
        <f t="shared" si="97"/>
        <v>0.00013000000000000002</v>
      </c>
      <c r="L738" s="30">
        <f>H738*DEMANDA!$B$9</f>
        <v>0.0655</v>
      </c>
      <c r="M738" s="29">
        <f t="shared" si="98"/>
        <v>0.01703</v>
      </c>
    </row>
    <row r="739" spans="1:13" ht="15.75" customHeight="1" outlineLevel="2">
      <c r="A739" s="25">
        <v>3</v>
      </c>
      <c r="B739" s="26" t="s">
        <v>523</v>
      </c>
      <c r="C739" s="17" t="s">
        <v>514</v>
      </c>
      <c r="D739" s="26" t="s">
        <v>1135</v>
      </c>
      <c r="E739" s="27">
        <v>4</v>
      </c>
      <c r="F739" s="26" t="s">
        <v>1363</v>
      </c>
      <c r="G739" s="28">
        <v>0.002</v>
      </c>
      <c r="H739" s="28">
        <f t="shared" si="96"/>
        <v>0.0005</v>
      </c>
      <c r="I739" s="16" t="s">
        <v>555</v>
      </c>
      <c r="J739" s="29">
        <v>0.26</v>
      </c>
      <c r="K739" s="58">
        <f t="shared" si="97"/>
        <v>0.00013000000000000002</v>
      </c>
      <c r="L739" s="30">
        <f>H739*DEMANDA!$B$9</f>
        <v>0.0655</v>
      </c>
      <c r="M739" s="29">
        <f t="shared" si="98"/>
        <v>0.01703</v>
      </c>
    </row>
    <row r="740" spans="1:13" ht="15.75" customHeight="1" outlineLevel="2">
      <c r="A740" s="25">
        <v>4</v>
      </c>
      <c r="B740" s="26" t="s">
        <v>573</v>
      </c>
      <c r="C740" s="17" t="s">
        <v>514</v>
      </c>
      <c r="D740" s="26" t="s">
        <v>1138</v>
      </c>
      <c r="E740" s="27">
        <v>4</v>
      </c>
      <c r="F740" s="26" t="s">
        <v>1363</v>
      </c>
      <c r="G740" s="28">
        <v>0.002</v>
      </c>
      <c r="H740" s="28">
        <f t="shared" si="96"/>
        <v>0.0005</v>
      </c>
      <c r="I740" s="16" t="s">
        <v>555</v>
      </c>
      <c r="J740" s="29">
        <v>0.26</v>
      </c>
      <c r="K740" s="58">
        <f t="shared" si="97"/>
        <v>0.00013000000000000002</v>
      </c>
      <c r="L740" s="30">
        <f>H740*DEMANDA!$B$9</f>
        <v>0.0655</v>
      </c>
      <c r="M740" s="29">
        <f t="shared" si="98"/>
        <v>0.01703</v>
      </c>
    </row>
    <row r="741" spans="1:13" ht="15.75" customHeight="1" outlineLevel="2">
      <c r="A741" s="25">
        <v>4</v>
      </c>
      <c r="B741" s="26" t="s">
        <v>558</v>
      </c>
      <c r="C741" s="17" t="s">
        <v>510</v>
      </c>
      <c r="D741" s="26" t="s">
        <v>1136</v>
      </c>
      <c r="E741" s="27">
        <v>2</v>
      </c>
      <c r="F741" s="26" t="s">
        <v>1363</v>
      </c>
      <c r="G741" s="28">
        <v>0.002</v>
      </c>
      <c r="H741" s="28">
        <f t="shared" si="96"/>
        <v>0.001</v>
      </c>
      <c r="I741" s="16" t="s">
        <v>555</v>
      </c>
      <c r="J741" s="29">
        <v>0.26</v>
      </c>
      <c r="K741" s="58">
        <f t="shared" si="97"/>
        <v>0.00026000000000000003</v>
      </c>
      <c r="L741" s="30">
        <f>H741*DEMANDA!$B$9</f>
        <v>0.131</v>
      </c>
      <c r="M741" s="29">
        <f t="shared" si="98"/>
        <v>0.03406</v>
      </c>
    </row>
    <row r="742" spans="1:13" ht="15.75" customHeight="1" outlineLevel="2">
      <c r="A742" s="32">
        <v>6</v>
      </c>
      <c r="B742" s="33" t="s">
        <v>527</v>
      </c>
      <c r="C742" s="34" t="s">
        <v>514</v>
      </c>
      <c r="D742" s="33" t="s">
        <v>1139</v>
      </c>
      <c r="E742" s="35">
        <v>12</v>
      </c>
      <c r="F742" s="26" t="s">
        <v>1363</v>
      </c>
      <c r="G742" s="28">
        <v>0.002</v>
      </c>
      <c r="H742" s="28">
        <f t="shared" si="96"/>
        <v>0.00016666666666666666</v>
      </c>
      <c r="I742" s="16" t="s">
        <v>555</v>
      </c>
      <c r="J742" s="29">
        <v>0.26</v>
      </c>
      <c r="K742" s="58">
        <f t="shared" si="97"/>
        <v>4.3333333333333334E-05</v>
      </c>
      <c r="L742" s="30">
        <f>H742*DEMANDA!$B$9</f>
        <v>0.021833333333333333</v>
      </c>
      <c r="M742" s="29">
        <f t="shared" si="98"/>
        <v>0.005676666666666667</v>
      </c>
    </row>
    <row r="743" spans="1:13" ht="15.75" customHeight="1" outlineLevel="2">
      <c r="A743" s="25">
        <v>7</v>
      </c>
      <c r="B743" s="26" t="s">
        <v>563</v>
      </c>
      <c r="C743" s="17" t="s">
        <v>514</v>
      </c>
      <c r="D743" s="26" t="s">
        <v>1140</v>
      </c>
      <c r="E743" s="27">
        <v>4</v>
      </c>
      <c r="F743" s="26" t="s">
        <v>1363</v>
      </c>
      <c r="G743" s="28">
        <v>0.002</v>
      </c>
      <c r="H743" s="28">
        <f t="shared" si="96"/>
        <v>0.0005</v>
      </c>
      <c r="I743" s="16" t="s">
        <v>555</v>
      </c>
      <c r="J743" s="29">
        <v>0.26</v>
      </c>
      <c r="K743" s="58">
        <f t="shared" si="97"/>
        <v>0.00013000000000000002</v>
      </c>
      <c r="L743" s="30">
        <f>H743*DEMANDA!$B$9</f>
        <v>0.0655</v>
      </c>
      <c r="M743" s="29">
        <f t="shared" si="98"/>
        <v>0.01703</v>
      </c>
    </row>
    <row r="744" spans="1:13" ht="15.75" customHeight="1" outlineLevel="2">
      <c r="A744" s="25">
        <v>7</v>
      </c>
      <c r="B744" s="26" t="s">
        <v>529</v>
      </c>
      <c r="C744" s="17" t="s">
        <v>510</v>
      </c>
      <c r="D744" s="26" t="s">
        <v>1141</v>
      </c>
      <c r="E744" s="27">
        <v>4</v>
      </c>
      <c r="F744" s="26" t="s">
        <v>1363</v>
      </c>
      <c r="G744" s="28">
        <v>0.002</v>
      </c>
      <c r="H744" s="28">
        <f t="shared" si="96"/>
        <v>0.0005</v>
      </c>
      <c r="I744" s="16" t="s">
        <v>555</v>
      </c>
      <c r="J744" s="29">
        <v>0.26</v>
      </c>
      <c r="K744" s="58">
        <f t="shared" si="97"/>
        <v>0.00013000000000000002</v>
      </c>
      <c r="L744" s="30">
        <f>H744*DEMANDA!$B$9</f>
        <v>0.0655</v>
      </c>
      <c r="M744" s="29">
        <f t="shared" si="98"/>
        <v>0.01703</v>
      </c>
    </row>
    <row r="745" spans="1:13" ht="15.75" customHeight="1" outlineLevel="2">
      <c r="A745" s="32">
        <v>8</v>
      </c>
      <c r="B745" s="33" t="s">
        <v>634</v>
      </c>
      <c r="C745" s="34" t="s">
        <v>514</v>
      </c>
      <c r="D745" s="33" t="s">
        <v>1142</v>
      </c>
      <c r="E745" s="35">
        <v>4</v>
      </c>
      <c r="F745" s="26" t="s">
        <v>1363</v>
      </c>
      <c r="G745" s="36">
        <v>0.002</v>
      </c>
      <c r="H745" s="28">
        <f t="shared" si="96"/>
        <v>0.0005</v>
      </c>
      <c r="I745" s="39" t="s">
        <v>555</v>
      </c>
      <c r="J745" s="40">
        <v>0.26</v>
      </c>
      <c r="K745" s="58">
        <f t="shared" si="97"/>
        <v>0.00013000000000000002</v>
      </c>
      <c r="L745" s="30">
        <f>H745*DEMANDA!$B$9</f>
        <v>0.0655</v>
      </c>
      <c r="M745" s="29">
        <f t="shared" si="98"/>
        <v>0.01703</v>
      </c>
    </row>
    <row r="746" spans="1:13" ht="15.75" customHeight="1" outlineLevel="2">
      <c r="A746" s="25">
        <v>9</v>
      </c>
      <c r="B746" s="26" t="s">
        <v>531</v>
      </c>
      <c r="C746" s="17" t="s">
        <v>510</v>
      </c>
      <c r="D746" s="26" t="s">
        <v>1143</v>
      </c>
      <c r="E746" s="27">
        <v>4</v>
      </c>
      <c r="F746" s="26" t="s">
        <v>1363</v>
      </c>
      <c r="G746" s="28">
        <v>0.004</v>
      </c>
      <c r="H746" s="28">
        <f t="shared" si="96"/>
        <v>0.001</v>
      </c>
      <c r="I746" s="16" t="s">
        <v>555</v>
      </c>
      <c r="J746" s="29">
        <v>0.26</v>
      </c>
      <c r="K746" s="58">
        <f t="shared" si="97"/>
        <v>0.00026000000000000003</v>
      </c>
      <c r="L746" s="30">
        <f>H746*DEMANDA!$B$9</f>
        <v>0.131</v>
      </c>
      <c r="M746" s="29">
        <f t="shared" si="98"/>
        <v>0.03406</v>
      </c>
    </row>
    <row r="747" spans="1:13" ht="15.75" customHeight="1" outlineLevel="2">
      <c r="A747" s="25">
        <v>9</v>
      </c>
      <c r="B747" s="26" t="s">
        <v>564</v>
      </c>
      <c r="C747" s="17" t="s">
        <v>514</v>
      </c>
      <c r="D747" s="26" t="s">
        <v>1143</v>
      </c>
      <c r="E747" s="27">
        <v>8</v>
      </c>
      <c r="F747" s="26" t="s">
        <v>1363</v>
      </c>
      <c r="G747" s="28">
        <v>0.004</v>
      </c>
      <c r="H747" s="28">
        <f t="shared" si="96"/>
        <v>0.0005</v>
      </c>
      <c r="I747" s="16" t="s">
        <v>555</v>
      </c>
      <c r="J747" s="29">
        <v>0.26</v>
      </c>
      <c r="K747" s="58">
        <f t="shared" si="97"/>
        <v>0.00013000000000000002</v>
      </c>
      <c r="L747" s="30">
        <f>H747*DEMANDA!$B$9</f>
        <v>0.0655</v>
      </c>
      <c r="M747" s="29">
        <f t="shared" si="98"/>
        <v>0.01703</v>
      </c>
    </row>
    <row r="748" spans="1:13" ht="15.75" customHeight="1" outlineLevel="2">
      <c r="A748" s="25">
        <v>13</v>
      </c>
      <c r="B748" s="26" t="s">
        <v>655</v>
      </c>
      <c r="C748" s="17" t="s">
        <v>514</v>
      </c>
      <c r="D748" s="26" t="s">
        <v>1144</v>
      </c>
      <c r="E748" s="27">
        <v>4</v>
      </c>
      <c r="F748" s="26" t="s">
        <v>1363</v>
      </c>
      <c r="G748" s="28">
        <v>0.002</v>
      </c>
      <c r="H748" s="28">
        <f t="shared" si="96"/>
        <v>0.0005</v>
      </c>
      <c r="I748" s="16" t="s">
        <v>555</v>
      </c>
      <c r="J748" s="29">
        <v>0.26</v>
      </c>
      <c r="K748" s="58">
        <f t="shared" si="97"/>
        <v>0.00013000000000000002</v>
      </c>
      <c r="L748" s="30">
        <f>H748*DEMANDA!$B$9</f>
        <v>0.0655</v>
      </c>
      <c r="M748" s="29">
        <f t="shared" si="98"/>
        <v>0.01703</v>
      </c>
    </row>
    <row r="749" spans="1:13" ht="15.75" customHeight="1" outlineLevel="2">
      <c r="A749" s="25">
        <v>15</v>
      </c>
      <c r="B749" s="26" t="s">
        <v>513</v>
      </c>
      <c r="C749" s="17" t="s">
        <v>514</v>
      </c>
      <c r="D749" s="26" t="s">
        <v>1145</v>
      </c>
      <c r="E749" s="27">
        <v>4</v>
      </c>
      <c r="F749" s="26" t="s">
        <v>1363</v>
      </c>
      <c r="G749" s="28">
        <v>0.002</v>
      </c>
      <c r="H749" s="28">
        <f t="shared" si="96"/>
        <v>0.0005</v>
      </c>
      <c r="I749" s="16" t="s">
        <v>555</v>
      </c>
      <c r="J749" s="29">
        <v>0.26</v>
      </c>
      <c r="K749" s="58">
        <f t="shared" si="97"/>
        <v>0.00013000000000000002</v>
      </c>
      <c r="L749" s="30">
        <f>H749*DEMANDA!$B$9</f>
        <v>0.0655</v>
      </c>
      <c r="M749" s="29">
        <f t="shared" si="98"/>
        <v>0.01703</v>
      </c>
    </row>
    <row r="750" spans="1:13" ht="15.75" customHeight="1" outlineLevel="2">
      <c r="A750" s="25">
        <v>15</v>
      </c>
      <c r="B750" s="26" t="s">
        <v>759</v>
      </c>
      <c r="C750" s="17" t="s">
        <v>510</v>
      </c>
      <c r="D750" s="26" t="s">
        <v>1135</v>
      </c>
      <c r="E750" s="27">
        <v>4</v>
      </c>
      <c r="F750" s="26" t="s">
        <v>1363</v>
      </c>
      <c r="G750" s="28">
        <v>0.002</v>
      </c>
      <c r="H750" s="28">
        <f t="shared" si="96"/>
        <v>0.0005</v>
      </c>
      <c r="I750" s="16" t="s">
        <v>555</v>
      </c>
      <c r="J750" s="29">
        <v>0.26</v>
      </c>
      <c r="K750" s="58">
        <f t="shared" si="97"/>
        <v>0.00013000000000000002</v>
      </c>
      <c r="L750" s="30">
        <f>H750*DEMANDA!$B$9</f>
        <v>0.0655</v>
      </c>
      <c r="M750" s="29">
        <f t="shared" si="98"/>
        <v>0.01703</v>
      </c>
    </row>
    <row r="751" spans="1:13" ht="15.75" customHeight="1" outlineLevel="2">
      <c r="A751" s="25">
        <v>16</v>
      </c>
      <c r="B751" s="26" t="s">
        <v>541</v>
      </c>
      <c r="C751" s="17" t="s">
        <v>514</v>
      </c>
      <c r="D751" s="26" t="s">
        <v>1135</v>
      </c>
      <c r="E751" s="27">
        <v>4</v>
      </c>
      <c r="F751" s="26" t="s">
        <v>1363</v>
      </c>
      <c r="G751" s="28">
        <v>0.002</v>
      </c>
      <c r="H751" s="28">
        <f t="shared" si="96"/>
        <v>0.0005</v>
      </c>
      <c r="I751" s="16" t="s">
        <v>555</v>
      </c>
      <c r="J751" s="29">
        <v>0.26</v>
      </c>
      <c r="K751" s="58">
        <f t="shared" si="97"/>
        <v>0.00013000000000000002</v>
      </c>
      <c r="L751" s="30">
        <f>H751*DEMANDA!$B$9</f>
        <v>0.0655</v>
      </c>
      <c r="M751" s="29">
        <f t="shared" si="98"/>
        <v>0.01703</v>
      </c>
    </row>
    <row r="752" spans="1:13" ht="15.75" customHeight="1" outlineLevel="2">
      <c r="A752" s="25">
        <v>16</v>
      </c>
      <c r="B752" s="26" t="s">
        <v>842</v>
      </c>
      <c r="C752" s="17" t="s">
        <v>510</v>
      </c>
      <c r="D752" s="26" t="s">
        <v>1136</v>
      </c>
      <c r="E752" s="27">
        <v>4</v>
      </c>
      <c r="F752" s="26" t="s">
        <v>1363</v>
      </c>
      <c r="G752" s="28">
        <v>0.002</v>
      </c>
      <c r="H752" s="28">
        <f t="shared" si="96"/>
        <v>0.0005</v>
      </c>
      <c r="I752" s="16" t="s">
        <v>555</v>
      </c>
      <c r="J752" s="29">
        <v>0.26</v>
      </c>
      <c r="K752" s="58">
        <f t="shared" si="97"/>
        <v>0.00013000000000000002</v>
      </c>
      <c r="L752" s="30">
        <f>H752*DEMANDA!$B$9</f>
        <v>0.0655</v>
      </c>
      <c r="M752" s="29">
        <f t="shared" si="98"/>
        <v>0.01703</v>
      </c>
    </row>
    <row r="753" spans="1:13" ht="15.75" customHeight="1" outlineLevel="2">
      <c r="A753" s="25">
        <v>17</v>
      </c>
      <c r="B753" s="26" t="s">
        <v>543</v>
      </c>
      <c r="C753" s="17" t="s">
        <v>510</v>
      </c>
      <c r="D753" s="26" t="s">
        <v>1146</v>
      </c>
      <c r="E753" s="27">
        <v>4</v>
      </c>
      <c r="F753" s="26" t="s">
        <v>1363</v>
      </c>
      <c r="G753" s="28">
        <v>0.002</v>
      </c>
      <c r="H753" s="28">
        <f t="shared" si="96"/>
        <v>0.0005</v>
      </c>
      <c r="I753" s="16" t="s">
        <v>555</v>
      </c>
      <c r="J753" s="29">
        <v>0.26</v>
      </c>
      <c r="K753" s="58">
        <f t="shared" si="97"/>
        <v>0.00013000000000000002</v>
      </c>
      <c r="L753" s="30">
        <f>H753*DEMANDA!$B$9</f>
        <v>0.0655</v>
      </c>
      <c r="M753" s="29">
        <f t="shared" si="98"/>
        <v>0.01703</v>
      </c>
    </row>
    <row r="754" spans="1:13" ht="15.75" customHeight="1" outlineLevel="2">
      <c r="A754" s="25">
        <v>18</v>
      </c>
      <c r="B754" s="26" t="s">
        <v>626</v>
      </c>
      <c r="C754" s="17" t="s">
        <v>514</v>
      </c>
      <c r="D754" s="26" t="s">
        <v>1135</v>
      </c>
      <c r="E754" s="27">
        <v>4</v>
      </c>
      <c r="F754" s="26" t="s">
        <v>1363</v>
      </c>
      <c r="G754" s="28">
        <v>0.002</v>
      </c>
      <c r="H754" s="28">
        <f t="shared" si="96"/>
        <v>0.0005</v>
      </c>
      <c r="I754" s="16" t="s">
        <v>555</v>
      </c>
      <c r="J754" s="29">
        <v>0.26</v>
      </c>
      <c r="K754" s="58">
        <f t="shared" si="97"/>
        <v>0.00013000000000000002</v>
      </c>
      <c r="L754" s="30">
        <f>H754*DEMANDA!$B$9</f>
        <v>0.0655</v>
      </c>
      <c r="M754" s="29">
        <f t="shared" si="98"/>
        <v>0.01703</v>
      </c>
    </row>
    <row r="755" spans="1:13" ht="15.75" customHeight="1" outlineLevel="2">
      <c r="A755" s="25">
        <v>19</v>
      </c>
      <c r="B755" s="26" t="s">
        <v>544</v>
      </c>
      <c r="C755" s="17" t="s">
        <v>514</v>
      </c>
      <c r="D755" s="26" t="s">
        <v>1147</v>
      </c>
      <c r="E755" s="27">
        <v>4</v>
      </c>
      <c r="F755" s="26" t="s">
        <v>1363</v>
      </c>
      <c r="G755" s="28">
        <v>0.004</v>
      </c>
      <c r="H755" s="28">
        <f t="shared" si="96"/>
        <v>0.001</v>
      </c>
      <c r="I755" s="16" t="s">
        <v>555</v>
      </c>
      <c r="J755" s="29">
        <v>0.26</v>
      </c>
      <c r="K755" s="58">
        <f t="shared" si="97"/>
        <v>0.00026000000000000003</v>
      </c>
      <c r="L755" s="30">
        <f>H755*DEMANDA!$B$9</f>
        <v>0.131</v>
      </c>
      <c r="M755" s="29">
        <f t="shared" si="98"/>
        <v>0.03406</v>
      </c>
    </row>
    <row r="756" spans="1:13" ht="15.75" customHeight="1" outlineLevel="2">
      <c r="A756" s="25">
        <v>21</v>
      </c>
      <c r="B756" s="26" t="s">
        <v>515</v>
      </c>
      <c r="C756" s="17" t="s">
        <v>514</v>
      </c>
      <c r="D756" s="26" t="s">
        <v>1135</v>
      </c>
      <c r="E756" s="27">
        <v>4</v>
      </c>
      <c r="F756" s="26" t="s">
        <v>1363</v>
      </c>
      <c r="G756" s="28">
        <v>0.002</v>
      </c>
      <c r="H756" s="28">
        <f t="shared" si="96"/>
        <v>0.0005</v>
      </c>
      <c r="I756" s="16" t="s">
        <v>555</v>
      </c>
      <c r="J756" s="29">
        <v>0.26</v>
      </c>
      <c r="K756" s="58">
        <f t="shared" si="97"/>
        <v>0.00013000000000000002</v>
      </c>
      <c r="L756" s="30">
        <f>H756*DEMANDA!$B$9</f>
        <v>0.0655</v>
      </c>
      <c r="M756" s="29">
        <f t="shared" si="98"/>
        <v>0.01703</v>
      </c>
    </row>
    <row r="757" spans="1:13" ht="15.75" customHeight="1" outlineLevel="2">
      <c r="A757" s="25">
        <v>21</v>
      </c>
      <c r="B757" s="26" t="s">
        <v>546</v>
      </c>
      <c r="C757" s="17" t="s">
        <v>510</v>
      </c>
      <c r="D757" s="16" t="s">
        <v>1141</v>
      </c>
      <c r="E757" s="27">
        <v>4</v>
      </c>
      <c r="F757" s="26" t="s">
        <v>1363</v>
      </c>
      <c r="G757" s="28">
        <v>0.002</v>
      </c>
      <c r="H757" s="28">
        <f t="shared" si="96"/>
        <v>0.0005</v>
      </c>
      <c r="I757" s="16" t="s">
        <v>555</v>
      </c>
      <c r="J757" s="29">
        <v>0.26</v>
      </c>
      <c r="K757" s="58">
        <f t="shared" si="97"/>
        <v>0.00013000000000000002</v>
      </c>
      <c r="L757" s="30">
        <f>H757*DEMANDA!$B$9</f>
        <v>0.0655</v>
      </c>
      <c r="M757" s="29">
        <f t="shared" si="98"/>
        <v>0.01703</v>
      </c>
    </row>
    <row r="758" spans="1:13" ht="15.75" customHeight="1" outlineLevel="2">
      <c r="A758" s="25">
        <v>22</v>
      </c>
      <c r="B758" s="26" t="s">
        <v>581</v>
      </c>
      <c r="C758" s="17" t="s">
        <v>514</v>
      </c>
      <c r="D758" s="26" t="s">
        <v>1135</v>
      </c>
      <c r="E758" s="27">
        <v>4</v>
      </c>
      <c r="F758" s="26" t="s">
        <v>1363</v>
      </c>
      <c r="G758" s="28">
        <v>0.002</v>
      </c>
      <c r="H758" s="28">
        <f t="shared" si="96"/>
        <v>0.0005</v>
      </c>
      <c r="I758" s="16" t="s">
        <v>555</v>
      </c>
      <c r="J758" s="29">
        <v>0.26</v>
      </c>
      <c r="K758" s="58">
        <f t="shared" si="97"/>
        <v>0.00013000000000000002</v>
      </c>
      <c r="L758" s="30">
        <f>H758*DEMANDA!$B$9</f>
        <v>0.0655</v>
      </c>
      <c r="M758" s="29">
        <f t="shared" si="98"/>
        <v>0.01703</v>
      </c>
    </row>
    <row r="759" spans="1:13" ht="15.75" customHeight="1" outlineLevel="2">
      <c r="A759" s="25">
        <v>23</v>
      </c>
      <c r="B759" s="26" t="s">
        <v>602</v>
      </c>
      <c r="C759" s="17" t="s">
        <v>510</v>
      </c>
      <c r="D759" s="26" t="s">
        <v>1136</v>
      </c>
      <c r="E759" s="27">
        <v>6</v>
      </c>
      <c r="F759" s="26" t="s">
        <v>1363</v>
      </c>
      <c r="G759" s="28">
        <v>0.002</v>
      </c>
      <c r="H759" s="28">
        <f t="shared" si="96"/>
        <v>0.0003333333333333333</v>
      </c>
      <c r="I759" s="16" t="s">
        <v>555</v>
      </c>
      <c r="J759" s="29">
        <v>0.26</v>
      </c>
      <c r="K759" s="58">
        <f t="shared" si="97"/>
        <v>8.666666666666667E-05</v>
      </c>
      <c r="L759" s="30">
        <f>H759*DEMANDA!$B$9</f>
        <v>0.043666666666666666</v>
      </c>
      <c r="M759" s="29">
        <f t="shared" si="98"/>
        <v>0.011353333333333333</v>
      </c>
    </row>
    <row r="760" spans="1:13" ht="15.75" customHeight="1" outlineLevel="2">
      <c r="A760" s="25">
        <v>23</v>
      </c>
      <c r="B760" s="26" t="s">
        <v>517</v>
      </c>
      <c r="C760" s="17" t="s">
        <v>514</v>
      </c>
      <c r="D760" s="26" t="s">
        <v>1148</v>
      </c>
      <c r="E760" s="27">
        <v>4</v>
      </c>
      <c r="F760" s="26" t="s">
        <v>1363</v>
      </c>
      <c r="G760" s="28">
        <v>0.002</v>
      </c>
      <c r="H760" s="28">
        <f t="shared" si="96"/>
        <v>0.0005</v>
      </c>
      <c r="I760" s="16" t="s">
        <v>555</v>
      </c>
      <c r="J760" s="29">
        <v>0.26</v>
      </c>
      <c r="K760" s="58">
        <f t="shared" si="97"/>
        <v>0.00013000000000000002</v>
      </c>
      <c r="L760" s="30">
        <f>H760*DEMANDA!$B$9</f>
        <v>0.0655</v>
      </c>
      <c r="M760" s="29">
        <f t="shared" si="98"/>
        <v>0.01703</v>
      </c>
    </row>
    <row r="761" spans="1:13" ht="15.75" customHeight="1" outlineLevel="2">
      <c r="A761" s="25">
        <v>24</v>
      </c>
      <c r="B761" s="26" t="s">
        <v>668</v>
      </c>
      <c r="C761" s="17" t="s">
        <v>510</v>
      </c>
      <c r="D761" s="26" t="s">
        <v>1149</v>
      </c>
      <c r="E761" s="27">
        <v>10</v>
      </c>
      <c r="F761" s="26" t="s">
        <v>1363</v>
      </c>
      <c r="G761" s="28">
        <v>0.002</v>
      </c>
      <c r="H761" s="28">
        <f t="shared" si="96"/>
        <v>0.0002</v>
      </c>
      <c r="I761" s="16" t="s">
        <v>555</v>
      </c>
      <c r="J761" s="29">
        <v>0.26</v>
      </c>
      <c r="K761" s="58">
        <f t="shared" si="97"/>
        <v>5.2000000000000004E-05</v>
      </c>
      <c r="L761" s="30">
        <f>H761*DEMANDA!$B$9</f>
        <v>0.0262</v>
      </c>
      <c r="M761" s="29">
        <f t="shared" si="98"/>
        <v>0.006812</v>
      </c>
    </row>
    <row r="762" spans="1:13" ht="15.75" customHeight="1" outlineLevel="2">
      <c r="A762" s="25">
        <v>25</v>
      </c>
      <c r="B762" s="26" t="s">
        <v>607</v>
      </c>
      <c r="C762" s="17" t="s">
        <v>514</v>
      </c>
      <c r="D762" s="26" t="s">
        <v>1135</v>
      </c>
      <c r="E762" s="27">
        <v>4</v>
      </c>
      <c r="F762" s="26" t="s">
        <v>1363</v>
      </c>
      <c r="G762" s="28">
        <v>0.002</v>
      </c>
      <c r="H762" s="28">
        <f t="shared" si="96"/>
        <v>0.0005</v>
      </c>
      <c r="I762" s="16" t="s">
        <v>555</v>
      </c>
      <c r="J762" s="29">
        <v>0.26</v>
      </c>
      <c r="K762" s="58">
        <f t="shared" si="97"/>
        <v>0.00013000000000000002</v>
      </c>
      <c r="L762" s="30">
        <f>H762*DEMANDA!$B$9</f>
        <v>0.0655</v>
      </c>
      <c r="M762" s="29">
        <f t="shared" si="98"/>
        <v>0.01703</v>
      </c>
    </row>
    <row r="763" spans="1:13" ht="15.75" customHeight="1" outlineLevel="2">
      <c r="A763" s="25">
        <v>26</v>
      </c>
      <c r="B763" s="26" t="s">
        <v>590</v>
      </c>
      <c r="C763" s="17" t="s">
        <v>510</v>
      </c>
      <c r="D763" s="26" t="s">
        <v>1136</v>
      </c>
      <c r="E763" s="27">
        <v>4</v>
      </c>
      <c r="F763" s="26" t="s">
        <v>1363</v>
      </c>
      <c r="G763" s="28">
        <v>0.002</v>
      </c>
      <c r="H763" s="28">
        <f t="shared" si="96"/>
        <v>0.0005</v>
      </c>
      <c r="I763" s="16" t="s">
        <v>555</v>
      </c>
      <c r="J763" s="29">
        <v>0.26</v>
      </c>
      <c r="K763" s="58">
        <f t="shared" si="97"/>
        <v>0.00013000000000000002</v>
      </c>
      <c r="L763" s="30">
        <f>H763*DEMANDA!$B$9</f>
        <v>0.0655</v>
      </c>
      <c r="M763" s="29">
        <f t="shared" si="98"/>
        <v>0.01703</v>
      </c>
    </row>
    <row r="764" spans="1:13" ht="15.75" customHeight="1" outlineLevel="2">
      <c r="A764" s="25">
        <v>26</v>
      </c>
      <c r="B764" s="26" t="s">
        <v>791</v>
      </c>
      <c r="C764" s="17" t="s">
        <v>514</v>
      </c>
      <c r="D764" s="26" t="s">
        <v>1135</v>
      </c>
      <c r="E764" s="27">
        <v>4</v>
      </c>
      <c r="F764" s="26" t="s">
        <v>1363</v>
      </c>
      <c r="G764" s="28">
        <v>0.002</v>
      </c>
      <c r="H764" s="28">
        <f t="shared" si="96"/>
        <v>0.0005</v>
      </c>
      <c r="I764" s="16" t="s">
        <v>555</v>
      </c>
      <c r="J764" s="29">
        <v>0.26</v>
      </c>
      <c r="K764" s="58">
        <f t="shared" si="97"/>
        <v>0.00013000000000000002</v>
      </c>
      <c r="L764" s="30">
        <f>H764*DEMANDA!$B$9</f>
        <v>0.0655</v>
      </c>
      <c r="M764" s="29">
        <f t="shared" si="98"/>
        <v>0.01703</v>
      </c>
    </row>
    <row r="765" spans="1:13" ht="15.75" customHeight="1" outlineLevel="2">
      <c r="A765" s="25">
        <v>1</v>
      </c>
      <c r="B765" s="26" t="s">
        <v>590</v>
      </c>
      <c r="C765" s="17" t="s">
        <v>521</v>
      </c>
      <c r="D765" s="26" t="s">
        <v>1136</v>
      </c>
      <c r="E765" s="27">
        <v>4</v>
      </c>
      <c r="F765" s="26" t="s">
        <v>1363</v>
      </c>
      <c r="G765" s="28">
        <v>0.002</v>
      </c>
      <c r="H765" s="28">
        <f t="shared" si="96"/>
        <v>0.0005</v>
      </c>
      <c r="I765" s="16" t="s">
        <v>555</v>
      </c>
      <c r="J765" s="29">
        <v>0.26</v>
      </c>
      <c r="K765" s="58">
        <f t="shared" si="97"/>
        <v>0.00013000000000000002</v>
      </c>
      <c r="L765" s="30">
        <f>H765*DEMANDA!$B$9</f>
        <v>0.0655</v>
      </c>
      <c r="M765" s="29">
        <f t="shared" si="98"/>
        <v>0.01703</v>
      </c>
    </row>
    <row r="766" spans="1:13" ht="15.75" customHeight="1" outlineLevel="2">
      <c r="A766" s="25">
        <v>15</v>
      </c>
      <c r="B766" s="26" t="s">
        <v>539</v>
      </c>
      <c r="C766" s="17" t="s">
        <v>521</v>
      </c>
      <c r="D766" s="26" t="s">
        <v>1146</v>
      </c>
      <c r="E766" s="27">
        <v>4</v>
      </c>
      <c r="F766" s="26" t="s">
        <v>1363</v>
      </c>
      <c r="G766" s="28">
        <v>0.002</v>
      </c>
      <c r="H766" s="28">
        <f t="shared" si="96"/>
        <v>0.0005</v>
      </c>
      <c r="I766" s="16" t="s">
        <v>555</v>
      </c>
      <c r="J766" s="29">
        <v>0.26</v>
      </c>
      <c r="K766" s="58">
        <f t="shared" si="97"/>
        <v>0.00013000000000000002</v>
      </c>
      <c r="L766" s="30">
        <f>H766*DEMANDA!$B$9</f>
        <v>0.0655</v>
      </c>
      <c r="M766" s="29">
        <f t="shared" si="98"/>
        <v>0.01703</v>
      </c>
    </row>
    <row r="767" spans="1:13" ht="15.75" customHeight="1" outlineLevel="2">
      <c r="A767" s="25">
        <v>27</v>
      </c>
      <c r="B767" s="26" t="s">
        <v>549</v>
      </c>
      <c r="C767" s="17" t="s">
        <v>514</v>
      </c>
      <c r="D767" s="26" t="s">
        <v>1135</v>
      </c>
      <c r="E767" s="27">
        <v>4</v>
      </c>
      <c r="F767" s="26" t="s">
        <v>1363</v>
      </c>
      <c r="G767" s="28">
        <v>0.002</v>
      </c>
      <c r="H767" s="28">
        <f t="shared" si="96"/>
        <v>0.0005</v>
      </c>
      <c r="I767" s="16" t="s">
        <v>555</v>
      </c>
      <c r="J767" s="29">
        <v>0.26</v>
      </c>
      <c r="K767" s="58">
        <f t="shared" si="97"/>
        <v>0.00013000000000000002</v>
      </c>
      <c r="L767" s="30">
        <f>H767*DEMANDA!$B$9</f>
        <v>0.0655</v>
      </c>
      <c r="M767" s="29">
        <f t="shared" si="98"/>
        <v>0.01703</v>
      </c>
    </row>
    <row r="768" spans="1:13" ht="15.75" customHeight="1" outlineLevel="2">
      <c r="A768" s="25">
        <v>11</v>
      </c>
      <c r="B768" s="26" t="s">
        <v>566</v>
      </c>
      <c r="C768" s="17" t="s">
        <v>521</v>
      </c>
      <c r="D768" s="26" t="s">
        <v>1135</v>
      </c>
      <c r="E768" s="27">
        <v>4</v>
      </c>
      <c r="F768" s="26" t="s">
        <v>1363</v>
      </c>
      <c r="G768" s="28">
        <v>0.002</v>
      </c>
      <c r="H768" s="28">
        <f t="shared" si="96"/>
        <v>0.0005</v>
      </c>
      <c r="I768" s="16" t="s">
        <v>555</v>
      </c>
      <c r="J768" s="29">
        <v>0.26</v>
      </c>
      <c r="K768" s="58">
        <f t="shared" si="97"/>
        <v>0.00013000000000000002</v>
      </c>
      <c r="L768" s="30">
        <f>H768*DEMANDA!$B$9</f>
        <v>0.0655</v>
      </c>
      <c r="M768" s="29">
        <f t="shared" si="98"/>
        <v>0.01703</v>
      </c>
    </row>
    <row r="769" spans="1:13" ht="15.75" customHeight="1" outlineLevel="2">
      <c r="A769" s="25">
        <v>28</v>
      </c>
      <c r="B769" s="26" t="s">
        <v>550</v>
      </c>
      <c r="C769" s="17" t="s">
        <v>514</v>
      </c>
      <c r="D769" s="26" t="s">
        <v>1135</v>
      </c>
      <c r="E769" s="27">
        <v>4</v>
      </c>
      <c r="F769" s="26" t="s">
        <v>1363</v>
      </c>
      <c r="G769" s="28">
        <v>0.002</v>
      </c>
      <c r="H769" s="28">
        <f t="shared" si="96"/>
        <v>0.0005</v>
      </c>
      <c r="I769" s="16" t="s">
        <v>555</v>
      </c>
      <c r="J769" s="29">
        <v>0.26</v>
      </c>
      <c r="K769" s="58">
        <f t="shared" si="97"/>
        <v>0.00013000000000000002</v>
      </c>
      <c r="L769" s="30">
        <f>H769*DEMANDA!$B$9</f>
        <v>0.0655</v>
      </c>
      <c r="M769" s="29">
        <f t="shared" si="98"/>
        <v>0.01703</v>
      </c>
    </row>
    <row r="770" spans="1:13" ht="15.75" customHeight="1" outlineLevel="2">
      <c r="A770" s="25">
        <v>29</v>
      </c>
      <c r="B770" s="26" t="s">
        <v>551</v>
      </c>
      <c r="C770" s="17" t="s">
        <v>514</v>
      </c>
      <c r="D770" s="26" t="s">
        <v>1135</v>
      </c>
      <c r="E770" s="27">
        <v>4</v>
      </c>
      <c r="F770" s="26" t="s">
        <v>1363</v>
      </c>
      <c r="G770" s="28">
        <v>0.002</v>
      </c>
      <c r="H770" s="28">
        <f t="shared" si="96"/>
        <v>0.0005</v>
      </c>
      <c r="I770" s="16" t="s">
        <v>555</v>
      </c>
      <c r="J770" s="29">
        <v>0.26</v>
      </c>
      <c r="K770" s="58">
        <f t="shared" si="97"/>
        <v>0.00013000000000000002</v>
      </c>
      <c r="L770" s="30">
        <f>H770*DEMANDA!$B$9</f>
        <v>0.0655</v>
      </c>
      <c r="M770" s="29">
        <f t="shared" si="98"/>
        <v>0.01703</v>
      </c>
    </row>
    <row r="771" spans="1:13" ht="15.75" customHeight="1" outlineLevel="2">
      <c r="A771" s="25">
        <v>30</v>
      </c>
      <c r="B771" s="26" t="s">
        <v>552</v>
      </c>
      <c r="C771" s="17" t="s">
        <v>514</v>
      </c>
      <c r="D771" s="26" t="s">
        <v>1145</v>
      </c>
      <c r="E771" s="27">
        <v>4</v>
      </c>
      <c r="F771" s="26" t="s">
        <v>1363</v>
      </c>
      <c r="G771" s="28">
        <v>0.002</v>
      </c>
      <c r="H771" s="28">
        <f t="shared" si="96"/>
        <v>0.0005</v>
      </c>
      <c r="I771" s="16" t="s">
        <v>555</v>
      </c>
      <c r="J771" s="29">
        <v>0.26</v>
      </c>
      <c r="K771" s="58">
        <f t="shared" si="97"/>
        <v>0.00013000000000000002</v>
      </c>
      <c r="L771" s="30">
        <f>H771*DEMANDA!$B$9</f>
        <v>0.0655</v>
      </c>
      <c r="M771" s="29">
        <f t="shared" si="98"/>
        <v>0.01703</v>
      </c>
    </row>
    <row r="772" spans="1:13" ht="15.75" customHeight="1" outlineLevel="1">
      <c r="A772" s="25"/>
      <c r="B772" s="26"/>
      <c r="C772" s="17"/>
      <c r="D772" s="26"/>
      <c r="E772" s="27"/>
      <c r="F772" s="52" t="s">
        <v>73</v>
      </c>
      <c r="G772" s="28"/>
      <c r="H772" s="28"/>
      <c r="I772" s="16"/>
      <c r="J772" s="29"/>
      <c r="K772" s="58">
        <f>SUBTOTAL(9,K736:K771)</f>
        <v>0.004861999999999999</v>
      </c>
      <c r="L772" s="30"/>
      <c r="M772" s="29"/>
    </row>
    <row r="773" spans="1:13" ht="15.75" customHeight="1" outlineLevel="2">
      <c r="A773" s="25">
        <v>20</v>
      </c>
      <c r="B773" s="26" t="s">
        <v>600</v>
      </c>
      <c r="C773" s="17" t="s">
        <v>510</v>
      </c>
      <c r="D773" s="26" t="s">
        <v>1150</v>
      </c>
      <c r="E773" s="27">
        <v>6</v>
      </c>
      <c r="F773" s="26" t="s">
        <v>1364</v>
      </c>
      <c r="G773" s="28">
        <v>0.005</v>
      </c>
      <c r="H773" s="28">
        <f>G773/E773</f>
        <v>0.0008333333333333334</v>
      </c>
      <c r="I773" s="16" t="s">
        <v>555</v>
      </c>
      <c r="J773" s="29">
        <v>8</v>
      </c>
      <c r="K773" s="58">
        <f>J773*H773</f>
        <v>0.006666666666666667</v>
      </c>
      <c r="L773" s="30">
        <f>H773*DEMANDA!$B$9</f>
        <v>0.10916666666666668</v>
      </c>
      <c r="M773" s="29">
        <f>L773*J773</f>
        <v>0.8733333333333334</v>
      </c>
    </row>
    <row r="774" spans="1:13" ht="15.75" customHeight="1" outlineLevel="1">
      <c r="A774" s="25"/>
      <c r="B774" s="26"/>
      <c r="C774" s="17"/>
      <c r="D774" s="26"/>
      <c r="E774" s="27"/>
      <c r="F774" s="52" t="s">
        <v>74</v>
      </c>
      <c r="G774" s="28"/>
      <c r="H774" s="28"/>
      <c r="I774" s="16"/>
      <c r="J774" s="29"/>
      <c r="K774" s="58">
        <f>SUBTOTAL(9,K773:K773)</f>
        <v>0.006666666666666667</v>
      </c>
      <c r="L774" s="30"/>
      <c r="M774" s="29"/>
    </row>
    <row r="775" spans="1:13" ht="15.75" customHeight="1" outlineLevel="2">
      <c r="A775" s="25">
        <v>14</v>
      </c>
      <c r="B775" s="26" t="s">
        <v>755</v>
      </c>
      <c r="C775" s="17" t="s">
        <v>514</v>
      </c>
      <c r="D775" s="26" t="s">
        <v>1388</v>
      </c>
      <c r="E775" s="27">
        <v>4</v>
      </c>
      <c r="F775" s="26" t="s">
        <v>1398</v>
      </c>
      <c r="G775" s="28">
        <v>0.015</v>
      </c>
      <c r="H775" s="28">
        <f>G775/E775</f>
        <v>0.00375</v>
      </c>
      <c r="I775" s="16" t="s">
        <v>512</v>
      </c>
      <c r="J775" s="29">
        <v>8</v>
      </c>
      <c r="K775" s="58">
        <f>J775*H775</f>
        <v>0.03</v>
      </c>
      <c r="L775" s="30">
        <f>H775*DEMANDA!$B$9</f>
        <v>0.49124999999999996</v>
      </c>
      <c r="M775" s="29">
        <f>L775*J775</f>
        <v>3.9299999999999997</v>
      </c>
    </row>
    <row r="776" spans="1:13" ht="15.75" customHeight="1" outlineLevel="1">
      <c r="A776" s="25"/>
      <c r="B776" s="26"/>
      <c r="C776" s="17"/>
      <c r="D776" s="26"/>
      <c r="E776" s="27"/>
      <c r="F776" s="52" t="s">
        <v>77</v>
      </c>
      <c r="G776" s="28"/>
      <c r="H776" s="28"/>
      <c r="I776" s="16"/>
      <c r="J776" s="29"/>
      <c r="K776" s="58">
        <f>SUBTOTAL(9,K775:K775)</f>
        <v>0.03</v>
      </c>
      <c r="L776" s="30"/>
      <c r="M776" s="29"/>
    </row>
    <row r="777" spans="1:13" ht="15.75" customHeight="1" outlineLevel="2">
      <c r="A777" s="25">
        <v>4</v>
      </c>
      <c r="B777" s="26" t="s">
        <v>573</v>
      </c>
      <c r="C777" s="17" t="s">
        <v>514</v>
      </c>
      <c r="D777" s="26" t="s">
        <v>1151</v>
      </c>
      <c r="E777" s="27">
        <v>4</v>
      </c>
      <c r="F777" s="26" t="s">
        <v>1365</v>
      </c>
      <c r="G777" s="28">
        <v>0.06</v>
      </c>
      <c r="H777" s="28">
        <f>G777/E777</f>
        <v>0.015</v>
      </c>
      <c r="I777" s="16" t="s">
        <v>512</v>
      </c>
      <c r="J777" s="29">
        <v>5.36</v>
      </c>
      <c r="K777" s="58">
        <f>J777*H777</f>
        <v>0.0804</v>
      </c>
      <c r="L777" s="30">
        <f>H777*DEMANDA!$B$9</f>
        <v>1.9649999999999999</v>
      </c>
      <c r="M777" s="29">
        <f>L777*J777</f>
        <v>10.532399999999999</v>
      </c>
    </row>
    <row r="778" spans="1:13" ht="15.75" customHeight="1" outlineLevel="2">
      <c r="A778" s="25">
        <v>18</v>
      </c>
      <c r="B778" s="26" t="s">
        <v>639</v>
      </c>
      <c r="C778" s="17" t="s">
        <v>510</v>
      </c>
      <c r="D778" s="26" t="s">
        <v>1152</v>
      </c>
      <c r="E778" s="27">
        <v>4</v>
      </c>
      <c r="F778" s="26" t="s">
        <v>1365</v>
      </c>
      <c r="G778" s="28">
        <v>0.03</v>
      </c>
      <c r="H778" s="28">
        <f>G778/E778</f>
        <v>0.0075</v>
      </c>
      <c r="I778" s="16" t="s">
        <v>512</v>
      </c>
      <c r="J778" s="29">
        <v>5.36</v>
      </c>
      <c r="K778" s="58">
        <f>J778*H778</f>
        <v>0.0402</v>
      </c>
      <c r="L778" s="30">
        <f>H778*DEMANDA!$B$9</f>
        <v>0.9824999999999999</v>
      </c>
      <c r="M778" s="29">
        <f>L778*J778</f>
        <v>5.2661999999999995</v>
      </c>
    </row>
    <row r="779" spans="1:13" ht="15.75" customHeight="1" outlineLevel="1">
      <c r="A779" s="25"/>
      <c r="B779" s="26"/>
      <c r="C779" s="17"/>
      <c r="D779" s="26"/>
      <c r="E779" s="27"/>
      <c r="F779" s="52" t="s">
        <v>75</v>
      </c>
      <c r="G779" s="28"/>
      <c r="H779" s="28"/>
      <c r="I779" s="16"/>
      <c r="J779" s="29"/>
      <c r="K779" s="58">
        <f>SUBTOTAL(9,K777:K778)</f>
        <v>0.1206</v>
      </c>
      <c r="L779" s="30"/>
      <c r="M779" s="29"/>
    </row>
    <row r="780" spans="1:13" ht="15.75" customHeight="1" outlineLevel="2">
      <c r="A780" s="25">
        <v>20</v>
      </c>
      <c r="B780" s="26" t="s">
        <v>576</v>
      </c>
      <c r="C780" s="17" t="s">
        <v>514</v>
      </c>
      <c r="D780" s="26" t="s">
        <v>1154</v>
      </c>
      <c r="E780" s="27">
        <v>4</v>
      </c>
      <c r="F780" s="26" t="s">
        <v>1366</v>
      </c>
      <c r="G780" s="28">
        <v>0.24</v>
      </c>
      <c r="H780" s="28">
        <f>G780/E780</f>
        <v>0.06</v>
      </c>
      <c r="I780" s="16" t="s">
        <v>555</v>
      </c>
      <c r="J780" s="29">
        <v>4.16</v>
      </c>
      <c r="K780" s="58">
        <f>J780*H780</f>
        <v>0.2496</v>
      </c>
      <c r="L780" s="30">
        <f>H780*DEMANDA!$B$9</f>
        <v>7.859999999999999</v>
      </c>
      <c r="M780" s="29">
        <f>L780*J780</f>
        <v>32.6976</v>
      </c>
    </row>
    <row r="781" spans="1:13" ht="15.75" customHeight="1" outlineLevel="2">
      <c r="A781" s="25">
        <v>25</v>
      </c>
      <c r="B781" s="26" t="s">
        <v>607</v>
      </c>
      <c r="C781" s="17" t="s">
        <v>514</v>
      </c>
      <c r="D781" s="26" t="s">
        <v>1155</v>
      </c>
      <c r="E781" s="27">
        <v>4</v>
      </c>
      <c r="F781" s="26" t="s">
        <v>1366</v>
      </c>
      <c r="G781" s="28">
        <v>0.015</v>
      </c>
      <c r="H781" s="28">
        <f>G781/E781</f>
        <v>0.00375</v>
      </c>
      <c r="I781" s="16" t="s">
        <v>555</v>
      </c>
      <c r="J781" s="29">
        <v>4.16</v>
      </c>
      <c r="K781" s="58">
        <f>J781*H781</f>
        <v>0.0156</v>
      </c>
      <c r="L781" s="30">
        <f>H781*DEMANDA!$B$9</f>
        <v>0.49124999999999996</v>
      </c>
      <c r="M781" s="29">
        <f>L781*J781</f>
        <v>2.0436</v>
      </c>
    </row>
    <row r="782" spans="1:13" ht="15.75" customHeight="1" outlineLevel="2">
      <c r="A782" s="25">
        <v>11</v>
      </c>
      <c r="B782" s="26" t="s">
        <v>566</v>
      </c>
      <c r="C782" s="17" t="s">
        <v>521</v>
      </c>
      <c r="D782" s="26" t="s">
        <v>1153</v>
      </c>
      <c r="E782" s="27">
        <v>4</v>
      </c>
      <c r="F782" s="26" t="s">
        <v>1366</v>
      </c>
      <c r="G782" s="28">
        <v>0.24</v>
      </c>
      <c r="H782" s="28">
        <f>G782/E782</f>
        <v>0.06</v>
      </c>
      <c r="I782" s="16" t="s">
        <v>555</v>
      </c>
      <c r="J782" s="29">
        <v>4.16</v>
      </c>
      <c r="K782" s="58">
        <f>J782*H782</f>
        <v>0.2496</v>
      </c>
      <c r="L782" s="30">
        <f>H782*DEMANDA!$B$9</f>
        <v>7.859999999999999</v>
      </c>
      <c r="M782" s="29">
        <f>L782*J782</f>
        <v>32.6976</v>
      </c>
    </row>
    <row r="783" spans="1:13" ht="15.75" customHeight="1" outlineLevel="1">
      <c r="A783" s="25"/>
      <c r="B783" s="26"/>
      <c r="C783" s="17"/>
      <c r="D783" s="26"/>
      <c r="E783" s="27"/>
      <c r="F783" s="52" t="s">
        <v>76</v>
      </c>
      <c r="G783" s="28"/>
      <c r="H783" s="28"/>
      <c r="I783" s="16"/>
      <c r="J783" s="29"/>
      <c r="K783" s="58">
        <f>SUBTOTAL(9,K780:K782)</f>
        <v>0.5147999999999999</v>
      </c>
      <c r="L783" s="30"/>
      <c r="M783" s="29"/>
    </row>
    <row r="784" spans="1:13" ht="15.75" customHeight="1" outlineLevel="2">
      <c r="A784" s="32">
        <v>6</v>
      </c>
      <c r="B784" s="33" t="s">
        <v>527</v>
      </c>
      <c r="C784" s="34" t="s">
        <v>514</v>
      </c>
      <c r="D784" s="33" t="s">
        <v>1156</v>
      </c>
      <c r="E784" s="35">
        <v>12</v>
      </c>
      <c r="F784" s="33" t="s">
        <v>1367</v>
      </c>
      <c r="G784" s="36">
        <v>0.005</v>
      </c>
      <c r="H784" s="28">
        <f>G784/E784</f>
        <v>0.0004166666666666667</v>
      </c>
      <c r="I784" s="16" t="s">
        <v>632</v>
      </c>
      <c r="J784" s="29">
        <v>0.3</v>
      </c>
      <c r="K784" s="58">
        <f>J784*H784</f>
        <v>0.000125</v>
      </c>
      <c r="L784" s="30">
        <f>H784*DEMANDA!$B$9</f>
        <v>0.05458333333333334</v>
      </c>
      <c r="M784" s="29">
        <f>L784*J784</f>
        <v>0.016375</v>
      </c>
    </row>
    <row r="785" spans="1:13" ht="15.75" customHeight="1" outlineLevel="1">
      <c r="A785" s="32"/>
      <c r="B785" s="33"/>
      <c r="C785" s="34"/>
      <c r="D785" s="33"/>
      <c r="E785" s="35"/>
      <c r="F785" s="43" t="s">
        <v>78</v>
      </c>
      <c r="G785" s="36"/>
      <c r="H785" s="28"/>
      <c r="I785" s="16"/>
      <c r="J785" s="29"/>
      <c r="K785" s="58">
        <f>SUBTOTAL(9,K784:K784)</f>
        <v>0.000125</v>
      </c>
      <c r="L785" s="30"/>
      <c r="M785" s="29"/>
    </row>
    <row r="786" spans="1:13" ht="15.75" customHeight="1" outlineLevel="2">
      <c r="A786" s="25">
        <v>10</v>
      </c>
      <c r="B786" s="26" t="s">
        <v>861</v>
      </c>
      <c r="C786" s="17" t="s">
        <v>521</v>
      </c>
      <c r="D786" s="26" t="s">
        <v>1157</v>
      </c>
      <c r="E786" s="27">
        <v>4</v>
      </c>
      <c r="F786" s="26" t="s">
        <v>1368</v>
      </c>
      <c r="G786" s="28">
        <v>0.4</v>
      </c>
      <c r="H786" s="28">
        <f>G786/E786</f>
        <v>0.1</v>
      </c>
      <c r="I786" s="16" t="s">
        <v>555</v>
      </c>
      <c r="J786" s="29">
        <v>1.56</v>
      </c>
      <c r="K786" s="58">
        <f>J786*H786</f>
        <v>0.15600000000000003</v>
      </c>
      <c r="L786" s="30">
        <f>H786*DEMANDA!$B$9</f>
        <v>13.100000000000001</v>
      </c>
      <c r="M786" s="29">
        <f>L786*J786</f>
        <v>20.436000000000003</v>
      </c>
    </row>
    <row r="787" spans="1:13" ht="15.75" customHeight="1" outlineLevel="1">
      <c r="A787" s="25"/>
      <c r="B787" s="26"/>
      <c r="C787" s="17"/>
      <c r="D787" s="26"/>
      <c r="E787" s="27"/>
      <c r="F787" s="52" t="s">
        <v>79</v>
      </c>
      <c r="G787" s="28"/>
      <c r="H787" s="28"/>
      <c r="I787" s="16"/>
      <c r="J787" s="29"/>
      <c r="K787" s="58">
        <f>SUBTOTAL(9,K786:K786)</f>
        <v>0.15600000000000003</v>
      </c>
      <c r="L787" s="30"/>
      <c r="M787" s="29"/>
    </row>
    <row r="788" spans="1:13" ht="15.75" customHeight="1" outlineLevel="2">
      <c r="A788" s="25">
        <v>5</v>
      </c>
      <c r="B788" s="26" t="s">
        <v>526</v>
      </c>
      <c r="C788" s="17" t="s">
        <v>514</v>
      </c>
      <c r="D788" s="26" t="s">
        <v>1158</v>
      </c>
      <c r="E788" s="27">
        <v>4</v>
      </c>
      <c r="F788" s="26" t="s">
        <v>1369</v>
      </c>
      <c r="G788" s="28">
        <v>0.454</v>
      </c>
      <c r="H788" s="28">
        <f>G788/E788</f>
        <v>0.1135</v>
      </c>
      <c r="I788" s="16" t="s">
        <v>555</v>
      </c>
      <c r="J788" s="29">
        <v>9.05</v>
      </c>
      <c r="K788" s="58">
        <f>J788*H788</f>
        <v>1.0271750000000002</v>
      </c>
      <c r="L788" s="30">
        <f>H788*DEMANDA!$B$9</f>
        <v>14.868500000000001</v>
      </c>
      <c r="M788" s="29">
        <f>L788*J788</f>
        <v>134.55992500000002</v>
      </c>
    </row>
    <row r="789" spans="1:13" ht="15.75" customHeight="1" outlineLevel="2">
      <c r="A789" s="25">
        <v>21</v>
      </c>
      <c r="B789" s="26" t="s">
        <v>515</v>
      </c>
      <c r="C789" s="17" t="s">
        <v>514</v>
      </c>
      <c r="D789" s="26" t="s">
        <v>1159</v>
      </c>
      <c r="E789" s="27">
        <v>4</v>
      </c>
      <c r="F789" s="26" t="s">
        <v>1369</v>
      </c>
      <c r="G789" s="28">
        <v>0.454</v>
      </c>
      <c r="H789" s="28">
        <f>G789/E789</f>
        <v>0.1135</v>
      </c>
      <c r="I789" s="16" t="s">
        <v>555</v>
      </c>
      <c r="J789" s="29">
        <v>9.05</v>
      </c>
      <c r="K789" s="58">
        <f>J789*H789</f>
        <v>1.0271750000000002</v>
      </c>
      <c r="L789" s="30">
        <f>H789*DEMANDA!$B$9</f>
        <v>14.868500000000001</v>
      </c>
      <c r="M789" s="29">
        <f>L789*J789</f>
        <v>134.55992500000002</v>
      </c>
    </row>
    <row r="790" spans="1:13" ht="15.75" customHeight="1" outlineLevel="1">
      <c r="A790" s="25"/>
      <c r="B790" s="26"/>
      <c r="C790" s="17"/>
      <c r="D790" s="26"/>
      <c r="E790" s="27"/>
      <c r="F790" s="52" t="s">
        <v>80</v>
      </c>
      <c r="G790" s="28"/>
      <c r="H790" s="28"/>
      <c r="I790" s="16"/>
      <c r="J790" s="29"/>
      <c r="K790" s="58">
        <f>SUBTOTAL(9,K788:K789)</f>
        <v>2.0543500000000003</v>
      </c>
      <c r="L790" s="30"/>
      <c r="M790" s="29"/>
    </row>
    <row r="791" spans="1:13" ht="15.75" customHeight="1" outlineLevel="2">
      <c r="A791" s="25">
        <v>11</v>
      </c>
      <c r="B791" s="26" t="s">
        <v>588</v>
      </c>
      <c r="C791" s="17" t="s">
        <v>514</v>
      </c>
      <c r="D791" s="26" t="s">
        <v>1164</v>
      </c>
      <c r="E791" s="27">
        <v>4</v>
      </c>
      <c r="F791" s="26" t="s">
        <v>1370</v>
      </c>
      <c r="G791" s="28">
        <v>0.39</v>
      </c>
      <c r="H791" s="28">
        <f>G791/E791</f>
        <v>0.0975</v>
      </c>
      <c r="I791" s="16" t="s">
        <v>555</v>
      </c>
      <c r="J791" s="29">
        <v>6.25</v>
      </c>
      <c r="K791" s="58">
        <f>J791*H791</f>
        <v>0.609375</v>
      </c>
      <c r="L791" s="30">
        <f>H791*DEMANDA!$B$9</f>
        <v>12.7725</v>
      </c>
      <c r="M791" s="29">
        <f>L791*J791</f>
        <v>79.828125</v>
      </c>
    </row>
    <row r="792" spans="1:13" ht="15.75" customHeight="1" outlineLevel="2">
      <c r="A792" s="25">
        <v>19</v>
      </c>
      <c r="B792" s="26" t="s">
        <v>544</v>
      </c>
      <c r="C792" s="17" t="s">
        <v>514</v>
      </c>
      <c r="D792" s="26" t="s">
        <v>1165</v>
      </c>
      <c r="E792" s="27">
        <v>4</v>
      </c>
      <c r="F792" s="26" t="s">
        <v>1370</v>
      </c>
      <c r="G792" s="28">
        <v>0.227</v>
      </c>
      <c r="H792" s="28">
        <f>G792/E792</f>
        <v>0.05675</v>
      </c>
      <c r="I792" s="16" t="s">
        <v>555</v>
      </c>
      <c r="J792" s="29">
        <v>6.25</v>
      </c>
      <c r="K792" s="58">
        <f>J792*H792</f>
        <v>0.3546875</v>
      </c>
      <c r="L792" s="30">
        <f>H792*DEMANDA!$B$9</f>
        <v>7.4342500000000005</v>
      </c>
      <c r="M792" s="29">
        <f>L792*J792</f>
        <v>46.464062500000004</v>
      </c>
    </row>
    <row r="793" spans="1:13" ht="15.75" customHeight="1" outlineLevel="2">
      <c r="A793" s="25">
        <v>23</v>
      </c>
      <c r="B793" s="26" t="s">
        <v>517</v>
      </c>
      <c r="C793" s="17" t="s">
        <v>514</v>
      </c>
      <c r="D793" s="26" t="s">
        <v>1166</v>
      </c>
      <c r="E793" s="27">
        <v>4</v>
      </c>
      <c r="F793" s="26" t="s">
        <v>1370</v>
      </c>
      <c r="G793" s="28">
        <v>0.454</v>
      </c>
      <c r="H793" s="28">
        <f>G793/E793</f>
        <v>0.1135</v>
      </c>
      <c r="I793" s="16" t="s">
        <v>555</v>
      </c>
      <c r="J793" s="29">
        <v>6.25</v>
      </c>
      <c r="K793" s="58">
        <f>J793*H793</f>
        <v>0.709375</v>
      </c>
      <c r="L793" s="30">
        <f>H793*DEMANDA!$B$9</f>
        <v>14.868500000000001</v>
      </c>
      <c r="M793" s="29">
        <f>L793*J793</f>
        <v>92.92812500000001</v>
      </c>
    </row>
    <row r="794" spans="1:13" ht="15.75" customHeight="1" outlineLevel="1">
      <c r="A794" s="25"/>
      <c r="B794" s="26"/>
      <c r="C794" s="17"/>
      <c r="D794" s="26"/>
      <c r="E794" s="27"/>
      <c r="F794" s="52" t="s">
        <v>82</v>
      </c>
      <c r="G794" s="28"/>
      <c r="H794" s="28"/>
      <c r="I794" s="16"/>
      <c r="J794" s="29"/>
      <c r="K794" s="58">
        <f>SUBTOTAL(9,K791:K793)</f>
        <v>1.6734375</v>
      </c>
      <c r="L794" s="30"/>
      <c r="M794" s="29"/>
    </row>
    <row r="795" spans="1:13" ht="15.75" customHeight="1" outlineLevel="2">
      <c r="A795" s="25">
        <v>5</v>
      </c>
      <c r="B795" s="26" t="s">
        <v>526</v>
      </c>
      <c r="C795" s="17" t="s">
        <v>514</v>
      </c>
      <c r="D795" s="26" t="s">
        <v>1167</v>
      </c>
      <c r="E795" s="27">
        <v>4</v>
      </c>
      <c r="F795" s="26" t="s">
        <v>1371</v>
      </c>
      <c r="G795" s="28">
        <v>0.1</v>
      </c>
      <c r="H795" s="28">
        <f aca="true" t="shared" si="99" ref="H795:H811">G795/E795</f>
        <v>0.025</v>
      </c>
      <c r="I795" s="16" t="s">
        <v>555</v>
      </c>
      <c r="J795" s="29">
        <v>1.23</v>
      </c>
      <c r="K795" s="58">
        <f aca="true" t="shared" si="100" ref="K795:K811">J795*H795</f>
        <v>0.03075</v>
      </c>
      <c r="L795" s="30">
        <f>H795*DEMANDA!$B$9</f>
        <v>3.2750000000000004</v>
      </c>
      <c r="M795" s="29">
        <f aca="true" t="shared" si="101" ref="M795:M811">L795*J795</f>
        <v>4.028250000000001</v>
      </c>
    </row>
    <row r="796" spans="1:13" ht="15.75" customHeight="1" outlineLevel="2">
      <c r="A796" s="25">
        <v>7</v>
      </c>
      <c r="B796" s="26" t="s">
        <v>529</v>
      </c>
      <c r="C796" s="17" t="s">
        <v>510</v>
      </c>
      <c r="D796" s="26" t="s">
        <v>1169</v>
      </c>
      <c r="E796" s="27">
        <v>4</v>
      </c>
      <c r="F796" s="26" t="s">
        <v>1371</v>
      </c>
      <c r="G796" s="28">
        <v>0.8</v>
      </c>
      <c r="H796" s="28">
        <f t="shared" si="99"/>
        <v>0.2</v>
      </c>
      <c r="I796" s="16" t="s">
        <v>555</v>
      </c>
      <c r="J796" s="29">
        <v>1.23</v>
      </c>
      <c r="K796" s="58">
        <f t="shared" si="100"/>
        <v>0.246</v>
      </c>
      <c r="L796" s="30">
        <f>H796*DEMANDA!$B$9</f>
        <v>26.200000000000003</v>
      </c>
      <c r="M796" s="29">
        <f t="shared" si="101"/>
        <v>32.226000000000006</v>
      </c>
    </row>
    <row r="797" spans="1:13" ht="15.75" customHeight="1" outlineLevel="2">
      <c r="A797" s="25">
        <v>10</v>
      </c>
      <c r="B797" s="26" t="s">
        <v>646</v>
      </c>
      <c r="C797" s="17" t="s">
        <v>510</v>
      </c>
      <c r="D797" s="26" t="s">
        <v>1170</v>
      </c>
      <c r="E797" s="27">
        <v>6</v>
      </c>
      <c r="F797" s="26" t="s">
        <v>1371</v>
      </c>
      <c r="G797" s="28">
        <v>0.6</v>
      </c>
      <c r="H797" s="28">
        <f t="shared" si="99"/>
        <v>0.09999999999999999</v>
      </c>
      <c r="I797" s="16" t="s">
        <v>555</v>
      </c>
      <c r="J797" s="29">
        <v>1.23</v>
      </c>
      <c r="K797" s="58">
        <f t="shared" si="100"/>
        <v>0.12299999999999998</v>
      </c>
      <c r="L797" s="30">
        <f>H797*DEMANDA!$B$9</f>
        <v>13.1</v>
      </c>
      <c r="M797" s="29">
        <f t="shared" si="101"/>
        <v>16.113</v>
      </c>
    </row>
    <row r="798" spans="1:13" ht="15.75" customHeight="1" outlineLevel="2">
      <c r="A798" s="25">
        <v>11</v>
      </c>
      <c r="B798" s="26" t="s">
        <v>588</v>
      </c>
      <c r="C798" s="17" t="s">
        <v>514</v>
      </c>
      <c r="D798" s="26" t="s">
        <v>1171</v>
      </c>
      <c r="E798" s="27">
        <v>4</v>
      </c>
      <c r="F798" s="26" t="s">
        <v>1371</v>
      </c>
      <c r="G798" s="28">
        <v>0.5</v>
      </c>
      <c r="H798" s="28">
        <f t="shared" si="99"/>
        <v>0.125</v>
      </c>
      <c r="I798" s="16" t="s">
        <v>555</v>
      </c>
      <c r="J798" s="29">
        <v>1.23</v>
      </c>
      <c r="K798" s="58">
        <f t="shared" si="100"/>
        <v>0.15375</v>
      </c>
      <c r="L798" s="30">
        <f>H798*DEMANDA!$B$9</f>
        <v>16.375</v>
      </c>
      <c r="M798" s="29">
        <f t="shared" si="101"/>
        <v>20.14125</v>
      </c>
    </row>
    <row r="799" spans="1:13" ht="15.75" customHeight="1" outlineLevel="2">
      <c r="A799" s="25">
        <v>11</v>
      </c>
      <c r="B799" s="26" t="s">
        <v>535</v>
      </c>
      <c r="C799" s="17" t="s">
        <v>510</v>
      </c>
      <c r="D799" s="26" t="s">
        <v>1172</v>
      </c>
      <c r="E799" s="27">
        <v>4</v>
      </c>
      <c r="F799" s="26" t="s">
        <v>1371</v>
      </c>
      <c r="G799" s="28">
        <v>0.4</v>
      </c>
      <c r="H799" s="28">
        <f t="shared" si="99"/>
        <v>0.1</v>
      </c>
      <c r="I799" s="16" t="s">
        <v>555</v>
      </c>
      <c r="J799" s="29">
        <v>1.23</v>
      </c>
      <c r="K799" s="58">
        <f t="shared" si="100"/>
        <v>0.123</v>
      </c>
      <c r="L799" s="30">
        <f>H799*DEMANDA!$B$9</f>
        <v>13.100000000000001</v>
      </c>
      <c r="M799" s="29">
        <f t="shared" si="101"/>
        <v>16.113000000000003</v>
      </c>
    </row>
    <row r="800" spans="1:13" ht="15.75" customHeight="1" outlineLevel="2">
      <c r="A800" s="25">
        <v>14</v>
      </c>
      <c r="B800" s="26" t="s">
        <v>578</v>
      </c>
      <c r="C800" s="17" t="s">
        <v>510</v>
      </c>
      <c r="D800" s="26" t="s">
        <v>1173</v>
      </c>
      <c r="E800" s="27">
        <v>4</v>
      </c>
      <c r="F800" s="26" t="s">
        <v>1371</v>
      </c>
      <c r="G800" s="28">
        <v>0.2</v>
      </c>
      <c r="H800" s="28">
        <f t="shared" si="99"/>
        <v>0.05</v>
      </c>
      <c r="I800" s="16" t="s">
        <v>555</v>
      </c>
      <c r="J800" s="29">
        <v>1.23</v>
      </c>
      <c r="K800" s="58">
        <f t="shared" si="100"/>
        <v>0.0615</v>
      </c>
      <c r="L800" s="30">
        <f>H800*DEMANDA!$B$9</f>
        <v>6.550000000000001</v>
      </c>
      <c r="M800" s="29">
        <f t="shared" si="101"/>
        <v>8.056500000000002</v>
      </c>
    </row>
    <row r="801" spans="1:13" ht="15.75" customHeight="1" outlineLevel="2">
      <c r="A801" s="25">
        <v>16</v>
      </c>
      <c r="B801" s="26" t="s">
        <v>541</v>
      </c>
      <c r="C801" s="17" t="s">
        <v>514</v>
      </c>
      <c r="D801" s="26" t="s">
        <v>1174</v>
      </c>
      <c r="E801" s="27">
        <v>4</v>
      </c>
      <c r="F801" s="26" t="s">
        <v>1371</v>
      </c>
      <c r="G801" s="28">
        <v>0.2</v>
      </c>
      <c r="H801" s="28">
        <f t="shared" si="99"/>
        <v>0.05</v>
      </c>
      <c r="I801" s="16" t="s">
        <v>555</v>
      </c>
      <c r="J801" s="29">
        <v>1.23</v>
      </c>
      <c r="K801" s="58">
        <f t="shared" si="100"/>
        <v>0.0615</v>
      </c>
      <c r="L801" s="30">
        <f>H801*DEMANDA!$B$9</f>
        <v>6.550000000000001</v>
      </c>
      <c r="M801" s="29">
        <f t="shared" si="101"/>
        <v>8.056500000000002</v>
      </c>
    </row>
    <row r="802" spans="1:13" ht="15.75" customHeight="1" outlineLevel="2">
      <c r="A802" s="25">
        <v>16</v>
      </c>
      <c r="B802" s="26" t="s">
        <v>842</v>
      </c>
      <c r="C802" s="17" t="s">
        <v>510</v>
      </c>
      <c r="D802" s="26" t="s">
        <v>1175</v>
      </c>
      <c r="E802" s="27">
        <v>4</v>
      </c>
      <c r="F802" s="26" t="s">
        <v>1371</v>
      </c>
      <c r="G802" s="28">
        <v>0.4</v>
      </c>
      <c r="H802" s="28">
        <f t="shared" si="99"/>
        <v>0.1</v>
      </c>
      <c r="I802" s="16" t="s">
        <v>555</v>
      </c>
      <c r="J802" s="29">
        <v>1.23</v>
      </c>
      <c r="K802" s="58">
        <f t="shared" si="100"/>
        <v>0.123</v>
      </c>
      <c r="L802" s="30">
        <f>H802*DEMANDA!$B$9</f>
        <v>13.100000000000001</v>
      </c>
      <c r="M802" s="29">
        <f t="shared" si="101"/>
        <v>16.113000000000003</v>
      </c>
    </row>
    <row r="803" spans="1:13" ht="15.75" customHeight="1" outlineLevel="2">
      <c r="A803" s="25">
        <v>17</v>
      </c>
      <c r="B803" s="26" t="s">
        <v>543</v>
      </c>
      <c r="C803" s="17" t="s">
        <v>510</v>
      </c>
      <c r="D803" s="26" t="s">
        <v>1176</v>
      </c>
      <c r="E803" s="27">
        <v>4</v>
      </c>
      <c r="F803" s="26" t="s">
        <v>1371</v>
      </c>
      <c r="G803" s="28">
        <v>0.2</v>
      </c>
      <c r="H803" s="28">
        <f t="shared" si="99"/>
        <v>0.05</v>
      </c>
      <c r="I803" s="16" t="s">
        <v>555</v>
      </c>
      <c r="J803" s="29">
        <v>1.23</v>
      </c>
      <c r="K803" s="58">
        <f t="shared" si="100"/>
        <v>0.0615</v>
      </c>
      <c r="L803" s="30">
        <f>H803*DEMANDA!$B$9</f>
        <v>6.550000000000001</v>
      </c>
      <c r="M803" s="29">
        <f t="shared" si="101"/>
        <v>8.056500000000002</v>
      </c>
    </row>
    <row r="804" spans="1:13" ht="15.75" customHeight="1" outlineLevel="2">
      <c r="A804" s="25">
        <v>19</v>
      </c>
      <c r="B804" s="26" t="s">
        <v>544</v>
      </c>
      <c r="C804" s="17" t="s">
        <v>514</v>
      </c>
      <c r="D804" s="26" t="s">
        <v>1177</v>
      </c>
      <c r="E804" s="27">
        <v>4</v>
      </c>
      <c r="F804" s="26" t="s">
        <v>1371</v>
      </c>
      <c r="G804" s="28">
        <v>0.1</v>
      </c>
      <c r="H804" s="28">
        <f t="shared" si="99"/>
        <v>0.025</v>
      </c>
      <c r="I804" s="16" t="s">
        <v>555</v>
      </c>
      <c r="J804" s="29">
        <v>1.23</v>
      </c>
      <c r="K804" s="58">
        <f t="shared" si="100"/>
        <v>0.03075</v>
      </c>
      <c r="L804" s="30">
        <f>H804*DEMANDA!$B$9</f>
        <v>3.2750000000000004</v>
      </c>
      <c r="M804" s="29">
        <f t="shared" si="101"/>
        <v>4.028250000000001</v>
      </c>
    </row>
    <row r="805" spans="1:13" ht="15.75" customHeight="1" outlineLevel="2">
      <c r="A805" s="25">
        <v>19</v>
      </c>
      <c r="B805" s="26" t="s">
        <v>651</v>
      </c>
      <c r="C805" s="17" t="s">
        <v>510</v>
      </c>
      <c r="D805" s="26" t="s">
        <v>1178</v>
      </c>
      <c r="E805" s="27">
        <v>4</v>
      </c>
      <c r="F805" s="26" t="s">
        <v>1371</v>
      </c>
      <c r="G805" s="28">
        <v>0.05</v>
      </c>
      <c r="H805" s="28">
        <f t="shared" si="99"/>
        <v>0.0125</v>
      </c>
      <c r="I805" s="16" t="s">
        <v>555</v>
      </c>
      <c r="J805" s="29">
        <v>1.23</v>
      </c>
      <c r="K805" s="58">
        <f t="shared" si="100"/>
        <v>0.015375</v>
      </c>
      <c r="L805" s="30">
        <f>H805*DEMANDA!$B$9</f>
        <v>1.6375000000000002</v>
      </c>
      <c r="M805" s="29">
        <f t="shared" si="101"/>
        <v>2.0141250000000004</v>
      </c>
    </row>
    <row r="806" spans="1:13" ht="15.75" customHeight="1" outlineLevel="2">
      <c r="A806" s="25">
        <v>21</v>
      </c>
      <c r="B806" s="26" t="s">
        <v>515</v>
      </c>
      <c r="C806" s="17" t="s">
        <v>514</v>
      </c>
      <c r="D806" s="26" t="s">
        <v>1179</v>
      </c>
      <c r="E806" s="27">
        <v>4</v>
      </c>
      <c r="F806" s="26" t="s">
        <v>1371</v>
      </c>
      <c r="G806" s="28">
        <v>0.2</v>
      </c>
      <c r="H806" s="28">
        <f t="shared" si="99"/>
        <v>0.05</v>
      </c>
      <c r="I806" s="16" t="s">
        <v>555</v>
      </c>
      <c r="J806" s="29">
        <v>1.23</v>
      </c>
      <c r="K806" s="58">
        <f t="shared" si="100"/>
        <v>0.0615</v>
      </c>
      <c r="L806" s="30">
        <f>H806*DEMANDA!$B$9</f>
        <v>6.550000000000001</v>
      </c>
      <c r="M806" s="29">
        <f t="shared" si="101"/>
        <v>8.056500000000002</v>
      </c>
    </row>
    <row r="807" spans="1:13" ht="15.75" customHeight="1" outlineLevel="2">
      <c r="A807" s="25">
        <v>22</v>
      </c>
      <c r="B807" s="26" t="s">
        <v>663</v>
      </c>
      <c r="C807" s="17" t="s">
        <v>510</v>
      </c>
      <c r="D807" s="26" t="s">
        <v>1181</v>
      </c>
      <c r="E807" s="27">
        <v>4</v>
      </c>
      <c r="F807" s="26" t="s">
        <v>1371</v>
      </c>
      <c r="G807" s="28">
        <v>0.2</v>
      </c>
      <c r="H807" s="28">
        <f t="shared" si="99"/>
        <v>0.05</v>
      </c>
      <c r="I807" s="16" t="s">
        <v>555</v>
      </c>
      <c r="J807" s="29">
        <v>1.23</v>
      </c>
      <c r="K807" s="58">
        <f t="shared" si="100"/>
        <v>0.0615</v>
      </c>
      <c r="L807" s="30">
        <f>H807*DEMANDA!$B$9</f>
        <v>6.550000000000001</v>
      </c>
      <c r="M807" s="29">
        <f t="shared" si="101"/>
        <v>8.056500000000002</v>
      </c>
    </row>
    <row r="808" spans="1:13" ht="15.75" customHeight="1" outlineLevel="2">
      <c r="A808" s="25">
        <v>22</v>
      </c>
      <c r="B808" s="26" t="s">
        <v>581</v>
      </c>
      <c r="C808" s="17" t="s">
        <v>514</v>
      </c>
      <c r="D808" s="26" t="s">
        <v>1180</v>
      </c>
      <c r="E808" s="27">
        <v>4</v>
      </c>
      <c r="F808" s="26" t="s">
        <v>1371</v>
      </c>
      <c r="G808" s="28">
        <v>0.1</v>
      </c>
      <c r="H808" s="28">
        <f t="shared" si="99"/>
        <v>0.025</v>
      </c>
      <c r="I808" s="16" t="s">
        <v>555</v>
      </c>
      <c r="J808" s="29">
        <v>1.23</v>
      </c>
      <c r="K808" s="58">
        <f t="shared" si="100"/>
        <v>0.03075</v>
      </c>
      <c r="L808" s="30">
        <f>H808*DEMANDA!$B$9</f>
        <v>3.2750000000000004</v>
      </c>
      <c r="M808" s="29">
        <f t="shared" si="101"/>
        <v>4.028250000000001</v>
      </c>
    </row>
    <row r="809" spans="1:13" ht="15.75" customHeight="1" outlineLevel="2">
      <c r="A809" s="25">
        <v>27</v>
      </c>
      <c r="B809" s="26" t="s">
        <v>584</v>
      </c>
      <c r="C809" s="17" t="s">
        <v>521</v>
      </c>
      <c r="D809" s="26" t="s">
        <v>1182</v>
      </c>
      <c r="E809" s="27">
        <v>4</v>
      </c>
      <c r="F809" s="26" t="s">
        <v>1371</v>
      </c>
      <c r="G809" s="28">
        <v>0.1</v>
      </c>
      <c r="H809" s="28">
        <f t="shared" si="99"/>
        <v>0.025</v>
      </c>
      <c r="I809" s="16" t="s">
        <v>555</v>
      </c>
      <c r="J809" s="29">
        <v>1.23</v>
      </c>
      <c r="K809" s="58">
        <f t="shared" si="100"/>
        <v>0.03075</v>
      </c>
      <c r="L809" s="30">
        <f>H809*DEMANDA!$B$9</f>
        <v>3.2750000000000004</v>
      </c>
      <c r="M809" s="29">
        <f t="shared" si="101"/>
        <v>4.028250000000001</v>
      </c>
    </row>
    <row r="810" spans="1:13" ht="15.75" customHeight="1" outlineLevel="2">
      <c r="A810" s="25">
        <v>5</v>
      </c>
      <c r="B810" s="26" t="s">
        <v>729</v>
      </c>
      <c r="C810" s="17" t="s">
        <v>521</v>
      </c>
      <c r="D810" s="26" t="s">
        <v>1168</v>
      </c>
      <c r="E810" s="27">
        <v>2</v>
      </c>
      <c r="F810" s="26" t="s">
        <v>1371</v>
      </c>
      <c r="G810" s="28">
        <v>0.02</v>
      </c>
      <c r="H810" s="28">
        <f t="shared" si="99"/>
        <v>0.01</v>
      </c>
      <c r="I810" s="16" t="s">
        <v>555</v>
      </c>
      <c r="J810" s="29">
        <v>1.23</v>
      </c>
      <c r="K810" s="58">
        <f t="shared" si="100"/>
        <v>0.0123</v>
      </c>
      <c r="L810" s="30">
        <f>H810*DEMANDA!$B$9</f>
        <v>1.31</v>
      </c>
      <c r="M810" s="29">
        <f t="shared" si="101"/>
        <v>1.6113</v>
      </c>
    </row>
    <row r="811" spans="1:13" ht="15.75" customHeight="1" outlineLevel="2">
      <c r="A811" s="25">
        <v>28</v>
      </c>
      <c r="B811" s="26" t="s">
        <v>550</v>
      </c>
      <c r="C811" s="17" t="s">
        <v>514</v>
      </c>
      <c r="D811" s="26" t="s">
        <v>1183</v>
      </c>
      <c r="E811" s="27">
        <v>4</v>
      </c>
      <c r="F811" s="26" t="s">
        <v>1371</v>
      </c>
      <c r="G811" s="28">
        <v>0.6</v>
      </c>
      <c r="H811" s="28">
        <f t="shared" si="99"/>
        <v>0.15</v>
      </c>
      <c r="I811" s="16" t="s">
        <v>555</v>
      </c>
      <c r="J811" s="29">
        <v>1.23</v>
      </c>
      <c r="K811" s="58">
        <f t="shared" si="100"/>
        <v>0.1845</v>
      </c>
      <c r="L811" s="30">
        <f>H811*DEMANDA!$B$9</f>
        <v>19.65</v>
      </c>
      <c r="M811" s="29">
        <f t="shared" si="101"/>
        <v>24.1695</v>
      </c>
    </row>
    <row r="812" spans="1:13" ht="15.75" customHeight="1" outlineLevel="1">
      <c r="A812" s="25"/>
      <c r="B812" s="26"/>
      <c r="C812" s="17"/>
      <c r="D812" s="26"/>
      <c r="E812" s="27"/>
      <c r="F812" s="52" t="s">
        <v>83</v>
      </c>
      <c r="G812" s="28"/>
      <c r="H812" s="28"/>
      <c r="I812" s="16"/>
      <c r="J812" s="29"/>
      <c r="K812" s="58">
        <f>SUBTOTAL(9,K795:K811)</f>
        <v>1.4114250000000004</v>
      </c>
      <c r="L812" s="30"/>
      <c r="M812" s="29"/>
    </row>
    <row r="813" spans="1:13" ht="15.75" customHeight="1" outlineLevel="2">
      <c r="A813" s="25">
        <v>2</v>
      </c>
      <c r="B813" s="26" t="s">
        <v>923</v>
      </c>
      <c r="C813" s="17" t="s">
        <v>514</v>
      </c>
      <c r="D813" s="26" t="s">
        <v>1184</v>
      </c>
      <c r="E813" s="27">
        <v>4</v>
      </c>
      <c r="F813" s="26" t="s">
        <v>1372</v>
      </c>
      <c r="G813" s="28">
        <v>0.125</v>
      </c>
      <c r="H813" s="28">
        <f>G813/E813</f>
        <v>0.03125</v>
      </c>
      <c r="I813" s="16" t="s">
        <v>555</v>
      </c>
      <c r="J813" s="29">
        <v>1.85</v>
      </c>
      <c r="K813" s="58">
        <f>J813*H813</f>
        <v>0.0578125</v>
      </c>
      <c r="L813" s="30">
        <f>H813*DEMANDA!$B$9</f>
        <v>4.09375</v>
      </c>
      <c r="M813" s="29">
        <f>L813*J813</f>
        <v>7.573437500000001</v>
      </c>
    </row>
    <row r="814" spans="1:13" ht="15.75" customHeight="1" outlineLevel="2">
      <c r="A814" s="25">
        <v>20</v>
      </c>
      <c r="B814" s="26" t="s">
        <v>600</v>
      </c>
      <c r="C814" s="17" t="s">
        <v>510</v>
      </c>
      <c r="D814" s="26" t="s">
        <v>1389</v>
      </c>
      <c r="E814" s="27">
        <v>6</v>
      </c>
      <c r="F814" s="26" t="s">
        <v>1372</v>
      </c>
      <c r="G814" s="28">
        <v>0.125</v>
      </c>
      <c r="H814" s="28">
        <f>G814/E814</f>
        <v>0.020833333333333332</v>
      </c>
      <c r="I814" s="16" t="s">
        <v>555</v>
      </c>
      <c r="J814" s="29">
        <v>1.85</v>
      </c>
      <c r="K814" s="58">
        <f>J814*H814</f>
        <v>0.03854166666666667</v>
      </c>
      <c r="L814" s="30">
        <f>H814*DEMANDA!$B$9</f>
        <v>2.7291666666666665</v>
      </c>
      <c r="M814" s="29">
        <f>L814*J814</f>
        <v>5.048958333333333</v>
      </c>
    </row>
    <row r="815" spans="1:13" ht="15.75" customHeight="1" outlineLevel="1">
      <c r="A815" s="25"/>
      <c r="B815" s="26"/>
      <c r="C815" s="17"/>
      <c r="D815" s="26"/>
      <c r="E815" s="27"/>
      <c r="F815" s="52" t="s">
        <v>84</v>
      </c>
      <c r="G815" s="28"/>
      <c r="H815" s="28"/>
      <c r="I815" s="16"/>
      <c r="J815" s="29"/>
      <c r="K815" s="58">
        <f>SUBTOTAL(9,K813:K814)</f>
        <v>0.09635416666666667</v>
      </c>
      <c r="L815" s="30"/>
      <c r="M815" s="29"/>
    </row>
    <row r="816" spans="1:13" ht="15.75" customHeight="1" outlineLevel="2">
      <c r="A816" s="25">
        <v>5</v>
      </c>
      <c r="B816" s="26" t="s">
        <v>559</v>
      </c>
      <c r="C816" s="17" t="s">
        <v>510</v>
      </c>
      <c r="D816" s="26" t="s">
        <v>1185</v>
      </c>
      <c r="E816" s="27">
        <v>4</v>
      </c>
      <c r="F816" s="26" t="s">
        <v>1373</v>
      </c>
      <c r="G816" s="28">
        <v>0.0025</v>
      </c>
      <c r="H816" s="28">
        <f>G816/E816</f>
        <v>0.000625</v>
      </c>
      <c r="I816" s="16" t="s">
        <v>632</v>
      </c>
      <c r="J816" s="45">
        <v>0.3</v>
      </c>
      <c r="K816" s="58">
        <f>J816*H816</f>
        <v>0.0001875</v>
      </c>
      <c r="L816" s="30">
        <f>H816*DEMANDA!$B$9</f>
        <v>0.081875</v>
      </c>
      <c r="M816" s="29">
        <f>L816*J816</f>
        <v>0.0245625</v>
      </c>
    </row>
    <row r="817" spans="1:13" ht="15.75" customHeight="1" outlineLevel="2">
      <c r="A817" s="25">
        <v>9</v>
      </c>
      <c r="B817" s="26" t="s">
        <v>564</v>
      </c>
      <c r="C817" s="17" t="s">
        <v>514</v>
      </c>
      <c r="D817" s="26" t="s">
        <v>1186</v>
      </c>
      <c r="E817" s="27">
        <v>8</v>
      </c>
      <c r="F817" s="26" t="s">
        <v>1373</v>
      </c>
      <c r="G817" s="28">
        <v>0.0025</v>
      </c>
      <c r="H817" s="28">
        <f>G817/E817</f>
        <v>0.0003125</v>
      </c>
      <c r="I817" s="16" t="s">
        <v>632</v>
      </c>
      <c r="J817" s="45">
        <v>0.3</v>
      </c>
      <c r="K817" s="58">
        <f>J817*H817</f>
        <v>9.375E-05</v>
      </c>
      <c r="L817" s="30">
        <f>H817*DEMANDA!$B$9</f>
        <v>0.0409375</v>
      </c>
      <c r="M817" s="29">
        <f>L817*J817</f>
        <v>0.01228125</v>
      </c>
    </row>
    <row r="818" spans="1:13" ht="15.75" customHeight="1" outlineLevel="2">
      <c r="A818" s="25">
        <v>17</v>
      </c>
      <c r="B818" s="26" t="s">
        <v>569</v>
      </c>
      <c r="C818" s="17" t="s">
        <v>514</v>
      </c>
      <c r="D818" s="26" t="s">
        <v>1187</v>
      </c>
      <c r="E818" s="27">
        <v>4</v>
      </c>
      <c r="F818" s="26" t="s">
        <v>1373</v>
      </c>
      <c r="G818" s="28">
        <v>0.002</v>
      </c>
      <c r="H818" s="28">
        <f>G818/E818</f>
        <v>0.0005</v>
      </c>
      <c r="I818" s="16" t="s">
        <v>632</v>
      </c>
      <c r="J818" s="45">
        <v>0.3</v>
      </c>
      <c r="K818" s="58">
        <f>J818*H818</f>
        <v>0.00015</v>
      </c>
      <c r="L818" s="30">
        <f>H818*DEMANDA!$B$9</f>
        <v>0.0655</v>
      </c>
      <c r="M818" s="29">
        <f>L818*J818</f>
        <v>0.01965</v>
      </c>
    </row>
    <row r="819" spans="1:13" ht="15.75" customHeight="1" outlineLevel="2">
      <c r="A819" s="25">
        <v>18</v>
      </c>
      <c r="B819" s="26" t="s">
        <v>639</v>
      </c>
      <c r="C819" s="17" t="s">
        <v>510</v>
      </c>
      <c r="D819" s="26" t="s">
        <v>1188</v>
      </c>
      <c r="E819" s="27">
        <v>4</v>
      </c>
      <c r="F819" s="26" t="s">
        <v>1373</v>
      </c>
      <c r="G819" s="28">
        <v>0.004</v>
      </c>
      <c r="H819" s="28">
        <f>G819/E819</f>
        <v>0.001</v>
      </c>
      <c r="I819" s="16" t="s">
        <v>632</v>
      </c>
      <c r="J819" s="45">
        <v>0.3</v>
      </c>
      <c r="K819" s="58">
        <f>J819*H819</f>
        <v>0.0003</v>
      </c>
      <c r="L819" s="30">
        <f>H819*DEMANDA!$B$9</f>
        <v>0.131</v>
      </c>
      <c r="M819" s="29">
        <f>L819*J819</f>
        <v>0.0393</v>
      </c>
    </row>
    <row r="820" spans="1:13" ht="15.75" customHeight="1" outlineLevel="2">
      <c r="A820" s="25">
        <v>28</v>
      </c>
      <c r="B820" s="26" t="s">
        <v>550</v>
      </c>
      <c r="C820" s="17" t="s">
        <v>514</v>
      </c>
      <c r="D820" s="26" t="s">
        <v>1189</v>
      </c>
      <c r="E820" s="27">
        <v>4</v>
      </c>
      <c r="F820" s="26" t="s">
        <v>1373</v>
      </c>
      <c r="G820" s="28">
        <v>0.002</v>
      </c>
      <c r="H820" s="28">
        <f>G820/E820</f>
        <v>0.0005</v>
      </c>
      <c r="I820" s="16" t="s">
        <v>632</v>
      </c>
      <c r="J820" s="45">
        <v>0.3</v>
      </c>
      <c r="K820" s="58">
        <f>J820*H820</f>
        <v>0.00015</v>
      </c>
      <c r="L820" s="30">
        <f>H820*DEMANDA!$B$9</f>
        <v>0.0655</v>
      </c>
      <c r="M820" s="29">
        <f>L820*J820</f>
        <v>0.01965</v>
      </c>
    </row>
    <row r="821" spans="1:13" ht="15.75" customHeight="1" outlineLevel="1">
      <c r="A821" s="25"/>
      <c r="B821" s="26"/>
      <c r="C821" s="17"/>
      <c r="D821" s="26"/>
      <c r="E821" s="27"/>
      <c r="F821" s="52" t="s">
        <v>85</v>
      </c>
      <c r="G821" s="28"/>
      <c r="H821" s="28"/>
      <c r="I821" s="16"/>
      <c r="J821" s="45"/>
      <c r="K821" s="58">
        <f>SUBTOTAL(9,K816:K820)</f>
        <v>0.0008812499999999999</v>
      </c>
      <c r="L821" s="30"/>
      <c r="M821" s="29"/>
    </row>
    <row r="822" spans="1:13" ht="15.75" customHeight="1" outlineLevel="2">
      <c r="A822" s="25">
        <v>1</v>
      </c>
      <c r="B822" s="26" t="s">
        <v>509</v>
      </c>
      <c r="C822" s="17" t="s">
        <v>510</v>
      </c>
      <c r="D822" s="26" t="s">
        <v>1190</v>
      </c>
      <c r="E822" s="27">
        <v>4</v>
      </c>
      <c r="F822" s="26" t="s">
        <v>1374</v>
      </c>
      <c r="G822" s="28">
        <v>0.1</v>
      </c>
      <c r="H822" s="28">
        <f aca="true" t="shared" si="102" ref="H822:H827">G822/E822</f>
        <v>0.025</v>
      </c>
      <c r="I822" s="16" t="s">
        <v>555</v>
      </c>
      <c r="J822" s="29">
        <v>3.8</v>
      </c>
      <c r="K822" s="58">
        <f aca="true" t="shared" si="103" ref="K822:K827">J822*H822</f>
        <v>0.095</v>
      </c>
      <c r="L822" s="30">
        <f>H822*DEMANDA!$B$9</f>
        <v>3.2750000000000004</v>
      </c>
      <c r="M822" s="29">
        <f aca="true" t="shared" si="104" ref="M822:M827">L822*J822</f>
        <v>12.445</v>
      </c>
    </row>
    <row r="823" spans="1:13" ht="15.75" customHeight="1" outlineLevel="2">
      <c r="A823" s="25">
        <v>4</v>
      </c>
      <c r="B823" s="26" t="s">
        <v>558</v>
      </c>
      <c r="C823" s="17" t="s">
        <v>510</v>
      </c>
      <c r="D823" s="26" t="s">
        <v>1192</v>
      </c>
      <c r="E823" s="27">
        <v>2</v>
      </c>
      <c r="F823" s="26" t="s">
        <v>1374</v>
      </c>
      <c r="G823" s="28">
        <v>0.05</v>
      </c>
      <c r="H823" s="28">
        <f t="shared" si="102"/>
        <v>0.025</v>
      </c>
      <c r="I823" s="16" t="s">
        <v>555</v>
      </c>
      <c r="J823" s="29">
        <v>3.8</v>
      </c>
      <c r="K823" s="58">
        <f t="shared" si="103"/>
        <v>0.095</v>
      </c>
      <c r="L823" s="30">
        <f>H823*DEMANDA!$B$9</f>
        <v>3.2750000000000004</v>
      </c>
      <c r="M823" s="29">
        <f t="shared" si="104"/>
        <v>12.445</v>
      </c>
    </row>
    <row r="824" spans="1:13" ht="15.75" customHeight="1" outlineLevel="2">
      <c r="A824" s="25">
        <v>25</v>
      </c>
      <c r="B824" s="26" t="s">
        <v>690</v>
      </c>
      <c r="C824" s="17" t="s">
        <v>521</v>
      </c>
      <c r="D824" s="26" t="s">
        <v>1195</v>
      </c>
      <c r="E824" s="27">
        <v>4</v>
      </c>
      <c r="F824" s="26" t="s">
        <v>1374</v>
      </c>
      <c r="G824" s="28">
        <v>0.1</v>
      </c>
      <c r="H824" s="28">
        <f t="shared" si="102"/>
        <v>0.025</v>
      </c>
      <c r="I824" s="16" t="s">
        <v>555</v>
      </c>
      <c r="J824" s="29">
        <v>3.8</v>
      </c>
      <c r="K824" s="58">
        <f t="shared" si="103"/>
        <v>0.095</v>
      </c>
      <c r="L824" s="30">
        <f>H824*DEMANDA!$B$9</f>
        <v>3.2750000000000004</v>
      </c>
      <c r="M824" s="29">
        <f t="shared" si="104"/>
        <v>12.445</v>
      </c>
    </row>
    <row r="825" spans="1:13" ht="15.75" customHeight="1" outlineLevel="2">
      <c r="A825" s="25">
        <v>5</v>
      </c>
      <c r="B825" s="26" t="s">
        <v>729</v>
      </c>
      <c r="C825" s="17" t="s">
        <v>521</v>
      </c>
      <c r="D825" s="26" t="s">
        <v>1193</v>
      </c>
      <c r="E825" s="27">
        <v>2</v>
      </c>
      <c r="F825" s="26" t="s">
        <v>1374</v>
      </c>
      <c r="G825" s="28">
        <v>0.05</v>
      </c>
      <c r="H825" s="28">
        <f t="shared" si="102"/>
        <v>0.025</v>
      </c>
      <c r="I825" s="16" t="s">
        <v>555</v>
      </c>
      <c r="J825" s="29">
        <v>3.8</v>
      </c>
      <c r="K825" s="58">
        <f t="shared" si="103"/>
        <v>0.095</v>
      </c>
      <c r="L825" s="30">
        <f>H825*DEMANDA!$B$9</f>
        <v>3.2750000000000004</v>
      </c>
      <c r="M825" s="29">
        <f t="shared" si="104"/>
        <v>12.445</v>
      </c>
    </row>
    <row r="826" spans="1:13" ht="15.75" customHeight="1" outlineLevel="2">
      <c r="A826" s="25">
        <v>23</v>
      </c>
      <c r="B826" s="26" t="s">
        <v>753</v>
      </c>
      <c r="C826" s="17" t="s">
        <v>521</v>
      </c>
      <c r="D826" s="26" t="s">
        <v>1194</v>
      </c>
      <c r="E826" s="27">
        <v>4</v>
      </c>
      <c r="F826" s="26" t="s">
        <v>1374</v>
      </c>
      <c r="G826" s="28">
        <v>0.1</v>
      </c>
      <c r="H826" s="28">
        <f t="shared" si="102"/>
        <v>0.025</v>
      </c>
      <c r="I826" s="16" t="s">
        <v>555</v>
      </c>
      <c r="J826" s="29">
        <v>3.8</v>
      </c>
      <c r="K826" s="58">
        <f t="shared" si="103"/>
        <v>0.095</v>
      </c>
      <c r="L826" s="30">
        <f>H826*DEMANDA!$B$9</f>
        <v>3.2750000000000004</v>
      </c>
      <c r="M826" s="29">
        <f t="shared" si="104"/>
        <v>12.445</v>
      </c>
    </row>
    <row r="827" spans="1:13" ht="15.75" customHeight="1" outlineLevel="2">
      <c r="A827" s="25">
        <v>3</v>
      </c>
      <c r="B827" s="26" t="s">
        <v>556</v>
      </c>
      <c r="C827" s="17" t="s">
        <v>521</v>
      </c>
      <c r="D827" s="26" t="s">
        <v>1191</v>
      </c>
      <c r="E827" s="27">
        <v>4</v>
      </c>
      <c r="F827" s="26" t="s">
        <v>1374</v>
      </c>
      <c r="G827" s="28">
        <v>0.1</v>
      </c>
      <c r="H827" s="28">
        <f t="shared" si="102"/>
        <v>0.025</v>
      </c>
      <c r="I827" s="16" t="s">
        <v>555</v>
      </c>
      <c r="J827" s="29">
        <v>3.8</v>
      </c>
      <c r="K827" s="58">
        <f t="shared" si="103"/>
        <v>0.095</v>
      </c>
      <c r="L827" s="30">
        <f>H827*DEMANDA!$B$9</f>
        <v>3.2750000000000004</v>
      </c>
      <c r="M827" s="29">
        <f t="shared" si="104"/>
        <v>12.445</v>
      </c>
    </row>
    <row r="828" spans="1:13" ht="15.75" customHeight="1" outlineLevel="1">
      <c r="A828" s="25"/>
      <c r="B828" s="26"/>
      <c r="C828" s="17"/>
      <c r="D828" s="26"/>
      <c r="E828" s="27"/>
      <c r="F828" s="52" t="s">
        <v>86</v>
      </c>
      <c r="G828" s="28"/>
      <c r="H828" s="28"/>
      <c r="I828" s="16"/>
      <c r="J828" s="29"/>
      <c r="K828" s="58">
        <f>SUBTOTAL(9,K822:K827)</f>
        <v>0.57</v>
      </c>
      <c r="L828" s="30"/>
      <c r="M828" s="29"/>
    </row>
    <row r="829" spans="1:13" ht="15.75" customHeight="1" outlineLevel="2">
      <c r="A829" s="25">
        <v>3</v>
      </c>
      <c r="B829" s="26" t="s">
        <v>523</v>
      </c>
      <c r="C829" s="17" t="s">
        <v>514</v>
      </c>
      <c r="D829" s="26" t="s">
        <v>1197</v>
      </c>
      <c r="E829" s="27">
        <v>4</v>
      </c>
      <c r="F829" s="26" t="s">
        <v>1375</v>
      </c>
      <c r="G829" s="28">
        <v>0.2</v>
      </c>
      <c r="H829" s="28">
        <f>G829/E829</f>
        <v>0.05</v>
      </c>
      <c r="I829" s="16" t="s">
        <v>555</v>
      </c>
      <c r="J829" s="29">
        <v>2.26</v>
      </c>
      <c r="K829" s="58">
        <f>J829*H829</f>
        <v>0.11299999999999999</v>
      </c>
      <c r="L829" s="30">
        <f>H829*DEMANDA!$B$9</f>
        <v>6.550000000000001</v>
      </c>
      <c r="M829" s="29">
        <f>L829*J829</f>
        <v>14.803</v>
      </c>
    </row>
    <row r="830" spans="1:13" ht="15.75" customHeight="1" outlineLevel="2">
      <c r="A830" s="25">
        <v>2</v>
      </c>
      <c r="B830" s="26" t="s">
        <v>520</v>
      </c>
      <c r="C830" s="17" t="s">
        <v>521</v>
      </c>
      <c r="D830" s="26" t="s">
        <v>1196</v>
      </c>
      <c r="E830" s="27">
        <v>4</v>
      </c>
      <c r="F830" s="26" t="s">
        <v>1375</v>
      </c>
      <c r="G830" s="28">
        <v>0.16</v>
      </c>
      <c r="H830" s="28">
        <f>G830/E830</f>
        <v>0.04</v>
      </c>
      <c r="I830" s="16" t="s">
        <v>555</v>
      </c>
      <c r="J830" s="29">
        <v>2.26</v>
      </c>
      <c r="K830" s="58">
        <f>J830*H830</f>
        <v>0.0904</v>
      </c>
      <c r="L830" s="30">
        <f>H830*DEMANDA!$B$9</f>
        <v>5.24</v>
      </c>
      <c r="M830" s="29">
        <f>L830*J830</f>
        <v>11.8424</v>
      </c>
    </row>
    <row r="831" spans="1:13" ht="15.75" customHeight="1" outlineLevel="1">
      <c r="A831" s="25"/>
      <c r="B831" s="26"/>
      <c r="C831" s="17"/>
      <c r="D831" s="26"/>
      <c r="E831" s="27"/>
      <c r="F831" s="52" t="s">
        <v>87</v>
      </c>
      <c r="G831" s="28"/>
      <c r="H831" s="28"/>
      <c r="I831" s="16"/>
      <c r="J831" s="29"/>
      <c r="K831" s="58">
        <f>SUBTOTAL(9,K829:K830)</f>
        <v>0.20339999999999997</v>
      </c>
      <c r="L831" s="30"/>
      <c r="M831" s="29"/>
    </row>
    <row r="832" spans="1:13" ht="15.75" customHeight="1" outlineLevel="2">
      <c r="A832" s="25">
        <v>6</v>
      </c>
      <c r="B832" s="26" t="s">
        <v>615</v>
      </c>
      <c r="C832" s="17" t="s">
        <v>510</v>
      </c>
      <c r="D832" s="26" t="s">
        <v>1198</v>
      </c>
      <c r="E832" s="27">
        <v>2</v>
      </c>
      <c r="F832" s="26" t="s">
        <v>1376</v>
      </c>
      <c r="G832" s="28">
        <v>0.8</v>
      </c>
      <c r="H832" s="28">
        <f>G832/E832</f>
        <v>0.4</v>
      </c>
      <c r="I832" s="16" t="s">
        <v>555</v>
      </c>
      <c r="J832" s="29">
        <v>0.67</v>
      </c>
      <c r="K832" s="58">
        <f>J832*H832</f>
        <v>0.268</v>
      </c>
      <c r="L832" s="30">
        <f>H832*DEMANDA!$B$9</f>
        <v>52.400000000000006</v>
      </c>
      <c r="M832" s="29">
        <f>L832*J832</f>
        <v>35.108000000000004</v>
      </c>
    </row>
    <row r="833" spans="1:13" ht="15.75" customHeight="1" outlineLevel="2">
      <c r="A833" s="25">
        <v>30</v>
      </c>
      <c r="B833" s="26" t="s">
        <v>552</v>
      </c>
      <c r="C833" s="17" t="s">
        <v>514</v>
      </c>
      <c r="D833" s="26" t="s">
        <v>1199</v>
      </c>
      <c r="E833" s="27">
        <v>4</v>
      </c>
      <c r="F833" s="26" t="s">
        <v>1376</v>
      </c>
      <c r="G833" s="28">
        <v>0.4</v>
      </c>
      <c r="H833" s="28">
        <f>G833/E833</f>
        <v>0.1</v>
      </c>
      <c r="I833" s="16" t="s">
        <v>555</v>
      </c>
      <c r="J833" s="29">
        <v>0.67</v>
      </c>
      <c r="K833" s="58">
        <f>J833*H833</f>
        <v>0.067</v>
      </c>
      <c r="L833" s="30">
        <f>H833*DEMANDA!$B$9</f>
        <v>13.100000000000001</v>
      </c>
      <c r="M833" s="29">
        <f>L833*J833</f>
        <v>8.777000000000001</v>
      </c>
    </row>
    <row r="834" spans="1:13" ht="15.75" customHeight="1" outlineLevel="1">
      <c r="A834" s="25"/>
      <c r="B834" s="26"/>
      <c r="C834" s="17"/>
      <c r="D834" s="26"/>
      <c r="E834" s="27"/>
      <c r="F834" s="52" t="s">
        <v>88</v>
      </c>
      <c r="G834" s="28"/>
      <c r="H834" s="28"/>
      <c r="I834" s="16"/>
      <c r="J834" s="29"/>
      <c r="K834" s="58">
        <f>SUBTOTAL(9,K832:K833)</f>
        <v>0.335</v>
      </c>
      <c r="L834" s="30"/>
      <c r="M834" s="29"/>
    </row>
    <row r="835" spans="1:13" ht="15.75" customHeight="1" outlineLevel="2">
      <c r="A835" s="25">
        <v>15</v>
      </c>
      <c r="B835" s="26" t="s">
        <v>759</v>
      </c>
      <c r="C835" s="17" t="s">
        <v>510</v>
      </c>
      <c r="D835" s="26" t="s">
        <v>1200</v>
      </c>
      <c r="E835" s="27">
        <v>4</v>
      </c>
      <c r="F835" s="26" t="s">
        <v>1377</v>
      </c>
      <c r="G835" s="28">
        <v>0.03</v>
      </c>
      <c r="H835" s="28">
        <f>G835/E835</f>
        <v>0.0075</v>
      </c>
      <c r="I835" s="16" t="s">
        <v>512</v>
      </c>
      <c r="J835" s="29">
        <v>1.8</v>
      </c>
      <c r="K835" s="58">
        <f>J835*H835</f>
        <v>0.0135</v>
      </c>
      <c r="L835" s="30">
        <f>H835*DEMANDA!$B$9</f>
        <v>0.9824999999999999</v>
      </c>
      <c r="M835" s="29">
        <f>L835*J835</f>
        <v>1.7685</v>
      </c>
    </row>
    <row r="836" spans="1:22" s="41" customFormat="1" ht="15.75" customHeight="1" outlineLevel="2">
      <c r="A836" s="25">
        <v>17</v>
      </c>
      <c r="B836" s="26" t="s">
        <v>569</v>
      </c>
      <c r="C836" s="17" t="s">
        <v>514</v>
      </c>
      <c r="D836" s="26" t="s">
        <v>1201</v>
      </c>
      <c r="E836" s="27">
        <v>4</v>
      </c>
      <c r="F836" s="26" t="s">
        <v>1377</v>
      </c>
      <c r="G836" s="28">
        <v>0.0025</v>
      </c>
      <c r="H836" s="28">
        <f>G836/E836</f>
        <v>0.000625</v>
      </c>
      <c r="I836" s="16" t="s">
        <v>512</v>
      </c>
      <c r="J836" s="29">
        <v>1.8</v>
      </c>
      <c r="K836" s="58">
        <f>J836*H836</f>
        <v>0.0011250000000000001</v>
      </c>
      <c r="L836" s="30">
        <f>H836*DEMANDA!$B$9</f>
        <v>0.081875</v>
      </c>
      <c r="M836" s="29">
        <f>L836*J836</f>
        <v>0.147375</v>
      </c>
      <c r="O836" s="31"/>
      <c r="P836" s="31"/>
      <c r="Q836" s="31"/>
      <c r="R836" s="31"/>
      <c r="S836" s="31"/>
      <c r="T836" s="31"/>
      <c r="U836" s="31"/>
      <c r="V836" s="31"/>
    </row>
    <row r="837" spans="1:21" ht="15.75" customHeight="1" outlineLevel="2">
      <c r="A837" s="25">
        <v>27</v>
      </c>
      <c r="B837" s="26" t="s">
        <v>549</v>
      </c>
      <c r="C837" s="17" t="s">
        <v>514</v>
      </c>
      <c r="D837" s="26" t="s">
        <v>1202</v>
      </c>
      <c r="E837" s="27">
        <v>4</v>
      </c>
      <c r="F837" s="26" t="s">
        <v>1377</v>
      </c>
      <c r="G837" s="28">
        <v>0.05</v>
      </c>
      <c r="H837" s="28">
        <f>G837/E837</f>
        <v>0.0125</v>
      </c>
      <c r="I837" s="16" t="s">
        <v>512</v>
      </c>
      <c r="J837" s="29">
        <v>1.8</v>
      </c>
      <c r="K837" s="58">
        <f>J837*H837</f>
        <v>0.022500000000000003</v>
      </c>
      <c r="L837" s="30">
        <f>H837*DEMANDA!$B$9</f>
        <v>1.6375000000000002</v>
      </c>
      <c r="M837" s="29">
        <f>L837*J837</f>
        <v>2.9475000000000002</v>
      </c>
      <c r="O837" s="41"/>
      <c r="P837" s="41"/>
      <c r="Q837" s="41"/>
      <c r="R837" s="41"/>
      <c r="S837" s="41"/>
      <c r="T837" s="41"/>
      <c r="U837" s="41"/>
    </row>
    <row r="838" spans="1:21" ht="15.75" customHeight="1" outlineLevel="2">
      <c r="A838" s="25">
        <v>30</v>
      </c>
      <c r="B838" s="26" t="s">
        <v>552</v>
      </c>
      <c r="C838" s="17" t="s">
        <v>514</v>
      </c>
      <c r="D838" s="26" t="s">
        <v>1203</v>
      </c>
      <c r="E838" s="27">
        <v>4</v>
      </c>
      <c r="F838" s="26" t="s">
        <v>1377</v>
      </c>
      <c r="G838" s="28">
        <v>0.075</v>
      </c>
      <c r="H838" s="28">
        <f>G838/E838</f>
        <v>0.01875</v>
      </c>
      <c r="I838" s="16" t="s">
        <v>512</v>
      </c>
      <c r="J838" s="29">
        <v>1.8</v>
      </c>
      <c r="K838" s="58">
        <f>J838*H838</f>
        <v>0.03375</v>
      </c>
      <c r="L838" s="30">
        <f>H838*DEMANDA!$B$9</f>
        <v>2.45625</v>
      </c>
      <c r="M838" s="29">
        <f>L838*J838</f>
        <v>4.42125</v>
      </c>
      <c r="O838" s="41"/>
      <c r="P838" s="41"/>
      <c r="Q838" s="41"/>
      <c r="R838" s="41"/>
      <c r="S838" s="41"/>
      <c r="T838" s="41"/>
      <c r="U838" s="41"/>
    </row>
    <row r="839" spans="1:21" ht="15.75" customHeight="1" outlineLevel="1">
      <c r="A839" s="25"/>
      <c r="B839" s="26"/>
      <c r="C839" s="17"/>
      <c r="D839" s="26"/>
      <c r="E839" s="27"/>
      <c r="F839" s="52" t="s">
        <v>89</v>
      </c>
      <c r="G839" s="28"/>
      <c r="H839" s="28"/>
      <c r="I839" s="16"/>
      <c r="J839" s="29"/>
      <c r="K839" s="58">
        <f>SUBTOTAL(9,K835:K838)</f>
        <v>0.07087500000000001</v>
      </c>
      <c r="L839" s="30"/>
      <c r="M839" s="29"/>
      <c r="O839" s="41"/>
      <c r="P839" s="41"/>
      <c r="Q839" s="41"/>
      <c r="R839" s="41"/>
      <c r="S839" s="41"/>
      <c r="T839" s="41"/>
      <c r="U839" s="41"/>
    </row>
    <row r="840" spans="1:13" ht="15.75" customHeight="1" outlineLevel="2">
      <c r="A840" s="25">
        <v>21</v>
      </c>
      <c r="B840" s="26" t="s">
        <v>515</v>
      </c>
      <c r="C840" s="17" t="s">
        <v>514</v>
      </c>
      <c r="D840" s="26" t="s">
        <v>1204</v>
      </c>
      <c r="E840" s="27">
        <v>4</v>
      </c>
      <c r="F840" s="26" t="s">
        <v>1378</v>
      </c>
      <c r="G840" s="28">
        <v>0.03</v>
      </c>
      <c r="H840" s="28">
        <f>G840/E840</f>
        <v>0.0075</v>
      </c>
      <c r="I840" s="16" t="s">
        <v>512</v>
      </c>
      <c r="J840" s="29">
        <v>6.84</v>
      </c>
      <c r="K840" s="58">
        <f>J840*H840</f>
        <v>0.0513</v>
      </c>
      <c r="L840" s="30">
        <f>H840*DEMANDA!$B$9</f>
        <v>0.9824999999999999</v>
      </c>
      <c r="M840" s="29">
        <f>L840*J840</f>
        <v>6.720299999999999</v>
      </c>
    </row>
    <row r="841" spans="1:13" ht="15.75" customHeight="1" outlineLevel="2">
      <c r="A841" s="25">
        <v>21</v>
      </c>
      <c r="B841" s="26" t="s">
        <v>546</v>
      </c>
      <c r="C841" s="17" t="s">
        <v>510</v>
      </c>
      <c r="D841" s="16" t="s">
        <v>1205</v>
      </c>
      <c r="E841" s="27">
        <v>4</v>
      </c>
      <c r="F841" s="26" t="s">
        <v>1378</v>
      </c>
      <c r="G841" s="28">
        <v>0.03</v>
      </c>
      <c r="H841" s="28">
        <f>G841/E841</f>
        <v>0.0075</v>
      </c>
      <c r="I841" s="16" t="s">
        <v>512</v>
      </c>
      <c r="J841" s="29">
        <v>6.84</v>
      </c>
      <c r="K841" s="58">
        <f>J841*H841</f>
        <v>0.0513</v>
      </c>
      <c r="L841" s="30">
        <f>H841*DEMANDA!$B$9</f>
        <v>0.9824999999999999</v>
      </c>
      <c r="M841" s="29">
        <f>L841*J841</f>
        <v>6.720299999999999</v>
      </c>
    </row>
    <row r="842" spans="1:13" ht="15.75" customHeight="1" outlineLevel="1">
      <c r="A842" s="25"/>
      <c r="B842" s="26"/>
      <c r="C842" s="17"/>
      <c r="D842" s="16"/>
      <c r="E842" s="27"/>
      <c r="F842" s="52" t="s">
        <v>90</v>
      </c>
      <c r="G842" s="28"/>
      <c r="H842" s="28"/>
      <c r="I842" s="16"/>
      <c r="J842" s="29"/>
      <c r="K842" s="58">
        <f>SUBTOTAL(9,K840:K841)</f>
        <v>0.1026</v>
      </c>
      <c r="L842" s="30"/>
      <c r="M842" s="29"/>
    </row>
    <row r="843" spans="1:13" ht="15.75" customHeight="1" outlineLevel="2">
      <c r="A843" s="25">
        <v>10</v>
      </c>
      <c r="B843" s="26" t="s">
        <v>533</v>
      </c>
      <c r="C843" s="17" t="s">
        <v>514</v>
      </c>
      <c r="D843" s="26" t="s">
        <v>1206</v>
      </c>
      <c r="E843" s="27">
        <v>4</v>
      </c>
      <c r="F843" s="26" t="s">
        <v>1379</v>
      </c>
      <c r="G843" s="28">
        <v>0.15</v>
      </c>
      <c r="H843" s="28">
        <f>G843/E843</f>
        <v>0.0375</v>
      </c>
      <c r="I843" s="16" t="s">
        <v>512</v>
      </c>
      <c r="J843" s="29">
        <v>3.84</v>
      </c>
      <c r="K843" s="58">
        <f>J843*H843</f>
        <v>0.144</v>
      </c>
      <c r="L843" s="30">
        <f>H843*DEMANDA!$B$9</f>
        <v>4.9125</v>
      </c>
      <c r="M843" s="29">
        <f>L843*J843</f>
        <v>18.863999999999997</v>
      </c>
    </row>
    <row r="844" spans="1:13" ht="15.75" customHeight="1" outlineLevel="2">
      <c r="A844" s="25">
        <v>13</v>
      </c>
      <c r="B844" s="26" t="s">
        <v>655</v>
      </c>
      <c r="C844" s="17" t="s">
        <v>514</v>
      </c>
      <c r="D844" s="26" t="s">
        <v>1207</v>
      </c>
      <c r="E844" s="27">
        <v>4</v>
      </c>
      <c r="F844" s="26" t="s">
        <v>1379</v>
      </c>
      <c r="G844" s="28">
        <v>0.0375</v>
      </c>
      <c r="H844" s="28">
        <f>G844/E844</f>
        <v>0.009375</v>
      </c>
      <c r="I844" s="16" t="s">
        <v>512</v>
      </c>
      <c r="J844" s="29">
        <v>3.84</v>
      </c>
      <c r="K844" s="58">
        <f>J844*H844</f>
        <v>0.036</v>
      </c>
      <c r="L844" s="30">
        <f>H844*DEMANDA!$B$9</f>
        <v>1.228125</v>
      </c>
      <c r="M844" s="29">
        <f>L844*J844</f>
        <v>4.715999999999999</v>
      </c>
    </row>
    <row r="845" spans="1:13" ht="15.75" customHeight="1" outlineLevel="2">
      <c r="A845" s="25">
        <v>25</v>
      </c>
      <c r="B845" s="26" t="s">
        <v>607</v>
      </c>
      <c r="C845" s="17" t="s">
        <v>514</v>
      </c>
      <c r="D845" s="26" t="s">
        <v>1208</v>
      </c>
      <c r="E845" s="27">
        <v>4</v>
      </c>
      <c r="F845" s="26" t="s">
        <v>1379</v>
      </c>
      <c r="G845" s="28">
        <v>0.0375</v>
      </c>
      <c r="H845" s="28">
        <f>G845/E845</f>
        <v>0.009375</v>
      </c>
      <c r="I845" s="16" t="s">
        <v>512</v>
      </c>
      <c r="J845" s="29">
        <v>3.84</v>
      </c>
      <c r="K845" s="58">
        <f>J845*H845</f>
        <v>0.036</v>
      </c>
      <c r="L845" s="30">
        <f>H845*DEMANDA!$B$9</f>
        <v>1.228125</v>
      </c>
      <c r="M845" s="29">
        <f>L845*J845</f>
        <v>4.715999999999999</v>
      </c>
    </row>
    <row r="846" spans="1:13" ht="15.75" customHeight="1" outlineLevel="1">
      <c r="A846" s="25"/>
      <c r="B846" s="26"/>
      <c r="C846" s="17"/>
      <c r="D846" s="26"/>
      <c r="E846" s="27"/>
      <c r="F846" s="52" t="s">
        <v>91</v>
      </c>
      <c r="G846" s="28"/>
      <c r="H846" s="28"/>
      <c r="I846" s="16"/>
      <c r="J846" s="29"/>
      <c r="K846" s="58">
        <f>SUBTOTAL(9,K843:K845)</f>
        <v>0.216</v>
      </c>
      <c r="L846" s="30"/>
      <c r="M846" s="29"/>
    </row>
    <row r="847" spans="1:13" ht="15.75" customHeight="1" outlineLevel="2">
      <c r="A847" s="32">
        <v>8</v>
      </c>
      <c r="B847" s="33" t="s">
        <v>634</v>
      </c>
      <c r="C847" s="34" t="s">
        <v>514</v>
      </c>
      <c r="D847" s="33" t="s">
        <v>1209</v>
      </c>
      <c r="E847" s="35">
        <v>4</v>
      </c>
      <c r="F847" s="33" t="s">
        <v>1400</v>
      </c>
      <c r="G847" s="36">
        <v>0.03125</v>
      </c>
      <c r="H847" s="28">
        <f aca="true" t="shared" si="105" ref="H847:H855">G847/E847</f>
        <v>0.0078125</v>
      </c>
      <c r="I847" s="39" t="s">
        <v>555</v>
      </c>
      <c r="J847" s="40">
        <v>1.91</v>
      </c>
      <c r="K847" s="58">
        <f aca="true" t="shared" si="106" ref="K847:K855">J847*H847</f>
        <v>0.014921875</v>
      </c>
      <c r="L847" s="30">
        <f>H847*DEMANDA!$B$9</f>
        <v>1.0234375</v>
      </c>
      <c r="M847" s="29">
        <f aca="true" t="shared" si="107" ref="M847:M855">L847*J847</f>
        <v>1.9547656249999998</v>
      </c>
    </row>
    <row r="848" spans="1:13" ht="15.75" customHeight="1" outlineLevel="2">
      <c r="A848" s="25">
        <v>15</v>
      </c>
      <c r="B848" s="26" t="s">
        <v>759</v>
      </c>
      <c r="C848" s="17" t="s">
        <v>510</v>
      </c>
      <c r="D848" s="26" t="s">
        <v>1210</v>
      </c>
      <c r="E848" s="27">
        <v>4</v>
      </c>
      <c r="F848" s="33" t="s">
        <v>1400</v>
      </c>
      <c r="G848" s="28">
        <v>0.0325</v>
      </c>
      <c r="H848" s="28">
        <f t="shared" si="105"/>
        <v>0.008125</v>
      </c>
      <c r="I848" s="39" t="s">
        <v>555</v>
      </c>
      <c r="J848" s="40">
        <v>1.91</v>
      </c>
      <c r="K848" s="58">
        <f t="shared" si="106"/>
        <v>0.01551875</v>
      </c>
      <c r="L848" s="30">
        <f>H848*DEMANDA!$B$9</f>
        <v>1.064375</v>
      </c>
      <c r="M848" s="29">
        <f t="shared" si="107"/>
        <v>2.0329562500000002</v>
      </c>
    </row>
    <row r="849" spans="1:13" ht="15.75" customHeight="1" outlineLevel="2">
      <c r="A849" s="25">
        <v>18</v>
      </c>
      <c r="B849" s="26" t="s">
        <v>626</v>
      </c>
      <c r="C849" s="17" t="s">
        <v>514</v>
      </c>
      <c r="D849" s="26" t="s">
        <v>1211</v>
      </c>
      <c r="E849" s="27">
        <v>4</v>
      </c>
      <c r="F849" s="33" t="s">
        <v>1400</v>
      </c>
      <c r="G849" s="28">
        <v>0.03</v>
      </c>
      <c r="H849" s="28">
        <f t="shared" si="105"/>
        <v>0.0075</v>
      </c>
      <c r="I849" s="39" t="s">
        <v>555</v>
      </c>
      <c r="J849" s="40">
        <v>1.91</v>
      </c>
      <c r="K849" s="58">
        <f t="shared" si="106"/>
        <v>0.014325</v>
      </c>
      <c r="L849" s="30">
        <f>H849*DEMANDA!$B$9</f>
        <v>0.9824999999999999</v>
      </c>
      <c r="M849" s="29">
        <f t="shared" si="107"/>
        <v>1.8765749999999999</v>
      </c>
    </row>
    <row r="850" spans="1:13" ht="15.75" customHeight="1" outlineLevel="2">
      <c r="A850" s="25">
        <v>18</v>
      </c>
      <c r="B850" s="26" t="s">
        <v>639</v>
      </c>
      <c r="C850" s="17" t="s">
        <v>510</v>
      </c>
      <c r="D850" s="26" t="s">
        <v>1212</v>
      </c>
      <c r="E850" s="27">
        <v>4</v>
      </c>
      <c r="F850" s="33" t="s">
        <v>1400</v>
      </c>
      <c r="G850" s="28">
        <v>0.03125</v>
      </c>
      <c r="H850" s="28">
        <f t="shared" si="105"/>
        <v>0.0078125</v>
      </c>
      <c r="I850" s="39" t="s">
        <v>555</v>
      </c>
      <c r="J850" s="40">
        <v>1.91</v>
      </c>
      <c r="K850" s="58">
        <f t="shared" si="106"/>
        <v>0.014921875</v>
      </c>
      <c r="L850" s="30">
        <f>H850*DEMANDA!$B$9</f>
        <v>1.0234375</v>
      </c>
      <c r="M850" s="29">
        <f t="shared" si="107"/>
        <v>1.9547656249999998</v>
      </c>
    </row>
    <row r="851" spans="1:13" ht="15.75" customHeight="1" outlineLevel="2">
      <c r="A851" s="25">
        <v>20</v>
      </c>
      <c r="B851" s="26" t="s">
        <v>600</v>
      </c>
      <c r="C851" s="17" t="s">
        <v>510</v>
      </c>
      <c r="D851" s="26" t="s">
        <v>1214</v>
      </c>
      <c r="E851" s="27">
        <v>6</v>
      </c>
      <c r="F851" s="33" t="s">
        <v>1400</v>
      </c>
      <c r="G851" s="28">
        <v>0.125</v>
      </c>
      <c r="H851" s="28">
        <f t="shared" si="105"/>
        <v>0.020833333333333332</v>
      </c>
      <c r="I851" s="39" t="s">
        <v>555</v>
      </c>
      <c r="J851" s="40">
        <v>1.91</v>
      </c>
      <c r="K851" s="58">
        <f t="shared" si="106"/>
        <v>0.03979166666666666</v>
      </c>
      <c r="L851" s="30">
        <f>H851*DEMANDA!$B$9</f>
        <v>2.7291666666666665</v>
      </c>
      <c r="M851" s="29">
        <f t="shared" si="107"/>
        <v>5.212708333333333</v>
      </c>
    </row>
    <row r="852" spans="1:13" ht="15.75" customHeight="1" outlineLevel="2">
      <c r="A852" s="25">
        <v>23</v>
      </c>
      <c r="B852" s="26" t="s">
        <v>602</v>
      </c>
      <c r="C852" s="17" t="s">
        <v>510</v>
      </c>
      <c r="D852" s="26" t="s">
        <v>1216</v>
      </c>
      <c r="E852" s="27">
        <v>6</v>
      </c>
      <c r="F852" s="33" t="s">
        <v>1400</v>
      </c>
      <c r="G852" s="28">
        <v>0.0625</v>
      </c>
      <c r="H852" s="28">
        <f t="shared" si="105"/>
        <v>0.010416666666666666</v>
      </c>
      <c r="I852" s="39" t="s">
        <v>555</v>
      </c>
      <c r="J852" s="40">
        <v>1.91</v>
      </c>
      <c r="K852" s="58">
        <f t="shared" si="106"/>
        <v>0.01989583333333333</v>
      </c>
      <c r="L852" s="30">
        <f>H852*DEMANDA!$B$9</f>
        <v>1.3645833333333333</v>
      </c>
      <c r="M852" s="29">
        <f t="shared" si="107"/>
        <v>2.6063541666666663</v>
      </c>
    </row>
    <row r="853" spans="1:13" ht="15.75" customHeight="1" outlineLevel="2">
      <c r="A853" s="25">
        <v>28</v>
      </c>
      <c r="B853" s="26" t="s">
        <v>781</v>
      </c>
      <c r="C853" s="17" t="s">
        <v>510</v>
      </c>
      <c r="D853" s="26" t="s">
        <v>1213</v>
      </c>
      <c r="E853" s="27">
        <v>4</v>
      </c>
      <c r="F853" s="33" t="s">
        <v>1400</v>
      </c>
      <c r="G853" s="28">
        <v>0.0625</v>
      </c>
      <c r="H853" s="28">
        <f t="shared" si="105"/>
        <v>0.015625</v>
      </c>
      <c r="I853" s="39" t="s">
        <v>555</v>
      </c>
      <c r="J853" s="40">
        <v>1.91</v>
      </c>
      <c r="K853" s="58">
        <f t="shared" si="106"/>
        <v>0.02984375</v>
      </c>
      <c r="L853" s="30">
        <f>H853*DEMANDA!$B$9</f>
        <v>2.046875</v>
      </c>
      <c r="M853" s="29">
        <f t="shared" si="107"/>
        <v>3.9095312499999997</v>
      </c>
    </row>
    <row r="854" spans="1:13" ht="15.75" customHeight="1" outlineLevel="2">
      <c r="A854" s="25">
        <v>20</v>
      </c>
      <c r="B854" s="26" t="s">
        <v>794</v>
      </c>
      <c r="C854" s="17" t="s">
        <v>521</v>
      </c>
      <c r="D854" s="26" t="s">
        <v>1215</v>
      </c>
      <c r="E854" s="27">
        <v>6</v>
      </c>
      <c r="F854" s="33" t="s">
        <v>1400</v>
      </c>
      <c r="G854" s="28">
        <v>0.25</v>
      </c>
      <c r="H854" s="28">
        <f t="shared" si="105"/>
        <v>0.041666666666666664</v>
      </c>
      <c r="I854" s="39" t="s">
        <v>555</v>
      </c>
      <c r="J854" s="40">
        <v>1.91</v>
      </c>
      <c r="K854" s="58">
        <f t="shared" si="106"/>
        <v>0.07958333333333333</v>
      </c>
      <c r="L854" s="30">
        <f>H854*DEMANDA!$B$9</f>
        <v>5.458333333333333</v>
      </c>
      <c r="M854" s="29">
        <f t="shared" si="107"/>
        <v>10.425416666666665</v>
      </c>
    </row>
    <row r="855" spans="1:13" ht="15.75" customHeight="1" outlineLevel="2">
      <c r="A855" s="25">
        <v>19</v>
      </c>
      <c r="B855" s="26" t="s">
        <v>781</v>
      </c>
      <c r="C855" s="17" t="s">
        <v>521</v>
      </c>
      <c r="D855" s="26" t="s">
        <v>1213</v>
      </c>
      <c r="E855" s="27">
        <v>4</v>
      </c>
      <c r="F855" s="33" t="s">
        <v>1400</v>
      </c>
      <c r="G855" s="28">
        <v>0.0625</v>
      </c>
      <c r="H855" s="28">
        <f t="shared" si="105"/>
        <v>0.015625</v>
      </c>
      <c r="I855" s="39" t="s">
        <v>555</v>
      </c>
      <c r="J855" s="40">
        <v>1.91</v>
      </c>
      <c r="K855" s="58">
        <f t="shared" si="106"/>
        <v>0.02984375</v>
      </c>
      <c r="L855" s="30">
        <f>H855*DEMANDA!$B$9</f>
        <v>2.046875</v>
      </c>
      <c r="M855" s="29">
        <f t="shared" si="107"/>
        <v>3.9095312499999997</v>
      </c>
    </row>
    <row r="856" spans="1:13" ht="15.75" customHeight="1" outlineLevel="1">
      <c r="A856" s="25"/>
      <c r="B856" s="26"/>
      <c r="C856" s="17"/>
      <c r="D856" s="26"/>
      <c r="E856" s="27"/>
      <c r="F856" s="43" t="s">
        <v>92</v>
      </c>
      <c r="G856" s="28"/>
      <c r="H856" s="28"/>
      <c r="I856" s="39"/>
      <c r="J856" s="40"/>
      <c r="K856" s="58">
        <f>SUBTOTAL(9,K847:K855)</f>
        <v>0.2586458333333333</v>
      </c>
      <c r="L856" s="30"/>
      <c r="M856" s="29"/>
    </row>
    <row r="857" spans="1:13" ht="15.75" customHeight="1" outlineLevel="2">
      <c r="A857" s="32">
        <v>25</v>
      </c>
      <c r="B857" s="33" t="s">
        <v>643</v>
      </c>
      <c r="C857" s="34" t="s">
        <v>510</v>
      </c>
      <c r="D857" s="33" t="s">
        <v>1219</v>
      </c>
      <c r="E857" s="35">
        <v>4</v>
      </c>
      <c r="F857" s="33" t="s">
        <v>1401</v>
      </c>
      <c r="G857" s="36">
        <v>0.25</v>
      </c>
      <c r="H857" s="28">
        <f aca="true" t="shared" si="108" ref="H857:H863">G857/E857</f>
        <v>0.0625</v>
      </c>
      <c r="I857" s="16" t="s">
        <v>555</v>
      </c>
      <c r="J857" s="29">
        <v>1.91</v>
      </c>
      <c r="K857" s="58">
        <f aca="true" t="shared" si="109" ref="K857:K863">J857*H857</f>
        <v>0.119375</v>
      </c>
      <c r="L857" s="30">
        <f>H857*DEMANDA!$B$9</f>
        <v>8.1875</v>
      </c>
      <c r="M857" s="29">
        <f aca="true" t="shared" si="110" ref="M857:M863">L857*J857</f>
        <v>15.638124999999999</v>
      </c>
    </row>
    <row r="858" spans="1:13" ht="15.75" customHeight="1" outlineLevel="2">
      <c r="A858" s="25">
        <v>29</v>
      </c>
      <c r="B858" s="26" t="s">
        <v>670</v>
      </c>
      <c r="C858" s="17" t="s">
        <v>510</v>
      </c>
      <c r="D858" s="26" t="s">
        <v>1221</v>
      </c>
      <c r="E858" s="27">
        <v>4</v>
      </c>
      <c r="F858" s="33" t="s">
        <v>1401</v>
      </c>
      <c r="G858" s="28">
        <v>0.125</v>
      </c>
      <c r="H858" s="28">
        <f t="shared" si="108"/>
        <v>0.03125</v>
      </c>
      <c r="I858" s="16" t="s">
        <v>555</v>
      </c>
      <c r="J858" s="29">
        <v>1.91</v>
      </c>
      <c r="K858" s="58">
        <f t="shared" si="109"/>
        <v>0.0596875</v>
      </c>
      <c r="L858" s="30">
        <f>H858*DEMANDA!$B$9</f>
        <v>4.09375</v>
      </c>
      <c r="M858" s="29">
        <f t="shared" si="110"/>
        <v>7.819062499999999</v>
      </c>
    </row>
    <row r="859" spans="1:13" ht="15.75" customHeight="1" outlineLevel="2">
      <c r="A859" s="25">
        <v>7</v>
      </c>
      <c r="B859" s="26" t="s">
        <v>673</v>
      </c>
      <c r="C859" s="17" t="s">
        <v>521</v>
      </c>
      <c r="D859" s="26" t="s">
        <v>1217</v>
      </c>
      <c r="E859" s="27">
        <v>4</v>
      </c>
      <c r="F859" s="33" t="s">
        <v>1401</v>
      </c>
      <c r="G859" s="28">
        <v>0.03125</v>
      </c>
      <c r="H859" s="28">
        <f t="shared" si="108"/>
        <v>0.0078125</v>
      </c>
      <c r="I859" s="16" t="s">
        <v>555</v>
      </c>
      <c r="J859" s="29">
        <v>1.91</v>
      </c>
      <c r="K859" s="58">
        <f t="shared" si="109"/>
        <v>0.014921875</v>
      </c>
      <c r="L859" s="30">
        <f>H859*DEMANDA!$B$9</f>
        <v>1.0234375</v>
      </c>
      <c r="M859" s="29">
        <f t="shared" si="110"/>
        <v>1.9547656249999998</v>
      </c>
    </row>
    <row r="860" spans="1:13" ht="15.75" customHeight="1" outlineLevel="2">
      <c r="A860" s="25">
        <v>26</v>
      </c>
      <c r="B860" s="26" t="s">
        <v>692</v>
      </c>
      <c r="C860" s="17" t="s">
        <v>521</v>
      </c>
      <c r="D860" s="16" t="s">
        <v>1220</v>
      </c>
      <c r="E860" s="27">
        <v>4</v>
      </c>
      <c r="F860" s="33" t="s">
        <v>1401</v>
      </c>
      <c r="G860" s="28">
        <v>0.125</v>
      </c>
      <c r="H860" s="28">
        <f t="shared" si="108"/>
        <v>0.03125</v>
      </c>
      <c r="I860" s="16" t="s">
        <v>555</v>
      </c>
      <c r="J860" s="29">
        <v>1.91</v>
      </c>
      <c r="K860" s="58">
        <f t="shared" si="109"/>
        <v>0.0596875</v>
      </c>
      <c r="L860" s="30">
        <f>H860*DEMANDA!$B$9</f>
        <v>4.09375</v>
      </c>
      <c r="M860" s="29">
        <f t="shared" si="110"/>
        <v>7.819062499999999</v>
      </c>
    </row>
    <row r="861" spans="1:13" ht="15.75" customHeight="1" outlineLevel="2">
      <c r="A861" s="32">
        <v>30</v>
      </c>
      <c r="B861" s="33" t="s">
        <v>643</v>
      </c>
      <c r="C861" s="34" t="s">
        <v>521</v>
      </c>
      <c r="D861" s="33" t="s">
        <v>1219</v>
      </c>
      <c r="E861" s="35">
        <v>4</v>
      </c>
      <c r="F861" s="33" t="s">
        <v>1401</v>
      </c>
      <c r="G861" s="36">
        <v>0.25</v>
      </c>
      <c r="H861" s="28">
        <f t="shared" si="108"/>
        <v>0.0625</v>
      </c>
      <c r="I861" s="16" t="s">
        <v>555</v>
      </c>
      <c r="J861" s="29">
        <v>1.91</v>
      </c>
      <c r="K861" s="58">
        <f t="shared" si="109"/>
        <v>0.119375</v>
      </c>
      <c r="L861" s="30">
        <f>H861*DEMANDA!$B$9</f>
        <v>8.1875</v>
      </c>
      <c r="M861" s="29">
        <f t="shared" si="110"/>
        <v>15.638124999999999</v>
      </c>
    </row>
    <row r="862" spans="1:13" ht="15.75" customHeight="1" outlineLevel="2">
      <c r="A862" s="25">
        <v>29</v>
      </c>
      <c r="B862" s="26" t="s">
        <v>670</v>
      </c>
      <c r="C862" s="17" t="s">
        <v>521</v>
      </c>
      <c r="D862" s="26" t="s">
        <v>1221</v>
      </c>
      <c r="E862" s="27">
        <v>4</v>
      </c>
      <c r="F862" s="33" t="s">
        <v>1401</v>
      </c>
      <c r="G862" s="28">
        <v>0.125</v>
      </c>
      <c r="H862" s="28">
        <f t="shared" si="108"/>
        <v>0.03125</v>
      </c>
      <c r="I862" s="16" t="s">
        <v>555</v>
      </c>
      <c r="J862" s="29">
        <v>1.91</v>
      </c>
      <c r="K862" s="58">
        <f t="shared" si="109"/>
        <v>0.0596875</v>
      </c>
      <c r="L862" s="30">
        <f>H862*DEMANDA!$B$9</f>
        <v>4.09375</v>
      </c>
      <c r="M862" s="29">
        <f t="shared" si="110"/>
        <v>7.819062499999999</v>
      </c>
    </row>
    <row r="863" spans="1:13" ht="15.75" customHeight="1" outlineLevel="2">
      <c r="A863" s="25">
        <v>21</v>
      </c>
      <c r="B863" s="26" t="s">
        <v>797</v>
      </c>
      <c r="C863" s="17" t="s">
        <v>521</v>
      </c>
      <c r="D863" s="26" t="s">
        <v>1218</v>
      </c>
      <c r="E863" s="27">
        <v>4</v>
      </c>
      <c r="F863" s="33" t="s">
        <v>1401</v>
      </c>
      <c r="G863" s="28">
        <v>0.0625</v>
      </c>
      <c r="H863" s="28">
        <f t="shared" si="108"/>
        <v>0.015625</v>
      </c>
      <c r="I863" s="16" t="s">
        <v>555</v>
      </c>
      <c r="J863" s="29">
        <v>1.91</v>
      </c>
      <c r="K863" s="58">
        <f t="shared" si="109"/>
        <v>0.02984375</v>
      </c>
      <c r="L863" s="30">
        <f>H863*DEMANDA!$B$9</f>
        <v>2.046875</v>
      </c>
      <c r="M863" s="29">
        <f t="shared" si="110"/>
        <v>3.9095312499999997</v>
      </c>
    </row>
    <row r="864" spans="1:13" ht="15.75" customHeight="1" outlineLevel="1">
      <c r="A864" s="25"/>
      <c r="B864" s="26"/>
      <c r="C864" s="17"/>
      <c r="D864" s="26"/>
      <c r="E864" s="27"/>
      <c r="F864" s="43" t="s">
        <v>93</v>
      </c>
      <c r="G864" s="28"/>
      <c r="H864" s="28"/>
      <c r="I864" s="16"/>
      <c r="J864" s="29"/>
      <c r="K864" s="58">
        <f>SUBTOTAL(9,K857:K863)</f>
        <v>0.462578125</v>
      </c>
      <c r="L864" s="30"/>
      <c r="M864" s="29"/>
    </row>
    <row r="865" spans="1:13" ht="15.75" customHeight="1" outlineLevel="2">
      <c r="A865" s="25">
        <v>9</v>
      </c>
      <c r="B865" s="26" t="s">
        <v>564</v>
      </c>
      <c r="C865" s="17" t="s">
        <v>514</v>
      </c>
      <c r="D865" s="26" t="s">
        <v>1222</v>
      </c>
      <c r="E865" s="27">
        <v>8</v>
      </c>
      <c r="F865" s="26" t="s">
        <v>1380</v>
      </c>
      <c r="G865" s="28">
        <v>0.1</v>
      </c>
      <c r="H865" s="28">
        <f>G865/E865</f>
        <v>0.0125</v>
      </c>
      <c r="I865" s="16" t="s">
        <v>555</v>
      </c>
      <c r="J865" s="29">
        <v>1.1</v>
      </c>
      <c r="K865" s="58">
        <f>J865*H865</f>
        <v>0.013750000000000002</v>
      </c>
      <c r="L865" s="30">
        <f>H865*DEMANDA!$B$9</f>
        <v>1.6375000000000002</v>
      </c>
      <c r="M865" s="29">
        <f>L865*J865</f>
        <v>1.8012500000000002</v>
      </c>
    </row>
    <row r="866" spans="1:13" ht="15.75" customHeight="1" outlineLevel="2">
      <c r="A866" s="25">
        <v>12</v>
      </c>
      <c r="B866" s="26" t="s">
        <v>537</v>
      </c>
      <c r="C866" s="17" t="s">
        <v>514</v>
      </c>
      <c r="D866" s="26" t="s">
        <v>1223</v>
      </c>
      <c r="E866" s="27">
        <v>4</v>
      </c>
      <c r="F866" s="26" t="s">
        <v>1380</v>
      </c>
      <c r="G866" s="28">
        <v>0.2</v>
      </c>
      <c r="H866" s="28">
        <f>G866/E866</f>
        <v>0.05</v>
      </c>
      <c r="I866" s="16" t="s">
        <v>555</v>
      </c>
      <c r="J866" s="29">
        <v>1.1</v>
      </c>
      <c r="K866" s="58">
        <f>J866*H866</f>
        <v>0.05500000000000001</v>
      </c>
      <c r="L866" s="30">
        <f>H866*DEMANDA!$B$9</f>
        <v>6.550000000000001</v>
      </c>
      <c r="M866" s="29">
        <f>L866*J866</f>
        <v>7.205000000000001</v>
      </c>
    </row>
    <row r="867" spans="1:13" ht="15.75" customHeight="1" outlineLevel="2">
      <c r="A867" s="25">
        <v>15</v>
      </c>
      <c r="B867" s="26" t="s">
        <v>759</v>
      </c>
      <c r="C867" s="17" t="s">
        <v>510</v>
      </c>
      <c r="D867" s="26" t="s">
        <v>1224</v>
      </c>
      <c r="E867" s="27">
        <v>4</v>
      </c>
      <c r="F867" s="26" t="s">
        <v>1380</v>
      </c>
      <c r="G867" s="28">
        <v>0.1</v>
      </c>
      <c r="H867" s="28">
        <f>G867/E867</f>
        <v>0.025</v>
      </c>
      <c r="I867" s="16" t="s">
        <v>555</v>
      </c>
      <c r="J867" s="29">
        <v>1.1</v>
      </c>
      <c r="K867" s="58">
        <f>J867*H867</f>
        <v>0.027500000000000004</v>
      </c>
      <c r="L867" s="30">
        <f>H867*DEMANDA!$B$9</f>
        <v>3.2750000000000004</v>
      </c>
      <c r="M867" s="29">
        <f>L867*J867</f>
        <v>3.6025000000000005</v>
      </c>
    </row>
    <row r="868" spans="1:13" ht="15.75" customHeight="1" outlineLevel="2">
      <c r="A868" s="25">
        <v>23</v>
      </c>
      <c r="B868" s="26" t="s">
        <v>602</v>
      </c>
      <c r="C868" s="17" t="s">
        <v>510</v>
      </c>
      <c r="D868" s="26" t="s">
        <v>1225</v>
      </c>
      <c r="E868" s="27">
        <v>6</v>
      </c>
      <c r="F868" s="26" t="s">
        <v>1380</v>
      </c>
      <c r="G868" s="28">
        <v>0.3</v>
      </c>
      <c r="H868" s="28">
        <f>G868/E868</f>
        <v>0.049999999999999996</v>
      </c>
      <c r="I868" s="16" t="s">
        <v>555</v>
      </c>
      <c r="J868" s="29">
        <v>1.1</v>
      </c>
      <c r="K868" s="58">
        <f>J868*H868</f>
        <v>0.055</v>
      </c>
      <c r="L868" s="30">
        <f>H868*DEMANDA!$B$9</f>
        <v>6.55</v>
      </c>
      <c r="M868" s="29">
        <f>L868*J868</f>
        <v>7.205</v>
      </c>
    </row>
    <row r="869" spans="1:13" ht="15.75" customHeight="1" outlineLevel="2">
      <c r="A869" s="25">
        <v>30</v>
      </c>
      <c r="B869" s="26" t="s">
        <v>552</v>
      </c>
      <c r="C869" s="17" t="s">
        <v>514</v>
      </c>
      <c r="D869" s="26" t="s">
        <v>1226</v>
      </c>
      <c r="E869" s="27">
        <v>4</v>
      </c>
      <c r="F869" s="26" t="s">
        <v>1380</v>
      </c>
      <c r="G869" s="28">
        <v>0.2</v>
      </c>
      <c r="H869" s="28">
        <f>G869/E869</f>
        <v>0.05</v>
      </c>
      <c r="I869" s="16" t="s">
        <v>555</v>
      </c>
      <c r="J869" s="29">
        <v>1.1</v>
      </c>
      <c r="K869" s="58">
        <f>J869*H869</f>
        <v>0.05500000000000001</v>
      </c>
      <c r="L869" s="30">
        <f>H869*DEMANDA!$B$9</f>
        <v>6.550000000000001</v>
      </c>
      <c r="M869" s="29">
        <f>L869*J869</f>
        <v>7.205000000000001</v>
      </c>
    </row>
    <row r="870" spans="1:13" ht="15.75" customHeight="1" outlineLevel="1">
      <c r="A870" s="25"/>
      <c r="B870" s="26"/>
      <c r="C870" s="17"/>
      <c r="D870" s="26"/>
      <c r="E870" s="27"/>
      <c r="F870" s="52" t="s">
        <v>94</v>
      </c>
      <c r="G870" s="28"/>
      <c r="H870" s="28"/>
      <c r="I870" s="16"/>
      <c r="J870" s="29"/>
      <c r="K870" s="58">
        <f>SUBTOTAL(9,K865:K869)</f>
        <v>0.20625</v>
      </c>
      <c r="L870" s="30"/>
      <c r="M870" s="29"/>
    </row>
    <row r="871" spans="1:13" ht="15.75" customHeight="1" outlineLevel="2">
      <c r="A871" s="25">
        <v>9</v>
      </c>
      <c r="B871" s="26" t="s">
        <v>531</v>
      </c>
      <c r="C871" s="17" t="s">
        <v>510</v>
      </c>
      <c r="D871" s="26" t="s">
        <v>1227</v>
      </c>
      <c r="E871" s="27">
        <v>4</v>
      </c>
      <c r="F871" s="26" t="s">
        <v>1381</v>
      </c>
      <c r="G871" s="28">
        <v>0.454</v>
      </c>
      <c r="H871" s="28">
        <f>G871/E871</f>
        <v>0.1135</v>
      </c>
      <c r="I871" s="16" t="s">
        <v>555</v>
      </c>
      <c r="J871" s="29">
        <v>0.56</v>
      </c>
      <c r="K871" s="58">
        <f>J871*H871</f>
        <v>0.06356</v>
      </c>
      <c r="L871" s="30">
        <f>H871*DEMANDA!$B$9</f>
        <v>14.868500000000001</v>
      </c>
      <c r="M871" s="29">
        <f>L871*J871</f>
        <v>8.326360000000001</v>
      </c>
    </row>
    <row r="872" spans="1:13" ht="15.75" customHeight="1" outlineLevel="2">
      <c r="A872" s="25">
        <v>23</v>
      </c>
      <c r="B872" s="26" t="s">
        <v>602</v>
      </c>
      <c r="C872" s="17" t="s">
        <v>510</v>
      </c>
      <c r="D872" s="26" t="s">
        <v>1228</v>
      </c>
      <c r="E872" s="27">
        <v>6</v>
      </c>
      <c r="F872" s="26" t="s">
        <v>1381</v>
      </c>
      <c r="G872" s="28">
        <v>0.3</v>
      </c>
      <c r="H872" s="28">
        <f>G872/E872</f>
        <v>0.049999999999999996</v>
      </c>
      <c r="I872" s="16" t="s">
        <v>555</v>
      </c>
      <c r="J872" s="29">
        <v>0.56</v>
      </c>
      <c r="K872" s="58">
        <f>J872*H872</f>
        <v>0.028</v>
      </c>
      <c r="L872" s="30">
        <f>H872*DEMANDA!$B$9</f>
        <v>6.55</v>
      </c>
      <c r="M872" s="29">
        <f>L872*J872</f>
        <v>3.668</v>
      </c>
    </row>
    <row r="873" spans="1:13" ht="15.75" customHeight="1" outlineLevel="1">
      <c r="A873" s="53"/>
      <c r="B873" s="54"/>
      <c r="C873" s="55"/>
      <c r="D873" s="54"/>
      <c r="E873" s="53"/>
      <c r="F873" s="52" t="s">
        <v>95</v>
      </c>
      <c r="G873" s="28"/>
      <c r="H873" s="28"/>
      <c r="I873" s="16"/>
      <c r="J873" s="29"/>
      <c r="K873" s="58">
        <f>SUBTOTAL(9,K871:K872)</f>
        <v>0.09156</v>
      </c>
      <c r="L873" s="56"/>
      <c r="M873" s="57"/>
    </row>
    <row r="874" spans="1:13" ht="15.75" customHeight="1">
      <c r="A874" s="53"/>
      <c r="B874" s="54"/>
      <c r="C874" s="55"/>
      <c r="D874" s="54"/>
      <c r="E874" s="53"/>
      <c r="F874" s="52" t="s">
        <v>224</v>
      </c>
      <c r="G874" s="28"/>
      <c r="H874" s="28"/>
      <c r="I874" s="16"/>
      <c r="J874" s="29"/>
      <c r="K874" s="58">
        <f>SUBTOTAL(9,K2:K872)</f>
        <v>97.73910834166647</v>
      </c>
      <c r="L874" s="56"/>
      <c r="M874" s="57"/>
    </row>
  </sheetData>
  <sheetProtection/>
  <autoFilter ref="A1:K872">
    <sortState ref="A2:K874">
      <sortCondition sortBy="value" ref="A2:A874"/>
    </sortState>
  </autoFilter>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N170"/>
  <sheetViews>
    <sheetView zoomScale="87" zoomScaleNormal="87" zoomScalePageLayoutView="0" workbookViewId="0" topLeftCell="A1">
      <selection activeCell="A1" sqref="A1:B1"/>
    </sheetView>
  </sheetViews>
  <sheetFormatPr defaultColWidth="11.421875" defaultRowHeight="15"/>
  <cols>
    <col min="1" max="1" width="33.421875" style="65" customWidth="1"/>
    <col min="2" max="2" width="13.8515625" style="69" customWidth="1"/>
    <col min="3" max="3" width="12.140625" style="69" customWidth="1"/>
    <col min="4" max="4" width="12.7109375" style="69" customWidth="1"/>
    <col min="5" max="5" width="5.7109375" style="69" customWidth="1"/>
    <col min="6" max="6" width="50.7109375" style="65" customWidth="1"/>
    <col min="7" max="7" width="11.421875" style="65" customWidth="1"/>
    <col min="8" max="8" width="12.57421875" style="65" customWidth="1"/>
    <col min="9" max="9" width="13.8515625" style="65" customWidth="1"/>
    <col min="10" max="10" width="11.421875" style="65" customWidth="1"/>
    <col min="11" max="11" width="12.00390625" style="65" customWidth="1"/>
    <col min="12" max="12" width="8.421875" style="65" customWidth="1"/>
    <col min="13" max="16384" width="11.421875" style="65" customWidth="1"/>
  </cols>
  <sheetData>
    <row r="1" spans="1:5" ht="11.25">
      <c r="A1" s="347" t="s">
        <v>234</v>
      </c>
      <c r="B1" s="347"/>
      <c r="C1" s="88"/>
      <c r="D1" s="88"/>
      <c r="E1" s="88"/>
    </row>
    <row r="2" spans="1:5" ht="11.25">
      <c r="A2" s="71" t="s">
        <v>398</v>
      </c>
      <c r="B2" s="71" t="s">
        <v>438</v>
      </c>
      <c r="C2" s="89"/>
      <c r="D2" s="89"/>
      <c r="E2" s="89"/>
    </row>
    <row r="3" spans="1:5" ht="12" customHeight="1">
      <c r="A3" s="72" t="s">
        <v>416</v>
      </c>
      <c r="B3" s="73">
        <v>0.1115</v>
      </c>
      <c r="C3" s="90"/>
      <c r="D3" s="90"/>
      <c r="E3" s="90"/>
    </row>
    <row r="4" spans="1:5" ht="11.25">
      <c r="A4" s="72" t="s">
        <v>405</v>
      </c>
      <c r="B4" s="74">
        <f>1.2</f>
        <v>1.2</v>
      </c>
      <c r="C4" s="91"/>
      <c r="D4" s="91"/>
      <c r="E4" s="91"/>
    </row>
    <row r="5" spans="1:5" ht="11.25">
      <c r="A5" s="72" t="s">
        <v>414</v>
      </c>
      <c r="B5" s="75">
        <v>24</v>
      </c>
      <c r="C5" s="92"/>
      <c r="D5" s="92"/>
      <c r="E5" s="92"/>
    </row>
    <row r="6" spans="1:5" ht="11.25">
      <c r="A6" s="72" t="s">
        <v>427</v>
      </c>
      <c r="B6" s="76">
        <v>0.1</v>
      </c>
      <c r="C6" s="93"/>
      <c r="D6" s="93"/>
      <c r="E6" s="93"/>
    </row>
    <row r="7" ht="11.25"/>
    <row r="8" ht="11.25"/>
    <row r="9" ht="11.25"/>
    <row r="10" spans="1:14" ht="11.25">
      <c r="A10" s="344" t="s">
        <v>219</v>
      </c>
      <c r="B10" s="345"/>
      <c r="C10" s="345"/>
      <c r="D10" s="346"/>
      <c r="E10" s="65"/>
      <c r="F10" s="344" t="s">
        <v>235</v>
      </c>
      <c r="G10" s="345"/>
      <c r="H10" s="345"/>
      <c r="I10" s="345"/>
      <c r="J10" s="345"/>
      <c r="K10" s="345"/>
      <c r="L10" s="345"/>
      <c r="M10" s="345"/>
      <c r="N10" s="346"/>
    </row>
    <row r="11" spans="1:14" s="84" customFormat="1" ht="33.75">
      <c r="A11" s="82" t="s">
        <v>220</v>
      </c>
      <c r="B11" s="83" t="s">
        <v>237</v>
      </c>
      <c r="C11" s="83" t="s">
        <v>413</v>
      </c>
      <c r="D11" s="83" t="s">
        <v>410</v>
      </c>
      <c r="F11" s="71" t="s">
        <v>401</v>
      </c>
      <c r="G11" s="71" t="s">
        <v>99</v>
      </c>
      <c r="H11" s="71" t="s">
        <v>409</v>
      </c>
      <c r="I11" s="71" t="s">
        <v>405</v>
      </c>
      <c r="J11" s="71" t="s">
        <v>402</v>
      </c>
      <c r="K11" s="71" t="s">
        <v>403</v>
      </c>
      <c r="L11" s="71" t="s">
        <v>404</v>
      </c>
      <c r="M11" s="71" t="s">
        <v>413</v>
      </c>
      <c r="N11" s="71" t="s">
        <v>410</v>
      </c>
    </row>
    <row r="12" spans="1:14" ht="11.25">
      <c r="A12" s="66" t="s">
        <v>1241</v>
      </c>
      <c r="B12" s="67">
        <f>'DETALLADO DE MATERIA PRIMA'!K24</f>
        <v>1.7637500000000004</v>
      </c>
      <c r="C12" s="67">
        <f>B12*DEMANDA!$B$9</f>
        <v>231.05125000000004</v>
      </c>
      <c r="D12" s="67">
        <f>C12*12</f>
        <v>2772.6150000000007</v>
      </c>
      <c r="E12" s="65"/>
      <c r="F12" s="77" t="s">
        <v>406</v>
      </c>
      <c r="G12" s="78">
        <v>1</v>
      </c>
      <c r="H12" s="79">
        <v>400</v>
      </c>
      <c r="I12" s="79">
        <f>$B$4*$B$5</f>
        <v>28.799999999999997</v>
      </c>
      <c r="J12" s="79">
        <f>$B$3*H12</f>
        <v>44.6</v>
      </c>
      <c r="K12" s="79">
        <f>(H12*12)/12</f>
        <v>400</v>
      </c>
      <c r="L12" s="79">
        <v>218</v>
      </c>
      <c r="M12" s="79">
        <f>SUM(H12:J12)*G12</f>
        <v>473.40000000000003</v>
      </c>
      <c r="N12" s="79">
        <f>(M12*12)+SUM(K12:L12)</f>
        <v>6298.8</v>
      </c>
    </row>
    <row r="13" spans="1:14" ht="11.25">
      <c r="A13" s="66" t="s">
        <v>1242</v>
      </c>
      <c r="B13" s="67">
        <f>'DETALLADO DE MATERIA PRIMA'!K40</f>
        <v>0.03449655</v>
      </c>
      <c r="C13" s="67">
        <f>B13*DEMANDA!$B$9</f>
        <v>4.51904805</v>
      </c>
      <c r="D13" s="67">
        <f aca="true" t="shared" si="0" ref="D13:D76">C13*12</f>
        <v>54.228576600000004</v>
      </c>
      <c r="E13" s="65"/>
      <c r="F13" s="77" t="s">
        <v>407</v>
      </c>
      <c r="G13" s="78">
        <v>2</v>
      </c>
      <c r="H13" s="79">
        <v>250</v>
      </c>
      <c r="I13" s="79">
        <f>$B$4*$B$5</f>
        <v>28.799999999999997</v>
      </c>
      <c r="J13" s="79">
        <f>$B$3*H13</f>
        <v>27.875</v>
      </c>
      <c r="K13" s="79">
        <f>(H13*12)/12</f>
        <v>250</v>
      </c>
      <c r="L13" s="79">
        <v>218</v>
      </c>
      <c r="M13" s="79">
        <f>SUM(H13:J13)*G13</f>
        <v>613.35</v>
      </c>
      <c r="N13" s="79">
        <f>(M13*12)+SUM(K13:L13)</f>
        <v>7828.200000000001</v>
      </c>
    </row>
    <row r="14" spans="1:14" ht="12" customHeight="1">
      <c r="A14" s="66" t="s">
        <v>1243</v>
      </c>
      <c r="B14" s="67">
        <f>'DETALLADO DE MATERIA PRIMA'!K44</f>
        <v>0.0325875</v>
      </c>
      <c r="C14" s="67">
        <f>B14*DEMANDA!$B$9</f>
        <v>4.2689625</v>
      </c>
      <c r="D14" s="67">
        <f t="shared" si="0"/>
        <v>51.227549999999994</v>
      </c>
      <c r="E14" s="65"/>
      <c r="F14" s="80" t="s">
        <v>411</v>
      </c>
      <c r="G14" s="80">
        <f aca="true" t="shared" si="1" ref="G14:N14">SUM(G12:G13)</f>
        <v>3</v>
      </c>
      <c r="H14" s="81">
        <f t="shared" si="1"/>
        <v>650</v>
      </c>
      <c r="I14" s="81">
        <f t="shared" si="1"/>
        <v>57.599999999999994</v>
      </c>
      <c r="J14" s="81">
        <f t="shared" si="1"/>
        <v>72.475</v>
      </c>
      <c r="K14" s="81">
        <f t="shared" si="1"/>
        <v>650</v>
      </c>
      <c r="L14" s="81">
        <f t="shared" si="1"/>
        <v>436</v>
      </c>
      <c r="M14" s="81">
        <f t="shared" si="1"/>
        <v>1086.75</v>
      </c>
      <c r="N14" s="81">
        <f t="shared" si="1"/>
        <v>14127</v>
      </c>
    </row>
    <row r="15" spans="1:14" ht="12" customHeight="1">
      <c r="A15" s="66" t="s">
        <v>1244</v>
      </c>
      <c r="B15" s="67">
        <f>'DETALLADO DE MATERIA PRIMA'!K48</f>
        <v>0.15390375</v>
      </c>
      <c r="C15" s="67">
        <f>B15*DEMANDA!$B$9</f>
        <v>20.16139125</v>
      </c>
      <c r="D15" s="67">
        <f t="shared" si="0"/>
        <v>241.93669500000001</v>
      </c>
      <c r="E15" s="65"/>
      <c r="F15" s="70"/>
      <c r="G15" s="70"/>
      <c r="H15" s="70"/>
      <c r="I15" s="70"/>
      <c r="J15" s="70"/>
      <c r="K15" s="70"/>
      <c r="L15" s="70"/>
      <c r="M15" s="70"/>
      <c r="N15" s="70"/>
    </row>
    <row r="16" spans="1:14" ht="12" customHeight="1">
      <c r="A16" s="66" t="s">
        <v>1245</v>
      </c>
      <c r="B16" s="67">
        <f>'DETALLADO DE MATERIA PRIMA'!K51</f>
        <v>0.26274000000000003</v>
      </c>
      <c r="C16" s="67">
        <f>B16*DEMANDA!$B$9</f>
        <v>34.418940000000006</v>
      </c>
      <c r="D16" s="67">
        <f t="shared" si="0"/>
        <v>413.0272800000001</v>
      </c>
      <c r="E16" s="65"/>
      <c r="F16" s="70"/>
      <c r="G16" s="70"/>
      <c r="H16" s="70"/>
      <c r="I16" s="70"/>
      <c r="J16" s="70"/>
      <c r="K16" s="70"/>
      <c r="L16" s="70"/>
      <c r="M16" s="70"/>
      <c r="N16" s="70"/>
    </row>
    <row r="17" spans="1:10" ht="12" customHeight="1">
      <c r="A17" s="66" t="s">
        <v>221</v>
      </c>
      <c r="B17" s="67">
        <f>'DETALLADO DE MATERIA PRIMA'!K56</f>
        <v>0.07365</v>
      </c>
      <c r="C17" s="67">
        <f>B17*DEMANDA!$B$9</f>
        <v>9.64815</v>
      </c>
      <c r="D17" s="67">
        <f t="shared" si="0"/>
        <v>115.77779999999998</v>
      </c>
      <c r="E17" s="65"/>
      <c r="F17" s="348" t="s">
        <v>236</v>
      </c>
      <c r="G17" s="348"/>
      <c r="H17" s="348"/>
      <c r="I17" s="348"/>
      <c r="J17" s="348"/>
    </row>
    <row r="18" spans="1:10" s="84" customFormat="1" ht="24.75" customHeight="1">
      <c r="A18" s="86" t="s">
        <v>1246</v>
      </c>
      <c r="B18" s="87">
        <f>'DETALLADO DE MATERIA PRIMA'!K59</f>
        <v>0.0047339999999999995</v>
      </c>
      <c r="C18" s="67">
        <f>B18*DEMANDA!$B$9</f>
        <v>0.620154</v>
      </c>
      <c r="D18" s="87">
        <f t="shared" si="0"/>
        <v>7.441848</v>
      </c>
      <c r="F18" s="85" t="s">
        <v>428</v>
      </c>
      <c r="G18" s="85" t="s">
        <v>399</v>
      </c>
      <c r="H18" s="6" t="s">
        <v>1240</v>
      </c>
      <c r="I18" s="83" t="s">
        <v>413</v>
      </c>
      <c r="J18" s="83" t="s">
        <v>410</v>
      </c>
    </row>
    <row r="19" spans="1:10" s="84" customFormat="1" ht="12" customHeight="1">
      <c r="A19" s="86" t="s">
        <v>1247</v>
      </c>
      <c r="B19" s="87">
        <f>'DETALLADO DE MATERIA PRIMA'!K62</f>
        <v>0.021675</v>
      </c>
      <c r="C19" s="67">
        <f>B19*DEMANDA!$B$9</f>
        <v>2.839425</v>
      </c>
      <c r="D19" s="87">
        <f t="shared" si="0"/>
        <v>34.0731</v>
      </c>
      <c r="F19" s="2" t="s">
        <v>1239</v>
      </c>
      <c r="G19" s="3">
        <f>DEMANDA!B9*3</f>
        <v>393</v>
      </c>
      <c r="H19" s="5">
        <f>40/4000</f>
        <v>0.01</v>
      </c>
      <c r="I19" s="97">
        <f aca="true" t="shared" si="2" ref="I19:I24">H19*$B$5*G19</f>
        <v>94.32</v>
      </c>
      <c r="J19" s="97">
        <f aca="true" t="shared" si="3" ref="J19:J25">I19*12</f>
        <v>1131.84</v>
      </c>
    </row>
    <row r="20" spans="1:10" ht="12.75" customHeight="1">
      <c r="A20" s="66" t="s">
        <v>1248</v>
      </c>
      <c r="B20" s="67">
        <f>'DETALLADO DE MATERIA PRIMA'!K71</f>
        <v>0.03586458333333333</v>
      </c>
      <c r="C20" s="67">
        <f>B20*DEMANDA!$B$9</f>
        <v>4.698260416666667</v>
      </c>
      <c r="D20" s="67">
        <f t="shared" si="0"/>
        <v>56.379125</v>
      </c>
      <c r="E20" s="65"/>
      <c r="F20" s="2" t="s">
        <v>1234</v>
      </c>
      <c r="G20" s="3">
        <f>DEMANDA!B9*2</f>
        <v>262</v>
      </c>
      <c r="H20" s="5">
        <v>0.18</v>
      </c>
      <c r="I20" s="97">
        <f t="shared" si="2"/>
        <v>1131.8400000000001</v>
      </c>
      <c r="J20" s="97">
        <f t="shared" si="3"/>
        <v>13582.080000000002</v>
      </c>
    </row>
    <row r="21" spans="1:10" ht="12.75" customHeight="1">
      <c r="A21" s="66" t="s">
        <v>1249</v>
      </c>
      <c r="B21" s="67">
        <f>'DETALLADO DE MATERIA PRIMA'!K75</f>
        <v>0.12075</v>
      </c>
      <c r="C21" s="67">
        <f>B21*DEMANDA!$B$9</f>
        <v>15.818249999999999</v>
      </c>
      <c r="D21" s="67">
        <f t="shared" si="0"/>
        <v>189.819</v>
      </c>
      <c r="E21" s="65"/>
      <c r="F21" s="2" t="s">
        <v>1235</v>
      </c>
      <c r="G21" s="3">
        <f>DEMANDA!B9*2</f>
        <v>262</v>
      </c>
      <c r="H21" s="5">
        <v>0.03</v>
      </c>
      <c r="I21" s="97">
        <f t="shared" si="2"/>
        <v>188.64</v>
      </c>
      <c r="J21" s="97">
        <f t="shared" si="3"/>
        <v>2263.68</v>
      </c>
    </row>
    <row r="22" spans="1:10" ht="12.75" customHeight="1">
      <c r="A22" s="66" t="s">
        <v>1250</v>
      </c>
      <c r="B22" s="67">
        <f>'DETALLADO DE MATERIA PRIMA'!K79</f>
        <v>0.0078</v>
      </c>
      <c r="C22" s="67">
        <f>B22*DEMANDA!$B$9</f>
        <v>1.0218</v>
      </c>
      <c r="D22" s="67">
        <f t="shared" si="0"/>
        <v>12.261600000000001</v>
      </c>
      <c r="E22" s="65"/>
      <c r="F22" s="2" t="s">
        <v>1236</v>
      </c>
      <c r="G22" s="99">
        <f>DEMANDA!B9</f>
        <v>131</v>
      </c>
      <c r="H22" s="5">
        <v>0.03</v>
      </c>
      <c r="I22" s="97">
        <f t="shared" si="2"/>
        <v>94.32</v>
      </c>
      <c r="J22" s="97">
        <f t="shared" si="3"/>
        <v>1131.84</v>
      </c>
    </row>
    <row r="23" spans="1:10" ht="12.75" customHeight="1">
      <c r="A23" s="66" t="s">
        <v>1251</v>
      </c>
      <c r="B23" s="67">
        <f>'DETALLADO DE MATERIA PRIMA'!K105</f>
        <v>0.7824166666666664</v>
      </c>
      <c r="C23" s="67">
        <f>B23*DEMANDA!$B$9</f>
        <v>102.4965833333333</v>
      </c>
      <c r="D23" s="67">
        <f t="shared" si="0"/>
        <v>1229.9589999999996</v>
      </c>
      <c r="E23" s="65"/>
      <c r="F23" s="2" t="s">
        <v>1237</v>
      </c>
      <c r="G23" s="3">
        <f>DEMANDA!B9*2</f>
        <v>262</v>
      </c>
      <c r="H23" s="5">
        <f>0.76/25</f>
        <v>0.0304</v>
      </c>
      <c r="I23" s="97">
        <f t="shared" si="2"/>
        <v>191.1552</v>
      </c>
      <c r="J23" s="97">
        <f t="shared" si="3"/>
        <v>2293.8624</v>
      </c>
    </row>
    <row r="24" spans="1:10" ht="12.75" customHeight="1">
      <c r="A24" s="66" t="s">
        <v>1252</v>
      </c>
      <c r="B24" s="67">
        <f>'DETALLADO DE MATERIA PRIMA'!K115</f>
        <v>0.0032111249999999996</v>
      </c>
      <c r="C24" s="67">
        <f>B24*DEMANDA!$B$9</f>
        <v>0.42065737499999994</v>
      </c>
      <c r="D24" s="67">
        <f t="shared" si="0"/>
        <v>5.047888499999999</v>
      </c>
      <c r="E24" s="65"/>
      <c r="F24" s="2" t="s">
        <v>1238</v>
      </c>
      <c r="G24" s="99">
        <f>DEMANDA!B9</f>
        <v>131</v>
      </c>
      <c r="H24" s="5">
        <v>0.05</v>
      </c>
      <c r="I24" s="97">
        <f t="shared" si="2"/>
        <v>157.20000000000002</v>
      </c>
      <c r="J24" s="97">
        <f t="shared" si="3"/>
        <v>1886.4</v>
      </c>
    </row>
    <row r="25" spans="1:10" ht="12.75" customHeight="1">
      <c r="A25" s="66" t="s">
        <v>1253</v>
      </c>
      <c r="B25" s="67">
        <f>'DETALLADO DE MATERIA PRIMA'!K118</f>
        <v>1.54</v>
      </c>
      <c r="C25" s="67">
        <f>B25*DEMANDA!$B$9</f>
        <v>201.74</v>
      </c>
      <c r="D25" s="67">
        <f t="shared" si="0"/>
        <v>2420.88</v>
      </c>
      <c r="E25" s="65"/>
      <c r="F25" s="2" t="s">
        <v>1233</v>
      </c>
      <c r="G25" s="3"/>
      <c r="H25" s="5">
        <v>0.072</v>
      </c>
      <c r="I25" s="97">
        <f>H25*24*DEMANDA!B9</f>
        <v>226.36799999999997</v>
      </c>
      <c r="J25" s="97">
        <f t="shared" si="3"/>
        <v>2716.4159999999997</v>
      </c>
    </row>
    <row r="26" spans="1:10" ht="12.75" customHeight="1">
      <c r="A26" s="66" t="s">
        <v>1254</v>
      </c>
      <c r="B26" s="67">
        <f>'DETALLADO DE MATERIA PRIMA'!K126</f>
        <v>0.12150000000000002</v>
      </c>
      <c r="C26" s="67">
        <f>B26*DEMANDA!$B$9</f>
        <v>15.916500000000003</v>
      </c>
      <c r="D26" s="67">
        <f t="shared" si="0"/>
        <v>190.99800000000005</v>
      </c>
      <c r="E26" s="65"/>
      <c r="F26" s="94" t="s">
        <v>411</v>
      </c>
      <c r="G26" s="98">
        <f>SUM(G19:G25)</f>
        <v>1441</v>
      </c>
      <c r="H26" s="95">
        <f>SUM(H19:H25)</f>
        <v>0.4024</v>
      </c>
      <c r="I26" s="95">
        <f>SUM(I19:I25)</f>
        <v>2083.8432000000003</v>
      </c>
      <c r="J26" s="95">
        <f>SUM(J19:J25)</f>
        <v>25006.118400000003</v>
      </c>
    </row>
    <row r="27" spans="1:5" ht="12.75" customHeight="1">
      <c r="A27" s="66" t="s">
        <v>1255</v>
      </c>
      <c r="B27" s="67">
        <f>'DETALLADO DE MATERIA PRIMA'!K130</f>
        <v>0.050557500000000005</v>
      </c>
      <c r="C27" s="67">
        <f>B27*DEMANDA!$B$9</f>
        <v>6.623032500000001</v>
      </c>
      <c r="D27" s="67">
        <f t="shared" si="0"/>
        <v>79.47639000000001</v>
      </c>
      <c r="E27" s="65"/>
    </row>
    <row r="28" spans="1:5" ht="11.25">
      <c r="A28" s="66" t="s">
        <v>1256</v>
      </c>
      <c r="B28" s="67">
        <f>'DETALLADO DE MATERIA PRIMA'!K135</f>
        <v>0.44250000000000006</v>
      </c>
      <c r="C28" s="67">
        <f>B28*DEMANDA!$B$9</f>
        <v>57.96750000000001</v>
      </c>
      <c r="D28" s="67">
        <f t="shared" si="0"/>
        <v>695.6100000000001</v>
      </c>
      <c r="E28" s="65"/>
    </row>
    <row r="29" spans="1:12" ht="11.25">
      <c r="A29" s="66" t="s">
        <v>1257</v>
      </c>
      <c r="B29" s="67">
        <f>'DETALLADO DE MATERIA PRIMA'!K139</f>
        <v>0.7875000000000001</v>
      </c>
      <c r="C29" s="67">
        <f>B29*DEMANDA!$B$9</f>
        <v>103.16250000000001</v>
      </c>
      <c r="D29" s="67">
        <f t="shared" si="0"/>
        <v>1237.95</v>
      </c>
      <c r="E29" s="65"/>
      <c r="F29" s="1"/>
      <c r="G29" s="1"/>
      <c r="H29" s="1"/>
      <c r="I29" s="1"/>
      <c r="J29" s="1"/>
      <c r="K29" s="1"/>
      <c r="L29" s="1"/>
    </row>
    <row r="30" spans="1:5" ht="11.25">
      <c r="A30" s="66" t="s">
        <v>1258</v>
      </c>
      <c r="B30" s="67">
        <f>'DETALLADO DE MATERIA PRIMA'!K148</f>
        <v>0.43771249999999995</v>
      </c>
      <c r="C30" s="67">
        <f>B30*DEMANDA!$B$9</f>
        <v>57.34033749999999</v>
      </c>
      <c r="D30" s="67">
        <f t="shared" si="0"/>
        <v>688.0840499999999</v>
      </c>
      <c r="E30" s="65"/>
    </row>
    <row r="31" spans="1:5" ht="11.25">
      <c r="A31" s="66" t="s">
        <v>225</v>
      </c>
      <c r="B31" s="67">
        <f>'DETALLADO DE MATERIA PRIMA'!K155</f>
        <v>2.1396374999999996</v>
      </c>
      <c r="C31" s="67">
        <f>B31*DEMANDA!$B$9</f>
        <v>280.29251249999993</v>
      </c>
      <c r="D31" s="67">
        <f t="shared" si="0"/>
        <v>3363.510149999999</v>
      </c>
      <c r="E31" s="65"/>
    </row>
    <row r="32" spans="1:5" ht="11.25">
      <c r="A32" s="66" t="s">
        <v>1259</v>
      </c>
      <c r="B32" s="67">
        <f>'DETALLADO DE MATERIA PRIMA'!K162</f>
        <v>0.0241725</v>
      </c>
      <c r="C32" s="67">
        <f>B32*DEMANDA!$B$9</f>
        <v>3.1665975</v>
      </c>
      <c r="D32" s="67">
        <f t="shared" si="0"/>
        <v>37.99917</v>
      </c>
      <c r="E32" s="65"/>
    </row>
    <row r="33" spans="1:5" ht="11.25">
      <c r="A33" s="66" t="s">
        <v>1260</v>
      </c>
      <c r="B33" s="67">
        <f>'DETALLADO DE MATERIA PRIMA'!K167</f>
        <v>0.03773</v>
      </c>
      <c r="C33" s="67">
        <f>B33*DEMANDA!$B$9</f>
        <v>4.94263</v>
      </c>
      <c r="D33" s="67">
        <f t="shared" si="0"/>
        <v>59.31156</v>
      </c>
      <c r="E33" s="65"/>
    </row>
    <row r="34" spans="1:5" ht="11.25">
      <c r="A34" s="66" t="s">
        <v>1261</v>
      </c>
      <c r="B34" s="67">
        <f>'DETALLADO DE MATERIA PRIMA'!K169</f>
        <v>0.175</v>
      </c>
      <c r="C34" s="67">
        <f>B34*DEMANDA!$B$9</f>
        <v>22.924999999999997</v>
      </c>
      <c r="D34" s="67">
        <f t="shared" si="0"/>
        <v>275.09999999999997</v>
      </c>
      <c r="E34" s="65"/>
    </row>
    <row r="35" spans="1:5" ht="11.25">
      <c r="A35" s="66" t="s">
        <v>1262</v>
      </c>
      <c r="B35" s="67">
        <f>'DETALLADO DE MATERIA PRIMA'!K180</f>
        <v>0.3974999999999999</v>
      </c>
      <c r="C35" s="67">
        <f>B35*DEMANDA!$B$9</f>
        <v>52.07249999999999</v>
      </c>
      <c r="D35" s="67">
        <f t="shared" si="0"/>
        <v>624.8699999999999</v>
      </c>
      <c r="E35" s="65"/>
    </row>
    <row r="36" spans="1:5" ht="11.25">
      <c r="A36" s="66" t="s">
        <v>226</v>
      </c>
      <c r="B36" s="67">
        <f>'DETALLADO DE MATERIA PRIMA'!K183</f>
        <v>0.22949999999999998</v>
      </c>
      <c r="C36" s="67">
        <f>B36*DEMANDA!$B$9</f>
        <v>30.0645</v>
      </c>
      <c r="D36" s="67">
        <f t="shared" si="0"/>
        <v>360.774</v>
      </c>
      <c r="E36" s="65"/>
    </row>
    <row r="37" spans="1:8" ht="11.25">
      <c r="A37" s="66" t="s">
        <v>1263</v>
      </c>
      <c r="B37" s="67">
        <f>'DETALLADO DE MATERIA PRIMA'!K185</f>
        <v>1.25E-05</v>
      </c>
      <c r="C37" s="67">
        <f>B37*DEMANDA!$B$9</f>
        <v>0.0016375</v>
      </c>
      <c r="D37" s="67">
        <f t="shared" si="0"/>
        <v>0.01965</v>
      </c>
      <c r="E37" s="65"/>
      <c r="H37" s="174"/>
    </row>
    <row r="38" spans="1:5" ht="11.25">
      <c r="A38" s="66" t="s">
        <v>1264</v>
      </c>
      <c r="B38" s="67">
        <f>'DETALLADO DE MATERIA PRIMA'!K188</f>
        <v>0.0170625</v>
      </c>
      <c r="C38" s="67">
        <f>B38*DEMANDA!$B$9</f>
        <v>2.2351875000000003</v>
      </c>
      <c r="D38" s="67">
        <f t="shared" si="0"/>
        <v>26.822250000000004</v>
      </c>
      <c r="E38" s="65"/>
    </row>
    <row r="39" spans="1:5" ht="11.25">
      <c r="A39" s="66" t="s">
        <v>1265</v>
      </c>
      <c r="B39" s="67">
        <f>'DETALLADO DE MATERIA PRIMA'!K194</f>
        <v>1.2416666666666667</v>
      </c>
      <c r="C39" s="67">
        <f>B39*DEMANDA!$B$9</f>
        <v>162.65833333333333</v>
      </c>
      <c r="D39" s="67">
        <f t="shared" si="0"/>
        <v>1951.9</v>
      </c>
      <c r="E39" s="65"/>
    </row>
    <row r="40" spans="1:5" ht="11.25">
      <c r="A40" s="66" t="s">
        <v>1266</v>
      </c>
      <c r="B40" s="67">
        <f>'DETALLADO DE MATERIA PRIMA'!K196</f>
        <v>0.002225</v>
      </c>
      <c r="C40" s="67">
        <f>B40*DEMANDA!$B$9</f>
        <v>0.291475</v>
      </c>
      <c r="D40" s="67">
        <f t="shared" si="0"/>
        <v>3.4977</v>
      </c>
      <c r="E40" s="65"/>
    </row>
    <row r="41" spans="1:5" ht="11.25">
      <c r="A41" s="66" t="s">
        <v>1267</v>
      </c>
      <c r="B41" s="67">
        <f>'DETALLADO DE MATERIA PRIMA'!K204</f>
        <v>10.44108</v>
      </c>
      <c r="C41" s="67">
        <f>B41*DEMANDA!$B$9</f>
        <v>1367.7814799999999</v>
      </c>
      <c r="D41" s="67">
        <f t="shared" si="0"/>
        <v>16413.37776</v>
      </c>
      <c r="E41" s="65"/>
    </row>
    <row r="42" spans="1:5" ht="11.25">
      <c r="A42" s="66" t="s">
        <v>1268</v>
      </c>
      <c r="B42" s="67">
        <f>'DETALLADO DE MATERIA PRIMA'!K206</f>
        <v>0.085</v>
      </c>
      <c r="C42" s="67">
        <f>B42*DEMANDA!$B$9</f>
        <v>11.135000000000002</v>
      </c>
      <c r="D42" s="67">
        <f t="shared" si="0"/>
        <v>133.62</v>
      </c>
      <c r="E42" s="65"/>
    </row>
    <row r="43" spans="1:5" ht="11.25">
      <c r="A43" s="66" t="s">
        <v>1269</v>
      </c>
      <c r="B43" s="67">
        <f>'DETALLADO DE MATERIA PRIMA'!K213</f>
        <v>0.03325</v>
      </c>
      <c r="C43" s="67">
        <f>B43*DEMANDA!$B$9</f>
        <v>4.3557500000000005</v>
      </c>
      <c r="D43" s="67">
        <f t="shared" si="0"/>
        <v>52.269000000000005</v>
      </c>
      <c r="E43" s="65"/>
    </row>
    <row r="44" spans="1:5" ht="11.25">
      <c r="A44" s="66" t="s">
        <v>1270</v>
      </c>
      <c r="B44" s="67">
        <f>'DETALLADO DE MATERIA PRIMA'!K215</f>
        <v>0.23625</v>
      </c>
      <c r="C44" s="67">
        <f>B44*DEMANDA!$B$9</f>
        <v>30.948749999999997</v>
      </c>
      <c r="D44" s="67">
        <f t="shared" si="0"/>
        <v>371.385</v>
      </c>
      <c r="E44" s="65"/>
    </row>
    <row r="45" spans="1:5" ht="11.25">
      <c r="A45" s="66" t="s">
        <v>1271</v>
      </c>
      <c r="B45" s="67">
        <f>'DETALLADO DE MATERIA PRIMA'!K217</f>
        <v>1.2926875</v>
      </c>
      <c r="C45" s="67">
        <f>B45*DEMANDA!$B$9</f>
        <v>169.3420625</v>
      </c>
      <c r="D45" s="67">
        <f t="shared" si="0"/>
        <v>2032.10475</v>
      </c>
      <c r="E45" s="65"/>
    </row>
    <row r="46" spans="1:5" ht="11.25">
      <c r="A46" s="66" t="s">
        <v>1272</v>
      </c>
      <c r="B46" s="67">
        <f>'DETALLADO DE MATERIA PRIMA'!K220</f>
        <v>0.01755</v>
      </c>
      <c r="C46" s="67">
        <f>B46*DEMANDA!$B$9</f>
        <v>2.29905</v>
      </c>
      <c r="D46" s="67">
        <f t="shared" si="0"/>
        <v>27.5886</v>
      </c>
      <c r="E46" s="65"/>
    </row>
    <row r="47" spans="1:5" ht="11.25">
      <c r="A47" s="66" t="s">
        <v>1273</v>
      </c>
      <c r="B47" s="67">
        <f>'DETALLADO DE MATERIA PRIMA'!K245</f>
        <v>2.1770374999999995</v>
      </c>
      <c r="C47" s="67">
        <f>B47*DEMANDA!$B$9</f>
        <v>285.19191249999994</v>
      </c>
      <c r="D47" s="67">
        <f t="shared" si="0"/>
        <v>3422.3029499999993</v>
      </c>
      <c r="E47" s="65"/>
    </row>
    <row r="48" spans="1:5" ht="11.25">
      <c r="A48" s="66" t="s">
        <v>1274</v>
      </c>
      <c r="B48" s="67">
        <f>'DETALLADO DE MATERIA PRIMA'!K250</f>
        <v>0.064</v>
      </c>
      <c r="C48" s="67">
        <f>B48*DEMANDA!$B$9</f>
        <v>8.384</v>
      </c>
      <c r="D48" s="67">
        <f t="shared" si="0"/>
        <v>100.608</v>
      </c>
      <c r="E48" s="65"/>
    </row>
    <row r="49" spans="1:5" ht="11.25">
      <c r="A49" s="66" t="s">
        <v>1275</v>
      </c>
      <c r="B49" s="67">
        <f>'DETALLADO DE MATERIA PRIMA'!K253</f>
        <v>0.9045</v>
      </c>
      <c r="C49" s="67">
        <f>B49*DEMANDA!$B$9</f>
        <v>118.48949999999999</v>
      </c>
      <c r="D49" s="67">
        <f t="shared" si="0"/>
        <v>1421.8739999999998</v>
      </c>
      <c r="E49" s="65"/>
    </row>
    <row r="50" spans="1:5" ht="11.25">
      <c r="A50" s="66" t="s">
        <v>1276</v>
      </c>
      <c r="B50" s="67">
        <f>'DETALLADO DE MATERIA PRIMA'!K255</f>
        <v>0.1125</v>
      </c>
      <c r="C50" s="67">
        <f>B50*DEMANDA!$B$9</f>
        <v>14.7375</v>
      </c>
      <c r="D50" s="67">
        <f t="shared" si="0"/>
        <v>176.85000000000002</v>
      </c>
      <c r="E50" s="65"/>
    </row>
    <row r="51" spans="1:5" ht="11.25">
      <c r="A51" s="66" t="s">
        <v>1277</v>
      </c>
      <c r="B51" s="67">
        <f>'DETALLADO DE MATERIA PRIMA'!K257</f>
        <v>0.01875</v>
      </c>
      <c r="C51" s="67">
        <f>B51*DEMANDA!$B$9</f>
        <v>2.45625</v>
      </c>
      <c r="D51" s="67">
        <f t="shared" si="0"/>
        <v>29.474999999999998</v>
      </c>
      <c r="E51" s="65"/>
    </row>
    <row r="52" spans="1:5" ht="11.25">
      <c r="A52" s="66" t="s">
        <v>1278</v>
      </c>
      <c r="B52" s="67">
        <f>'DETALLADO DE MATERIA PRIMA'!K259</f>
        <v>0.02</v>
      </c>
      <c r="C52" s="67">
        <f>B52*DEMANDA!$B$9</f>
        <v>2.62</v>
      </c>
      <c r="D52" s="67">
        <f t="shared" si="0"/>
        <v>31.44</v>
      </c>
      <c r="E52" s="65"/>
    </row>
    <row r="53" spans="1:5" ht="11.25">
      <c r="A53" s="66" t="s">
        <v>1279</v>
      </c>
      <c r="B53" s="67">
        <f>'DETALLADO DE MATERIA PRIMA'!K262</f>
        <v>0.0252</v>
      </c>
      <c r="C53" s="67">
        <f>B53*DEMANDA!$B$9</f>
        <v>3.3012</v>
      </c>
      <c r="D53" s="67">
        <f t="shared" si="0"/>
        <v>39.6144</v>
      </c>
      <c r="E53" s="65"/>
    </row>
    <row r="54" spans="1:5" ht="11.25">
      <c r="A54" s="66" t="s">
        <v>1280</v>
      </c>
      <c r="B54" s="67">
        <f>'DETALLADO DE MATERIA PRIMA'!K264</f>
        <v>0.11025</v>
      </c>
      <c r="C54" s="67">
        <f>B54*DEMANDA!$B$9</f>
        <v>14.44275</v>
      </c>
      <c r="D54" s="67">
        <f t="shared" si="0"/>
        <v>173.313</v>
      </c>
      <c r="E54" s="65"/>
    </row>
    <row r="55" spans="1:5" ht="11.25">
      <c r="A55" s="66" t="s">
        <v>228</v>
      </c>
      <c r="B55" s="67">
        <f>'DETALLADO DE MATERIA PRIMA'!K268</f>
        <v>0.15</v>
      </c>
      <c r="C55" s="67">
        <f>B55*DEMANDA!$B$9</f>
        <v>19.65</v>
      </c>
      <c r="D55" s="67">
        <f t="shared" si="0"/>
        <v>235.79999999999998</v>
      </c>
      <c r="E55" s="65"/>
    </row>
    <row r="56" spans="1:5" ht="11.25">
      <c r="A56" s="66" t="s">
        <v>1391</v>
      </c>
      <c r="B56" s="67">
        <f>'DETALLADO DE MATERIA PRIMA'!K273</f>
        <v>0.6136</v>
      </c>
      <c r="C56" s="67">
        <f>B56*DEMANDA!$B$9</f>
        <v>80.3816</v>
      </c>
      <c r="D56" s="67">
        <f t="shared" si="0"/>
        <v>964.5792000000001</v>
      </c>
      <c r="E56" s="65"/>
    </row>
    <row r="57" spans="1:5" ht="11.25">
      <c r="A57" s="66" t="s">
        <v>1281</v>
      </c>
      <c r="B57" s="67">
        <f>'DETALLADO DE MATERIA PRIMA'!K276</f>
        <v>0.001875</v>
      </c>
      <c r="C57" s="67">
        <f>B57*DEMANDA!$B$9</f>
        <v>0.24562499999999998</v>
      </c>
      <c r="D57" s="67">
        <f t="shared" si="0"/>
        <v>2.9475</v>
      </c>
      <c r="E57" s="65"/>
    </row>
    <row r="58" spans="1:5" ht="11.25">
      <c r="A58" s="66" t="s">
        <v>230</v>
      </c>
      <c r="B58" s="67">
        <f>'DETALLADO DE MATERIA PRIMA'!K282</f>
        <v>0.3226325</v>
      </c>
      <c r="C58" s="67">
        <f>B58*DEMANDA!$B$9</f>
        <v>42.2648575</v>
      </c>
      <c r="D58" s="67">
        <f t="shared" si="0"/>
        <v>507.17828999999995</v>
      </c>
      <c r="E58" s="65"/>
    </row>
    <row r="59" spans="1:5" ht="11.25">
      <c r="A59" s="66" t="s">
        <v>1282</v>
      </c>
      <c r="B59" s="67">
        <f>'DETALLADO DE MATERIA PRIMA'!K284</f>
        <v>0.0375</v>
      </c>
      <c r="C59" s="67">
        <f>B59*DEMANDA!$B$9</f>
        <v>4.9125</v>
      </c>
      <c r="D59" s="67">
        <f t="shared" si="0"/>
        <v>58.949999999999996</v>
      </c>
      <c r="E59" s="65"/>
    </row>
    <row r="60" spans="1:5" ht="11.25">
      <c r="A60" s="66" t="s">
        <v>1283</v>
      </c>
      <c r="B60" s="67">
        <f>'DETALLADO DE MATERIA PRIMA'!K287</f>
        <v>0.0075</v>
      </c>
      <c r="C60" s="67">
        <f>B60*DEMANDA!$B$9</f>
        <v>0.9824999999999999</v>
      </c>
      <c r="D60" s="67">
        <f t="shared" si="0"/>
        <v>11.79</v>
      </c>
      <c r="E60" s="65"/>
    </row>
    <row r="61" spans="1:5" ht="11.25">
      <c r="A61" s="66" t="s">
        <v>1284</v>
      </c>
      <c r="B61" s="67">
        <f>'DETALLADO DE MATERIA PRIMA'!K293</f>
        <v>0.07575000000000001</v>
      </c>
      <c r="C61" s="67">
        <f>B61*DEMANDA!$B$9</f>
        <v>9.923250000000001</v>
      </c>
      <c r="D61" s="67">
        <f t="shared" si="0"/>
        <v>119.07900000000001</v>
      </c>
      <c r="E61" s="65"/>
    </row>
    <row r="62" spans="1:5" ht="11.25">
      <c r="A62" s="66" t="s">
        <v>1285</v>
      </c>
      <c r="B62" s="67">
        <f>'DETALLADO DE MATERIA PRIMA'!K296</f>
        <v>0.4675</v>
      </c>
      <c r="C62" s="67">
        <f>B62*DEMANDA!$B$9</f>
        <v>61.24250000000001</v>
      </c>
      <c r="D62" s="67">
        <f t="shared" si="0"/>
        <v>734.9100000000001</v>
      </c>
      <c r="E62" s="65"/>
    </row>
    <row r="63" spans="1:5" ht="11.25">
      <c r="A63" s="66" t="s">
        <v>1286</v>
      </c>
      <c r="B63" s="67">
        <f>'DETALLADO DE MATERIA PRIMA'!K298</f>
        <v>0.04889999999999999</v>
      </c>
      <c r="C63" s="67">
        <f>B63*DEMANDA!$B$9</f>
        <v>6.405899999999999</v>
      </c>
      <c r="D63" s="67">
        <f t="shared" si="0"/>
        <v>76.87079999999999</v>
      </c>
      <c r="E63" s="65"/>
    </row>
    <row r="64" spans="1:5" ht="11.25">
      <c r="A64" s="66" t="s">
        <v>1287</v>
      </c>
      <c r="B64" s="67">
        <f>'DETALLADO DE MATERIA PRIMA'!K301</f>
        <v>0.6480000000000001</v>
      </c>
      <c r="C64" s="67">
        <f>B64*DEMANDA!$B$9</f>
        <v>84.88800000000002</v>
      </c>
      <c r="D64" s="67">
        <f t="shared" si="0"/>
        <v>1018.6560000000002</v>
      </c>
      <c r="E64" s="65"/>
    </row>
    <row r="65" spans="1:5" ht="11.25">
      <c r="A65" s="66" t="s">
        <v>1288</v>
      </c>
      <c r="B65" s="67">
        <f>'DETALLADO DE MATERIA PRIMA'!K304</f>
        <v>0.42400000000000004</v>
      </c>
      <c r="C65" s="67">
        <f>B65*DEMANDA!$B$9</f>
        <v>55.544000000000004</v>
      </c>
      <c r="D65" s="67">
        <f t="shared" si="0"/>
        <v>666.528</v>
      </c>
      <c r="E65" s="65"/>
    </row>
    <row r="66" spans="1:5" ht="11.25">
      <c r="A66" s="66" t="s">
        <v>231</v>
      </c>
      <c r="B66" s="67">
        <f>'DETALLADO DE MATERIA PRIMA'!K735</f>
        <v>1.1019983333333334</v>
      </c>
      <c r="C66" s="67">
        <f>B66*DEMANDA!$B$9</f>
        <v>144.36178166666667</v>
      </c>
      <c r="D66" s="67">
        <f t="shared" si="0"/>
        <v>1732.34138</v>
      </c>
      <c r="E66" s="65"/>
    </row>
    <row r="67" spans="1:5" ht="11.25">
      <c r="A67" s="66" t="s">
        <v>1289</v>
      </c>
      <c r="B67" s="67">
        <f>'DETALLADO DE MATERIA PRIMA'!K306</f>
        <v>0.15</v>
      </c>
      <c r="C67" s="67">
        <f>B67*DEMANDA!$B$9</f>
        <v>19.65</v>
      </c>
      <c r="D67" s="67">
        <f t="shared" si="0"/>
        <v>235.79999999999998</v>
      </c>
      <c r="E67" s="65"/>
    </row>
    <row r="68" spans="1:5" ht="11.25">
      <c r="A68" s="66" t="s">
        <v>1290</v>
      </c>
      <c r="B68" s="67">
        <f>'DETALLADO DE MATERIA PRIMA'!K308</f>
        <v>0.28</v>
      </c>
      <c r="C68" s="67">
        <f>B68*DEMANDA!$B$9</f>
        <v>36.68000000000001</v>
      </c>
      <c r="D68" s="67">
        <f t="shared" si="0"/>
        <v>440.1600000000001</v>
      </c>
      <c r="E68" s="65"/>
    </row>
    <row r="69" spans="1:5" ht="11.25">
      <c r="A69" s="66" t="s">
        <v>1291</v>
      </c>
      <c r="B69" s="67">
        <f>'DETALLADO DE MATERIA PRIMA'!K311</f>
        <v>0.39371999999999996</v>
      </c>
      <c r="C69" s="67">
        <f>B69*DEMANDA!$B$9</f>
        <v>51.57731999999999</v>
      </c>
      <c r="D69" s="67">
        <f t="shared" si="0"/>
        <v>618.92784</v>
      </c>
      <c r="E69" s="65"/>
    </row>
    <row r="70" spans="1:5" ht="11.25">
      <c r="A70" s="66" t="s">
        <v>1392</v>
      </c>
      <c r="B70" s="67">
        <f>'DETALLADO DE MATERIA PRIMA'!K313</f>
        <v>0.17325000000000002</v>
      </c>
      <c r="C70" s="67">
        <f>B70*DEMANDA!$B$9</f>
        <v>22.69575</v>
      </c>
      <c r="D70" s="67">
        <f t="shared" si="0"/>
        <v>272.349</v>
      </c>
      <c r="E70" s="65"/>
    </row>
    <row r="71" spans="1:5" ht="11.25">
      <c r="A71" s="66" t="s">
        <v>1292</v>
      </c>
      <c r="B71" s="67">
        <f>'DETALLADO DE MATERIA PRIMA'!K322</f>
        <v>0.3129433333333333</v>
      </c>
      <c r="C71" s="67">
        <f>B71*DEMANDA!$B$9</f>
        <v>40.995576666666665</v>
      </c>
      <c r="D71" s="67">
        <f t="shared" si="0"/>
        <v>491.94692</v>
      </c>
      <c r="E71" s="65"/>
    </row>
    <row r="72" spans="1:5" ht="11.25">
      <c r="A72" s="66" t="s">
        <v>1293</v>
      </c>
      <c r="B72" s="67">
        <f>'DETALLADO DE MATERIA PRIMA'!K325</f>
        <v>0.087318</v>
      </c>
      <c r="C72" s="67">
        <f>B72*DEMANDA!$B$9</f>
        <v>11.438658</v>
      </c>
      <c r="D72" s="67">
        <f t="shared" si="0"/>
        <v>137.263896</v>
      </c>
      <c r="E72" s="65"/>
    </row>
    <row r="73" spans="1:5" ht="11.25">
      <c r="A73" s="66" t="s">
        <v>1294</v>
      </c>
      <c r="B73" s="67">
        <f>'DETALLADO DE MATERIA PRIMA'!K328</f>
        <v>0</v>
      </c>
      <c r="C73" s="67">
        <f>B73*DEMANDA!$B$9</f>
        <v>0</v>
      </c>
      <c r="D73" s="67">
        <f t="shared" si="0"/>
        <v>0</v>
      </c>
      <c r="E73" s="65"/>
    </row>
    <row r="74" spans="1:5" ht="11.25">
      <c r="A74" s="66" t="s">
        <v>1295</v>
      </c>
      <c r="B74" s="67">
        <f>'DETALLADO DE MATERIA PRIMA'!K333</f>
        <v>0.321875</v>
      </c>
      <c r="C74" s="67">
        <f>B74*DEMANDA!$B$9</f>
        <v>42.165625000000006</v>
      </c>
      <c r="D74" s="67">
        <f t="shared" si="0"/>
        <v>505.98750000000007</v>
      </c>
      <c r="E74" s="65"/>
    </row>
    <row r="75" spans="1:5" ht="11.25">
      <c r="A75" s="66" t="s">
        <v>1296</v>
      </c>
      <c r="B75" s="67">
        <f>'DETALLADO DE MATERIA PRIMA'!K337</f>
        <v>0.48750000000000004</v>
      </c>
      <c r="C75" s="67">
        <f>B75*DEMANDA!$B$9</f>
        <v>63.862500000000004</v>
      </c>
      <c r="D75" s="67">
        <f t="shared" si="0"/>
        <v>766.35</v>
      </c>
      <c r="E75" s="65"/>
    </row>
    <row r="76" spans="1:5" ht="11.25">
      <c r="A76" s="66" t="s">
        <v>1297</v>
      </c>
      <c r="B76" s="67">
        <f>'DETALLADO DE MATERIA PRIMA'!K355</f>
        <v>1.5946666666666665</v>
      </c>
      <c r="C76" s="67">
        <f>B76*DEMANDA!$B$9</f>
        <v>208.9013333333333</v>
      </c>
      <c r="D76" s="67">
        <f t="shared" si="0"/>
        <v>2506.816</v>
      </c>
      <c r="E76" s="65"/>
    </row>
    <row r="77" spans="1:5" ht="11.25">
      <c r="A77" s="66" t="s">
        <v>1298</v>
      </c>
      <c r="B77" s="67">
        <f>'DETALLADO DE MATERIA PRIMA'!K365</f>
        <v>3.0564</v>
      </c>
      <c r="C77" s="67">
        <f>B77*DEMANDA!$B$9</f>
        <v>400.3884</v>
      </c>
      <c r="D77" s="67">
        <f aca="true" t="shared" si="4" ref="D77:D138">C77*12</f>
        <v>4804.6608</v>
      </c>
      <c r="E77" s="65"/>
    </row>
    <row r="78" spans="1:5" ht="11.25">
      <c r="A78" s="66" t="s">
        <v>1299</v>
      </c>
      <c r="B78" s="67">
        <f>'DETALLADO DE MATERIA PRIMA'!K368</f>
        <v>0.0225</v>
      </c>
      <c r="C78" s="67">
        <f>B78*DEMANDA!$B$9</f>
        <v>2.9475</v>
      </c>
      <c r="D78" s="67">
        <f t="shared" si="4"/>
        <v>35.37</v>
      </c>
      <c r="E78" s="65"/>
    </row>
    <row r="79" spans="1:5" ht="11.25">
      <c r="A79" s="66" t="s">
        <v>1300</v>
      </c>
      <c r="B79" s="67">
        <f>'DETALLADO DE MATERIA PRIMA'!K375</f>
        <v>1.010625</v>
      </c>
      <c r="C79" s="67">
        <f>B79*DEMANDA!$B$9</f>
        <v>132.39187500000003</v>
      </c>
      <c r="D79" s="67">
        <f t="shared" si="4"/>
        <v>1588.7025000000003</v>
      </c>
      <c r="E79" s="65"/>
    </row>
    <row r="80" spans="1:5" ht="11.25">
      <c r="A80" s="66" t="s">
        <v>1301</v>
      </c>
      <c r="B80" s="67">
        <f>'DETALLADO DE MATERIA PRIMA'!K380</f>
        <v>0.022000000000000002</v>
      </c>
      <c r="C80" s="67">
        <f>B80*DEMANDA!$B$9</f>
        <v>2.882</v>
      </c>
      <c r="D80" s="67">
        <f t="shared" si="4"/>
        <v>34.584</v>
      </c>
      <c r="E80" s="65"/>
    </row>
    <row r="81" spans="1:5" ht="11.25">
      <c r="A81" s="66" t="s">
        <v>1302</v>
      </c>
      <c r="B81" s="67">
        <f>'DETALLADO DE MATERIA PRIMA'!K397</f>
        <v>1.0460208333333334</v>
      </c>
      <c r="C81" s="67">
        <f>B81*DEMANDA!$B$9</f>
        <v>137.02872916666666</v>
      </c>
      <c r="D81" s="67">
        <f t="shared" si="4"/>
        <v>1644.34475</v>
      </c>
      <c r="E81" s="65"/>
    </row>
    <row r="82" spans="1:5" ht="11.25">
      <c r="A82" s="66" t="s">
        <v>1303</v>
      </c>
      <c r="B82" s="67">
        <f>'DETALLADO DE MATERIA PRIMA'!K399</f>
        <v>0.020833333333333332</v>
      </c>
      <c r="C82" s="67">
        <f>B82*DEMANDA!$B$9</f>
        <v>2.7291666666666665</v>
      </c>
      <c r="D82" s="67">
        <f t="shared" si="4"/>
        <v>32.75</v>
      </c>
      <c r="E82" s="65"/>
    </row>
    <row r="83" spans="1:5" ht="11.25">
      <c r="A83" s="66" t="s">
        <v>1304</v>
      </c>
      <c r="B83" s="67">
        <f>'DETALLADO DE MATERIA PRIMA'!K401</f>
        <v>0.1</v>
      </c>
      <c r="C83" s="67">
        <f>B83*DEMANDA!$B$9</f>
        <v>13.100000000000001</v>
      </c>
      <c r="D83" s="67">
        <f t="shared" si="4"/>
        <v>157.20000000000002</v>
      </c>
      <c r="E83" s="65"/>
    </row>
    <row r="84" spans="1:5" ht="11.25">
      <c r="A84" s="66" t="s">
        <v>1305</v>
      </c>
      <c r="B84" s="67">
        <f>'DETALLADO DE MATERIA PRIMA'!K407</f>
        <v>0.07958333333333334</v>
      </c>
      <c r="C84" s="67">
        <f>B84*DEMANDA!$B$9</f>
        <v>10.425416666666667</v>
      </c>
      <c r="D84" s="67">
        <f t="shared" si="4"/>
        <v>125.105</v>
      </c>
      <c r="E84" s="65"/>
    </row>
    <row r="85" spans="1:5" ht="11.25">
      <c r="A85" s="66" t="s">
        <v>1306</v>
      </c>
      <c r="B85" s="67">
        <f>'DETALLADO DE MATERIA PRIMA'!K409</f>
        <v>0.0078125</v>
      </c>
      <c r="C85" s="67">
        <f>B85*DEMANDA!$B$9</f>
        <v>1.0234375</v>
      </c>
      <c r="D85" s="67">
        <f t="shared" si="4"/>
        <v>12.28125</v>
      </c>
      <c r="E85" s="65"/>
    </row>
    <row r="86" spans="1:5" ht="11.25">
      <c r="A86" s="66" t="s">
        <v>1393</v>
      </c>
      <c r="B86" s="67">
        <f>'DETALLADO DE MATERIA PRIMA'!K411</f>
        <v>0.11000000000000001</v>
      </c>
      <c r="C86" s="67">
        <f>B86*DEMANDA!$B$9</f>
        <v>14.410000000000002</v>
      </c>
      <c r="D86" s="67">
        <f t="shared" si="4"/>
        <v>172.92000000000002</v>
      </c>
      <c r="E86" s="65"/>
    </row>
    <row r="87" spans="1:5" ht="11.25">
      <c r="A87" s="66" t="s">
        <v>1307</v>
      </c>
      <c r="B87" s="67">
        <f>'DETALLADO DE MATERIA PRIMA'!K413</f>
        <v>0.036000000000000004</v>
      </c>
      <c r="C87" s="67">
        <f>B87*DEMANDA!$B$9</f>
        <v>4.716</v>
      </c>
      <c r="D87" s="67">
        <f t="shared" si="4"/>
        <v>56.592</v>
      </c>
      <c r="E87" s="65"/>
    </row>
    <row r="88" spans="1:5" ht="11.25">
      <c r="A88" s="66" t="s">
        <v>1308</v>
      </c>
      <c r="B88" s="67">
        <f>'DETALLADO DE MATERIA PRIMA'!K432</f>
        <v>1.1455083333333334</v>
      </c>
      <c r="C88" s="67">
        <f>B88*DEMANDA!$B$9</f>
        <v>150.06159166666666</v>
      </c>
      <c r="D88" s="67">
        <f t="shared" si="4"/>
        <v>1800.7390999999998</v>
      </c>
      <c r="E88" s="65"/>
    </row>
    <row r="89" spans="1:5" ht="11.25">
      <c r="A89" s="66" t="s">
        <v>1309</v>
      </c>
      <c r="B89" s="67">
        <f>'DETALLADO DE MATERIA PRIMA'!K435</f>
        <v>0.4675</v>
      </c>
      <c r="C89" s="67">
        <f>B89*DEMANDA!$B$9</f>
        <v>61.24250000000001</v>
      </c>
      <c r="D89" s="67">
        <f t="shared" si="4"/>
        <v>734.9100000000001</v>
      </c>
      <c r="E89" s="65"/>
    </row>
    <row r="90" spans="1:5" ht="11.25">
      <c r="A90" s="66" t="s">
        <v>1310</v>
      </c>
      <c r="B90" s="67">
        <f>'DETALLADO DE MATERIA PRIMA'!K438</f>
        <v>0.9066</v>
      </c>
      <c r="C90" s="67">
        <f>B90*DEMANDA!$B$9</f>
        <v>118.7646</v>
      </c>
      <c r="D90" s="67">
        <f t="shared" si="4"/>
        <v>1425.1752000000001</v>
      </c>
      <c r="E90" s="65"/>
    </row>
    <row r="91" spans="1:5" ht="11.25">
      <c r="A91" s="66" t="s">
        <v>222</v>
      </c>
      <c r="B91" s="67">
        <f>'DETALLADO DE MATERIA PRIMA'!K440</f>
        <v>0.34</v>
      </c>
      <c r="C91" s="67">
        <f>B91*DEMANDA!$B$9</f>
        <v>44.540000000000006</v>
      </c>
      <c r="D91" s="67">
        <f t="shared" si="4"/>
        <v>534.48</v>
      </c>
      <c r="E91" s="65"/>
    </row>
    <row r="92" spans="1:5" ht="11.25">
      <c r="A92" s="66" t="s">
        <v>1311</v>
      </c>
      <c r="B92" s="67">
        <f>'DETALLADO DE MATERIA PRIMA'!K445</f>
        <v>2.5829999999999997</v>
      </c>
      <c r="C92" s="67">
        <f>B92*DEMANDA!$B$9</f>
        <v>338.373</v>
      </c>
      <c r="D92" s="67">
        <f t="shared" si="4"/>
        <v>4060.4759999999997</v>
      </c>
      <c r="E92" s="65"/>
    </row>
    <row r="93" spans="1:5" ht="11.25">
      <c r="A93" s="66" t="s">
        <v>1312</v>
      </c>
      <c r="B93" s="67">
        <f>'DETALLADO DE MATERIA PRIMA'!K453</f>
        <v>1.2400000000000002</v>
      </c>
      <c r="C93" s="67">
        <f>B93*DEMANDA!$B$9</f>
        <v>162.44000000000003</v>
      </c>
      <c r="D93" s="67">
        <f t="shared" si="4"/>
        <v>1949.2800000000002</v>
      </c>
      <c r="E93" s="65"/>
    </row>
    <row r="94" spans="1:5" ht="11.25">
      <c r="A94" s="66" t="s">
        <v>1313</v>
      </c>
      <c r="B94" s="67">
        <f>'DETALLADO DE MATERIA PRIMA'!K455</f>
        <v>0.48</v>
      </c>
      <c r="C94" s="67">
        <f>B94*DEMANDA!$B$9</f>
        <v>62.879999999999995</v>
      </c>
      <c r="D94" s="67">
        <f t="shared" si="4"/>
        <v>754.56</v>
      </c>
      <c r="E94" s="65"/>
    </row>
    <row r="95" spans="1:5" ht="11.25">
      <c r="A95" s="66" t="s">
        <v>1314</v>
      </c>
      <c r="B95" s="67">
        <f>'DETALLADO DE MATERIA PRIMA'!K459</f>
        <v>0.538125</v>
      </c>
      <c r="C95" s="67">
        <f>B95*DEMANDA!$B$9</f>
        <v>70.49437499999999</v>
      </c>
      <c r="D95" s="67">
        <f t="shared" si="4"/>
        <v>845.9324999999999</v>
      </c>
      <c r="E95" s="65"/>
    </row>
    <row r="96" spans="1:5" ht="11.25">
      <c r="A96" s="66" t="s">
        <v>1394</v>
      </c>
      <c r="B96" s="67">
        <f>'DETALLADO DE MATERIA PRIMA'!K465</f>
        <v>0.136</v>
      </c>
      <c r="C96" s="67">
        <f>B96*DEMANDA!$B$9</f>
        <v>17.816000000000003</v>
      </c>
      <c r="D96" s="67">
        <f t="shared" si="4"/>
        <v>213.79200000000003</v>
      </c>
      <c r="E96" s="65"/>
    </row>
    <row r="97" spans="1:5" ht="11.25">
      <c r="A97" s="66" t="s">
        <v>1315</v>
      </c>
      <c r="B97" s="67">
        <f>'DETALLADO DE MATERIA PRIMA'!K470</f>
        <v>0.485625</v>
      </c>
      <c r="C97" s="67">
        <f>B97*DEMANDA!$B$9</f>
        <v>63.61687499999999</v>
      </c>
      <c r="D97" s="67">
        <f t="shared" si="4"/>
        <v>763.4024999999999</v>
      </c>
      <c r="E97" s="65"/>
    </row>
    <row r="98" spans="1:5" ht="11.25">
      <c r="A98" s="66" t="s">
        <v>1316</v>
      </c>
      <c r="B98" s="67">
        <f>'DETALLADO DE MATERIA PRIMA'!K475</f>
        <v>1.0306866666666668</v>
      </c>
      <c r="C98" s="67">
        <f>B98*DEMANDA!$B$9</f>
        <v>135.01995333333335</v>
      </c>
      <c r="D98" s="67">
        <f t="shared" si="4"/>
        <v>1620.2394400000003</v>
      </c>
      <c r="E98" s="65"/>
    </row>
    <row r="99" spans="1:5" ht="11.25">
      <c r="A99" s="66" t="s">
        <v>1317</v>
      </c>
      <c r="B99" s="67">
        <f>'DETALLADO DE MATERIA PRIMA'!K481</f>
        <v>0.0055</v>
      </c>
      <c r="C99" s="67">
        <f>B99*DEMANDA!$B$9</f>
        <v>0.7204999999999999</v>
      </c>
      <c r="D99" s="67">
        <f t="shared" si="4"/>
        <v>8.645999999999999</v>
      </c>
      <c r="E99" s="65"/>
    </row>
    <row r="100" spans="1:5" ht="11.25">
      <c r="A100" s="66" t="s">
        <v>1318</v>
      </c>
      <c r="B100" s="67">
        <f>'DETALLADO DE MATERIA PRIMA'!K483</f>
        <v>0.1119</v>
      </c>
      <c r="C100" s="67">
        <f>B100*DEMANDA!$B$9</f>
        <v>14.6589</v>
      </c>
      <c r="D100" s="67">
        <f t="shared" si="4"/>
        <v>175.90679999999998</v>
      </c>
      <c r="E100" s="65"/>
    </row>
    <row r="101" spans="1:5" ht="11.25">
      <c r="A101" s="66" t="s">
        <v>233</v>
      </c>
      <c r="B101" s="67">
        <f>'DETALLADO DE MATERIA PRIMA'!K486</f>
        <v>0.2750875</v>
      </c>
      <c r="C101" s="67">
        <f>B101*DEMANDA!$B$9</f>
        <v>36.0364625</v>
      </c>
      <c r="D101" s="67">
        <f t="shared" si="4"/>
        <v>432.43755</v>
      </c>
      <c r="E101" s="65"/>
    </row>
    <row r="102" spans="1:5" ht="11.25">
      <c r="A102" s="66" t="s">
        <v>1319</v>
      </c>
      <c r="B102" s="67">
        <f>'DETALLADO DE MATERIA PRIMA'!K495</f>
        <v>0.9625</v>
      </c>
      <c r="C102" s="67">
        <f>B102*DEMANDA!$B$9</f>
        <v>126.0875</v>
      </c>
      <c r="D102" s="67">
        <f t="shared" si="4"/>
        <v>1513.0500000000002</v>
      </c>
      <c r="E102" s="65"/>
    </row>
    <row r="103" spans="1:5" ht="11.25">
      <c r="A103" s="66" t="s">
        <v>1320</v>
      </c>
      <c r="B103" s="67">
        <f>'DETALLADO DE MATERIA PRIMA'!K497</f>
        <v>0.105</v>
      </c>
      <c r="C103" s="67">
        <f>B103*DEMANDA!$B$9</f>
        <v>13.754999999999999</v>
      </c>
      <c r="D103" s="67">
        <f t="shared" si="4"/>
        <v>165.06</v>
      </c>
      <c r="E103" s="65"/>
    </row>
    <row r="104" spans="1:5" ht="11.25">
      <c r="A104" s="66" t="s">
        <v>1321</v>
      </c>
      <c r="B104" s="67">
        <f>'DETALLADO DE MATERIA PRIMA'!K503</f>
        <v>0.32789999999999997</v>
      </c>
      <c r="C104" s="67">
        <f>B104*DEMANDA!$B$9</f>
        <v>42.954899999999995</v>
      </c>
      <c r="D104" s="67">
        <f t="shared" si="4"/>
        <v>515.4587999999999</v>
      </c>
      <c r="E104" s="65"/>
    </row>
    <row r="105" spans="1:5" ht="11.25">
      <c r="A105" s="66" t="s">
        <v>1322</v>
      </c>
      <c r="B105" s="67">
        <f>'DETALLADO DE MATERIA PRIMA'!K509</f>
        <v>0.25728</v>
      </c>
      <c r="C105" s="67">
        <f>B105*DEMANDA!$B$9</f>
        <v>33.70368</v>
      </c>
      <c r="D105" s="67">
        <f t="shared" si="4"/>
        <v>404.44416</v>
      </c>
      <c r="E105" s="65"/>
    </row>
    <row r="106" spans="1:5" ht="11.25">
      <c r="A106" s="66" t="s">
        <v>1323</v>
      </c>
      <c r="B106" s="67">
        <f>'DETALLADO DE MATERIA PRIMA'!K511</f>
        <v>0.3125</v>
      </c>
      <c r="C106" s="67">
        <f>B106*DEMANDA!$B$9</f>
        <v>40.9375</v>
      </c>
      <c r="D106" s="67">
        <f t="shared" si="4"/>
        <v>491.25</v>
      </c>
      <c r="E106" s="65"/>
    </row>
    <row r="107" spans="1:5" ht="11.25">
      <c r="A107" s="66" t="s">
        <v>1324</v>
      </c>
      <c r="B107" s="67">
        <f>'DETALLADO DE MATERIA PRIMA'!K513</f>
        <v>0.004</v>
      </c>
      <c r="C107" s="67">
        <f>B107*DEMANDA!$B$9</f>
        <v>0.524</v>
      </c>
      <c r="D107" s="67">
        <f t="shared" si="4"/>
        <v>6.288</v>
      </c>
      <c r="E107" s="65"/>
    </row>
    <row r="108" spans="1:5" ht="11.25">
      <c r="A108" s="66" t="s">
        <v>1325</v>
      </c>
      <c r="B108" s="67">
        <f>'DETALLADO DE MATERIA PRIMA'!K522</f>
        <v>0.045226666666666665</v>
      </c>
      <c r="C108" s="67">
        <f>B108*DEMANDA!$B$9</f>
        <v>5.924693333333333</v>
      </c>
      <c r="D108" s="67">
        <f t="shared" si="4"/>
        <v>71.09631999999999</v>
      </c>
      <c r="E108" s="65"/>
    </row>
    <row r="109" spans="1:5" ht="11.25">
      <c r="A109" s="66" t="s">
        <v>1326</v>
      </c>
      <c r="B109" s="67">
        <f>'DETALLADO DE MATERIA PRIMA'!K525</f>
        <v>0.37916666666666665</v>
      </c>
      <c r="C109" s="67">
        <f>B109*DEMANDA!$B$9</f>
        <v>49.670833333333334</v>
      </c>
      <c r="D109" s="67">
        <f t="shared" si="4"/>
        <v>596.05</v>
      </c>
      <c r="E109" s="65"/>
    </row>
    <row r="110" spans="1:5" ht="11.25">
      <c r="A110" s="66" t="s">
        <v>1327</v>
      </c>
      <c r="B110" s="67">
        <f>'DETALLADO DE MATERIA PRIMA'!K527</f>
        <v>0.26</v>
      </c>
      <c r="C110" s="67">
        <f>B110*DEMANDA!$B$9</f>
        <v>34.06</v>
      </c>
      <c r="D110" s="67">
        <f t="shared" si="4"/>
        <v>408.72</v>
      </c>
      <c r="E110" s="65"/>
    </row>
    <row r="111" spans="1:5" ht="11.25">
      <c r="A111" s="66" t="s">
        <v>1328</v>
      </c>
      <c r="B111" s="67">
        <f>'DETALLADO DE MATERIA PRIMA'!K529</f>
        <v>0.19</v>
      </c>
      <c r="C111" s="67">
        <f>B111*DEMANDA!$B$9</f>
        <v>24.89</v>
      </c>
      <c r="D111" s="67">
        <f t="shared" si="4"/>
        <v>298.68</v>
      </c>
      <c r="E111" s="65"/>
    </row>
    <row r="112" spans="1:5" ht="11.25">
      <c r="A112" s="66" t="s">
        <v>1329</v>
      </c>
      <c r="B112" s="67">
        <f>'DETALLADO DE MATERIA PRIMA'!K532</f>
        <v>0.014000000000000002</v>
      </c>
      <c r="C112" s="67">
        <f>B112*DEMANDA!$B$9</f>
        <v>1.8340000000000003</v>
      </c>
      <c r="D112" s="67">
        <f t="shared" si="4"/>
        <v>22.008000000000003</v>
      </c>
      <c r="E112" s="65"/>
    </row>
    <row r="113" spans="1:5" ht="11.25">
      <c r="A113" s="66" t="s">
        <v>1330</v>
      </c>
      <c r="B113" s="67">
        <f>'DETALLADO DE MATERIA PRIMA'!K536</f>
        <v>0.0081</v>
      </c>
      <c r="C113" s="67">
        <f>B113*DEMANDA!$B$9</f>
        <v>1.0611</v>
      </c>
      <c r="D113" s="67">
        <f t="shared" si="4"/>
        <v>12.7332</v>
      </c>
      <c r="E113" s="65"/>
    </row>
    <row r="114" spans="1:5" ht="11.25">
      <c r="A114" s="66" t="s">
        <v>1331</v>
      </c>
      <c r="B114" s="67">
        <f>'DETALLADO DE MATERIA PRIMA'!K538</f>
        <v>0.3</v>
      </c>
      <c r="C114" s="67">
        <f>B114*DEMANDA!$B$9</f>
        <v>39.3</v>
      </c>
      <c r="D114" s="67">
        <f t="shared" si="4"/>
        <v>471.59999999999997</v>
      </c>
      <c r="E114" s="65"/>
    </row>
    <row r="115" spans="1:5" ht="11.25">
      <c r="A115" s="66" t="s">
        <v>1332</v>
      </c>
      <c r="B115" s="67">
        <f>'DETALLADO DE MATERIA PRIMA'!K542</f>
        <v>0.26549999999999996</v>
      </c>
      <c r="C115" s="67">
        <f>B115*DEMANDA!$B$9</f>
        <v>34.780499999999996</v>
      </c>
      <c r="D115" s="67">
        <f t="shared" si="4"/>
        <v>417.366</v>
      </c>
      <c r="E115" s="65"/>
    </row>
    <row r="116" spans="1:5" ht="11.25">
      <c r="A116" s="66" t="s">
        <v>1333</v>
      </c>
      <c r="B116" s="67">
        <f>'DETALLADO DE MATERIA PRIMA'!K549</f>
        <v>1.991</v>
      </c>
      <c r="C116" s="67">
        <f>B116*DEMANDA!$B$9</f>
        <v>260.821</v>
      </c>
      <c r="D116" s="67">
        <f t="shared" si="4"/>
        <v>3129.8520000000003</v>
      </c>
      <c r="E116" s="65"/>
    </row>
    <row r="117" spans="1:5" ht="11.25">
      <c r="A117" s="66" t="s">
        <v>1334</v>
      </c>
      <c r="B117" s="67">
        <f>'DETALLADO DE MATERIA PRIMA'!K552</f>
        <v>0.010890625</v>
      </c>
      <c r="C117" s="67">
        <f>B117*DEMANDA!$B$9</f>
        <v>1.4266718749999998</v>
      </c>
      <c r="D117" s="67">
        <f t="shared" si="4"/>
        <v>17.120062499999996</v>
      </c>
      <c r="E117" s="65"/>
    </row>
    <row r="118" spans="1:5" ht="10.5" customHeight="1">
      <c r="A118" s="66" t="s">
        <v>1335</v>
      </c>
      <c r="B118" s="67">
        <f>'DETALLADO DE MATERIA PRIMA'!K558</f>
        <v>0.176</v>
      </c>
      <c r="C118" s="67">
        <f>B118*DEMANDA!$B$9</f>
        <v>23.055999999999997</v>
      </c>
      <c r="D118" s="67">
        <f t="shared" si="4"/>
        <v>276.67199999999997</v>
      </c>
      <c r="E118" s="65"/>
    </row>
    <row r="119" spans="1:5" ht="11.25">
      <c r="A119" s="66" t="s">
        <v>1336</v>
      </c>
      <c r="B119" s="67">
        <f>'DETALLADO DE MATERIA PRIMA'!K563</f>
        <v>0.9669000000000001</v>
      </c>
      <c r="C119" s="67">
        <f>B119*DEMANDA!$B$9</f>
        <v>126.66390000000001</v>
      </c>
      <c r="D119" s="67">
        <f t="shared" si="4"/>
        <v>1519.9668000000001</v>
      </c>
      <c r="E119" s="65"/>
    </row>
    <row r="120" spans="1:5" ht="11.25">
      <c r="A120" s="66" t="s">
        <v>1337</v>
      </c>
      <c r="B120" s="67">
        <f>'DETALLADO DE MATERIA PRIMA'!K566</f>
        <v>0.4675</v>
      </c>
      <c r="C120" s="67">
        <f>B120*DEMANDA!$B$9</f>
        <v>61.24250000000001</v>
      </c>
      <c r="D120" s="67">
        <f t="shared" si="4"/>
        <v>734.9100000000001</v>
      </c>
      <c r="E120" s="65"/>
    </row>
    <row r="121" spans="1:5" ht="11.25">
      <c r="A121" s="66" t="s">
        <v>1338</v>
      </c>
      <c r="B121" s="67">
        <f>'DETALLADO DE MATERIA PRIMA'!K568</f>
        <v>1.85675</v>
      </c>
      <c r="C121" s="67">
        <f>B121*DEMANDA!$B$9</f>
        <v>243.23424999999997</v>
      </c>
      <c r="D121" s="67">
        <f t="shared" si="4"/>
        <v>2918.8109999999997</v>
      </c>
      <c r="E121" s="65"/>
    </row>
    <row r="122" spans="1:5" ht="11.25">
      <c r="A122" s="66" t="s">
        <v>1339</v>
      </c>
      <c r="B122" s="67">
        <f>'DETALLADO DE MATERIA PRIMA'!K572</f>
        <v>4.151255</v>
      </c>
      <c r="C122" s="67">
        <f>B122*DEMANDA!$B$9</f>
        <v>543.814405</v>
      </c>
      <c r="D122" s="67">
        <f t="shared" si="4"/>
        <v>6525.772859999999</v>
      </c>
      <c r="E122" s="65"/>
    </row>
    <row r="123" spans="1:5" ht="11.25">
      <c r="A123" s="66" t="s">
        <v>1340</v>
      </c>
      <c r="B123" s="67">
        <f>'DETALLADO DE MATERIA PRIMA'!K576</f>
        <v>0.10733333333333334</v>
      </c>
      <c r="C123" s="67">
        <f>B123*DEMANDA!$B$9</f>
        <v>14.060666666666666</v>
      </c>
      <c r="D123" s="67">
        <f t="shared" si="4"/>
        <v>168.728</v>
      </c>
      <c r="E123" s="65"/>
    </row>
    <row r="124" spans="1:5" ht="11.25">
      <c r="A124" s="66" t="s">
        <v>1341</v>
      </c>
      <c r="B124" s="67">
        <f>'DETALLADO DE MATERIA PRIMA'!K578</f>
        <v>0.25725</v>
      </c>
      <c r="C124" s="67">
        <f>B124*DEMANDA!$B$9</f>
        <v>33.699749999999995</v>
      </c>
      <c r="D124" s="67">
        <f t="shared" si="4"/>
        <v>404.39699999999993</v>
      </c>
      <c r="E124" s="65"/>
    </row>
    <row r="125" spans="1:5" ht="11.25">
      <c r="A125" s="66" t="s">
        <v>1396</v>
      </c>
      <c r="B125" s="67">
        <f>'DETALLADO DE MATERIA PRIMA'!K589</f>
        <v>0.031875</v>
      </c>
      <c r="C125" s="67">
        <f>B125*DEMANDA!$B$9</f>
        <v>4.175625</v>
      </c>
      <c r="D125" s="67">
        <f t="shared" si="4"/>
        <v>50.1075</v>
      </c>
      <c r="E125" s="65"/>
    </row>
    <row r="126" spans="1:5" ht="11.25">
      <c r="A126" s="66" t="s">
        <v>1342</v>
      </c>
      <c r="B126" s="67">
        <f>'DETALLADO DE MATERIA PRIMA'!K625</f>
        <v>0.09551583333333329</v>
      </c>
      <c r="C126" s="67">
        <f>B126*DEMANDA!$B$9</f>
        <v>12.51257416666666</v>
      </c>
      <c r="D126" s="67">
        <f t="shared" si="4"/>
        <v>150.15088999999992</v>
      </c>
      <c r="E126" s="65"/>
    </row>
    <row r="127" spans="1:5" ht="11.25">
      <c r="A127" s="66" t="s">
        <v>1343</v>
      </c>
      <c r="B127" s="67">
        <f>'DETALLADO DE MATERIA PRIMA'!K627</f>
        <v>0.18600000000000003</v>
      </c>
      <c r="C127" s="67">
        <f>B127*DEMANDA!$B$9</f>
        <v>24.366000000000003</v>
      </c>
      <c r="D127" s="67">
        <f t="shared" si="4"/>
        <v>292.39200000000005</v>
      </c>
      <c r="E127" s="65"/>
    </row>
    <row r="128" spans="1:5" ht="11.25">
      <c r="A128" s="66" t="s">
        <v>1344</v>
      </c>
      <c r="B128" s="67">
        <f>'DETALLADO DE MATERIA PRIMA'!K637</f>
        <v>0.8797500000000001</v>
      </c>
      <c r="C128" s="67">
        <f>B128*DEMANDA!$B$9</f>
        <v>115.24725000000002</v>
      </c>
      <c r="D128" s="67">
        <f t="shared" si="4"/>
        <v>1382.9670000000003</v>
      </c>
      <c r="E128" s="65"/>
    </row>
    <row r="129" spans="1:5" ht="11.25">
      <c r="A129" s="66" t="s">
        <v>1345</v>
      </c>
      <c r="B129" s="67">
        <f>'DETALLADO DE MATERIA PRIMA'!K641</f>
        <v>0.1825</v>
      </c>
      <c r="C129" s="67">
        <f>B129*DEMANDA!$B$9</f>
        <v>23.9075</v>
      </c>
      <c r="D129" s="67">
        <f t="shared" si="4"/>
        <v>286.89</v>
      </c>
      <c r="E129" s="65"/>
    </row>
    <row r="130" spans="1:5" ht="11.25">
      <c r="A130" s="66" t="s">
        <v>1346</v>
      </c>
      <c r="B130" s="67">
        <f>'DETALLADO DE MATERIA PRIMA'!K644</f>
        <v>0.08</v>
      </c>
      <c r="C130" s="67">
        <f>B130*DEMANDA!$B$9</f>
        <v>10.48</v>
      </c>
      <c r="D130" s="67">
        <f t="shared" si="4"/>
        <v>125.76</v>
      </c>
      <c r="E130" s="65"/>
    </row>
    <row r="131" spans="1:5" ht="11.25">
      <c r="A131" s="66" t="s">
        <v>1347</v>
      </c>
      <c r="B131" s="67">
        <f>'DETALLADO DE MATERIA PRIMA'!K654</f>
        <v>0.9185625000000001</v>
      </c>
      <c r="C131" s="67">
        <f>B131*DEMANDA!$B$9</f>
        <v>120.3316875</v>
      </c>
      <c r="D131" s="67">
        <f t="shared" si="4"/>
        <v>1443.98025</v>
      </c>
      <c r="E131" s="65"/>
    </row>
    <row r="132" spans="1:5" ht="11.25">
      <c r="A132" s="66" t="s">
        <v>1348</v>
      </c>
      <c r="B132" s="67">
        <f>'DETALLADO DE MATERIA PRIMA'!K656</f>
        <v>0.21</v>
      </c>
      <c r="C132" s="67">
        <f>B132*DEMANDA!$B$9</f>
        <v>27.509999999999998</v>
      </c>
      <c r="D132" s="67">
        <f t="shared" si="4"/>
        <v>330.12</v>
      </c>
      <c r="E132" s="65"/>
    </row>
    <row r="133" spans="1:5" ht="11.25">
      <c r="A133" s="66" t="s">
        <v>1349</v>
      </c>
      <c r="B133" s="67">
        <f>'DETALLADO DE MATERIA PRIMA'!K665</f>
        <v>9.809099999999997</v>
      </c>
      <c r="C133" s="67">
        <f>B133*DEMANDA!$B$9</f>
        <v>1284.9920999999997</v>
      </c>
      <c r="D133" s="67">
        <f t="shared" si="4"/>
        <v>15419.905199999997</v>
      </c>
      <c r="E133" s="65"/>
    </row>
    <row r="134" spans="1:5" ht="11.25">
      <c r="A134" s="66" t="s">
        <v>1350</v>
      </c>
      <c r="B134" s="67">
        <f>'DETALLADO DE MATERIA PRIMA'!K667</f>
        <v>0.00265</v>
      </c>
      <c r="C134" s="67">
        <f>B134*DEMANDA!$B$9</f>
        <v>0.34715</v>
      </c>
      <c r="D134" s="67">
        <f t="shared" si="4"/>
        <v>4.1658</v>
      </c>
      <c r="E134" s="65"/>
    </row>
    <row r="135" spans="1:5" ht="11.25">
      <c r="A135" s="66" t="s">
        <v>1351</v>
      </c>
      <c r="B135" s="67">
        <f>'DETALLADO DE MATERIA PRIMA'!K672</f>
        <v>1.0235</v>
      </c>
      <c r="C135" s="67">
        <f>B135*DEMANDA!$B$9</f>
        <v>134.07850000000002</v>
      </c>
      <c r="D135" s="67">
        <f t="shared" si="4"/>
        <v>1608.9420000000002</v>
      </c>
      <c r="E135" s="65"/>
    </row>
    <row r="136" spans="1:5" ht="11.25">
      <c r="A136" s="66" t="s">
        <v>1352</v>
      </c>
      <c r="B136" s="67">
        <f>'DETALLADO DE MATERIA PRIMA'!K675</f>
        <v>0.41600000000000004</v>
      </c>
      <c r="C136" s="67">
        <f>B136*DEMANDA!$B$9</f>
        <v>54.496</v>
      </c>
      <c r="D136" s="67">
        <f t="shared" si="4"/>
        <v>653.952</v>
      </c>
      <c r="E136" s="65"/>
    </row>
    <row r="137" spans="1:5" ht="11.25">
      <c r="A137" s="66" t="s">
        <v>1353</v>
      </c>
      <c r="B137" s="67">
        <f>'DETALLADO DE MATERIA PRIMA'!K685</f>
        <v>2.4192</v>
      </c>
      <c r="C137" s="67">
        <f>B137*DEMANDA!$B$9</f>
        <v>316.9152</v>
      </c>
      <c r="D137" s="67">
        <f t="shared" si="4"/>
        <v>3802.9824000000003</v>
      </c>
      <c r="E137" s="65"/>
    </row>
    <row r="138" spans="1:5" ht="11.25">
      <c r="A138" s="66" t="s">
        <v>1397</v>
      </c>
      <c r="B138" s="67">
        <f>'DETALLADO DE MATERIA PRIMA'!K687</f>
        <v>0.32999999999999996</v>
      </c>
      <c r="C138" s="67">
        <f>B138*DEMANDA!$B$9</f>
        <v>43.23</v>
      </c>
      <c r="D138" s="67">
        <f t="shared" si="4"/>
        <v>518.76</v>
      </c>
      <c r="E138" s="65"/>
    </row>
    <row r="139" spans="1:5" ht="11.25">
      <c r="A139" s="66" t="s">
        <v>1354</v>
      </c>
      <c r="B139" s="67">
        <f>'DETALLADO DE MATERIA PRIMA'!K692</f>
        <v>1.35772</v>
      </c>
      <c r="C139" s="67">
        <f>B139*DEMANDA!$B$9</f>
        <v>177.86132</v>
      </c>
      <c r="D139" s="67">
        <f aca="true" t="shared" si="5" ref="D139:D169">C139*12</f>
        <v>2134.33584</v>
      </c>
      <c r="E139" s="65"/>
    </row>
    <row r="140" spans="1:5" ht="11.25">
      <c r="A140" s="66" t="s">
        <v>1355</v>
      </c>
      <c r="B140" s="67">
        <f>'DETALLADO DE MATERIA PRIMA'!K701</f>
        <v>1.8704999999999998</v>
      </c>
      <c r="C140" s="67">
        <f>B140*DEMANDA!$B$9</f>
        <v>245.03549999999998</v>
      </c>
      <c r="D140" s="67">
        <f t="shared" si="5"/>
        <v>2940.426</v>
      </c>
      <c r="E140" s="65"/>
    </row>
    <row r="141" spans="1:5" ht="11.25">
      <c r="A141" s="66" t="s">
        <v>1356</v>
      </c>
      <c r="B141" s="67">
        <f>'DETALLADO DE MATERIA PRIMA'!K704</f>
        <v>0.6346666666666667</v>
      </c>
      <c r="C141" s="67">
        <f>B141*DEMANDA!$B$9</f>
        <v>83.14133333333334</v>
      </c>
      <c r="D141" s="67">
        <f t="shared" si="5"/>
        <v>997.696</v>
      </c>
      <c r="E141" s="65"/>
    </row>
    <row r="142" spans="1:5" ht="11.25">
      <c r="A142" s="66" t="s">
        <v>1357</v>
      </c>
      <c r="B142" s="67">
        <f>'DETALLADO DE MATERIA PRIMA'!K706</f>
        <v>0.15999999999999998</v>
      </c>
      <c r="C142" s="67">
        <f>B142*DEMANDA!$B$9</f>
        <v>20.959999999999997</v>
      </c>
      <c r="D142" s="67">
        <f t="shared" si="5"/>
        <v>251.51999999999998</v>
      </c>
      <c r="E142" s="65"/>
    </row>
    <row r="143" spans="1:5" ht="11.25">
      <c r="A143" s="66" t="s">
        <v>1358</v>
      </c>
      <c r="B143" s="67">
        <f>'DETALLADO DE MATERIA PRIMA'!K708</f>
        <v>0.018</v>
      </c>
      <c r="C143" s="67">
        <f>B143*DEMANDA!$B$9</f>
        <v>2.3579999999999997</v>
      </c>
      <c r="D143" s="67">
        <f t="shared" si="5"/>
        <v>28.295999999999996</v>
      </c>
      <c r="E143" s="65"/>
    </row>
    <row r="144" spans="1:5" ht="11.25">
      <c r="A144" s="66" t="s">
        <v>1359</v>
      </c>
      <c r="B144" s="67">
        <f>'DETALLADO DE MATERIA PRIMA'!K716</f>
        <v>2.4117333333333333</v>
      </c>
      <c r="C144" s="67">
        <f>B144*DEMANDA!$B$9</f>
        <v>315.9370666666667</v>
      </c>
      <c r="D144" s="67">
        <f t="shared" si="5"/>
        <v>3791.2448000000004</v>
      </c>
      <c r="E144" s="65"/>
    </row>
    <row r="145" spans="1:5" ht="11.25">
      <c r="A145" s="66" t="s">
        <v>1360</v>
      </c>
      <c r="B145" s="67">
        <f>'DETALLADO DE MATERIA PRIMA'!K718</f>
        <v>2.8125</v>
      </c>
      <c r="C145" s="67">
        <f>B145*DEMANDA!$B$9</f>
        <v>368.4375</v>
      </c>
      <c r="D145" s="67">
        <f t="shared" si="5"/>
        <v>4421.25</v>
      </c>
      <c r="E145" s="65"/>
    </row>
    <row r="146" spans="1:5" ht="11.25">
      <c r="A146" s="66" t="s">
        <v>1361</v>
      </c>
      <c r="B146" s="67">
        <f>'DETALLADO DE MATERIA PRIMA'!K722</f>
        <v>0.0011250000000000001</v>
      </c>
      <c r="C146" s="67">
        <f>B146*DEMANDA!$B$9</f>
        <v>0.147375</v>
      </c>
      <c r="D146" s="67">
        <f t="shared" si="5"/>
        <v>1.7685</v>
      </c>
      <c r="E146" s="65"/>
    </row>
    <row r="147" spans="1:5" ht="11.25">
      <c r="A147" s="66" t="s">
        <v>1362</v>
      </c>
      <c r="B147" s="67">
        <f>'DETALLADO DE MATERIA PRIMA'!K726</f>
        <v>0.448</v>
      </c>
      <c r="C147" s="67">
        <f>B147*DEMANDA!$B$9</f>
        <v>58.688</v>
      </c>
      <c r="D147" s="67">
        <f t="shared" si="5"/>
        <v>704.2560000000001</v>
      </c>
      <c r="E147" s="65"/>
    </row>
    <row r="148" spans="1:5" ht="11.25">
      <c r="A148" s="66" t="s">
        <v>1363</v>
      </c>
      <c r="B148" s="67">
        <f>'DETALLADO DE MATERIA PRIMA'!K772</f>
        <v>0.004861999999999999</v>
      </c>
      <c r="C148" s="67">
        <f>B148*DEMANDA!$B$9</f>
        <v>0.6369219999999999</v>
      </c>
      <c r="D148" s="67">
        <f t="shared" si="5"/>
        <v>7.643063999999999</v>
      </c>
      <c r="E148" s="65"/>
    </row>
    <row r="149" spans="1:5" ht="11.25">
      <c r="A149" s="66" t="s">
        <v>1364</v>
      </c>
      <c r="B149" s="67">
        <f>'DETALLADO DE MATERIA PRIMA'!K774</f>
        <v>0.006666666666666667</v>
      </c>
      <c r="C149" s="67">
        <f>B149*DEMANDA!$B$9</f>
        <v>0.8733333333333334</v>
      </c>
      <c r="D149" s="67">
        <f t="shared" si="5"/>
        <v>10.48</v>
      </c>
      <c r="E149" s="65"/>
    </row>
    <row r="150" spans="1:5" ht="11.25">
      <c r="A150" s="66" t="s">
        <v>1365</v>
      </c>
      <c r="B150" s="67">
        <f>'DETALLADO DE MATERIA PRIMA'!K779</f>
        <v>0.1206</v>
      </c>
      <c r="C150" s="67">
        <f>B150*DEMANDA!$B$9</f>
        <v>15.7986</v>
      </c>
      <c r="D150" s="67">
        <f t="shared" si="5"/>
        <v>189.5832</v>
      </c>
      <c r="E150" s="65"/>
    </row>
    <row r="151" spans="1:5" ht="11.25">
      <c r="A151" s="66" t="s">
        <v>1366</v>
      </c>
      <c r="B151" s="67">
        <f>'DETALLADO DE MATERIA PRIMA'!K783</f>
        <v>0.5147999999999999</v>
      </c>
      <c r="C151" s="67">
        <f>B151*DEMANDA!$B$9</f>
        <v>67.43879999999999</v>
      </c>
      <c r="D151" s="67">
        <f t="shared" si="5"/>
        <v>809.2655999999998</v>
      </c>
      <c r="E151" s="65"/>
    </row>
    <row r="152" spans="1:5" ht="11.25">
      <c r="A152" s="66" t="s">
        <v>1398</v>
      </c>
      <c r="B152" s="67">
        <f>'DETALLADO DE MATERIA PRIMA'!K776</f>
        <v>0.03</v>
      </c>
      <c r="C152" s="67">
        <f>B152*DEMANDA!$B$9</f>
        <v>3.9299999999999997</v>
      </c>
      <c r="D152" s="67">
        <f t="shared" si="5"/>
        <v>47.16</v>
      </c>
      <c r="E152" s="65"/>
    </row>
    <row r="153" spans="1:5" ht="11.25">
      <c r="A153" s="66" t="s">
        <v>1367</v>
      </c>
      <c r="B153" s="67">
        <f>'DETALLADO DE MATERIA PRIMA'!K785</f>
        <v>0.000125</v>
      </c>
      <c r="C153" s="67">
        <f>B153*DEMANDA!$B$9</f>
        <v>0.016375</v>
      </c>
      <c r="D153" s="67">
        <f t="shared" si="5"/>
        <v>0.1965</v>
      </c>
      <c r="E153" s="65"/>
    </row>
    <row r="154" spans="1:5" ht="11.25">
      <c r="A154" s="66" t="s">
        <v>1368</v>
      </c>
      <c r="B154" s="67">
        <f>'DETALLADO DE MATERIA PRIMA'!K787</f>
        <v>0.15600000000000003</v>
      </c>
      <c r="C154" s="67">
        <f>B154*DEMANDA!$B$9</f>
        <v>20.436000000000003</v>
      </c>
      <c r="D154" s="67">
        <f t="shared" si="5"/>
        <v>245.23200000000003</v>
      </c>
      <c r="E154" s="65"/>
    </row>
    <row r="155" spans="1:5" ht="11.25">
      <c r="A155" s="66" t="s">
        <v>1369</v>
      </c>
      <c r="B155" s="67">
        <f>'DETALLADO DE MATERIA PRIMA'!K790</f>
        <v>2.0543500000000003</v>
      </c>
      <c r="C155" s="67">
        <f>B155*DEMANDA!$B$9</f>
        <v>269.11985000000004</v>
      </c>
      <c r="D155" s="67">
        <f t="shared" si="5"/>
        <v>3229.4382000000005</v>
      </c>
      <c r="E155" s="65"/>
    </row>
    <row r="156" spans="1:5" ht="11.25">
      <c r="A156" s="66" t="s">
        <v>1370</v>
      </c>
      <c r="B156" s="67">
        <f>'DETALLADO DE MATERIA PRIMA'!K794</f>
        <v>1.6734375</v>
      </c>
      <c r="C156" s="67">
        <f>B156*DEMANDA!$B$9</f>
        <v>219.22031249999998</v>
      </c>
      <c r="D156" s="67">
        <f t="shared" si="5"/>
        <v>2630.6437499999997</v>
      </c>
      <c r="E156" s="65"/>
    </row>
    <row r="157" spans="1:5" ht="11.25">
      <c r="A157" s="66" t="s">
        <v>1371</v>
      </c>
      <c r="B157" s="67">
        <f>'DETALLADO DE MATERIA PRIMA'!K812</f>
        <v>1.4114250000000004</v>
      </c>
      <c r="C157" s="67">
        <f>B157*DEMANDA!$B$9</f>
        <v>184.89667500000004</v>
      </c>
      <c r="D157" s="67">
        <f t="shared" si="5"/>
        <v>2218.7601000000004</v>
      </c>
      <c r="E157" s="65"/>
    </row>
    <row r="158" spans="1:5" ht="11.25">
      <c r="A158" s="66" t="s">
        <v>1372</v>
      </c>
      <c r="B158" s="67">
        <f>'DETALLADO DE MATERIA PRIMA'!K815</f>
        <v>0.09635416666666667</v>
      </c>
      <c r="C158" s="67">
        <f>B158*DEMANDA!$B$9</f>
        <v>12.622395833333334</v>
      </c>
      <c r="D158" s="67">
        <f t="shared" si="5"/>
        <v>151.46875</v>
      </c>
      <c r="E158" s="65"/>
    </row>
    <row r="159" spans="1:5" ht="11.25">
      <c r="A159" s="66" t="s">
        <v>1373</v>
      </c>
      <c r="B159" s="67">
        <f>'DETALLADO DE MATERIA PRIMA'!K821</f>
        <v>0.0008812499999999999</v>
      </c>
      <c r="C159" s="67">
        <f>B159*DEMANDA!$B$9</f>
        <v>0.11544374999999998</v>
      </c>
      <c r="D159" s="67">
        <f t="shared" si="5"/>
        <v>1.385325</v>
      </c>
      <c r="E159" s="65"/>
    </row>
    <row r="160" spans="1:5" ht="11.25">
      <c r="A160" s="66" t="s">
        <v>1374</v>
      </c>
      <c r="B160" s="67">
        <f>'DETALLADO DE MATERIA PRIMA'!K828</f>
        <v>0.57</v>
      </c>
      <c r="C160" s="67">
        <f>B160*DEMANDA!$B$9</f>
        <v>74.66999999999999</v>
      </c>
      <c r="D160" s="67">
        <f t="shared" si="5"/>
        <v>896.0399999999998</v>
      </c>
      <c r="E160" s="65"/>
    </row>
    <row r="161" spans="1:5" ht="11.25">
      <c r="A161" s="66" t="s">
        <v>1375</v>
      </c>
      <c r="B161" s="67">
        <f>'DETALLADO DE MATERIA PRIMA'!K831</f>
        <v>0.20339999999999997</v>
      </c>
      <c r="C161" s="67">
        <f>B161*DEMANDA!$B$9</f>
        <v>26.645399999999995</v>
      </c>
      <c r="D161" s="67">
        <f t="shared" si="5"/>
        <v>319.74479999999994</v>
      </c>
      <c r="E161" s="65"/>
    </row>
    <row r="162" spans="1:5" ht="11.25">
      <c r="A162" s="66" t="s">
        <v>1376</v>
      </c>
      <c r="B162" s="67">
        <f>'DETALLADO DE MATERIA PRIMA'!K834</f>
        <v>0.335</v>
      </c>
      <c r="C162" s="67">
        <f>B162*DEMANDA!$B$9</f>
        <v>43.885000000000005</v>
      </c>
      <c r="D162" s="67">
        <f t="shared" si="5"/>
        <v>526.6200000000001</v>
      </c>
      <c r="E162" s="65"/>
    </row>
    <row r="163" spans="1:5" ht="11.25">
      <c r="A163" s="66" t="s">
        <v>1377</v>
      </c>
      <c r="B163" s="67">
        <f>'DETALLADO DE MATERIA PRIMA'!K839</f>
        <v>0.07087500000000001</v>
      </c>
      <c r="C163" s="67">
        <f>B163*DEMANDA!$B$9</f>
        <v>9.284625</v>
      </c>
      <c r="D163" s="67">
        <f t="shared" si="5"/>
        <v>111.41550000000001</v>
      </c>
      <c r="E163" s="65"/>
    </row>
    <row r="164" spans="1:5" ht="11.25">
      <c r="A164" s="66" t="s">
        <v>1378</v>
      </c>
      <c r="B164" s="67">
        <f>'DETALLADO DE MATERIA PRIMA'!K842</f>
        <v>0.1026</v>
      </c>
      <c r="C164" s="67">
        <f>B164*DEMANDA!$B$9</f>
        <v>13.4406</v>
      </c>
      <c r="D164" s="67">
        <f t="shared" si="5"/>
        <v>161.28719999999998</v>
      </c>
      <c r="E164" s="65"/>
    </row>
    <row r="165" spans="1:5" ht="11.25">
      <c r="A165" s="66" t="s">
        <v>1379</v>
      </c>
      <c r="B165" s="67">
        <f>'DETALLADO DE MATERIA PRIMA'!K846</f>
        <v>0.216</v>
      </c>
      <c r="C165" s="67">
        <f>B165*DEMANDA!$B$9</f>
        <v>28.296</v>
      </c>
      <c r="D165" s="67">
        <f t="shared" si="5"/>
        <v>339.552</v>
      </c>
      <c r="E165" s="65"/>
    </row>
    <row r="166" spans="1:5" ht="11.25">
      <c r="A166" s="66" t="s">
        <v>1400</v>
      </c>
      <c r="B166" s="67">
        <f>'DETALLADO DE MATERIA PRIMA'!K856</f>
        <v>0.2586458333333333</v>
      </c>
      <c r="C166" s="67">
        <f>B166*DEMANDA!$B$9</f>
        <v>33.88260416666666</v>
      </c>
      <c r="D166" s="67">
        <f t="shared" si="5"/>
        <v>406.59124999999995</v>
      </c>
      <c r="E166" s="65"/>
    </row>
    <row r="167" spans="1:5" ht="11.25">
      <c r="A167" s="66" t="s">
        <v>1401</v>
      </c>
      <c r="B167" s="67">
        <f>'DETALLADO DE MATERIA PRIMA'!K864</f>
        <v>0.462578125</v>
      </c>
      <c r="C167" s="67">
        <f>B167*DEMANDA!$B$9</f>
        <v>60.597734375</v>
      </c>
      <c r="D167" s="67">
        <f t="shared" si="5"/>
        <v>727.1728125</v>
      </c>
      <c r="E167" s="65"/>
    </row>
    <row r="168" spans="1:5" ht="11.25">
      <c r="A168" s="66" t="s">
        <v>1380</v>
      </c>
      <c r="B168" s="67">
        <f>'DETALLADO DE MATERIA PRIMA'!K870</f>
        <v>0.20625</v>
      </c>
      <c r="C168" s="67">
        <f>B168*DEMANDA!$B$9</f>
        <v>27.018749999999997</v>
      </c>
      <c r="D168" s="67">
        <f t="shared" si="5"/>
        <v>324.22499999999997</v>
      </c>
      <c r="E168" s="65"/>
    </row>
    <row r="169" spans="1:5" ht="11.25">
      <c r="A169" s="66" t="s">
        <v>1381</v>
      </c>
      <c r="B169" s="67">
        <f>'DETALLADO DE MATERIA PRIMA'!K873</f>
        <v>0.09156</v>
      </c>
      <c r="C169" s="67">
        <f>B169*DEMANDA!$B$9</f>
        <v>11.99436</v>
      </c>
      <c r="D169" s="67">
        <f t="shared" si="5"/>
        <v>143.93232</v>
      </c>
      <c r="E169" s="65"/>
    </row>
    <row r="170" spans="1:5" ht="11.25">
      <c r="A170" s="96" t="s">
        <v>411</v>
      </c>
      <c r="B170" s="68">
        <f>SUM(B12:B169)</f>
        <v>97.73910834166661</v>
      </c>
      <c r="C170" s="68">
        <f>(B170*DEMANDA!$B$9)/2</f>
        <v>6401.911596379163</v>
      </c>
      <c r="D170" s="68">
        <f>SUM(D12:D169)</f>
        <v>153645.8783131</v>
      </c>
      <c r="E170" s="65"/>
    </row>
  </sheetData>
  <sheetProtection/>
  <mergeCells count="4">
    <mergeCell ref="F10:N10"/>
    <mergeCell ref="A1:B1"/>
    <mergeCell ref="F17:J17"/>
    <mergeCell ref="A10:D10"/>
  </mergeCell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L35"/>
  <sheetViews>
    <sheetView zoomScalePageLayoutView="0" workbookViewId="0" topLeftCell="A1">
      <selection activeCell="E13" sqref="E13"/>
    </sheetView>
  </sheetViews>
  <sheetFormatPr defaultColWidth="11.421875" defaultRowHeight="15"/>
  <cols>
    <col min="1" max="1" width="39.421875" style="101" customWidth="1"/>
    <col min="2" max="2" width="13.421875" style="100" customWidth="1"/>
    <col min="3" max="3" width="14.00390625" style="100" customWidth="1"/>
    <col min="4" max="4" width="17.8515625" style="100" customWidth="1"/>
    <col min="5" max="5" width="13.8515625" style="100" customWidth="1"/>
    <col min="6" max="6" width="33.140625" style="100" customWidth="1"/>
    <col min="7" max="7" width="14.57421875" style="100" customWidth="1"/>
    <col min="8" max="8" width="17.421875" style="100" customWidth="1"/>
    <col min="9" max="9" width="9.421875" style="100" customWidth="1"/>
    <col min="10" max="10" width="8.8515625" style="100" customWidth="1"/>
    <col min="11" max="11" width="11.57421875" style="101" customWidth="1"/>
    <col min="12" max="12" width="9.140625" style="101" customWidth="1"/>
    <col min="13" max="13" width="9.57421875" style="101" customWidth="1"/>
    <col min="14" max="16384" width="11.421875" style="101" customWidth="1"/>
  </cols>
  <sheetData>
    <row r="1" spans="1:10" ht="12.75" customHeight="1">
      <c r="A1" s="71" t="s">
        <v>437</v>
      </c>
      <c r="B1" s="71" t="s">
        <v>438</v>
      </c>
      <c r="D1" s="350" t="s">
        <v>453</v>
      </c>
      <c r="E1" s="350"/>
      <c r="H1" s="101"/>
      <c r="I1" s="101"/>
      <c r="J1" s="101"/>
    </row>
    <row r="2" spans="1:10" ht="22.5">
      <c r="A2" s="72" t="s">
        <v>416</v>
      </c>
      <c r="B2" s="73">
        <v>0.1115</v>
      </c>
      <c r="D2" s="75" t="s">
        <v>454</v>
      </c>
      <c r="E2" s="102">
        <v>500</v>
      </c>
      <c r="G2" s="103"/>
      <c r="H2" s="101"/>
      <c r="I2" s="101"/>
      <c r="J2" s="101"/>
    </row>
    <row r="3" spans="1:10" ht="25.5" customHeight="1">
      <c r="A3" s="72" t="s">
        <v>405</v>
      </c>
      <c r="B3" s="74">
        <f>1.2</f>
        <v>1.2</v>
      </c>
      <c r="D3" s="75" t="s">
        <v>314</v>
      </c>
      <c r="E3" s="102">
        <f>B34+D34</f>
        <v>1564.9</v>
      </c>
      <c r="H3" s="101"/>
      <c r="I3" s="101"/>
      <c r="J3" s="101"/>
    </row>
    <row r="4" spans="1:10" ht="10.5" customHeight="1">
      <c r="A4" s="72" t="s">
        <v>414</v>
      </c>
      <c r="B4" s="75">
        <v>24</v>
      </c>
      <c r="D4" s="75" t="s">
        <v>431</v>
      </c>
      <c r="E4" s="102">
        <f>INVERSIONES!D11</f>
        <v>70</v>
      </c>
      <c r="H4" s="101"/>
      <c r="I4" s="101"/>
      <c r="J4" s="101"/>
    </row>
    <row r="5" spans="1:10" ht="11.25">
      <c r="A5" s="72" t="s">
        <v>427</v>
      </c>
      <c r="B5" s="76">
        <v>0.1</v>
      </c>
      <c r="D5" s="75" t="s">
        <v>459</v>
      </c>
      <c r="E5" s="102">
        <f>I30+K30</f>
        <v>2775.75</v>
      </c>
      <c r="H5" s="101"/>
      <c r="I5" s="101"/>
      <c r="J5" s="101"/>
    </row>
    <row r="6" spans="1:10" ht="11.25">
      <c r="A6" s="72" t="s">
        <v>483</v>
      </c>
      <c r="B6" s="74">
        <f>E6/10</f>
        <v>491.06499999999994</v>
      </c>
      <c r="D6" s="71" t="s">
        <v>411</v>
      </c>
      <c r="E6" s="156">
        <f>SUM(E2:E5)</f>
        <v>4910.65</v>
      </c>
      <c r="H6" s="101"/>
      <c r="I6" s="101"/>
      <c r="J6" s="101"/>
    </row>
    <row r="7" ht="11.25"/>
    <row r="8" spans="1:9" ht="14.25" customHeight="1">
      <c r="A8" s="351" t="s">
        <v>422</v>
      </c>
      <c r="B8" s="351"/>
      <c r="C8" s="351"/>
      <c r="D8" s="351"/>
      <c r="E8" s="351"/>
      <c r="F8" s="351"/>
      <c r="G8" s="351"/>
      <c r="H8" s="351"/>
      <c r="I8" s="351"/>
    </row>
    <row r="9" spans="1:12" ht="24.75" customHeight="1">
      <c r="A9" s="71" t="s">
        <v>423</v>
      </c>
      <c r="B9" s="71" t="s">
        <v>500</v>
      </c>
      <c r="C9" s="71" t="s">
        <v>424</v>
      </c>
      <c r="D9" s="71" t="s">
        <v>427</v>
      </c>
      <c r="E9" s="71" t="s">
        <v>432</v>
      </c>
      <c r="F9" s="71" t="s">
        <v>239</v>
      </c>
      <c r="G9" s="71" t="s">
        <v>433</v>
      </c>
      <c r="H9" s="71" t="s">
        <v>238</v>
      </c>
      <c r="I9" s="71" t="s">
        <v>434</v>
      </c>
      <c r="K9" s="100"/>
      <c r="L9" s="100"/>
    </row>
    <row r="10" spans="1:12" ht="11.25">
      <c r="A10" s="72" t="s">
        <v>426</v>
      </c>
      <c r="B10" s="168">
        <v>0.2</v>
      </c>
      <c r="C10" s="74">
        <f>INVERSIONES!D5</f>
        <v>780</v>
      </c>
      <c r="D10" s="74">
        <f>$B$5*C10</f>
        <v>78</v>
      </c>
      <c r="E10" s="74">
        <f>(C10-D10)*B10</f>
        <v>140.4</v>
      </c>
      <c r="F10" s="74"/>
      <c r="G10" s="74">
        <f>E10*5</f>
        <v>702</v>
      </c>
      <c r="H10" s="74"/>
      <c r="I10" s="74">
        <f>C10-(SUM(F10:H10))</f>
        <v>78</v>
      </c>
      <c r="K10" s="100"/>
      <c r="L10" s="100"/>
    </row>
    <row r="11" spans="1:12" ht="11.25">
      <c r="A11" s="72" t="s">
        <v>290</v>
      </c>
      <c r="B11" s="168">
        <v>0.1</v>
      </c>
      <c r="C11" s="74">
        <f>INVERSIONES!D46+INVERSIONES!I35</f>
        <v>7304.24</v>
      </c>
      <c r="D11" s="74">
        <f>$B$5*C11</f>
        <v>730.424</v>
      </c>
      <c r="E11" s="74">
        <f>(C11-D11)*B11</f>
        <v>657.3816</v>
      </c>
      <c r="F11" s="74"/>
      <c r="G11" s="74"/>
      <c r="H11" s="74">
        <f>E11*10</f>
        <v>6573.816000000001</v>
      </c>
      <c r="I11" s="74">
        <f>C11-(SUM(F11:H11))</f>
        <v>730.4239999999991</v>
      </c>
      <c r="K11" s="100"/>
      <c r="L11" s="100"/>
    </row>
    <row r="12" spans="1:12" ht="12.75" customHeight="1">
      <c r="A12" s="72" t="s">
        <v>293</v>
      </c>
      <c r="B12" s="168">
        <v>0.33</v>
      </c>
      <c r="C12" s="74">
        <f>INVERSIONES!I12</f>
        <v>2244</v>
      </c>
      <c r="D12" s="74">
        <f>$B$5*C12</f>
        <v>224.4</v>
      </c>
      <c r="E12" s="74">
        <f>(C12-D12)*B12</f>
        <v>666.468</v>
      </c>
      <c r="F12" s="74">
        <f>E12*3</f>
        <v>1999.404</v>
      </c>
      <c r="G12" s="74"/>
      <c r="H12" s="74"/>
      <c r="I12" s="74">
        <f>C12-(SUM(F12:H12))</f>
        <v>244.596</v>
      </c>
      <c r="K12" s="100"/>
      <c r="L12" s="100"/>
    </row>
    <row r="13" spans="1:12" ht="11.25">
      <c r="A13" s="72" t="s">
        <v>291</v>
      </c>
      <c r="B13" s="168">
        <v>0.2</v>
      </c>
      <c r="C13" s="74">
        <f>INVERSIONES!I4</f>
        <v>4800</v>
      </c>
      <c r="D13" s="74">
        <f>$B$5*C13</f>
        <v>480</v>
      </c>
      <c r="E13" s="74">
        <f>(C13-D13)*B13</f>
        <v>864</v>
      </c>
      <c r="F13" s="74"/>
      <c r="G13" s="74">
        <f>E13*5</f>
        <v>4320</v>
      </c>
      <c r="H13" s="74"/>
      <c r="I13" s="74">
        <f>C13-(SUM(F13:H13))</f>
        <v>480</v>
      </c>
      <c r="K13" s="100"/>
      <c r="L13" s="100"/>
    </row>
    <row r="14" spans="1:12" ht="11.25">
      <c r="A14" s="105"/>
      <c r="B14" s="71" t="s">
        <v>411</v>
      </c>
      <c r="C14" s="104">
        <f aca="true" t="shared" si="0" ref="C14:I14">SUM(C10:C13)</f>
        <v>15128.24</v>
      </c>
      <c r="D14" s="104">
        <f t="shared" si="0"/>
        <v>1512.824</v>
      </c>
      <c r="E14" s="104">
        <f t="shared" si="0"/>
        <v>2328.2496</v>
      </c>
      <c r="F14" s="104">
        <f t="shared" si="0"/>
        <v>1999.404</v>
      </c>
      <c r="G14" s="104">
        <f t="shared" si="0"/>
        <v>5022</v>
      </c>
      <c r="H14" s="104">
        <f t="shared" si="0"/>
        <v>6573.816000000001</v>
      </c>
      <c r="I14" s="104">
        <f t="shared" si="0"/>
        <v>1533.019999999999</v>
      </c>
      <c r="K14" s="100"/>
      <c r="L14" s="100"/>
    </row>
    <row r="15" ht="11.25"/>
    <row r="16" spans="1:10" ht="12.75" customHeight="1">
      <c r="A16" s="350" t="s">
        <v>241</v>
      </c>
      <c r="B16" s="350"/>
      <c r="C16" s="350"/>
      <c r="D16" s="350"/>
      <c r="E16" s="350"/>
      <c r="F16" s="350"/>
      <c r="G16" s="350"/>
      <c r="H16" s="350"/>
      <c r="I16" s="350"/>
      <c r="J16" s="101"/>
    </row>
    <row r="17" spans="1:9" ht="26.25" customHeight="1">
      <c r="A17" s="71" t="s">
        <v>401</v>
      </c>
      <c r="B17" s="71" t="s">
        <v>99</v>
      </c>
      <c r="C17" s="71" t="s">
        <v>409</v>
      </c>
      <c r="D17" s="71" t="s">
        <v>405</v>
      </c>
      <c r="E17" s="71" t="s">
        <v>402</v>
      </c>
      <c r="F17" s="71" t="s">
        <v>403</v>
      </c>
      <c r="G17" s="71" t="s">
        <v>404</v>
      </c>
      <c r="H17" s="71" t="s">
        <v>413</v>
      </c>
      <c r="I17" s="71" t="s">
        <v>410</v>
      </c>
    </row>
    <row r="18" spans="1:9" ht="11.25">
      <c r="A18" s="72" t="s">
        <v>435</v>
      </c>
      <c r="B18" s="75">
        <v>1</v>
      </c>
      <c r="C18" s="74">
        <v>800</v>
      </c>
      <c r="D18" s="74">
        <f>$B$4*$B$3</f>
        <v>28.799999999999997</v>
      </c>
      <c r="E18" s="74">
        <f>$B$2*C18</f>
        <v>89.2</v>
      </c>
      <c r="F18" s="74">
        <f>(C18*12)/12</f>
        <v>800</v>
      </c>
      <c r="G18" s="74">
        <v>218</v>
      </c>
      <c r="H18" s="74">
        <f>SUM(C18:E18)*B18</f>
        <v>918</v>
      </c>
      <c r="I18" s="74">
        <f>(H18*12)+(SUM(F18:G18))</f>
        <v>12034</v>
      </c>
    </row>
    <row r="19" spans="1:9" ht="12.75" customHeight="1">
      <c r="A19" s="106" t="s">
        <v>436</v>
      </c>
      <c r="B19" s="4">
        <v>4</v>
      </c>
      <c r="C19" s="74">
        <v>250</v>
      </c>
      <c r="D19" s="74">
        <f>$B$4*$B$3</f>
        <v>28.799999999999997</v>
      </c>
      <c r="E19" s="74">
        <f>$B$2*C19</f>
        <v>27.875</v>
      </c>
      <c r="F19" s="74">
        <f>(C19*12)/12</f>
        <v>250</v>
      </c>
      <c r="G19" s="74">
        <v>218</v>
      </c>
      <c r="H19" s="74">
        <f>SUM(C19:E19)*B19</f>
        <v>1226.7</v>
      </c>
      <c r="I19" s="74">
        <f>(H19*12)+(SUM(F19:G19))</f>
        <v>15188.400000000001</v>
      </c>
    </row>
    <row r="20" spans="1:9" ht="15" customHeight="1">
      <c r="A20" s="106" t="s">
        <v>240</v>
      </c>
      <c r="B20" s="4">
        <v>1</v>
      </c>
      <c r="C20" s="74">
        <v>180</v>
      </c>
      <c r="D20" s="74">
        <f>$B$4*$B$3</f>
        <v>28.799999999999997</v>
      </c>
      <c r="E20" s="74">
        <f>$B$2*C20</f>
        <v>20.07</v>
      </c>
      <c r="F20" s="74">
        <f>(C20*12)/12</f>
        <v>180</v>
      </c>
      <c r="G20" s="74">
        <v>218</v>
      </c>
      <c r="H20" s="74">
        <f>SUM(C20:E20)*B20</f>
        <v>228.87</v>
      </c>
      <c r="I20" s="74">
        <f>(H20*12)+(SUM(F20:G20))</f>
        <v>3144.44</v>
      </c>
    </row>
    <row r="21" spans="1:9" ht="11.25">
      <c r="A21" s="106" t="s">
        <v>100</v>
      </c>
      <c r="B21" s="4">
        <v>1</v>
      </c>
      <c r="C21" s="74">
        <v>300</v>
      </c>
      <c r="D21" s="74">
        <f>$B$4*$B$3</f>
        <v>28.799999999999997</v>
      </c>
      <c r="E21" s="74">
        <f>$B$2*C21</f>
        <v>33.45</v>
      </c>
      <c r="F21" s="74">
        <f>(C21*12)/12</f>
        <v>300</v>
      </c>
      <c r="G21" s="74">
        <v>218</v>
      </c>
      <c r="H21" s="74">
        <f>SUM(C21:E21)*B21</f>
        <v>362.25</v>
      </c>
      <c r="I21" s="74">
        <f>(H21*12)+(SUM(F21:G21))</f>
        <v>4865</v>
      </c>
    </row>
    <row r="22" spans="1:9" ht="12.75" customHeight="1">
      <c r="A22" s="106" t="s">
        <v>98</v>
      </c>
      <c r="B22" s="4">
        <v>1</v>
      </c>
      <c r="C22" s="74">
        <v>200</v>
      </c>
      <c r="D22" s="74">
        <f>$B$4*$B$3</f>
        <v>28.799999999999997</v>
      </c>
      <c r="E22" s="74">
        <f>$B$2*C22</f>
        <v>22.3</v>
      </c>
      <c r="F22" s="74">
        <f>(C22*12)/12</f>
        <v>200</v>
      </c>
      <c r="G22" s="74">
        <v>218</v>
      </c>
      <c r="H22" s="74">
        <f>SUM(C22:E22)*B22</f>
        <v>251.10000000000002</v>
      </c>
      <c r="I22" s="74">
        <f>(H22*12)+(SUM(F22:G22))</f>
        <v>3431.2000000000003</v>
      </c>
    </row>
    <row r="23" spans="1:11" ht="11.25">
      <c r="A23" s="71" t="s">
        <v>411</v>
      </c>
      <c r="B23" s="71">
        <f>SUM(B18:B22)</f>
        <v>8</v>
      </c>
      <c r="C23" s="104">
        <f>SUM(C18:C22)</f>
        <v>1730</v>
      </c>
      <c r="D23" s="104">
        <f aca="true" t="shared" si="1" ref="D23:I23">SUM(D18:D22)</f>
        <v>144</v>
      </c>
      <c r="E23" s="104">
        <f t="shared" si="1"/>
        <v>192.89500000000004</v>
      </c>
      <c r="F23" s="104">
        <f t="shared" si="1"/>
        <v>1730</v>
      </c>
      <c r="G23" s="104">
        <f t="shared" si="1"/>
        <v>1090</v>
      </c>
      <c r="H23" s="104">
        <f t="shared" si="1"/>
        <v>2986.9199999999996</v>
      </c>
      <c r="I23" s="104">
        <f t="shared" si="1"/>
        <v>38663.03999999999</v>
      </c>
      <c r="K23" s="100"/>
    </row>
    <row r="24" ht="11.25"/>
    <row r="25" spans="1:11" ht="11.25">
      <c r="A25" s="349" t="s">
        <v>903</v>
      </c>
      <c r="B25" s="350"/>
      <c r="C25" s="350"/>
      <c r="D25" s="350"/>
      <c r="F25" s="352" t="s">
        <v>457</v>
      </c>
      <c r="G25" s="325"/>
      <c r="H25" s="325"/>
      <c r="I25" s="325"/>
      <c r="J25" s="325"/>
      <c r="K25" s="326"/>
    </row>
    <row r="26" spans="1:11" ht="25.5" customHeight="1">
      <c r="A26" s="71" t="s">
        <v>412</v>
      </c>
      <c r="B26" s="71" t="s">
        <v>419</v>
      </c>
      <c r="C26" s="71" t="s">
        <v>410</v>
      </c>
      <c r="D26" s="71" t="s">
        <v>242</v>
      </c>
      <c r="F26" s="107" t="s">
        <v>398</v>
      </c>
      <c r="G26" s="71" t="s">
        <v>399</v>
      </c>
      <c r="H26" s="71" t="s">
        <v>400</v>
      </c>
      <c r="I26" s="71" t="s">
        <v>413</v>
      </c>
      <c r="J26" s="71" t="s">
        <v>410</v>
      </c>
      <c r="K26" s="71" t="s">
        <v>242</v>
      </c>
    </row>
    <row r="27" spans="1:11" ht="32.25" customHeight="1">
      <c r="A27" s="72" t="s">
        <v>415</v>
      </c>
      <c r="B27" s="74">
        <v>120</v>
      </c>
      <c r="C27" s="74">
        <f aca="true" t="shared" si="2" ref="C27:C33">B27*12</f>
        <v>1440</v>
      </c>
      <c r="D27" s="75"/>
      <c r="F27" s="169" t="s">
        <v>878</v>
      </c>
      <c r="G27" s="75">
        <v>3</v>
      </c>
      <c r="H27" s="74">
        <v>850</v>
      </c>
      <c r="I27" s="74">
        <f>H27*G27</f>
        <v>2550</v>
      </c>
      <c r="J27" s="74">
        <f>I27*12</f>
        <v>30600</v>
      </c>
      <c r="K27" s="74"/>
    </row>
    <row r="28" spans="1:11" ht="23.25" customHeight="1">
      <c r="A28" s="72" t="s">
        <v>418</v>
      </c>
      <c r="B28" s="74">
        <v>60</v>
      </c>
      <c r="C28" s="74">
        <f t="shared" si="2"/>
        <v>720</v>
      </c>
      <c r="D28" s="75"/>
      <c r="F28" s="169" t="s">
        <v>879</v>
      </c>
      <c r="G28" s="171">
        <v>2500</v>
      </c>
      <c r="H28" s="170">
        <v>0.0423</v>
      </c>
      <c r="I28" s="74">
        <f>H28*G28</f>
        <v>105.75</v>
      </c>
      <c r="J28" s="74">
        <f>I28*12</f>
        <v>1269</v>
      </c>
      <c r="K28" s="79"/>
    </row>
    <row r="29" spans="1:11" ht="11.25">
      <c r="A29" s="72" t="s">
        <v>417</v>
      </c>
      <c r="B29" s="74">
        <v>69.9</v>
      </c>
      <c r="C29" s="74">
        <f t="shared" si="2"/>
        <v>838.8000000000001</v>
      </c>
      <c r="D29" s="75"/>
      <c r="F29" s="77" t="s">
        <v>458</v>
      </c>
      <c r="G29" s="78">
        <v>1</v>
      </c>
      <c r="H29" s="79">
        <v>120</v>
      </c>
      <c r="I29" s="74">
        <v>0</v>
      </c>
      <c r="J29" s="74">
        <f>I29*12</f>
        <v>0</v>
      </c>
      <c r="K29" s="79">
        <f>H29</f>
        <v>120</v>
      </c>
    </row>
    <row r="30" spans="1:11" ht="11.25">
      <c r="A30" s="72" t="s">
        <v>420</v>
      </c>
      <c r="B30" s="74">
        <v>350</v>
      </c>
      <c r="C30" s="74">
        <f t="shared" si="2"/>
        <v>4200</v>
      </c>
      <c r="D30" s="74">
        <f>B30*2</f>
        <v>700</v>
      </c>
      <c r="F30" s="80" t="s">
        <v>411</v>
      </c>
      <c r="G30" s="80">
        <f>SUM(G27:G29)</f>
        <v>2504</v>
      </c>
      <c r="H30" s="81">
        <f>SUM(H27:H29)</f>
        <v>970.0423</v>
      </c>
      <c r="I30" s="81">
        <f>SUM(I27:I29)</f>
        <v>2655.75</v>
      </c>
      <c r="J30" s="172">
        <f>I30*12</f>
        <v>31869</v>
      </c>
      <c r="K30" s="81">
        <f>SUM(K27:K29)</f>
        <v>120</v>
      </c>
    </row>
    <row r="31" spans="1:11" ht="11.25">
      <c r="A31" s="106" t="s">
        <v>904</v>
      </c>
      <c r="B31" s="74">
        <v>65</v>
      </c>
      <c r="C31" s="74">
        <f t="shared" si="2"/>
        <v>780</v>
      </c>
      <c r="D31" s="74"/>
      <c r="F31" s="88"/>
      <c r="G31" s="88"/>
      <c r="H31" s="310"/>
      <c r="I31" s="310"/>
      <c r="J31" s="311"/>
      <c r="K31" s="310"/>
    </row>
    <row r="32" spans="1:11" ht="11.25">
      <c r="A32" s="106" t="s">
        <v>905</v>
      </c>
      <c r="B32" s="74">
        <v>150</v>
      </c>
      <c r="C32" s="74">
        <f t="shared" si="2"/>
        <v>1800</v>
      </c>
      <c r="D32" s="74"/>
      <c r="F32" s="88"/>
      <c r="G32" s="88"/>
      <c r="H32" s="310"/>
      <c r="I32" s="310"/>
      <c r="J32" s="311"/>
      <c r="K32" s="310"/>
    </row>
    <row r="33" spans="1:4" ht="11.25">
      <c r="A33" s="72" t="s">
        <v>421</v>
      </c>
      <c r="B33" s="74">
        <v>50</v>
      </c>
      <c r="C33" s="74">
        <f t="shared" si="2"/>
        <v>600</v>
      </c>
      <c r="D33" s="75"/>
    </row>
    <row r="34" spans="1:4" ht="11.25">
      <c r="A34" s="71" t="s">
        <v>411</v>
      </c>
      <c r="B34" s="104">
        <f>SUM(B27:B33)</f>
        <v>864.9</v>
      </c>
      <c r="C34" s="104">
        <f>SUM(C27:C33)</f>
        <v>10378.8</v>
      </c>
      <c r="D34" s="104">
        <f>SUM(D27:D33)</f>
        <v>700</v>
      </c>
    </row>
    <row r="35" spans="5:11" ht="11.25">
      <c r="E35" s="108"/>
      <c r="K35" s="109"/>
    </row>
    <row r="37" ht="11.25"/>
    <row r="38" ht="11.25"/>
    <row r="39" ht="11.25"/>
    <row r="40" ht="11.25"/>
    <row r="41" ht="11.25"/>
    <row r="42" ht="11.25"/>
    <row r="43" ht="11.25"/>
    <row r="45" ht="11.25"/>
    <row r="47" ht="11.25"/>
    <row r="48" ht="11.25"/>
    <row r="49" ht="11.25"/>
  </sheetData>
  <sheetProtection/>
  <mergeCells count="5">
    <mergeCell ref="D1:E1"/>
    <mergeCell ref="A25:D25"/>
    <mergeCell ref="A16:I16"/>
    <mergeCell ref="A8:I8"/>
    <mergeCell ref="F25:K25"/>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E27"/>
  <sheetViews>
    <sheetView zoomScalePageLayoutView="0" workbookViewId="0" topLeftCell="A1">
      <selection activeCell="A12" sqref="A12:E20"/>
    </sheetView>
  </sheetViews>
  <sheetFormatPr defaultColWidth="11.421875" defaultRowHeight="15"/>
  <cols>
    <col min="1" max="1" width="25.28125" style="65" customWidth="1"/>
    <col min="2" max="2" width="13.57421875" style="65" customWidth="1"/>
    <col min="3" max="16384" width="11.421875" style="65" customWidth="1"/>
  </cols>
  <sheetData>
    <row r="1" spans="1:2" ht="11.25">
      <c r="A1" s="347" t="s">
        <v>234</v>
      </c>
      <c r="B1" s="347"/>
    </row>
    <row r="2" spans="1:2" ht="11.25">
      <c r="A2" s="71" t="s">
        <v>398</v>
      </c>
      <c r="B2" s="71" t="s">
        <v>438</v>
      </c>
    </row>
    <row r="3" spans="1:2" ht="11.25">
      <c r="A3" s="72" t="s">
        <v>464</v>
      </c>
      <c r="B3" s="113">
        <f>'BALANCE INICIAL'!F4</f>
        <v>27669.62455203416</v>
      </c>
    </row>
    <row r="4" spans="1:2" ht="11.25">
      <c r="A4" s="72" t="s">
        <v>465</v>
      </c>
      <c r="B4" s="76">
        <v>0.18</v>
      </c>
    </row>
    <row r="5" spans="1:2" ht="11.25">
      <c r="A5" s="72" t="s">
        <v>466</v>
      </c>
      <c r="B5" s="75">
        <v>5</v>
      </c>
    </row>
    <row r="6" spans="1:2" ht="11.25">
      <c r="A6" s="66" t="s">
        <v>450</v>
      </c>
      <c r="B6" s="116"/>
    </row>
    <row r="7" spans="1:2" ht="11.25">
      <c r="A7" s="66" t="s">
        <v>319</v>
      </c>
      <c r="B7" s="117">
        <v>0.25</v>
      </c>
    </row>
    <row r="8" spans="1:2" ht="11.25">
      <c r="A8" s="66" t="s">
        <v>498</v>
      </c>
      <c r="B8" s="117">
        <v>0.15</v>
      </c>
    </row>
    <row r="9" spans="1:2" ht="11.25">
      <c r="A9" s="66" t="s">
        <v>451</v>
      </c>
      <c r="B9" s="118">
        <f>'FLUJO DE CAJA'!B47</f>
        <v>0.4231422320142104</v>
      </c>
    </row>
    <row r="10" spans="1:2" ht="11.25">
      <c r="A10" s="66" t="s">
        <v>452</v>
      </c>
      <c r="B10" s="117">
        <v>0.03</v>
      </c>
    </row>
    <row r="11" ht="11.25"/>
    <row r="12" spans="1:5" ht="11.25">
      <c r="A12" s="381" t="s">
        <v>439</v>
      </c>
      <c r="B12" s="381"/>
      <c r="C12" s="381"/>
      <c r="D12" s="381"/>
      <c r="E12" s="381"/>
    </row>
    <row r="13" spans="1:5" ht="11.25">
      <c r="A13" s="75" t="s">
        <v>444</v>
      </c>
      <c r="B13" s="71" t="s">
        <v>440</v>
      </c>
      <c r="C13" s="71" t="s">
        <v>441</v>
      </c>
      <c r="D13" s="71" t="s">
        <v>442</v>
      </c>
      <c r="E13" s="71" t="s">
        <v>443</v>
      </c>
    </row>
    <row r="14" spans="1:5" ht="11.25">
      <c r="A14" s="75">
        <v>0</v>
      </c>
      <c r="B14" s="75"/>
      <c r="C14" s="75"/>
      <c r="D14" s="75"/>
      <c r="E14" s="74">
        <f>'GASTOS FINANCIEROS'!B3</f>
        <v>27669.62455203416</v>
      </c>
    </row>
    <row r="15" spans="1:5" ht="11.25">
      <c r="A15" s="75">
        <v>1</v>
      </c>
      <c r="B15" s="110">
        <f>PMT('GASTOS FINANCIEROS'!$B$4,'GASTOS FINANCIEROS'!$B$5,-'GASTOS FINANCIEROS'!$B$3)</f>
        <v>8848.132822521533</v>
      </c>
      <c r="C15" s="74">
        <f>B15-D15</f>
        <v>3867.600403155384</v>
      </c>
      <c r="D15" s="74">
        <f>E14*'GASTOS FINANCIEROS'!$B$4</f>
        <v>4980.532419366149</v>
      </c>
      <c r="E15" s="74">
        <f>E14-C15</f>
        <v>23802.02414887878</v>
      </c>
    </row>
    <row r="16" spans="1:5" ht="11.25">
      <c r="A16" s="75">
        <v>2</v>
      </c>
      <c r="B16" s="110">
        <f>PMT('GASTOS FINANCIEROS'!$B$4,'GASTOS FINANCIEROS'!$B$5,-'GASTOS FINANCIEROS'!$B$3)</f>
        <v>8848.132822521533</v>
      </c>
      <c r="C16" s="74">
        <f>B16-D16</f>
        <v>4563.768475723353</v>
      </c>
      <c r="D16" s="74">
        <f>E15*'GASTOS FINANCIEROS'!$B$4</f>
        <v>4284.36434679818</v>
      </c>
      <c r="E16" s="74">
        <f>E15-C16</f>
        <v>19238.25567315543</v>
      </c>
    </row>
    <row r="17" spans="1:5" ht="11.25" customHeight="1">
      <c r="A17" s="75">
        <v>3</v>
      </c>
      <c r="B17" s="110">
        <f>PMT('GASTOS FINANCIEROS'!$B$4,'GASTOS FINANCIEROS'!$B$5,-'GASTOS FINANCIEROS'!$B$3)</f>
        <v>8848.132822521533</v>
      </c>
      <c r="C17" s="74">
        <f>B17-D17</f>
        <v>5385.246801353556</v>
      </c>
      <c r="D17" s="74">
        <f>E16*'GASTOS FINANCIEROS'!$B$4</f>
        <v>3462.886021167977</v>
      </c>
      <c r="E17" s="74">
        <f>E16-C17</f>
        <v>13853.008871801872</v>
      </c>
    </row>
    <row r="18" spans="1:5" ht="11.25" customHeight="1">
      <c r="A18" s="75">
        <v>4</v>
      </c>
      <c r="B18" s="110">
        <f>PMT('GASTOS FINANCIEROS'!$B$4,'GASTOS FINANCIEROS'!$B$5,-'GASTOS FINANCIEROS'!$B$3)</f>
        <v>8848.132822521533</v>
      </c>
      <c r="C18" s="74">
        <f>B18-D18</f>
        <v>6354.591225597196</v>
      </c>
      <c r="D18" s="74">
        <f>E17*'GASTOS FINANCIEROS'!$B$4</f>
        <v>2493.541596924337</v>
      </c>
      <c r="E18" s="74">
        <f>E17-C18</f>
        <v>7498.417646204676</v>
      </c>
    </row>
    <row r="19" spans="1:5" ht="11.25" customHeight="1">
      <c r="A19" s="75">
        <v>5</v>
      </c>
      <c r="B19" s="110">
        <f>PMT('GASTOS FINANCIEROS'!$B$4,'GASTOS FINANCIEROS'!$B$5,-'GASTOS FINANCIEROS'!$B$3)</f>
        <v>8848.132822521533</v>
      </c>
      <c r="C19" s="74">
        <f>B19-D19</f>
        <v>7498.417646204691</v>
      </c>
      <c r="D19" s="74">
        <f>E18*'GASTOS FINANCIEROS'!$B$4</f>
        <v>1349.7151763168417</v>
      </c>
      <c r="E19" s="74">
        <f>E18-C19</f>
        <v>-1.4551915228366852E-11</v>
      </c>
    </row>
    <row r="20" spans="1:5" ht="11.25">
      <c r="A20" s="71" t="s">
        <v>411</v>
      </c>
      <c r="B20" s="111">
        <f>SUM(B15:B19)</f>
        <v>44240.664112607665</v>
      </c>
      <c r="C20" s="111">
        <f>SUM(C15:C19)</f>
        <v>27669.624552034176</v>
      </c>
      <c r="D20" s="111">
        <f>SUM(D15:D19)</f>
        <v>16571.039560573485</v>
      </c>
      <c r="E20" s="111">
        <f>SUM(E15:E19)</f>
        <v>64391.70634004074</v>
      </c>
    </row>
    <row r="21" spans="1:5" ht="11.25">
      <c r="A21" s="101"/>
      <c r="B21" s="100"/>
      <c r="C21" s="100"/>
      <c r="D21" s="100"/>
      <c r="E21" s="112"/>
    </row>
    <row r="22" spans="1:2" ht="12.75">
      <c r="A22" s="353" t="s">
        <v>461</v>
      </c>
      <c r="B22" s="353"/>
    </row>
    <row r="23" spans="1:2" ht="12.75">
      <c r="A23" s="14" t="s">
        <v>463</v>
      </c>
      <c r="B23" s="114">
        <v>0.3</v>
      </c>
    </row>
    <row r="24" spans="1:2" ht="12.75">
      <c r="A24" s="14" t="s">
        <v>399</v>
      </c>
      <c r="B24" s="157">
        <v>20000</v>
      </c>
    </row>
    <row r="25" spans="1:2" ht="12.75">
      <c r="A25" s="14" t="s">
        <v>429</v>
      </c>
      <c r="B25" s="110">
        <v>1</v>
      </c>
    </row>
    <row r="27" ht="11.25">
      <c r="C27" s="158"/>
    </row>
  </sheetData>
  <sheetProtection/>
  <mergeCells count="3">
    <mergeCell ref="A12:E12"/>
    <mergeCell ref="A1:B1"/>
    <mergeCell ref="A22:B22"/>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I47"/>
  <sheetViews>
    <sheetView zoomScalePageLayoutView="0" workbookViewId="0" topLeftCell="A16">
      <selection activeCell="D52" sqref="D52"/>
    </sheetView>
  </sheetViews>
  <sheetFormatPr defaultColWidth="11.421875" defaultRowHeight="15"/>
  <cols>
    <col min="1" max="1" width="44.7109375" style="70" customWidth="1"/>
    <col min="2" max="2" width="14.421875" style="128" customWidth="1"/>
    <col min="3" max="3" width="9.00390625" style="128" customWidth="1"/>
    <col min="4" max="4" width="11.421875" style="128" customWidth="1"/>
    <col min="5" max="5" width="6.57421875" style="70" customWidth="1"/>
    <col min="6" max="6" width="26.00390625" style="70" customWidth="1"/>
    <col min="7" max="7" width="14.00390625" style="70" customWidth="1"/>
    <col min="8" max="8" width="9.8515625" style="70" customWidth="1"/>
    <col min="9" max="16384" width="11.421875" style="70" customWidth="1"/>
  </cols>
  <sheetData>
    <row r="1" spans="1:9" ht="11.25">
      <c r="A1" s="354" t="s">
        <v>425</v>
      </c>
      <c r="B1" s="354"/>
      <c r="C1" s="354"/>
      <c r="D1" s="354"/>
      <c r="F1" s="355" t="s">
        <v>287</v>
      </c>
      <c r="G1" s="355"/>
      <c r="H1" s="355"/>
      <c r="I1" s="355"/>
    </row>
    <row r="2" spans="1:9" ht="12.75" customHeight="1">
      <c r="A2" s="71" t="s">
        <v>428</v>
      </c>
      <c r="B2" s="71" t="s">
        <v>429</v>
      </c>
      <c r="C2" s="71" t="s">
        <v>399</v>
      </c>
      <c r="D2" s="71" t="s">
        <v>430</v>
      </c>
      <c r="F2" s="71" t="s">
        <v>428</v>
      </c>
      <c r="G2" s="71" t="s">
        <v>429</v>
      </c>
      <c r="H2" s="71" t="s">
        <v>399</v>
      </c>
      <c r="I2" s="71" t="s">
        <v>430</v>
      </c>
    </row>
    <row r="3" spans="1:9" ht="11.25">
      <c r="A3" s="7" t="s">
        <v>243</v>
      </c>
      <c r="B3" s="119">
        <v>180</v>
      </c>
      <c r="C3" s="4">
        <v>1</v>
      </c>
      <c r="D3" s="119">
        <f>B3*C3</f>
        <v>180</v>
      </c>
      <c r="F3" s="7" t="s">
        <v>246</v>
      </c>
      <c r="G3" s="119">
        <v>1200</v>
      </c>
      <c r="H3" s="4">
        <v>4</v>
      </c>
      <c r="I3" s="119">
        <f>G3*H3</f>
        <v>4800</v>
      </c>
    </row>
    <row r="4" spans="1:9" ht="11.25">
      <c r="A4" s="7" t="s">
        <v>245</v>
      </c>
      <c r="B4" s="119">
        <v>600</v>
      </c>
      <c r="C4" s="4">
        <v>1</v>
      </c>
      <c r="D4" s="119">
        <f>B4*C4</f>
        <v>600</v>
      </c>
      <c r="F4" s="98" t="s">
        <v>411</v>
      </c>
      <c r="G4" s="120">
        <f>SUM(G3)</f>
        <v>1200</v>
      </c>
      <c r="H4" s="98"/>
      <c r="I4" s="120">
        <f>SUM(I3)</f>
        <v>4800</v>
      </c>
    </row>
    <row r="5" spans="1:4" ht="11.25" customHeight="1">
      <c r="A5" s="98" t="s">
        <v>411</v>
      </c>
      <c r="B5" s="120">
        <f>SUM(B3:B4)</f>
        <v>780</v>
      </c>
      <c r="C5" s="98">
        <f>SUM(C3:C4)</f>
        <v>2</v>
      </c>
      <c r="D5" s="120">
        <f>SUM(D3:D4)</f>
        <v>780</v>
      </c>
    </row>
    <row r="6" spans="1:9" ht="11.25">
      <c r="A6" s="112"/>
      <c r="B6" s="112"/>
      <c r="C6" s="112"/>
      <c r="D6" s="112"/>
      <c r="F6" s="356" t="s">
        <v>292</v>
      </c>
      <c r="G6" s="357"/>
      <c r="H6" s="357"/>
      <c r="I6" s="358"/>
    </row>
    <row r="7" spans="1:9" ht="11.25" customHeight="1">
      <c r="A7" s="323" t="s">
        <v>431</v>
      </c>
      <c r="B7" s="323"/>
      <c r="C7" s="323"/>
      <c r="D7" s="323"/>
      <c r="E7" s="121"/>
      <c r="F7" s="71" t="s">
        <v>428</v>
      </c>
      <c r="G7" s="71" t="s">
        <v>429</v>
      </c>
      <c r="H7" s="71" t="s">
        <v>399</v>
      </c>
      <c r="I7" s="71" t="s">
        <v>430</v>
      </c>
    </row>
    <row r="8" spans="1:9" ht="11.25">
      <c r="A8" s="71" t="s">
        <v>428</v>
      </c>
      <c r="B8" s="71" t="s">
        <v>429</v>
      </c>
      <c r="C8" s="71" t="s">
        <v>399</v>
      </c>
      <c r="D8" s="71" t="s">
        <v>430</v>
      </c>
      <c r="F8" s="7" t="s">
        <v>3</v>
      </c>
      <c r="G8" s="119">
        <v>1500</v>
      </c>
      <c r="H8" s="4">
        <v>1</v>
      </c>
      <c r="I8" s="119">
        <f>G8*H8</f>
        <v>1500</v>
      </c>
    </row>
    <row r="9" spans="1:9" ht="11.25">
      <c r="A9" s="7" t="s">
        <v>247</v>
      </c>
      <c r="B9" s="119">
        <v>25</v>
      </c>
      <c r="C9" s="4">
        <v>2</v>
      </c>
      <c r="D9" s="119">
        <f>C9*B9</f>
        <v>50</v>
      </c>
      <c r="F9" s="7" t="s">
        <v>4</v>
      </c>
      <c r="G9" s="119">
        <f>75+9</f>
        <v>84</v>
      </c>
      <c r="H9" s="4">
        <v>1</v>
      </c>
      <c r="I9" s="119">
        <f>G9*H9</f>
        <v>84</v>
      </c>
    </row>
    <row r="10" spans="1:9" ht="12.75" customHeight="1">
      <c r="A10" s="7" t="s">
        <v>248</v>
      </c>
      <c r="B10" s="119">
        <v>10</v>
      </c>
      <c r="C10" s="4">
        <v>2</v>
      </c>
      <c r="D10" s="119">
        <f>C10*B10</f>
        <v>20</v>
      </c>
      <c r="F10" s="7" t="s">
        <v>2</v>
      </c>
      <c r="G10" s="119">
        <v>600</v>
      </c>
      <c r="H10" s="4">
        <v>1</v>
      </c>
      <c r="I10" s="119">
        <f>G10*H10</f>
        <v>600</v>
      </c>
    </row>
    <row r="11" spans="1:9" ht="11.25">
      <c r="A11" s="98" t="s">
        <v>411</v>
      </c>
      <c r="B11" s="120">
        <f>SUM(B9:B10)</f>
        <v>35</v>
      </c>
      <c r="C11" s="98">
        <f>SUM(C9:C10)</f>
        <v>4</v>
      </c>
      <c r="D11" s="120">
        <f>SUM(D9:D10)</f>
        <v>70</v>
      </c>
      <c r="F11" s="7" t="s">
        <v>244</v>
      </c>
      <c r="G11" s="119">
        <v>60</v>
      </c>
      <c r="H11" s="4">
        <v>1</v>
      </c>
      <c r="I11" s="119">
        <f>G11*H11</f>
        <v>60</v>
      </c>
    </row>
    <row r="12" spans="1:9" ht="11.25">
      <c r="A12" s="122"/>
      <c r="B12" s="123"/>
      <c r="C12" s="123"/>
      <c r="D12" s="123"/>
      <c r="F12" s="98" t="s">
        <v>411</v>
      </c>
      <c r="G12" s="120">
        <f>SUM(G8:G11)</f>
        <v>2244</v>
      </c>
      <c r="H12" s="144"/>
      <c r="I12" s="120">
        <f>SUM(I8:I11)</f>
        <v>2244</v>
      </c>
    </row>
    <row r="13" spans="1:9" ht="11.25">
      <c r="A13" s="122"/>
      <c r="B13" s="123"/>
      <c r="C13" s="123"/>
      <c r="D13" s="123"/>
      <c r="G13" s="128"/>
      <c r="H13" s="128"/>
      <c r="I13" s="128"/>
    </row>
    <row r="14" spans="1:9" ht="11.25">
      <c r="A14" s="354" t="s">
        <v>288</v>
      </c>
      <c r="B14" s="354"/>
      <c r="C14" s="354"/>
      <c r="D14" s="354"/>
      <c r="F14" s="354" t="s">
        <v>289</v>
      </c>
      <c r="G14" s="354"/>
      <c r="H14" s="354"/>
      <c r="I14" s="354"/>
    </row>
    <row r="15" spans="1:9" ht="11.25" customHeight="1">
      <c r="A15" s="71" t="s">
        <v>428</v>
      </c>
      <c r="B15" s="71" t="s">
        <v>429</v>
      </c>
      <c r="C15" s="71" t="s">
        <v>399</v>
      </c>
      <c r="D15" s="71" t="s">
        <v>430</v>
      </c>
      <c r="F15" s="71" t="s">
        <v>428</v>
      </c>
      <c r="G15" s="71" t="s">
        <v>429</v>
      </c>
      <c r="H15" s="71" t="s">
        <v>399</v>
      </c>
      <c r="I15" s="71" t="s">
        <v>430</v>
      </c>
    </row>
    <row r="16" spans="1:9" s="101" customFormat="1" ht="21.75" customHeight="1">
      <c r="A16" s="72" t="s">
        <v>296</v>
      </c>
      <c r="B16" s="127">
        <v>758.93</v>
      </c>
      <c r="C16" s="4">
        <v>1</v>
      </c>
      <c r="D16" s="127">
        <f aca="true" t="shared" si="0" ref="D16:D45">B16*C16</f>
        <v>758.93</v>
      </c>
      <c r="F16" s="129" t="s">
        <v>274</v>
      </c>
      <c r="G16" s="4"/>
      <c r="H16" s="4"/>
      <c r="I16" s="4"/>
    </row>
    <row r="17" spans="1:9" s="101" customFormat="1" ht="11.25">
      <c r="A17" s="72" t="s">
        <v>249</v>
      </c>
      <c r="B17" s="127">
        <v>800</v>
      </c>
      <c r="C17" s="4">
        <v>1</v>
      </c>
      <c r="D17" s="127">
        <f t="shared" si="0"/>
        <v>800</v>
      </c>
      <c r="F17" s="106" t="s">
        <v>275</v>
      </c>
      <c r="G17" s="124">
        <v>187</v>
      </c>
      <c r="H17" s="4">
        <v>1</v>
      </c>
      <c r="I17" s="124">
        <f>G17*H17</f>
        <v>187</v>
      </c>
    </row>
    <row r="18" spans="1:9" s="101" customFormat="1" ht="22.5">
      <c r="A18" s="72" t="s">
        <v>297</v>
      </c>
      <c r="B18" s="127">
        <v>400</v>
      </c>
      <c r="C18" s="4">
        <v>1</v>
      </c>
      <c r="D18" s="127">
        <f t="shared" si="0"/>
        <v>400</v>
      </c>
      <c r="F18" s="72" t="s">
        <v>276</v>
      </c>
      <c r="G18" s="124">
        <v>82.9</v>
      </c>
      <c r="H18" s="4">
        <v>1</v>
      </c>
      <c r="I18" s="124">
        <f>G18*H18</f>
        <v>82.9</v>
      </c>
    </row>
    <row r="19" spans="1:9" s="101" customFormat="1" ht="11.25">
      <c r="A19" s="72" t="s">
        <v>294</v>
      </c>
      <c r="B19" s="127">
        <v>719.75</v>
      </c>
      <c r="C19" s="4">
        <v>1</v>
      </c>
      <c r="D19" s="127">
        <f t="shared" si="0"/>
        <v>719.75</v>
      </c>
      <c r="F19" s="106" t="s">
        <v>277</v>
      </c>
      <c r="G19" s="124">
        <v>500</v>
      </c>
      <c r="H19" s="4">
        <v>1</v>
      </c>
      <c r="I19" s="124">
        <f>G19*H19</f>
        <v>500</v>
      </c>
    </row>
    <row r="20" spans="1:9" s="101" customFormat="1" ht="10.5" customHeight="1">
      <c r="A20" s="106" t="s">
        <v>881</v>
      </c>
      <c r="B20" s="127">
        <v>859.46</v>
      </c>
      <c r="C20" s="4">
        <v>1</v>
      </c>
      <c r="D20" s="127">
        <f t="shared" si="0"/>
        <v>859.46</v>
      </c>
      <c r="F20" s="72" t="s">
        <v>278</v>
      </c>
      <c r="G20" s="124">
        <v>45</v>
      </c>
      <c r="H20" s="4">
        <v>1</v>
      </c>
      <c r="I20" s="124">
        <f>G20*H20</f>
        <v>45</v>
      </c>
    </row>
    <row r="21" spans="1:9" s="101" customFormat="1" ht="22.5">
      <c r="A21" s="72" t="s">
        <v>250</v>
      </c>
      <c r="B21" s="127">
        <v>204.63</v>
      </c>
      <c r="C21" s="4">
        <v>1</v>
      </c>
      <c r="D21" s="127">
        <f t="shared" si="0"/>
        <v>204.63</v>
      </c>
      <c r="F21" s="72"/>
      <c r="G21" s="124"/>
      <c r="H21" s="4"/>
      <c r="I21" s="124"/>
    </row>
    <row r="22" spans="1:9" s="101" customFormat="1" ht="11.25">
      <c r="A22" s="72" t="s">
        <v>251</v>
      </c>
      <c r="B22" s="127">
        <v>64.55</v>
      </c>
      <c r="C22" s="4">
        <v>1</v>
      </c>
      <c r="D22" s="127">
        <f t="shared" si="0"/>
        <v>64.55</v>
      </c>
      <c r="F22" s="129" t="s">
        <v>279</v>
      </c>
      <c r="G22" s="124"/>
      <c r="H22" s="4"/>
      <c r="I22" s="124"/>
    </row>
    <row r="23" spans="1:9" s="101" customFormat="1" ht="33.75">
      <c r="A23" s="72" t="s">
        <v>295</v>
      </c>
      <c r="B23" s="127">
        <v>222.28</v>
      </c>
      <c r="C23" s="4">
        <v>1</v>
      </c>
      <c r="D23" s="127">
        <f t="shared" si="0"/>
        <v>222.28</v>
      </c>
      <c r="F23" s="106" t="s">
        <v>880</v>
      </c>
      <c r="G23" s="124">
        <v>1000</v>
      </c>
      <c r="H23" s="4">
        <v>1</v>
      </c>
      <c r="I23" s="124">
        <f>H23*G23</f>
        <v>1000</v>
      </c>
    </row>
    <row r="24" spans="1:9" s="101" customFormat="1" ht="11.25">
      <c r="A24" s="72" t="s">
        <v>252</v>
      </c>
      <c r="B24" s="127">
        <v>12.14</v>
      </c>
      <c r="C24" s="4">
        <v>1</v>
      </c>
      <c r="D24" s="127">
        <f t="shared" si="0"/>
        <v>12.14</v>
      </c>
      <c r="F24" s="106" t="s">
        <v>280</v>
      </c>
      <c r="G24" s="124">
        <v>8.8</v>
      </c>
      <c r="H24" s="4">
        <v>3</v>
      </c>
      <c r="I24" s="124">
        <f>H24*G24</f>
        <v>26.400000000000002</v>
      </c>
    </row>
    <row r="25" spans="1:9" s="101" customFormat="1" ht="11.25">
      <c r="A25" s="72" t="s">
        <v>253</v>
      </c>
      <c r="B25" s="127">
        <v>5</v>
      </c>
      <c r="C25" s="4">
        <v>1</v>
      </c>
      <c r="D25" s="127">
        <f t="shared" si="0"/>
        <v>5</v>
      </c>
      <c r="F25" s="106" t="s">
        <v>281</v>
      </c>
      <c r="G25" s="124">
        <v>82.5</v>
      </c>
      <c r="H25" s="4">
        <v>3</v>
      </c>
      <c r="I25" s="124">
        <f>H25*G25</f>
        <v>247.5</v>
      </c>
    </row>
    <row r="26" spans="1:9" s="101" customFormat="1" ht="11.25">
      <c r="A26" s="72" t="s">
        <v>254</v>
      </c>
      <c r="B26" s="127">
        <v>8</v>
      </c>
      <c r="C26" s="4">
        <v>1</v>
      </c>
      <c r="D26" s="127">
        <f t="shared" si="0"/>
        <v>8</v>
      </c>
      <c r="F26" s="106" t="s">
        <v>282</v>
      </c>
      <c r="G26" s="124">
        <v>47.54</v>
      </c>
      <c r="H26" s="4">
        <v>1</v>
      </c>
      <c r="I26" s="124">
        <f>H26*G26</f>
        <v>47.54</v>
      </c>
    </row>
    <row r="27" spans="1:9" s="101" customFormat="1" ht="11.25">
      <c r="A27" s="72" t="s">
        <v>255</v>
      </c>
      <c r="B27" s="127">
        <v>337.35</v>
      </c>
      <c r="C27" s="4">
        <v>1</v>
      </c>
      <c r="D27" s="127">
        <f t="shared" si="0"/>
        <v>337.35</v>
      </c>
      <c r="F27" s="72"/>
      <c r="G27" s="124"/>
      <c r="H27" s="4"/>
      <c r="I27" s="124"/>
    </row>
    <row r="28" spans="1:9" s="101" customFormat="1" ht="22.5">
      <c r="A28" s="72" t="s">
        <v>256</v>
      </c>
      <c r="B28" s="127">
        <v>28.07</v>
      </c>
      <c r="C28" s="4">
        <v>1</v>
      </c>
      <c r="D28" s="127">
        <f t="shared" si="0"/>
        <v>28.07</v>
      </c>
      <c r="F28" s="129" t="s">
        <v>283</v>
      </c>
      <c r="G28" s="124"/>
      <c r="H28" s="4"/>
      <c r="I28" s="124"/>
    </row>
    <row r="29" spans="1:9" s="101" customFormat="1" ht="11.25">
      <c r="A29" s="72" t="s">
        <v>257</v>
      </c>
      <c r="B29" s="127">
        <v>14.45</v>
      </c>
      <c r="C29" s="4">
        <v>1</v>
      </c>
      <c r="D29" s="127">
        <f t="shared" si="0"/>
        <v>14.45</v>
      </c>
      <c r="F29" s="106" t="s">
        <v>277</v>
      </c>
      <c r="G29" s="124">
        <v>200</v>
      </c>
      <c r="H29" s="4">
        <v>1</v>
      </c>
      <c r="I29" s="124">
        <f>G29*H29</f>
        <v>200</v>
      </c>
    </row>
    <row r="30" spans="1:9" s="101" customFormat="1" ht="11.25">
      <c r="A30" s="72" t="s">
        <v>258</v>
      </c>
      <c r="B30" s="127">
        <v>7.5</v>
      </c>
      <c r="C30" s="4">
        <v>1</v>
      </c>
      <c r="D30" s="127">
        <f t="shared" si="0"/>
        <v>7.5</v>
      </c>
      <c r="F30" s="106" t="s">
        <v>284</v>
      </c>
      <c r="G30" s="124">
        <v>100</v>
      </c>
      <c r="H30" s="4">
        <v>1</v>
      </c>
      <c r="I30" s="124">
        <f>G30*H30</f>
        <v>100</v>
      </c>
    </row>
    <row r="31" spans="1:9" s="101" customFormat="1" ht="11.25">
      <c r="A31" s="72" t="s">
        <v>259</v>
      </c>
      <c r="B31" s="127">
        <v>10.78</v>
      </c>
      <c r="C31" s="4">
        <v>1</v>
      </c>
      <c r="D31" s="127">
        <f t="shared" si="0"/>
        <v>10.78</v>
      </c>
      <c r="F31" s="72" t="s">
        <v>278</v>
      </c>
      <c r="G31" s="124">
        <v>15</v>
      </c>
      <c r="H31" s="4">
        <v>1</v>
      </c>
      <c r="I31" s="124">
        <f>G31*H31</f>
        <v>15</v>
      </c>
    </row>
    <row r="32" spans="1:9" s="101" customFormat="1" ht="11.25">
      <c r="A32" s="72" t="s">
        <v>260</v>
      </c>
      <c r="B32" s="127">
        <v>23.65</v>
      </c>
      <c r="C32" s="4">
        <v>1</v>
      </c>
      <c r="D32" s="127">
        <f t="shared" si="0"/>
        <v>23.65</v>
      </c>
      <c r="F32" s="72"/>
      <c r="G32" s="124"/>
      <c r="H32" s="4"/>
      <c r="I32" s="124"/>
    </row>
    <row r="33" spans="1:9" s="101" customFormat="1" ht="11.25">
      <c r="A33" s="72" t="s">
        <v>261</v>
      </c>
      <c r="B33" s="127">
        <v>3.9</v>
      </c>
      <c r="C33" s="4">
        <v>1</v>
      </c>
      <c r="D33" s="127">
        <f t="shared" si="0"/>
        <v>3.9</v>
      </c>
      <c r="F33" s="72" t="s">
        <v>285</v>
      </c>
      <c r="G33" s="124">
        <v>29.9</v>
      </c>
      <c r="H33" s="4">
        <v>1</v>
      </c>
      <c r="I33" s="124">
        <f>G33*H33</f>
        <v>29.9</v>
      </c>
    </row>
    <row r="34" spans="1:9" s="101" customFormat="1" ht="11.25">
      <c r="A34" s="72" t="s">
        <v>262</v>
      </c>
      <c r="B34" s="127">
        <v>0.84</v>
      </c>
      <c r="C34" s="4">
        <v>1</v>
      </c>
      <c r="D34" s="127">
        <f t="shared" si="0"/>
        <v>0.84</v>
      </c>
      <c r="F34" s="106" t="s">
        <v>286</v>
      </c>
      <c r="G34" s="124">
        <v>15</v>
      </c>
      <c r="H34" s="4">
        <v>2</v>
      </c>
      <c r="I34" s="124">
        <f>G34*H34</f>
        <v>30</v>
      </c>
    </row>
    <row r="35" spans="1:9" s="101" customFormat="1" ht="11.25">
      <c r="A35" s="72" t="s">
        <v>263</v>
      </c>
      <c r="B35" s="127">
        <v>3.88</v>
      </c>
      <c r="C35" s="4">
        <v>1</v>
      </c>
      <c r="D35" s="127">
        <f t="shared" si="0"/>
        <v>3.88</v>
      </c>
      <c r="F35" s="125" t="s">
        <v>411</v>
      </c>
      <c r="G35" s="126">
        <f>SUM(G16:G34)</f>
        <v>2313.64</v>
      </c>
      <c r="H35" s="98">
        <f>SUM(H16:H34)</f>
        <v>18</v>
      </c>
      <c r="I35" s="126">
        <f>SUM(I16:I34)</f>
        <v>2511.2400000000002</v>
      </c>
    </row>
    <row r="36" spans="1:4" s="101" customFormat="1" ht="11.25">
      <c r="A36" s="106" t="s">
        <v>264</v>
      </c>
      <c r="B36" s="127">
        <v>10</v>
      </c>
      <c r="C36" s="4">
        <v>1</v>
      </c>
      <c r="D36" s="127">
        <f t="shared" si="0"/>
        <v>10</v>
      </c>
    </row>
    <row r="37" spans="1:4" s="101" customFormat="1" ht="11.25">
      <c r="A37" s="72" t="s">
        <v>265</v>
      </c>
      <c r="B37" s="127">
        <v>2.61</v>
      </c>
      <c r="C37" s="4">
        <v>3</v>
      </c>
      <c r="D37" s="127">
        <f t="shared" si="0"/>
        <v>7.83</v>
      </c>
    </row>
    <row r="38" spans="1:4" s="101" customFormat="1" ht="11.25">
      <c r="A38" s="106" t="s">
        <v>266</v>
      </c>
      <c r="B38" s="127">
        <v>5.86</v>
      </c>
      <c r="C38" s="4">
        <v>1</v>
      </c>
      <c r="D38" s="127">
        <f t="shared" si="0"/>
        <v>5.86</v>
      </c>
    </row>
    <row r="39" spans="1:4" s="101" customFormat="1" ht="11.25">
      <c r="A39" s="106" t="s">
        <v>267</v>
      </c>
      <c r="B39" s="127">
        <v>223.43</v>
      </c>
      <c r="C39" s="4">
        <v>1</v>
      </c>
      <c r="D39" s="127">
        <f t="shared" si="0"/>
        <v>223.43</v>
      </c>
    </row>
    <row r="40" spans="1:4" s="101" customFormat="1" ht="11.25">
      <c r="A40" s="72" t="s">
        <v>268</v>
      </c>
      <c r="B40" s="127">
        <v>2.61</v>
      </c>
      <c r="C40" s="4">
        <v>3</v>
      </c>
      <c r="D40" s="127">
        <f t="shared" si="0"/>
        <v>7.83</v>
      </c>
    </row>
    <row r="41" spans="1:4" s="101" customFormat="1" ht="11.25">
      <c r="A41" s="72" t="s">
        <v>269</v>
      </c>
      <c r="B41" s="127">
        <v>4.5</v>
      </c>
      <c r="C41" s="4">
        <v>3</v>
      </c>
      <c r="D41" s="127">
        <f t="shared" si="0"/>
        <v>13.5</v>
      </c>
    </row>
    <row r="42" spans="1:4" s="101" customFormat="1" ht="11.25">
      <c r="A42" s="72" t="s">
        <v>270</v>
      </c>
      <c r="B42" s="127">
        <v>5.7</v>
      </c>
      <c r="C42" s="4">
        <v>3</v>
      </c>
      <c r="D42" s="127">
        <f t="shared" si="0"/>
        <v>17.1</v>
      </c>
    </row>
    <row r="43" spans="1:4" s="101" customFormat="1" ht="11.25">
      <c r="A43" s="72" t="s">
        <v>271</v>
      </c>
      <c r="B43" s="127">
        <v>5.06</v>
      </c>
      <c r="C43" s="4">
        <v>3</v>
      </c>
      <c r="D43" s="127">
        <f t="shared" si="0"/>
        <v>15.18</v>
      </c>
    </row>
    <row r="44" spans="1:4" s="101" customFormat="1" ht="11.25">
      <c r="A44" s="72" t="s">
        <v>272</v>
      </c>
      <c r="B44" s="127">
        <v>1.67</v>
      </c>
      <c r="C44" s="4">
        <v>3</v>
      </c>
      <c r="D44" s="127">
        <f t="shared" si="0"/>
        <v>5.01</v>
      </c>
    </row>
    <row r="45" spans="1:4" s="101" customFormat="1" ht="11.25">
      <c r="A45" s="72" t="s">
        <v>273</v>
      </c>
      <c r="B45" s="127">
        <v>0.7</v>
      </c>
      <c r="C45" s="4">
        <v>3</v>
      </c>
      <c r="D45" s="127">
        <f t="shared" si="0"/>
        <v>2.0999999999999996</v>
      </c>
    </row>
    <row r="46" spans="1:4" s="101" customFormat="1" ht="11.25">
      <c r="A46" s="125" t="s">
        <v>411</v>
      </c>
      <c r="B46" s="95">
        <f>SUM(B16:B45)</f>
        <v>4747.299999999998</v>
      </c>
      <c r="C46" s="98">
        <f>SUM(C16:C45)</f>
        <v>44</v>
      </c>
      <c r="D46" s="95">
        <f>SUM(D16:D45)</f>
        <v>4793</v>
      </c>
    </row>
    <row r="47" spans="1:9" s="101" customFormat="1" ht="11.25">
      <c r="A47" s="70"/>
      <c r="B47" s="128"/>
      <c r="C47" s="128"/>
      <c r="D47" s="128"/>
      <c r="F47" s="70"/>
      <c r="G47" s="70"/>
      <c r="H47" s="70"/>
      <c r="I47" s="70"/>
    </row>
  </sheetData>
  <sheetProtection/>
  <mergeCells count="5">
    <mergeCell ref="A1:D1"/>
    <mergeCell ref="A14:D14"/>
    <mergeCell ref="F14:I14"/>
    <mergeCell ref="F1:I1"/>
    <mergeCell ref="F6:I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108"/>
  <sheetViews>
    <sheetView zoomScalePageLayoutView="0" workbookViewId="0" topLeftCell="A75">
      <selection activeCell="E108" sqref="E108"/>
    </sheetView>
  </sheetViews>
  <sheetFormatPr defaultColWidth="11.421875" defaultRowHeight="15"/>
  <cols>
    <col min="1" max="1" width="20.57421875" style="0" customWidth="1"/>
    <col min="2" max="2" width="14.8515625" style="0" customWidth="1"/>
    <col min="3" max="3" width="12.140625" style="0" bestFit="1" customWidth="1"/>
    <col min="4" max="4" width="17.28125" style="0" customWidth="1"/>
    <col min="5" max="5" width="8.57421875" style="0" bestFit="1" customWidth="1"/>
    <col min="6" max="6" width="13.7109375" style="0" bestFit="1" customWidth="1"/>
    <col min="7" max="7" width="14.7109375" style="0" bestFit="1" customWidth="1"/>
    <col min="8" max="8" width="27.7109375" style="0" customWidth="1"/>
  </cols>
  <sheetData>
    <row r="1" ht="39">
      <c r="D1" s="60" t="s">
        <v>101</v>
      </c>
    </row>
    <row r="2" spans="1:8" ht="27" customHeight="1">
      <c r="A2" s="9" t="s">
        <v>102</v>
      </c>
      <c r="B2" s="9" t="s">
        <v>103</v>
      </c>
      <c r="C2" s="9" t="s">
        <v>104</v>
      </c>
      <c r="D2" s="9" t="s">
        <v>105</v>
      </c>
      <c r="E2" s="9" t="s">
        <v>106</v>
      </c>
      <c r="F2" s="9" t="s">
        <v>107</v>
      </c>
      <c r="G2" s="9" t="s">
        <v>108</v>
      </c>
      <c r="H2" s="9" t="s">
        <v>109</v>
      </c>
    </row>
    <row r="3" spans="1:8" ht="15">
      <c r="A3" s="61" t="s">
        <v>110</v>
      </c>
      <c r="B3" s="61">
        <v>30</v>
      </c>
      <c r="C3" s="61">
        <v>1.43</v>
      </c>
      <c r="D3" s="61">
        <v>1.2631</v>
      </c>
      <c r="E3" s="61">
        <v>0.189</v>
      </c>
      <c r="F3" s="61">
        <v>0.71</v>
      </c>
      <c r="G3" s="61">
        <v>0.185</v>
      </c>
      <c r="H3" s="61">
        <v>0.87</v>
      </c>
    </row>
    <row r="4" spans="1:8" ht="15">
      <c r="A4" s="61" t="s">
        <v>111</v>
      </c>
      <c r="B4" s="61">
        <v>66</v>
      </c>
      <c r="C4" s="61">
        <v>1.27</v>
      </c>
      <c r="D4" s="61">
        <v>0.2721</v>
      </c>
      <c r="E4" s="61">
        <v>0.241</v>
      </c>
      <c r="F4" s="61">
        <v>1.06</v>
      </c>
      <c r="G4" s="61">
        <v>0.1165</v>
      </c>
      <c r="H4" s="61">
        <v>1.2</v>
      </c>
    </row>
    <row r="5" spans="1:8" ht="15">
      <c r="A5" s="61" t="s">
        <v>112</v>
      </c>
      <c r="B5" s="61">
        <v>44</v>
      </c>
      <c r="C5" s="61">
        <v>1.15</v>
      </c>
      <c r="D5" s="61">
        <v>0.7821</v>
      </c>
      <c r="E5" s="61">
        <v>0.23</v>
      </c>
      <c r="F5" s="61">
        <v>0.72</v>
      </c>
      <c r="G5" s="61">
        <v>0.1666</v>
      </c>
      <c r="H5" s="61">
        <v>0.86</v>
      </c>
    </row>
    <row r="6" spans="1:8" ht="15">
      <c r="A6" s="61" t="s">
        <v>113</v>
      </c>
      <c r="B6" s="61">
        <v>53</v>
      </c>
      <c r="C6" s="61">
        <v>1.14</v>
      </c>
      <c r="D6" s="61">
        <v>0.4432</v>
      </c>
      <c r="E6" s="61">
        <v>0.1721</v>
      </c>
      <c r="F6" s="61">
        <v>0.83</v>
      </c>
      <c r="G6" s="61">
        <v>0.1044</v>
      </c>
      <c r="H6" s="61">
        <v>0.93</v>
      </c>
    </row>
    <row r="7" spans="1:8" ht="15">
      <c r="A7" s="61" t="s">
        <v>114</v>
      </c>
      <c r="B7" s="61">
        <v>20</v>
      </c>
      <c r="C7" s="61">
        <v>1.49</v>
      </c>
      <c r="D7" s="61">
        <v>1.8375</v>
      </c>
      <c r="E7" s="61">
        <v>0.2436</v>
      </c>
      <c r="F7" s="61">
        <v>0.62</v>
      </c>
      <c r="G7" s="61">
        <v>0.1782</v>
      </c>
      <c r="H7" s="61">
        <v>0.76</v>
      </c>
    </row>
    <row r="8" spans="1:8" ht="15">
      <c r="A8" s="61" t="s">
        <v>115</v>
      </c>
      <c r="B8" s="61">
        <v>54</v>
      </c>
      <c r="C8" s="61">
        <v>1.56</v>
      </c>
      <c r="D8" s="61">
        <v>0.9419</v>
      </c>
      <c r="E8" s="61">
        <v>0.1961</v>
      </c>
      <c r="F8" s="61">
        <v>0.89</v>
      </c>
      <c r="G8" s="61">
        <v>0.1954</v>
      </c>
      <c r="H8" s="61">
        <v>1.1</v>
      </c>
    </row>
    <row r="9" spans="1:8" ht="15">
      <c r="A9" s="61" t="s">
        <v>116</v>
      </c>
      <c r="B9" s="61">
        <v>477</v>
      </c>
      <c r="C9" s="61">
        <v>0.71</v>
      </c>
      <c r="D9" s="61">
        <v>0.9152</v>
      </c>
      <c r="E9" s="61">
        <v>0.2591</v>
      </c>
      <c r="F9" s="61">
        <v>0.43</v>
      </c>
      <c r="G9" s="61">
        <v>0.0932</v>
      </c>
      <c r="H9" s="61">
        <v>0.47</v>
      </c>
    </row>
    <row r="10" spans="1:8" ht="15">
      <c r="A10" s="61" t="s">
        <v>117</v>
      </c>
      <c r="B10" s="61">
        <v>8</v>
      </c>
      <c r="C10" s="61">
        <v>0.86</v>
      </c>
      <c r="D10" s="61">
        <v>0.1036</v>
      </c>
      <c r="E10" s="61">
        <v>0.1508</v>
      </c>
      <c r="F10" s="61">
        <v>0.79</v>
      </c>
      <c r="G10" s="61">
        <v>0.046</v>
      </c>
      <c r="H10" s="61">
        <v>0.83</v>
      </c>
    </row>
    <row r="11" spans="1:8" ht="15">
      <c r="A11" s="61" t="s">
        <v>118</v>
      </c>
      <c r="B11" s="61">
        <v>39</v>
      </c>
      <c r="C11" s="61">
        <v>0.91</v>
      </c>
      <c r="D11" s="61">
        <v>0.6898</v>
      </c>
      <c r="E11" s="61">
        <v>0.2681</v>
      </c>
      <c r="F11" s="61">
        <v>0.6</v>
      </c>
      <c r="G11" s="61">
        <v>0.091</v>
      </c>
      <c r="H11" s="61">
        <v>0.66</v>
      </c>
    </row>
    <row r="12" spans="1:8" ht="15">
      <c r="A12" s="61" t="s">
        <v>119</v>
      </c>
      <c r="B12" s="61">
        <v>41</v>
      </c>
      <c r="C12" s="61">
        <v>0.95</v>
      </c>
      <c r="D12" s="61">
        <v>0.1902</v>
      </c>
      <c r="E12" s="61">
        <v>0.1646</v>
      </c>
      <c r="F12" s="61">
        <v>0.82</v>
      </c>
      <c r="G12" s="61">
        <v>0.0325</v>
      </c>
      <c r="H12" s="61">
        <v>0.85</v>
      </c>
    </row>
    <row r="13" spans="1:8" ht="15">
      <c r="A13" s="61" t="s">
        <v>120</v>
      </c>
      <c r="B13" s="61">
        <v>108</v>
      </c>
      <c r="C13" s="61">
        <v>1.25</v>
      </c>
      <c r="D13" s="61">
        <v>0.0998</v>
      </c>
      <c r="E13" s="61">
        <v>0.0359</v>
      </c>
      <c r="F13" s="61">
        <v>1.14</v>
      </c>
      <c r="G13" s="61">
        <v>0.1062</v>
      </c>
      <c r="H13" s="61">
        <v>1.27</v>
      </c>
    </row>
    <row r="14" spans="1:8" ht="15">
      <c r="A14" s="61" t="s">
        <v>121</v>
      </c>
      <c r="B14" s="61">
        <v>52</v>
      </c>
      <c r="C14" s="61">
        <v>1.39</v>
      </c>
      <c r="D14" s="61">
        <v>1.0311</v>
      </c>
      <c r="E14" s="61">
        <v>0.1844</v>
      </c>
      <c r="F14" s="61">
        <v>0.76</v>
      </c>
      <c r="G14" s="61">
        <v>0.0588</v>
      </c>
      <c r="H14" s="61">
        <v>0.8</v>
      </c>
    </row>
    <row r="15" spans="1:8" ht="15">
      <c r="A15" s="61" t="s">
        <v>122</v>
      </c>
      <c r="B15" s="61">
        <v>25</v>
      </c>
      <c r="C15" s="61">
        <v>1.56</v>
      </c>
      <c r="D15" s="61">
        <v>0.8877</v>
      </c>
      <c r="E15" s="61">
        <v>0.2297</v>
      </c>
      <c r="F15" s="61">
        <v>0.92</v>
      </c>
      <c r="G15" s="61">
        <v>0.028</v>
      </c>
      <c r="H15" s="61">
        <v>0.95</v>
      </c>
    </row>
    <row r="16" spans="1:8" ht="15">
      <c r="A16" s="61" t="s">
        <v>123</v>
      </c>
      <c r="B16" s="61">
        <v>12</v>
      </c>
      <c r="C16" s="61">
        <v>1.22</v>
      </c>
      <c r="D16" s="61">
        <v>0.357</v>
      </c>
      <c r="E16" s="61">
        <v>0.2782</v>
      </c>
      <c r="F16" s="61">
        <v>0.97</v>
      </c>
      <c r="G16" s="61">
        <v>0.0182</v>
      </c>
      <c r="H16" s="61">
        <v>0.99</v>
      </c>
    </row>
    <row r="17" spans="1:8" ht="15">
      <c r="A17" s="61" t="s">
        <v>124</v>
      </c>
      <c r="B17" s="61">
        <v>19</v>
      </c>
      <c r="C17" s="61">
        <v>1.26</v>
      </c>
      <c r="D17" s="61">
        <v>0.2911</v>
      </c>
      <c r="E17" s="61">
        <v>0.1929</v>
      </c>
      <c r="F17" s="61">
        <v>1.02</v>
      </c>
      <c r="G17" s="61">
        <v>0.0752</v>
      </c>
      <c r="H17" s="61">
        <v>1.1</v>
      </c>
    </row>
    <row r="18" spans="1:8" ht="15">
      <c r="A18" s="61" t="s">
        <v>125</v>
      </c>
      <c r="B18" s="61">
        <v>33</v>
      </c>
      <c r="C18" s="61">
        <v>1.21</v>
      </c>
      <c r="D18" s="61">
        <v>0.267</v>
      </c>
      <c r="E18" s="61">
        <v>0.2547</v>
      </c>
      <c r="F18" s="61">
        <v>1.01</v>
      </c>
      <c r="G18" s="61">
        <v>0.0786</v>
      </c>
      <c r="H18" s="61">
        <v>1.1</v>
      </c>
    </row>
    <row r="19" spans="1:8" ht="15">
      <c r="A19" s="61" t="s">
        <v>126</v>
      </c>
      <c r="B19" s="61">
        <v>88</v>
      </c>
      <c r="C19" s="61">
        <v>1.18</v>
      </c>
      <c r="D19" s="61">
        <v>0.3574</v>
      </c>
      <c r="E19" s="61">
        <v>0.1899</v>
      </c>
      <c r="F19" s="61">
        <v>0.92</v>
      </c>
      <c r="G19" s="61">
        <v>0.0581</v>
      </c>
      <c r="H19" s="61">
        <v>0.98</v>
      </c>
    </row>
    <row r="20" spans="1:8" ht="15">
      <c r="A20" s="61" t="s">
        <v>127</v>
      </c>
      <c r="B20" s="61">
        <v>18</v>
      </c>
      <c r="C20" s="61">
        <v>1.98</v>
      </c>
      <c r="D20" s="61">
        <v>0.4802</v>
      </c>
      <c r="E20" s="61">
        <v>0.1052</v>
      </c>
      <c r="F20" s="61">
        <v>1.39</v>
      </c>
      <c r="G20" s="61">
        <v>0.0313</v>
      </c>
      <c r="H20" s="61">
        <v>1.43</v>
      </c>
    </row>
    <row r="21" spans="1:8" ht="15">
      <c r="A21" s="61" t="s">
        <v>128</v>
      </c>
      <c r="B21" s="61">
        <v>322</v>
      </c>
      <c r="C21" s="61">
        <v>1.22</v>
      </c>
      <c r="D21" s="61">
        <v>0.0777</v>
      </c>
      <c r="E21" s="61">
        <v>0.1265</v>
      </c>
      <c r="F21" s="61">
        <v>1.15</v>
      </c>
      <c r="G21" s="61">
        <v>0.1387</v>
      </c>
      <c r="H21" s="61">
        <v>1.33</v>
      </c>
    </row>
    <row r="22" spans="1:8" ht="15">
      <c r="A22" s="61" t="s">
        <v>129</v>
      </c>
      <c r="B22" s="61">
        <v>125</v>
      </c>
      <c r="C22" s="61">
        <v>1.29</v>
      </c>
      <c r="D22" s="61">
        <v>0.1836</v>
      </c>
      <c r="E22" s="61">
        <v>0.099</v>
      </c>
      <c r="F22" s="61">
        <v>1.11</v>
      </c>
      <c r="G22" s="61">
        <v>0.199</v>
      </c>
      <c r="H22" s="61">
        <v>1.39</v>
      </c>
    </row>
    <row r="23" spans="1:8" ht="15">
      <c r="A23" s="61" t="s">
        <v>130</v>
      </c>
      <c r="B23" s="61">
        <v>113</v>
      </c>
      <c r="C23" s="61">
        <v>1.25</v>
      </c>
      <c r="D23" s="61">
        <v>1.6098</v>
      </c>
      <c r="E23" s="61">
        <v>0.2023</v>
      </c>
      <c r="F23" s="61">
        <v>0.55</v>
      </c>
      <c r="G23" s="61">
        <v>0.0962</v>
      </c>
      <c r="H23" s="61">
        <v>0.6</v>
      </c>
    </row>
    <row r="24" spans="1:8" ht="15">
      <c r="A24" s="61" t="s">
        <v>131</v>
      </c>
      <c r="B24" s="61">
        <v>342</v>
      </c>
      <c r="C24" s="61">
        <v>1.16</v>
      </c>
      <c r="D24" s="61">
        <v>0.1451</v>
      </c>
      <c r="E24" s="61">
        <v>0.0596</v>
      </c>
      <c r="F24" s="61">
        <v>1.02</v>
      </c>
      <c r="G24" s="61">
        <v>0.107</v>
      </c>
      <c r="H24" s="61">
        <v>1.14</v>
      </c>
    </row>
    <row r="25" spans="1:8" ht="15">
      <c r="A25" s="61" t="s">
        <v>132</v>
      </c>
      <c r="B25" s="61">
        <v>54</v>
      </c>
      <c r="C25" s="61">
        <v>1.5</v>
      </c>
      <c r="D25" s="61">
        <v>0.1143</v>
      </c>
      <c r="E25" s="61">
        <v>0.1309</v>
      </c>
      <c r="F25" s="61">
        <v>1.36</v>
      </c>
      <c r="G25" s="61">
        <v>0.2276</v>
      </c>
      <c r="H25" s="61">
        <v>1.76</v>
      </c>
    </row>
    <row r="26" spans="1:8" ht="15">
      <c r="A26" s="61" t="s">
        <v>133</v>
      </c>
      <c r="B26" s="61">
        <v>34</v>
      </c>
      <c r="C26" s="61">
        <v>0.84</v>
      </c>
      <c r="D26" s="61">
        <v>0.0222</v>
      </c>
      <c r="E26" s="61">
        <v>0.208</v>
      </c>
      <c r="F26" s="61">
        <v>0.82</v>
      </c>
      <c r="G26" s="61">
        <v>0.0763</v>
      </c>
      <c r="H26" s="61">
        <v>0.89</v>
      </c>
    </row>
    <row r="27" spans="1:8" ht="15">
      <c r="A27" s="61" t="s">
        <v>134</v>
      </c>
      <c r="B27" s="61">
        <v>24</v>
      </c>
      <c r="C27" s="61">
        <v>0.82</v>
      </c>
      <c r="D27" s="61">
        <v>1.0783</v>
      </c>
      <c r="E27" s="61">
        <v>0.3302</v>
      </c>
      <c r="F27" s="61">
        <v>0.48</v>
      </c>
      <c r="G27" s="61">
        <v>0.0236</v>
      </c>
      <c r="H27" s="61">
        <v>0.49</v>
      </c>
    </row>
    <row r="28" spans="1:8" ht="15">
      <c r="A28" s="61" t="s">
        <v>135</v>
      </c>
      <c r="B28" s="61">
        <v>26</v>
      </c>
      <c r="C28" s="61">
        <v>0.74</v>
      </c>
      <c r="D28" s="61">
        <v>0.733</v>
      </c>
      <c r="E28" s="61">
        <v>0.3209</v>
      </c>
      <c r="F28" s="61">
        <v>0.5</v>
      </c>
      <c r="G28" s="61">
        <v>0.0136</v>
      </c>
      <c r="H28" s="61">
        <v>0.5</v>
      </c>
    </row>
    <row r="29" spans="1:8" ht="15">
      <c r="A29" s="61" t="s">
        <v>136</v>
      </c>
      <c r="B29" s="61">
        <v>16</v>
      </c>
      <c r="C29" s="61">
        <v>0.79</v>
      </c>
      <c r="D29" s="61">
        <v>0.907</v>
      </c>
      <c r="E29" s="61">
        <v>0.3047</v>
      </c>
      <c r="F29" s="61">
        <v>0.48</v>
      </c>
      <c r="G29" s="61">
        <v>0.0281</v>
      </c>
      <c r="H29" s="61">
        <v>0.5</v>
      </c>
    </row>
    <row r="30" spans="1:8" ht="15">
      <c r="A30" s="61" t="s">
        <v>137</v>
      </c>
      <c r="B30" s="61">
        <v>83</v>
      </c>
      <c r="C30" s="61">
        <v>1.37</v>
      </c>
      <c r="D30" s="61">
        <v>0.2353</v>
      </c>
      <c r="E30" s="61">
        <v>0.1423</v>
      </c>
      <c r="F30" s="61">
        <v>1.14</v>
      </c>
      <c r="G30" s="61">
        <v>0.0931</v>
      </c>
      <c r="H30" s="61">
        <v>1.26</v>
      </c>
    </row>
    <row r="31" spans="1:8" ht="15">
      <c r="A31" s="61" t="s">
        <v>138</v>
      </c>
      <c r="B31" s="61">
        <v>173</v>
      </c>
      <c r="C31" s="61">
        <v>1.31</v>
      </c>
      <c r="D31" s="61">
        <v>0.4562</v>
      </c>
      <c r="E31" s="61">
        <v>0.1187</v>
      </c>
      <c r="F31" s="61">
        <v>0.94</v>
      </c>
      <c r="G31" s="61">
        <v>0.2412</v>
      </c>
      <c r="H31" s="61">
        <v>1.23</v>
      </c>
    </row>
    <row r="32" spans="1:8" ht="15">
      <c r="A32" s="61" t="s">
        <v>139</v>
      </c>
      <c r="B32" s="61">
        <v>84</v>
      </c>
      <c r="C32" s="61">
        <v>1.66</v>
      </c>
      <c r="D32" s="61">
        <v>0.7923</v>
      </c>
      <c r="E32" s="61">
        <v>0.1717</v>
      </c>
      <c r="F32" s="61">
        <v>1</v>
      </c>
      <c r="G32" s="61">
        <v>0.0787</v>
      </c>
      <c r="H32" s="61">
        <v>1.09</v>
      </c>
    </row>
    <row r="33" spans="1:8" ht="15">
      <c r="A33" s="61" t="s">
        <v>140</v>
      </c>
      <c r="B33" s="61">
        <v>33</v>
      </c>
      <c r="C33" s="61">
        <v>1.45</v>
      </c>
      <c r="D33" s="61">
        <v>0.1154</v>
      </c>
      <c r="E33" s="61">
        <v>0.1367</v>
      </c>
      <c r="F33" s="61">
        <v>1.31</v>
      </c>
      <c r="G33" s="61">
        <v>0.435</v>
      </c>
      <c r="H33" s="61">
        <v>2.33</v>
      </c>
    </row>
    <row r="34" spans="1:8" ht="15">
      <c r="A34" s="61" t="s">
        <v>141</v>
      </c>
      <c r="B34" s="61">
        <v>79</v>
      </c>
      <c r="C34" s="61">
        <v>1.11</v>
      </c>
      <c r="D34" s="61">
        <v>0.4986</v>
      </c>
      <c r="E34" s="61">
        <v>0.1545</v>
      </c>
      <c r="F34" s="61">
        <v>0.78</v>
      </c>
      <c r="G34" s="61">
        <v>0.0226</v>
      </c>
      <c r="H34" s="61">
        <v>0.8</v>
      </c>
    </row>
    <row r="35" spans="1:8" ht="15">
      <c r="A35" s="61" t="s">
        <v>142</v>
      </c>
      <c r="B35" s="61">
        <v>296</v>
      </c>
      <c r="C35" s="61">
        <v>1.27</v>
      </c>
      <c r="D35" s="61">
        <v>2.6138</v>
      </c>
      <c r="E35" s="61">
        <v>0.1793</v>
      </c>
      <c r="F35" s="61">
        <v>0.4</v>
      </c>
      <c r="G35" s="61">
        <v>0.0997</v>
      </c>
      <c r="H35" s="61">
        <v>0.45</v>
      </c>
    </row>
    <row r="36" spans="1:8" s="316" customFormat="1" ht="15">
      <c r="A36" s="315" t="s">
        <v>143</v>
      </c>
      <c r="B36" s="315">
        <v>109</v>
      </c>
      <c r="C36" s="315">
        <v>0.8</v>
      </c>
      <c r="D36" s="315">
        <v>0.3515</v>
      </c>
      <c r="E36" s="315">
        <v>0.2167</v>
      </c>
      <c r="F36" s="315">
        <v>0.63</v>
      </c>
      <c r="G36" s="315">
        <v>0.0331</v>
      </c>
      <c r="H36" s="315">
        <v>0.65</v>
      </c>
    </row>
    <row r="37" spans="1:8" ht="15">
      <c r="A37" s="61" t="s">
        <v>144</v>
      </c>
      <c r="B37" s="61">
        <v>18</v>
      </c>
      <c r="C37" s="61">
        <v>0.73</v>
      </c>
      <c r="D37" s="61">
        <v>0.595</v>
      </c>
      <c r="E37" s="61">
        <v>0.2739</v>
      </c>
      <c r="F37" s="61">
        <v>0.51</v>
      </c>
      <c r="G37" s="61">
        <v>0.0566</v>
      </c>
      <c r="H37" s="61">
        <v>0.54</v>
      </c>
    </row>
    <row r="38" spans="1:8" ht="15">
      <c r="A38" s="61" t="s">
        <v>145</v>
      </c>
      <c r="B38" s="61">
        <v>10</v>
      </c>
      <c r="C38" s="61">
        <v>1.18</v>
      </c>
      <c r="D38" s="61">
        <v>0.4229</v>
      </c>
      <c r="E38" s="61">
        <v>0.3704</v>
      </c>
      <c r="F38" s="61">
        <v>0.94</v>
      </c>
      <c r="G38" s="61">
        <v>0.332</v>
      </c>
      <c r="H38" s="61">
        <v>1.4</v>
      </c>
    </row>
    <row r="39" spans="1:8" ht="15">
      <c r="A39" s="61" t="s">
        <v>146</v>
      </c>
      <c r="B39" s="61">
        <v>34</v>
      </c>
      <c r="C39" s="61">
        <v>1.29</v>
      </c>
      <c r="D39" s="61">
        <v>0.6575</v>
      </c>
      <c r="E39" s="61">
        <v>0.2399</v>
      </c>
      <c r="F39" s="61">
        <v>0.86</v>
      </c>
      <c r="G39" s="61">
        <v>0.0842</v>
      </c>
      <c r="H39" s="61">
        <v>0.94</v>
      </c>
    </row>
    <row r="40" spans="1:8" ht="15">
      <c r="A40" s="61" t="s">
        <v>147</v>
      </c>
      <c r="B40" s="61">
        <v>14</v>
      </c>
      <c r="C40" s="61">
        <v>0.84</v>
      </c>
      <c r="D40" s="61">
        <v>0.1391</v>
      </c>
      <c r="E40" s="61">
        <v>0.3296</v>
      </c>
      <c r="F40" s="61">
        <v>0.77</v>
      </c>
      <c r="G40" s="61">
        <v>0.0119</v>
      </c>
      <c r="H40" s="61">
        <v>0.78</v>
      </c>
    </row>
    <row r="41" spans="1:8" ht="15">
      <c r="A41" s="61" t="s">
        <v>148</v>
      </c>
      <c r="B41" s="61">
        <v>29</v>
      </c>
      <c r="C41" s="61">
        <v>1.05</v>
      </c>
      <c r="D41" s="61">
        <v>0.1987</v>
      </c>
      <c r="E41" s="61">
        <v>0.1647</v>
      </c>
      <c r="F41" s="61">
        <v>0.9</v>
      </c>
      <c r="G41" s="61">
        <v>0.1372</v>
      </c>
      <c r="H41" s="61">
        <v>1.04</v>
      </c>
    </row>
    <row r="42" spans="1:8" ht="15">
      <c r="A42" s="61" t="s">
        <v>149</v>
      </c>
      <c r="B42" s="61">
        <v>14</v>
      </c>
      <c r="C42" s="61">
        <v>1.48</v>
      </c>
      <c r="D42" s="61">
        <v>0.0949</v>
      </c>
      <c r="E42" s="61">
        <v>0.3426</v>
      </c>
      <c r="F42" s="61">
        <v>1.4</v>
      </c>
      <c r="G42" s="61">
        <v>0.1962</v>
      </c>
      <c r="H42" s="61">
        <v>1.74</v>
      </c>
    </row>
    <row r="43" spans="1:8" ht="15">
      <c r="A43" s="61" t="s">
        <v>150</v>
      </c>
      <c r="B43" s="61">
        <v>32</v>
      </c>
      <c r="C43" s="61">
        <v>1.36</v>
      </c>
      <c r="D43" s="61">
        <v>1.6215</v>
      </c>
      <c r="E43" s="61">
        <v>0.0613</v>
      </c>
      <c r="F43" s="61">
        <v>0.54</v>
      </c>
      <c r="G43" s="61">
        <v>0.1707</v>
      </c>
      <c r="H43" s="61">
        <v>0.65</v>
      </c>
    </row>
    <row r="44" spans="1:8" ht="15">
      <c r="A44" s="61" t="s">
        <v>151</v>
      </c>
      <c r="B44" s="61">
        <v>68</v>
      </c>
      <c r="C44" s="61">
        <v>1.7</v>
      </c>
      <c r="D44" s="61">
        <v>1.4262</v>
      </c>
      <c r="E44" s="61">
        <v>0.1797</v>
      </c>
      <c r="F44" s="61">
        <v>0.78</v>
      </c>
      <c r="G44" s="61">
        <v>0.0666</v>
      </c>
      <c r="H44" s="61">
        <v>0.84</v>
      </c>
    </row>
    <row r="45" spans="1:8" ht="15">
      <c r="A45" s="61" t="s">
        <v>152</v>
      </c>
      <c r="B45" s="61">
        <v>26</v>
      </c>
      <c r="C45" s="61">
        <v>1.08</v>
      </c>
      <c r="D45" s="61">
        <v>0.2321</v>
      </c>
      <c r="E45" s="61">
        <v>0.2987</v>
      </c>
      <c r="F45" s="61">
        <v>0.93</v>
      </c>
      <c r="G45" s="61">
        <v>0.0236</v>
      </c>
      <c r="H45" s="61">
        <v>0.95</v>
      </c>
    </row>
    <row r="46" spans="1:8" ht="15">
      <c r="A46" s="61" t="s">
        <v>153</v>
      </c>
      <c r="B46" s="61">
        <v>31</v>
      </c>
      <c r="C46" s="61">
        <v>1.44</v>
      </c>
      <c r="D46" s="61">
        <v>0.1842</v>
      </c>
      <c r="E46" s="61">
        <v>0.2977</v>
      </c>
      <c r="F46" s="61">
        <v>1.28</v>
      </c>
      <c r="G46" s="61">
        <v>0.2047</v>
      </c>
      <c r="H46" s="61">
        <v>1.61</v>
      </c>
    </row>
    <row r="47" spans="1:8" ht="15">
      <c r="A47" s="61" t="s">
        <v>154</v>
      </c>
      <c r="B47" s="61">
        <v>167</v>
      </c>
      <c r="C47" s="61">
        <v>1.2</v>
      </c>
      <c r="D47" s="61">
        <v>0.4398</v>
      </c>
      <c r="E47" s="61">
        <v>0.1926</v>
      </c>
      <c r="F47" s="61">
        <v>0.88</v>
      </c>
      <c r="G47" s="61">
        <v>0.1012</v>
      </c>
      <c r="H47" s="61">
        <v>0.98</v>
      </c>
    </row>
    <row r="48" spans="1:8" ht="15">
      <c r="A48" s="61" t="s">
        <v>155</v>
      </c>
      <c r="B48" s="61">
        <v>34</v>
      </c>
      <c r="C48" s="61">
        <v>1.22</v>
      </c>
      <c r="D48" s="61">
        <v>0.2188</v>
      </c>
      <c r="E48" s="61">
        <v>0.2044</v>
      </c>
      <c r="F48" s="61">
        <v>1.04</v>
      </c>
      <c r="G48" s="61">
        <v>0.1664</v>
      </c>
      <c r="H48" s="61">
        <v>1.24</v>
      </c>
    </row>
    <row r="49" spans="1:8" ht="15">
      <c r="A49" s="61" t="s">
        <v>156</v>
      </c>
      <c r="B49" s="61">
        <v>35</v>
      </c>
      <c r="C49" s="61">
        <v>1.17</v>
      </c>
      <c r="D49" s="61">
        <v>0.2171</v>
      </c>
      <c r="E49" s="61">
        <v>0.2586</v>
      </c>
      <c r="F49" s="61">
        <v>1.01</v>
      </c>
      <c r="G49" s="61">
        <v>0.2042</v>
      </c>
      <c r="H49" s="61">
        <v>1.27</v>
      </c>
    </row>
    <row r="50" spans="1:8" ht="15">
      <c r="A50" s="61" t="s">
        <v>157</v>
      </c>
      <c r="B50" s="61">
        <v>78</v>
      </c>
      <c r="C50" s="61">
        <v>0.91</v>
      </c>
      <c r="D50" s="61">
        <v>0.0189</v>
      </c>
      <c r="E50" s="61">
        <v>0.2026</v>
      </c>
      <c r="F50" s="61">
        <v>0.9</v>
      </c>
      <c r="G50" s="61">
        <v>0.0222</v>
      </c>
      <c r="H50" s="61">
        <v>0.92</v>
      </c>
    </row>
    <row r="51" spans="1:8" ht="15">
      <c r="A51" s="61" t="s">
        <v>158</v>
      </c>
      <c r="B51" s="61">
        <v>208</v>
      </c>
      <c r="C51" s="61">
        <v>1.41</v>
      </c>
      <c r="D51" s="61">
        <v>0.0407</v>
      </c>
      <c r="E51" s="61">
        <v>0.075</v>
      </c>
      <c r="F51" s="61">
        <v>1.36</v>
      </c>
      <c r="G51" s="61">
        <v>0.1801</v>
      </c>
      <c r="H51" s="61">
        <v>1.66</v>
      </c>
    </row>
    <row r="52" spans="1:8" ht="15">
      <c r="A52" s="61" t="s">
        <v>159</v>
      </c>
      <c r="B52" s="61">
        <v>17</v>
      </c>
      <c r="C52" s="61">
        <v>0.83</v>
      </c>
      <c r="D52" s="61">
        <v>0.1484</v>
      </c>
      <c r="E52" s="61">
        <v>0</v>
      </c>
      <c r="F52" s="61">
        <v>0.72</v>
      </c>
      <c r="G52" s="61">
        <v>0.201</v>
      </c>
      <c r="H52" s="61">
        <v>0.9</v>
      </c>
    </row>
    <row r="53" spans="1:8" ht="15">
      <c r="A53" s="61" t="s">
        <v>160</v>
      </c>
      <c r="B53" s="61">
        <v>16</v>
      </c>
      <c r="C53" s="61">
        <v>1.31</v>
      </c>
      <c r="D53" s="61">
        <v>0.0516</v>
      </c>
      <c r="E53" s="61">
        <v>0.0211</v>
      </c>
      <c r="F53" s="61">
        <v>1.24</v>
      </c>
      <c r="G53" s="61">
        <v>0.0872</v>
      </c>
      <c r="H53" s="61">
        <v>1.36</v>
      </c>
    </row>
    <row r="54" spans="1:8" ht="15">
      <c r="A54" s="61" t="s">
        <v>161</v>
      </c>
      <c r="B54" s="61">
        <v>124</v>
      </c>
      <c r="C54" s="61">
        <v>1.39</v>
      </c>
      <c r="D54" s="61">
        <v>0.5577</v>
      </c>
      <c r="E54" s="61">
        <v>0.2271</v>
      </c>
      <c r="F54" s="61">
        <v>0.97</v>
      </c>
      <c r="G54" s="61">
        <v>0.104</v>
      </c>
      <c r="H54" s="61">
        <v>1.08</v>
      </c>
    </row>
    <row r="55" spans="1:8" ht="15">
      <c r="A55" s="61" t="s">
        <v>162</v>
      </c>
      <c r="B55" s="61">
        <v>18</v>
      </c>
      <c r="C55" s="61">
        <v>1.32</v>
      </c>
      <c r="D55" s="61">
        <v>0.5013</v>
      </c>
      <c r="E55" s="61">
        <v>0.1498</v>
      </c>
      <c r="F55" s="61">
        <v>0.92</v>
      </c>
      <c r="G55" s="61">
        <v>0.3293</v>
      </c>
      <c r="H55" s="61">
        <v>1.38</v>
      </c>
    </row>
    <row r="56" spans="1:8" ht="15">
      <c r="A56" s="61" t="s">
        <v>163</v>
      </c>
      <c r="B56" s="61">
        <v>56</v>
      </c>
      <c r="C56" s="61">
        <v>1.3</v>
      </c>
      <c r="D56" s="61">
        <v>1.8573</v>
      </c>
      <c r="E56" s="61">
        <v>0.0708</v>
      </c>
      <c r="F56" s="61">
        <v>0.48</v>
      </c>
      <c r="G56" s="61">
        <v>0.0794</v>
      </c>
      <c r="H56" s="61">
        <v>0.52</v>
      </c>
    </row>
    <row r="57" spans="1:8" ht="15">
      <c r="A57" s="61" t="s">
        <v>164</v>
      </c>
      <c r="B57" s="61">
        <v>160</v>
      </c>
      <c r="C57" s="61">
        <v>1.1</v>
      </c>
      <c r="D57" s="61">
        <v>0.5466</v>
      </c>
      <c r="E57" s="61">
        <v>0.1836</v>
      </c>
      <c r="F57" s="61">
        <v>0.76</v>
      </c>
      <c r="G57" s="61">
        <v>0.1506</v>
      </c>
      <c r="H57" s="61">
        <v>0.9</v>
      </c>
    </row>
    <row r="58" spans="1:8" ht="15">
      <c r="A58" s="61" t="s">
        <v>165</v>
      </c>
      <c r="B58" s="61">
        <v>252</v>
      </c>
      <c r="C58" s="61">
        <v>1.17</v>
      </c>
      <c r="D58" s="61">
        <v>0.1328</v>
      </c>
      <c r="E58" s="61">
        <v>0.1251</v>
      </c>
      <c r="F58" s="61">
        <v>1.05</v>
      </c>
      <c r="G58" s="61">
        <v>0.0761</v>
      </c>
      <c r="H58" s="61">
        <v>1.13</v>
      </c>
    </row>
    <row r="59" spans="1:8" ht="15">
      <c r="A59" s="61" t="s">
        <v>166</v>
      </c>
      <c r="B59" s="61">
        <v>35</v>
      </c>
      <c r="C59" s="61">
        <v>1.56</v>
      </c>
      <c r="D59" s="61">
        <v>0.2544</v>
      </c>
      <c r="E59" s="61">
        <v>0.2043</v>
      </c>
      <c r="F59" s="61">
        <v>1.29</v>
      </c>
      <c r="G59" s="61">
        <v>0.1661</v>
      </c>
      <c r="H59" s="61">
        <v>1.55</v>
      </c>
    </row>
    <row r="60" spans="1:8" ht="15">
      <c r="A60" s="61" t="s">
        <v>167</v>
      </c>
      <c r="B60" s="61">
        <v>78</v>
      </c>
      <c r="C60" s="61">
        <v>1.69</v>
      </c>
      <c r="D60" s="61">
        <v>0.2194</v>
      </c>
      <c r="E60" s="61">
        <v>0.0929</v>
      </c>
      <c r="F60" s="61">
        <v>1.41</v>
      </c>
      <c r="G60" s="61">
        <v>0.051</v>
      </c>
      <c r="H60" s="61">
        <v>1.48</v>
      </c>
    </row>
    <row r="61" spans="1:8" ht="15">
      <c r="A61" s="61" t="s">
        <v>168</v>
      </c>
      <c r="B61" s="61">
        <v>34</v>
      </c>
      <c r="C61" s="61">
        <v>1.2</v>
      </c>
      <c r="D61" s="61">
        <v>0.5857</v>
      </c>
      <c r="E61" s="61">
        <v>0.2419</v>
      </c>
      <c r="F61" s="61">
        <v>0.83</v>
      </c>
      <c r="G61" s="61">
        <v>0.0226</v>
      </c>
      <c r="H61" s="61">
        <v>0.85</v>
      </c>
    </row>
    <row r="62" spans="1:8" ht="15">
      <c r="A62" s="61" t="s">
        <v>169</v>
      </c>
      <c r="B62" s="61">
        <v>25</v>
      </c>
      <c r="C62" s="61">
        <v>0.69</v>
      </c>
      <c r="D62" s="61">
        <v>0.8533</v>
      </c>
      <c r="E62" s="61">
        <v>0.2452</v>
      </c>
      <c r="F62" s="61">
        <v>0.42</v>
      </c>
      <c r="G62" s="61">
        <v>0.022</v>
      </c>
      <c r="H62" s="61">
        <v>0.43</v>
      </c>
    </row>
    <row r="63" spans="1:8" ht="15">
      <c r="A63" s="61" t="s">
        <v>170</v>
      </c>
      <c r="B63" s="61">
        <v>16</v>
      </c>
      <c r="C63" s="61">
        <v>1.16</v>
      </c>
      <c r="D63" s="61">
        <v>0.8643</v>
      </c>
      <c r="E63" s="61">
        <v>0.2353</v>
      </c>
      <c r="F63" s="61">
        <v>0.7</v>
      </c>
      <c r="G63" s="61">
        <v>0.0294</v>
      </c>
      <c r="H63" s="61">
        <v>0.72</v>
      </c>
    </row>
    <row r="64" spans="1:8" ht="15">
      <c r="A64" s="61" t="s">
        <v>171</v>
      </c>
      <c r="B64" s="61">
        <v>26</v>
      </c>
      <c r="C64" s="61">
        <v>1.11</v>
      </c>
      <c r="D64" s="61">
        <v>0.6035</v>
      </c>
      <c r="E64" s="61">
        <v>0.2276</v>
      </c>
      <c r="F64" s="61">
        <v>0.76</v>
      </c>
      <c r="G64" s="61">
        <v>0.0973</v>
      </c>
      <c r="H64" s="61">
        <v>0.84</v>
      </c>
    </row>
    <row r="65" spans="1:8" ht="15">
      <c r="A65" s="61" t="s">
        <v>172</v>
      </c>
      <c r="B65" s="61">
        <v>19</v>
      </c>
      <c r="C65" s="61">
        <v>0.89</v>
      </c>
      <c r="D65" s="61">
        <v>0.8195</v>
      </c>
      <c r="E65" s="61">
        <v>0.0948</v>
      </c>
      <c r="F65" s="61">
        <v>0.51</v>
      </c>
      <c r="G65" s="61">
        <v>0.0227</v>
      </c>
      <c r="H65" s="61">
        <v>0.53</v>
      </c>
    </row>
    <row r="66" spans="1:8" ht="15">
      <c r="A66" s="61" t="s">
        <v>173</v>
      </c>
      <c r="B66" s="61">
        <v>112</v>
      </c>
      <c r="C66" s="61">
        <v>1.56</v>
      </c>
      <c r="D66" s="61">
        <v>0.4235</v>
      </c>
      <c r="E66" s="61">
        <v>0.2207</v>
      </c>
      <c r="F66" s="61">
        <v>1.17</v>
      </c>
      <c r="G66" s="61">
        <v>0.0756</v>
      </c>
      <c r="H66" s="61">
        <v>1.27</v>
      </c>
    </row>
    <row r="67" spans="1:8" ht="15">
      <c r="A67" s="61" t="s">
        <v>174</v>
      </c>
      <c r="B67" s="61">
        <v>33</v>
      </c>
      <c r="C67" s="61">
        <v>1.27</v>
      </c>
      <c r="D67" s="61">
        <v>0.8483</v>
      </c>
      <c r="E67" s="61">
        <v>0.2465</v>
      </c>
      <c r="F67" s="61">
        <v>0.77</v>
      </c>
      <c r="G67" s="61">
        <v>0.0519</v>
      </c>
      <c r="H67" s="61">
        <v>0.81</v>
      </c>
    </row>
    <row r="68" spans="1:8" ht="15">
      <c r="A68" s="61" t="s">
        <v>175</v>
      </c>
      <c r="B68" s="61">
        <v>38</v>
      </c>
      <c r="C68" s="61">
        <v>1.2</v>
      </c>
      <c r="D68" s="61">
        <v>1.181</v>
      </c>
      <c r="E68" s="61">
        <v>0.1366</v>
      </c>
      <c r="F68" s="61">
        <v>0.6</v>
      </c>
      <c r="G68" s="61">
        <v>0.0615</v>
      </c>
      <c r="H68" s="61">
        <v>0.64</v>
      </c>
    </row>
    <row r="69" spans="1:8" ht="15">
      <c r="A69" s="61" t="s">
        <v>176</v>
      </c>
      <c r="B69" s="61">
        <v>25</v>
      </c>
      <c r="C69" s="61">
        <v>1.34</v>
      </c>
      <c r="D69" s="61">
        <v>0.1467</v>
      </c>
      <c r="E69" s="61">
        <v>0.3379</v>
      </c>
      <c r="F69" s="61">
        <v>1.22</v>
      </c>
      <c r="G69" s="61">
        <v>0.06</v>
      </c>
      <c r="H69" s="61">
        <v>1.3</v>
      </c>
    </row>
    <row r="70" spans="1:8" ht="15">
      <c r="A70" s="61" t="s">
        <v>177</v>
      </c>
      <c r="B70" s="61">
        <v>188</v>
      </c>
      <c r="C70" s="61">
        <v>1.24</v>
      </c>
      <c r="D70" s="61">
        <v>0.3757</v>
      </c>
      <c r="E70" s="61">
        <v>0.1398</v>
      </c>
      <c r="F70" s="61">
        <v>0.94</v>
      </c>
      <c r="G70" s="61">
        <v>0.0285</v>
      </c>
      <c r="H70" s="61">
        <v>0.97</v>
      </c>
    </row>
    <row r="71" spans="1:8" ht="15">
      <c r="A71" s="61" t="s">
        <v>178</v>
      </c>
      <c r="B71" s="61">
        <v>19</v>
      </c>
      <c r="C71" s="61">
        <v>0.94</v>
      </c>
      <c r="D71" s="61">
        <v>0.235</v>
      </c>
      <c r="E71" s="61">
        <v>0.2113</v>
      </c>
      <c r="F71" s="61">
        <v>0.79</v>
      </c>
      <c r="G71" s="61">
        <v>0.0238</v>
      </c>
      <c r="H71" s="61">
        <v>0.81</v>
      </c>
    </row>
    <row r="72" spans="1:8" ht="15">
      <c r="A72" s="61" t="s">
        <v>179</v>
      </c>
      <c r="B72" s="61">
        <v>66</v>
      </c>
      <c r="C72" s="61">
        <v>1.63</v>
      </c>
      <c r="D72" s="61">
        <v>1.0788</v>
      </c>
      <c r="E72" s="61">
        <v>0.0625</v>
      </c>
      <c r="F72" s="61">
        <v>0.81</v>
      </c>
      <c r="G72" s="61">
        <v>0.1462</v>
      </c>
      <c r="H72" s="61">
        <v>0.95</v>
      </c>
    </row>
    <row r="73" spans="1:8" ht="15">
      <c r="A73" s="61" t="s">
        <v>180</v>
      </c>
      <c r="B73" s="61">
        <v>75</v>
      </c>
      <c r="C73" s="61">
        <v>1.41</v>
      </c>
      <c r="D73" s="61">
        <v>0.1177</v>
      </c>
      <c r="E73" s="61">
        <v>0.0594</v>
      </c>
      <c r="F73" s="61">
        <v>1.27</v>
      </c>
      <c r="G73" s="61">
        <v>0.0713</v>
      </c>
      <c r="H73" s="61">
        <v>1.37</v>
      </c>
    </row>
    <row r="74" spans="1:8" ht="15">
      <c r="A74" s="61" t="s">
        <v>181</v>
      </c>
      <c r="B74" s="61">
        <v>90</v>
      </c>
      <c r="C74" s="61">
        <v>1.47</v>
      </c>
      <c r="D74" s="61">
        <v>0.2265</v>
      </c>
      <c r="E74" s="61">
        <v>0.1438</v>
      </c>
      <c r="F74" s="61">
        <v>1.23</v>
      </c>
      <c r="G74" s="61">
        <v>0.2269</v>
      </c>
      <c r="H74" s="61">
        <v>1.59</v>
      </c>
    </row>
    <row r="75" spans="1:8" ht="15">
      <c r="A75" s="61" t="s">
        <v>182</v>
      </c>
      <c r="B75" s="61">
        <v>17</v>
      </c>
      <c r="C75" s="61">
        <v>1.38</v>
      </c>
      <c r="D75" s="61">
        <v>2.8291</v>
      </c>
      <c r="E75" s="61">
        <v>0.1927</v>
      </c>
      <c r="F75" s="61">
        <v>0.42</v>
      </c>
      <c r="G75" s="61">
        <v>0.097</v>
      </c>
      <c r="H75" s="61">
        <v>0.46</v>
      </c>
    </row>
    <row r="76" spans="1:8" ht="15">
      <c r="A76" s="61" t="s">
        <v>183</v>
      </c>
      <c r="B76" s="61">
        <v>27</v>
      </c>
      <c r="C76" s="61">
        <v>1.24</v>
      </c>
      <c r="D76" s="61">
        <v>1.3713</v>
      </c>
      <c r="E76" s="61">
        <v>0.2073</v>
      </c>
      <c r="F76" s="61">
        <v>0.59</v>
      </c>
      <c r="G76" s="61">
        <v>0.0374</v>
      </c>
      <c r="H76" s="61">
        <v>0.62</v>
      </c>
    </row>
    <row r="77" spans="1:8" ht="15">
      <c r="A77" s="61" t="s">
        <v>184</v>
      </c>
      <c r="B77" s="61">
        <v>144</v>
      </c>
      <c r="C77" s="61">
        <v>1.35</v>
      </c>
      <c r="D77" s="61">
        <v>0.5319</v>
      </c>
      <c r="E77" s="61">
        <v>0.0121</v>
      </c>
      <c r="F77" s="61">
        <v>0.88</v>
      </c>
      <c r="G77" s="61">
        <v>0.0413</v>
      </c>
      <c r="H77" s="61">
        <v>0.92</v>
      </c>
    </row>
    <row r="78" spans="1:8" ht="15">
      <c r="A78" s="61" t="s">
        <v>185</v>
      </c>
      <c r="B78" s="61">
        <v>15</v>
      </c>
      <c r="C78" s="61">
        <v>1.25</v>
      </c>
      <c r="D78" s="61">
        <v>0.4153</v>
      </c>
      <c r="E78" s="61">
        <v>0.3062</v>
      </c>
      <c r="F78" s="61">
        <v>0.97</v>
      </c>
      <c r="G78" s="61">
        <v>0.0238</v>
      </c>
      <c r="H78" s="61">
        <v>0.99</v>
      </c>
    </row>
    <row r="79" spans="1:8" ht="15">
      <c r="A79" s="61" t="s">
        <v>186</v>
      </c>
      <c r="B79" s="61">
        <v>64</v>
      </c>
      <c r="C79" s="61">
        <v>1.41</v>
      </c>
      <c r="D79" s="61">
        <v>0.6258</v>
      </c>
      <c r="E79" s="61">
        <v>0.1912</v>
      </c>
      <c r="F79" s="61">
        <v>0.94</v>
      </c>
      <c r="G79" s="61">
        <v>0.0732</v>
      </c>
      <c r="H79" s="61">
        <v>1.01</v>
      </c>
    </row>
    <row r="80" spans="1:8" ht="15">
      <c r="A80" s="61" t="s">
        <v>187</v>
      </c>
      <c r="B80" s="61">
        <v>11</v>
      </c>
      <c r="C80" s="61">
        <v>0.91</v>
      </c>
      <c r="D80" s="61">
        <v>0.1137</v>
      </c>
      <c r="E80" s="61">
        <v>0.0887</v>
      </c>
      <c r="F80" s="61">
        <v>0.82</v>
      </c>
      <c r="G80" s="61">
        <v>0.1791</v>
      </c>
      <c r="H80" s="61">
        <v>1</v>
      </c>
    </row>
    <row r="81" spans="1:8" ht="15">
      <c r="A81" s="314" t="s">
        <v>188</v>
      </c>
      <c r="B81" s="314">
        <v>68</v>
      </c>
      <c r="C81" s="314">
        <v>1.26</v>
      </c>
      <c r="D81" s="314">
        <v>0.2497</v>
      </c>
      <c r="E81" s="314">
        <v>0.201</v>
      </c>
      <c r="F81" s="314">
        <v>1.05</v>
      </c>
      <c r="G81" s="314">
        <v>0.0328</v>
      </c>
      <c r="H81" s="314">
        <v>1.09</v>
      </c>
    </row>
    <row r="82" spans="1:8" ht="15">
      <c r="A82" s="61" t="s">
        <v>189</v>
      </c>
      <c r="B82" s="61">
        <v>155</v>
      </c>
      <c r="C82" s="61">
        <v>1.26</v>
      </c>
      <c r="D82" s="61">
        <v>0.2607</v>
      </c>
      <c r="E82" s="61">
        <v>0.2308</v>
      </c>
      <c r="F82" s="61">
        <v>1.05</v>
      </c>
      <c r="G82" s="61">
        <v>0.1413</v>
      </c>
      <c r="H82" s="61">
        <v>1.22</v>
      </c>
    </row>
    <row r="83" spans="1:8" ht="15">
      <c r="A83" s="61" t="s">
        <v>190</v>
      </c>
      <c r="B83" s="61">
        <v>16</v>
      </c>
      <c r="C83" s="61">
        <v>1.31</v>
      </c>
      <c r="D83" s="61">
        <v>0.6688</v>
      </c>
      <c r="E83" s="61">
        <v>0.3423</v>
      </c>
      <c r="F83" s="61">
        <v>0.91</v>
      </c>
      <c r="G83" s="61">
        <v>0.0213</v>
      </c>
      <c r="H83" s="61">
        <v>0.93</v>
      </c>
    </row>
    <row r="84" spans="1:8" ht="15">
      <c r="A84" s="61" t="s">
        <v>191</v>
      </c>
      <c r="B84" s="61">
        <v>8</v>
      </c>
      <c r="C84" s="61">
        <v>1.01</v>
      </c>
      <c r="D84" s="61">
        <v>0.2635</v>
      </c>
      <c r="E84" s="61">
        <v>0.2812</v>
      </c>
      <c r="F84" s="61">
        <v>0.85</v>
      </c>
      <c r="G84" s="61">
        <v>0.0109</v>
      </c>
      <c r="H84" s="61">
        <v>0.86</v>
      </c>
    </row>
    <row r="85" spans="1:8" ht="15">
      <c r="A85" s="61" t="s">
        <v>192</v>
      </c>
      <c r="B85" s="61">
        <v>38</v>
      </c>
      <c r="C85" s="61">
        <v>1.01</v>
      </c>
      <c r="D85" s="61">
        <v>0.3029</v>
      </c>
      <c r="E85" s="61">
        <v>0.2568</v>
      </c>
      <c r="F85" s="61">
        <v>0.82</v>
      </c>
      <c r="G85" s="61">
        <v>0.0479</v>
      </c>
      <c r="H85" s="61">
        <v>0.86</v>
      </c>
    </row>
    <row r="86" spans="1:8" ht="15">
      <c r="A86" s="61" t="s">
        <v>193</v>
      </c>
      <c r="B86" s="61">
        <v>32</v>
      </c>
      <c r="C86" s="61">
        <v>1.37</v>
      </c>
      <c r="D86" s="61">
        <v>4.6227</v>
      </c>
      <c r="E86" s="61">
        <v>0.2216</v>
      </c>
      <c r="F86" s="61">
        <v>0.3</v>
      </c>
      <c r="G86" s="61">
        <v>0.1925</v>
      </c>
      <c r="H86" s="61">
        <v>0.37</v>
      </c>
    </row>
    <row r="87" spans="1:8" ht="15">
      <c r="A87" s="61" t="s">
        <v>194</v>
      </c>
      <c r="B87" s="61">
        <v>122</v>
      </c>
      <c r="C87" s="61">
        <v>1.81</v>
      </c>
      <c r="D87" s="61">
        <v>0.1332</v>
      </c>
      <c r="E87" s="61">
        <v>0.1048</v>
      </c>
      <c r="F87" s="61">
        <v>1.62</v>
      </c>
      <c r="G87" s="61">
        <v>0.2352</v>
      </c>
      <c r="H87" s="61">
        <v>2.11</v>
      </c>
    </row>
    <row r="88" spans="1:8" ht="15">
      <c r="A88" s="61" t="s">
        <v>195</v>
      </c>
      <c r="B88" s="61">
        <v>16</v>
      </c>
      <c r="C88" s="61">
        <v>1.78</v>
      </c>
      <c r="D88" s="61">
        <v>0.1362</v>
      </c>
      <c r="E88" s="61">
        <v>0.2203</v>
      </c>
      <c r="F88" s="61">
        <v>1.61</v>
      </c>
      <c r="G88" s="61">
        <v>0.27</v>
      </c>
      <c r="H88" s="61">
        <v>2.2</v>
      </c>
    </row>
    <row r="89" spans="1:8" ht="15">
      <c r="A89" s="61" t="s">
        <v>196</v>
      </c>
      <c r="B89" s="61">
        <v>19</v>
      </c>
      <c r="C89" s="61">
        <v>1.23</v>
      </c>
      <c r="D89" s="61">
        <v>0.0366</v>
      </c>
      <c r="E89" s="61">
        <v>0.3035</v>
      </c>
      <c r="F89" s="61">
        <v>1.2</v>
      </c>
      <c r="G89" s="61">
        <v>0.1398</v>
      </c>
      <c r="H89" s="61">
        <v>1.39</v>
      </c>
    </row>
    <row r="90" spans="1:8" ht="15">
      <c r="A90" s="61" t="s">
        <v>197</v>
      </c>
      <c r="B90" s="61">
        <v>20</v>
      </c>
      <c r="C90" s="61">
        <v>1.71</v>
      </c>
      <c r="D90" s="61">
        <v>0.3218</v>
      </c>
      <c r="E90" s="61">
        <v>0.2915</v>
      </c>
      <c r="F90" s="61">
        <v>1.39</v>
      </c>
      <c r="G90" s="61">
        <v>0.0906</v>
      </c>
      <c r="H90" s="61">
        <v>1.53</v>
      </c>
    </row>
    <row r="91" spans="1:8" ht="15">
      <c r="A91" s="61" t="s">
        <v>198</v>
      </c>
      <c r="B91" s="61">
        <v>14</v>
      </c>
      <c r="C91" s="61">
        <v>1.96</v>
      </c>
      <c r="D91" s="61">
        <v>0.6496</v>
      </c>
      <c r="E91" s="61">
        <v>0.299</v>
      </c>
      <c r="F91" s="61">
        <v>1.34</v>
      </c>
      <c r="G91" s="61">
        <v>0.1242</v>
      </c>
      <c r="H91" s="61">
        <v>1.54</v>
      </c>
    </row>
    <row r="92" spans="1:8" ht="15">
      <c r="A92" s="61" t="s">
        <v>199</v>
      </c>
      <c r="B92" s="61">
        <v>110</v>
      </c>
      <c r="C92" s="61">
        <v>1.49</v>
      </c>
      <c r="D92" s="61">
        <v>0.1271</v>
      </c>
      <c r="E92" s="61">
        <v>0.1208</v>
      </c>
      <c r="F92" s="61">
        <v>1.34</v>
      </c>
      <c r="G92" s="61">
        <v>0.2843</v>
      </c>
      <c r="H92" s="61">
        <v>1.87</v>
      </c>
    </row>
    <row r="93" spans="1:8" ht="15">
      <c r="A93" s="61" t="s">
        <v>200</v>
      </c>
      <c r="B93" s="61">
        <v>140</v>
      </c>
      <c r="C93" s="61">
        <v>1.43</v>
      </c>
      <c r="D93" s="61">
        <v>0.5132</v>
      </c>
      <c r="E93" s="61">
        <v>0.159</v>
      </c>
      <c r="F93" s="61">
        <v>1</v>
      </c>
      <c r="G93" s="61">
        <v>0.0573</v>
      </c>
      <c r="H93" s="61">
        <v>1.06</v>
      </c>
    </row>
    <row r="94" spans="1:8" ht="15">
      <c r="A94" s="61" t="s">
        <v>201</v>
      </c>
      <c r="B94" s="61">
        <v>234</v>
      </c>
      <c r="C94" s="61">
        <v>0.66</v>
      </c>
      <c r="D94" s="61">
        <v>0.0971</v>
      </c>
      <c r="E94" s="61">
        <v>0.1704</v>
      </c>
      <c r="F94" s="61">
        <v>0.61</v>
      </c>
      <c r="G94" s="61">
        <v>0.1149</v>
      </c>
      <c r="H94" s="61">
        <v>0.69</v>
      </c>
    </row>
    <row r="95" spans="1:8" ht="15">
      <c r="A95" s="61" t="s">
        <v>202</v>
      </c>
      <c r="B95" s="61">
        <v>12</v>
      </c>
      <c r="C95" s="61">
        <v>0.71</v>
      </c>
      <c r="D95" s="61">
        <v>0.0884</v>
      </c>
      <c r="E95" s="61">
        <v>0.2025</v>
      </c>
      <c r="F95" s="61">
        <v>0.67</v>
      </c>
      <c r="G95" s="61">
        <v>0.031</v>
      </c>
      <c r="H95" s="61">
        <v>0.69</v>
      </c>
    </row>
    <row r="96" spans="1:8" ht="15">
      <c r="A96" s="61" t="s">
        <v>203</v>
      </c>
      <c r="B96" s="61">
        <v>23</v>
      </c>
      <c r="C96" s="61">
        <v>0.95</v>
      </c>
      <c r="D96" s="61">
        <v>0.385</v>
      </c>
      <c r="E96" s="61">
        <v>0.2328</v>
      </c>
      <c r="F96" s="61">
        <v>0.74</v>
      </c>
      <c r="G96" s="61">
        <v>0.0715</v>
      </c>
      <c r="H96" s="61">
        <v>0.79</v>
      </c>
    </row>
    <row r="97" spans="1:8" ht="15">
      <c r="A97" s="61" t="s">
        <v>204</v>
      </c>
      <c r="B97" s="61">
        <v>33</v>
      </c>
      <c r="C97" s="61">
        <v>1.17</v>
      </c>
      <c r="D97" s="61">
        <v>1.268</v>
      </c>
      <c r="E97" s="61">
        <v>0.3319</v>
      </c>
      <c r="F97" s="61">
        <v>0.63</v>
      </c>
      <c r="G97" s="61">
        <v>0.0498</v>
      </c>
      <c r="H97" s="61">
        <v>0.66</v>
      </c>
    </row>
    <row r="98" spans="1:8" ht="15">
      <c r="A98" s="61" t="s">
        <v>205</v>
      </c>
      <c r="B98" s="61">
        <v>5</v>
      </c>
      <c r="C98" s="61">
        <v>1.23</v>
      </c>
      <c r="D98" s="61">
        <v>0.6282</v>
      </c>
      <c r="E98" s="61">
        <v>0.1501</v>
      </c>
      <c r="F98" s="61">
        <v>0.8</v>
      </c>
      <c r="G98" s="61">
        <v>0.0551</v>
      </c>
      <c r="H98" s="61">
        <v>0.85</v>
      </c>
    </row>
    <row r="99" spans="1:8" ht="15">
      <c r="A99" s="61" t="s">
        <v>206</v>
      </c>
      <c r="B99" s="61">
        <v>16</v>
      </c>
      <c r="C99" s="61">
        <v>0.86</v>
      </c>
      <c r="D99" s="61">
        <v>0.8279</v>
      </c>
      <c r="E99" s="61">
        <v>0.3546</v>
      </c>
      <c r="F99" s="61">
        <v>0.56</v>
      </c>
      <c r="G99" s="61">
        <v>0.0087</v>
      </c>
      <c r="H99" s="61">
        <v>0.57</v>
      </c>
    </row>
    <row r="100" spans="1:8" ht="15">
      <c r="A100" s="61" t="s">
        <v>207</v>
      </c>
      <c r="B100" s="61">
        <v>57</v>
      </c>
      <c r="C100" s="61">
        <v>1.54</v>
      </c>
      <c r="D100" s="61">
        <v>0.3637</v>
      </c>
      <c r="E100" s="61">
        <v>0.1408</v>
      </c>
      <c r="F100" s="61">
        <v>1.17</v>
      </c>
      <c r="G100" s="61">
        <v>0.0839</v>
      </c>
      <c r="H100" s="61">
        <v>1.28</v>
      </c>
    </row>
    <row r="101" spans="1:8" ht="15">
      <c r="A101" s="61" t="s">
        <v>208</v>
      </c>
      <c r="B101" s="61">
        <v>10</v>
      </c>
      <c r="C101" s="61">
        <v>2.08</v>
      </c>
      <c r="D101" s="61">
        <v>3.9115</v>
      </c>
      <c r="E101" s="61">
        <v>0.067</v>
      </c>
      <c r="F101" s="61">
        <v>0.45</v>
      </c>
      <c r="G101" s="61">
        <v>0.0749</v>
      </c>
      <c r="H101" s="61">
        <v>0.48</v>
      </c>
    </row>
    <row r="102" spans="1:8" ht="15">
      <c r="A102" s="61" t="s">
        <v>209</v>
      </c>
      <c r="B102" s="61">
        <v>6</v>
      </c>
      <c r="C102" s="61">
        <v>1.41</v>
      </c>
      <c r="D102" s="61">
        <v>0.6725</v>
      </c>
      <c r="E102" s="61">
        <v>0.3326</v>
      </c>
      <c r="F102" s="61">
        <v>0.97</v>
      </c>
      <c r="G102" s="61">
        <v>0.0484</v>
      </c>
      <c r="H102" s="61">
        <v>1.02</v>
      </c>
    </row>
    <row r="103" spans="1:8" ht="15">
      <c r="A103" s="62" t="s">
        <v>210</v>
      </c>
      <c r="B103" s="63">
        <v>6870</v>
      </c>
      <c r="C103" s="63" t="s">
        <v>211</v>
      </c>
      <c r="D103" s="63" t="s">
        <v>212</v>
      </c>
      <c r="E103" s="63" t="s">
        <v>213</v>
      </c>
      <c r="F103" s="63" t="s">
        <v>214</v>
      </c>
      <c r="G103" s="63" t="s">
        <v>215</v>
      </c>
      <c r="H103" s="63" t="s">
        <v>216</v>
      </c>
    </row>
    <row r="107" spans="4:5" ht="15">
      <c r="D107" s="9" t="s">
        <v>217</v>
      </c>
      <c r="E107" s="9">
        <f>H81</f>
        <v>1.09</v>
      </c>
    </row>
    <row r="108" spans="4:5" ht="15">
      <c r="D108" s="9" t="s">
        <v>218</v>
      </c>
      <c r="E108" s="64">
        <f>(E107*(1-'BALANCE INICIAL'!E7)*'BALANCE INICIAL'!E3)/(1-'BALANCE INICIAL'!E3)</f>
        <v>0.8753088174589672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18"/>
  <sheetViews>
    <sheetView zoomScalePageLayoutView="0" workbookViewId="0" topLeftCell="A1">
      <selection activeCell="G37" sqref="G37"/>
    </sheetView>
  </sheetViews>
  <sheetFormatPr defaultColWidth="11.421875" defaultRowHeight="15"/>
  <cols>
    <col min="1" max="1" width="31.00390625" style="8" customWidth="1"/>
    <col min="2" max="2" width="11.421875" style="8" customWidth="1"/>
    <col min="3" max="3" width="3.57421875" style="8" customWidth="1"/>
    <col min="4" max="4" width="21.421875" style="8" customWidth="1"/>
    <col min="5" max="5" width="8.00390625" style="8" customWidth="1"/>
    <col min="6" max="7" width="11.421875" style="8" customWidth="1"/>
    <col min="8" max="8" width="24.57421875" style="8" customWidth="1"/>
    <col min="9" max="9" width="13.7109375" style="8" customWidth="1"/>
    <col min="10" max="16384" width="11.421875" style="8" customWidth="1"/>
  </cols>
  <sheetData>
    <row r="1" spans="1:6" ht="12.75">
      <c r="A1" s="359" t="s">
        <v>445</v>
      </c>
      <c r="B1" s="359"/>
      <c r="C1" s="359"/>
      <c r="D1" s="359"/>
      <c r="E1" s="359"/>
      <c r="F1" s="359"/>
    </row>
    <row r="3" spans="1:6" ht="12.75">
      <c r="A3" s="375" t="s">
        <v>446</v>
      </c>
      <c r="B3" s="375"/>
      <c r="D3" s="376" t="s">
        <v>456</v>
      </c>
      <c r="E3" s="10">
        <f>F3/B14</f>
        <v>0.5804456152540316</v>
      </c>
      <c r="F3" s="11">
        <f>F4</f>
        <v>27669.62455203416</v>
      </c>
    </row>
    <row r="4" spans="1:6" ht="12.75">
      <c r="A4" s="154" t="s">
        <v>447</v>
      </c>
      <c r="B4" s="11">
        <f>('COSTOS OPERCIONALES'!M14+'COSTOS OPERCIONALES'!I26+'COSTOS OPERCIONALES'!C170+'COSTOS FIJOS'!H23)*2*1.1</f>
        <v>27630.73455203416</v>
      </c>
      <c r="D4" s="12" t="s">
        <v>439</v>
      </c>
      <c r="E4" s="13">
        <v>1</v>
      </c>
      <c r="F4" s="11">
        <f>B14-F7</f>
        <v>27669.62455203416</v>
      </c>
    </row>
    <row r="5" spans="1:6" ht="12.75">
      <c r="A5" s="154"/>
      <c r="B5" s="11"/>
      <c r="D5" s="12"/>
      <c r="E5" s="12"/>
      <c r="F5" s="12"/>
    </row>
    <row r="6" spans="1:6" ht="12.75">
      <c r="A6" s="154" t="s">
        <v>448</v>
      </c>
      <c r="B6" s="155"/>
      <c r="D6" s="12"/>
      <c r="E6" s="12"/>
      <c r="F6" s="12"/>
    </row>
    <row r="7" spans="1:6" ht="12.75">
      <c r="A7" s="12" t="s">
        <v>311</v>
      </c>
      <c r="B7" s="11">
        <f>INVERSIONES!D5</f>
        <v>780</v>
      </c>
      <c r="D7" s="376" t="s">
        <v>460</v>
      </c>
      <c r="E7" s="13">
        <f>F7/B14</f>
        <v>0.41955438474596835</v>
      </c>
      <c r="F7" s="11">
        <f>F8</f>
        <v>20000</v>
      </c>
    </row>
    <row r="8" spans="1:6" ht="12.75">
      <c r="A8" s="12" t="s">
        <v>312</v>
      </c>
      <c r="B8" s="11">
        <f>INVERSIONES!I35+INVERSIONES!D46</f>
        <v>7304.24</v>
      </c>
      <c r="D8" s="12" t="s">
        <v>461</v>
      </c>
      <c r="E8" s="13">
        <v>1</v>
      </c>
      <c r="F8" s="11">
        <f>'GASTOS FINANCIEROS'!B24*'GASTOS FINANCIEROS'!B25</f>
        <v>20000</v>
      </c>
    </row>
    <row r="9" spans="1:6" ht="12.75">
      <c r="A9" s="12" t="s">
        <v>315</v>
      </c>
      <c r="B9" s="11">
        <f>INVERSIONES!I12</f>
        <v>2244</v>
      </c>
      <c r="D9" s="12"/>
      <c r="E9" s="13"/>
      <c r="F9" s="11"/>
    </row>
    <row r="10" spans="1:6" ht="12.75">
      <c r="A10" s="12" t="s">
        <v>313</v>
      </c>
      <c r="B10" s="11">
        <f>INVERSIONES!I4</f>
        <v>4800</v>
      </c>
      <c r="D10" s="12"/>
      <c r="E10" s="13"/>
      <c r="F10" s="11"/>
    </row>
    <row r="11" spans="1:6" ht="12.75">
      <c r="A11" s="12"/>
      <c r="B11" s="11"/>
      <c r="D11" s="12"/>
      <c r="E11" s="13"/>
      <c r="F11" s="11"/>
    </row>
    <row r="12" spans="1:6" ht="12.75">
      <c r="A12" s="154" t="s">
        <v>449</v>
      </c>
      <c r="B12" s="11">
        <f>'COSTOS FIJOS'!E6</f>
        <v>4910.65</v>
      </c>
      <c r="D12" s="12"/>
      <c r="E12" s="12"/>
      <c r="F12" s="12"/>
    </row>
    <row r="13" spans="1:6" ht="12.75">
      <c r="A13" s="12"/>
      <c r="B13" s="11"/>
      <c r="D13" s="12"/>
      <c r="E13" s="12"/>
      <c r="F13" s="12"/>
    </row>
    <row r="14" spans="1:6" s="173" customFormat="1" ht="12.75">
      <c r="A14" s="377" t="s">
        <v>455</v>
      </c>
      <c r="B14" s="378">
        <f>SUM(B4:B13)</f>
        <v>47669.62455203416</v>
      </c>
      <c r="D14" s="379" t="s">
        <v>462</v>
      </c>
      <c r="E14" s="380"/>
      <c r="F14" s="378">
        <f>F3+F7</f>
        <v>47669.62455203416</v>
      </c>
    </row>
    <row r="18" ht="12.75">
      <c r="C18" s="15"/>
    </row>
  </sheetData>
  <sheetProtection/>
  <mergeCells count="3">
    <mergeCell ref="A3:B3"/>
    <mergeCell ref="D14:E14"/>
    <mergeCell ref="A1:F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28"/>
  <sheetViews>
    <sheetView zoomScalePageLayoutView="0" workbookViewId="0" topLeftCell="A1">
      <selection activeCell="A1" sqref="A1"/>
    </sheetView>
  </sheetViews>
  <sheetFormatPr defaultColWidth="11.421875" defaultRowHeight="15"/>
  <cols>
    <col min="1" max="3" width="36.7109375" style="0" customWidth="1"/>
  </cols>
  <sheetData>
    <row r="1" ht="15">
      <c r="A1" s="312" t="s">
        <v>906</v>
      </c>
    </row>
    <row r="3" spans="1:3" ht="15">
      <c r="A3" t="s">
        <v>907</v>
      </c>
      <c r="B3" t="s">
        <v>908</v>
      </c>
      <c r="C3">
        <v>0</v>
      </c>
    </row>
    <row r="4" ht="15">
      <c r="A4" t="s">
        <v>909</v>
      </c>
    </row>
    <row r="5" ht="15">
      <c r="A5" t="s">
        <v>910</v>
      </c>
    </row>
    <row r="7" spans="1:2" ht="15">
      <c r="A7" s="312" t="s">
        <v>911</v>
      </c>
      <c r="B7" t="s">
        <v>912</v>
      </c>
    </row>
    <row r="8" ht="15">
      <c r="B8">
        <v>3</v>
      </c>
    </row>
    <row r="10" ht="15">
      <c r="A10" t="s">
        <v>913</v>
      </c>
    </row>
    <row r="11" spans="1:3" ht="15">
      <c r="A11" t="e">
        <f>CB_DATA_!#REF!</f>
        <v>#REF!</v>
      </c>
      <c r="B11" t="e">
        <f>'FLUJO DE CAJA'!#REF!</f>
        <v>#REF!</v>
      </c>
      <c r="C11" t="e">
        <f>'PRECIO VENTA'!#REF!</f>
        <v>#REF!</v>
      </c>
    </row>
    <row r="13" ht="15">
      <c r="A13" t="s">
        <v>914</v>
      </c>
    </row>
    <row r="14" spans="1:3" ht="15">
      <c r="A14" t="s">
        <v>918</v>
      </c>
      <c r="B14" t="s">
        <v>1</v>
      </c>
      <c r="C14" t="s">
        <v>5</v>
      </c>
    </row>
    <row r="16" ht="15">
      <c r="A16" t="s">
        <v>915</v>
      </c>
    </row>
    <row r="19" ht="15">
      <c r="A19" t="s">
        <v>916</v>
      </c>
    </row>
    <row r="20" spans="1:3" ht="15">
      <c r="A20">
        <v>28</v>
      </c>
      <c r="B20">
        <v>26</v>
      </c>
      <c r="C20">
        <v>26</v>
      </c>
    </row>
    <row r="25" ht="15">
      <c r="A25" s="312" t="s">
        <v>917</v>
      </c>
    </row>
    <row r="26" ht="15">
      <c r="A26" s="313" t="s">
        <v>919</v>
      </c>
    </row>
    <row r="27" ht="15">
      <c r="A27" t="s">
        <v>7</v>
      </c>
    </row>
    <row r="28" ht="15">
      <c r="A28" s="313" t="s">
        <v>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h. acebo plaza</dc:creator>
  <cp:keywords/>
  <dc:description/>
  <cp:lastModifiedBy>pcasal</cp:lastModifiedBy>
  <dcterms:created xsi:type="dcterms:W3CDTF">2009-02-03T01:37:46Z</dcterms:created>
  <dcterms:modified xsi:type="dcterms:W3CDTF">2009-02-27T18:31:11Z</dcterms:modified>
  <cp:category/>
  <cp:version/>
  <cp:contentType/>
  <cp:contentStatus/>
</cp:coreProperties>
</file>